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codeName="ThisWorkbook" defaultThemeVersion="124226"/>
  <mc:AlternateContent xmlns:mc="http://schemas.openxmlformats.org/markup-compatibility/2006">
    <mc:Choice Requires="x15">
      <x15ac:absPath xmlns:x15ac="http://schemas.microsoft.com/office/spreadsheetml/2010/11/ac" url="https://gronnbyggallianse-my.sharepoint.com/personal/jennymaria_ribe_byggalliansen_no/Documents/Documents/Arbeid med verktøy/"/>
    </mc:Choice>
  </mc:AlternateContent>
  <xr:revisionPtr revIDLastSave="158" documentId="13_ncr:1_{918C33F9-951A-449D-8FE6-D4B2B624D795}" xr6:coauthVersionLast="47" xr6:coauthVersionMax="47" xr10:uidLastSave="{3C902B89-5E91-4253-8B95-2014A08E9562}"/>
  <workbookProtection workbookAlgorithmName="SHA-512" workbookHashValue="EjbDyt4pc/lRjCRcbNRwBeSB3yxTWvMz3ubaDUtHhfwQOIkrh/xpRvYac+vyKBxcpTQhh9AywnYzVOmQ8wf5Cg==" workbookSaltValue="Wi335WVYc3gSx0USBPOS3g==" workbookSpinCount="100000" lockStructure="1"/>
  <bookViews>
    <workbookView xWindow="-28920" yWindow="-15" windowWidth="29040" windowHeight="15720" tabRatio="778" activeTab="8" xr2:uid="{00000000-000D-0000-FFFF-FFFF00000000}"/>
  </bookViews>
  <sheets>
    <sheet name="Instructions" sheetId="12" r:id="rId1"/>
    <sheet name="Assessment Details" sheetId="3" r:id="rId2"/>
    <sheet name="Pre-Assessment Estimator" sheetId="5" r:id="rId3"/>
    <sheet name="Credit list" sheetId="22" state="hidden" r:id="rId4"/>
    <sheet name="Manuell filtrering og justering" sheetId="16" state="hidden" r:id="rId5"/>
    <sheet name="Poeng" sheetId="13" state="hidden" r:id="rId6"/>
    <sheet name="Summary of Building Performance" sheetId="11" r:id="rId7"/>
    <sheet name="PAE available for copy" sheetId="21" r:id="rId8"/>
    <sheet name="Version Control" sheetId="8" r:id="rId9"/>
    <sheet name="Sheet1" sheetId="17" r:id="rId10"/>
    <sheet name="Sheet2" sheetId="18" r:id="rId11"/>
    <sheet name="Sheet3" sheetId="19" r:id="rId12"/>
    <sheet name="Logg" sheetId="23" state="hidden" r:id="rId13"/>
  </sheets>
  <definedNames>
    <definedName name="_xlnm._FilterDatabase" localSheetId="7" hidden="1">'PAE available for copy'!$A$9:$AG$226</definedName>
    <definedName name="_xlnm._FilterDatabase" localSheetId="5" hidden="1">Poeng!$A$8:$CL$278</definedName>
    <definedName name="_xlnm._FilterDatabase" localSheetId="2" hidden="1">'Pre-Assessment Estimator'!$A$9:$AG$227</definedName>
    <definedName name="_PSc1">'Assessment Details'!$P$70</definedName>
    <definedName name="_PSc2">'Assessment Details'!#REF!</definedName>
    <definedName name="Achieved_const">'Summary of Building Performance'!$H$46</definedName>
    <definedName name="Achieved_design">'Summary of Building Performance'!$F$46</definedName>
    <definedName name="Achieved_initial">'Summary of Building Performance'!$D$46</definedName>
    <definedName name="AD_Add01">'Assessment Details'!$C$14</definedName>
    <definedName name="AD_Add02">'Assessment Details'!$C$15</definedName>
    <definedName name="AD_Add04">'Assessment Details'!$C$17</definedName>
    <definedName name="AD_Architect">'Assessment Details'!$C$25</definedName>
    <definedName name="AD_assessor">'Assessment Details'!$C$8</definedName>
    <definedName name="AD_Assessor_org">'Assessment Details'!$C$9</definedName>
    <definedName name="AD_Banner">'Assessment Details'!$B$2</definedName>
    <definedName name="AD_BREEAM_stage">'Assessment Details'!$Q$5</definedName>
    <definedName name="AD_BREEAM_version">'Assessment Details'!$Q$8</definedName>
    <definedName name="AD_BREEAMAP">'Assessment Details'!$C$28</definedName>
    <definedName name="AD_Buildserve">'Assessment Details'!$C$27</definedName>
    <definedName name="AD_Builduser">'Assessment Details'!$C$7</definedName>
    <definedName name="AD_catlevel">'Assessment Details'!#REF!</definedName>
    <definedName name="AD_catlevel01">'Assessment Details'!$Q$31</definedName>
    <definedName name="AD_catlevel02">'Assessment Details'!$Q$32</definedName>
    <definedName name="AD_catlevel03">'Assessment Details'!$Q$33</definedName>
    <definedName name="AD_client">'Assessment Details'!$C$6</definedName>
    <definedName name="AD_Contractor">'Assessment Details'!$C$24</definedName>
    <definedName name="AD_Developer">'Assessment Details'!$C$23</definedName>
    <definedName name="AD_Energyload">'Assessment Details'!$F$22</definedName>
    <definedName name="AD_GIA">'Assessment Details'!$F$11</definedName>
    <definedName name="AD_heat">'Assessment Details'!$F$15</definedName>
    <definedName name="AD_labcat_list">'Assessment Details'!$Q$31:$Q$34</definedName>
    <definedName name="AD_Labsize">'Assessment Details'!$F$21</definedName>
    <definedName name="AD_Labsize_list">'Assessment Details'!$Q$26:$Q$29</definedName>
    <definedName name="AD_Labsize01">'Assessment Details'!$Q$27</definedName>
    <definedName name="AD_Labsize02">'Assessment Details'!$Q$28</definedName>
    <definedName name="AD_Labsize03">'Assessment Details'!$Q$29</definedName>
    <definedName name="AD_labsize04">'Assessment Details'!$Q$26</definedName>
    <definedName name="AD_MultiRes_option01a">'Assessment Details'!$P$92</definedName>
    <definedName name="AD_MultiRes_option01b">'Assessment Details'!$P$93</definedName>
    <definedName name="AD_Multitenant">'Assessment Details'!$Q$42</definedName>
    <definedName name="AD_NIFA">'Assessment Details'!$F$12</definedName>
    <definedName name="AD_no">'Assessment Details'!$Q$23</definedName>
    <definedName name="AD_nolab" localSheetId="7">'Assessment Details'!#REF!</definedName>
    <definedName name="AD_nolab">'Assessment Details'!#REF!</definedName>
    <definedName name="AD_option_na">'Assessment Details'!$Q$24</definedName>
    <definedName name="AD_Other01">'Assessment Details'!$C$29</definedName>
    <definedName name="AD_Other02">'Assessment Details'!$C$30</definedName>
    <definedName name="AD_other03">'Assessment Details'!$C$31</definedName>
    <definedName name="AD_Other04">'Assessment Details'!$C$32</definedName>
    <definedName name="AD_Ozoneleg">'Assessment Details'!$P$69</definedName>
    <definedName name="AD_p_zone0">'Assessment Details'!$T$87</definedName>
    <definedName name="AD_p_zone1">'Assessment Details'!$T$88</definedName>
    <definedName name="AD_P_zone2">'Assessment Details'!$T$89</definedName>
    <definedName name="AD_P_Zone3">'Assessment Details'!$T$90</definedName>
    <definedName name="AD_Projman">'Assessment Details'!$C$26</definedName>
    <definedName name="AD_ref">'Assessment Details'!$C$5</definedName>
    <definedName name="AD_refrig">'Assessment Details'!$F$19</definedName>
    <definedName name="AD_stage_list">'Assessment Details'!$Q$18:$Q$19</definedName>
    <definedName name="AD_statement03" localSheetId="7">'Assessment Details'!#REF!</definedName>
    <definedName name="AD_statement03">'Assessment Details'!#REF!</definedName>
    <definedName name="AD_Statement04">'Assessment Details'!$Q$44</definedName>
    <definedName name="AD_statement05">'Assessment Details'!$Q$45</definedName>
    <definedName name="AD_statement06">'Assessment Details'!$Q$46</definedName>
    <definedName name="AD_tra01type">'Assessment Details'!$P$64</definedName>
    <definedName name="AD_Trans">'Assessment Details'!$F$20</definedName>
    <definedName name="AD_type_list">'Assessment Details'!$L$5:$L$8</definedName>
    <definedName name="AD_version">'Assessment Details'!$R$82</definedName>
    <definedName name="AD_Yes">'Assessment Details'!$Q$22</definedName>
    <definedName name="AD_YesNo">'Assessment Details'!$Q$22:$Q$23</definedName>
    <definedName name="AD_YesNo_list">'Assessment Details'!$Q$22:$Q$24</definedName>
    <definedName name="ADAS0">'Assessment Details'!$R$80</definedName>
    <definedName name="ADAS01">'Assessment Details'!$Q$18</definedName>
    <definedName name="ADAS02">'Assessment Details'!$Q$19</definedName>
    <definedName name="ADBN">'Assessment Details'!$C$13</definedName>
    <definedName name="ADBT_sub02">'Assessment Details'!$O$5</definedName>
    <definedName name="ADBT_sub03">'Assessment Details'!$O$6</definedName>
    <definedName name="ADBT_sub04">'Assessment Details'!$O$7</definedName>
    <definedName name="ADBT_sub05">'Assessment Details'!$O$8</definedName>
    <definedName name="ADBT_sub06">'Assessment Details'!$O$9</definedName>
    <definedName name="ADBT_sub07">'Assessment Details'!$O$10</definedName>
    <definedName name="ADBT_sub08">'Assessment Details'!$O$11</definedName>
    <definedName name="ADBT_sub09">'Assessment Details'!$O$12</definedName>
    <definedName name="ADBT_sub10">'Assessment Details'!$O$13</definedName>
    <definedName name="ADBT_sub11">'Assessment Details'!$O$14</definedName>
    <definedName name="ADBT_sub12">'Assessment Details'!$O$15</definedName>
    <definedName name="ADBT_sub13">'Assessment Details'!$O$16</definedName>
    <definedName name="ADBT_sub14">'Assessment Details'!$O$17</definedName>
    <definedName name="ADBT_sub15">'Assessment Details'!$O$18</definedName>
    <definedName name="ADBT_sub16">'Assessment Details'!$O$19</definedName>
    <definedName name="ADBT_sub17">'Assessment Details'!$O$20</definedName>
    <definedName name="ADBT0">'Assessment Details'!$F$5</definedName>
    <definedName name="ADBT1">'Assessment Details'!$L$5</definedName>
    <definedName name="ADBT12">'Assessment Details'!$L$9</definedName>
    <definedName name="ADBT13">'Assessment Details'!$L$10</definedName>
    <definedName name="ADBT14">'Assessment Details'!$L$11</definedName>
    <definedName name="ADBT15">'Assessment Details'!$L$12</definedName>
    <definedName name="ADBT16">'Assessment Details'!$L$13</definedName>
    <definedName name="ADBT17">'Assessment Details'!$L$14</definedName>
    <definedName name="ADBT18">'Assessment Details'!$L$15</definedName>
    <definedName name="ADBT19">'Assessment Details'!$L$16</definedName>
    <definedName name="ADBT2">'Assessment Details'!$L$6</definedName>
    <definedName name="ADBT20">'Assessment Details'!$L$17</definedName>
    <definedName name="ADBT3">'Assessment Details'!$L$7</definedName>
    <definedName name="ADBT8">'Assessment Details'!$L$8</definedName>
    <definedName name="ADBT9">'Assessment Details'!$L$5</definedName>
    <definedName name="ADFume_option01">'Assessment Details'!$P$43</definedName>
    <definedName name="ADIND_option02">'Assessment Details'!$F$16</definedName>
    <definedName name="ADIND_option02n">'Assessment Details'!$H$16</definedName>
    <definedName name="ADIND_option03">'Assessment Details'!$F$17</definedName>
    <definedName name="ADPT">'Assessment Details'!$Q$17</definedName>
    <definedName name="ADPT01">'Assessment Details'!$Q$11</definedName>
    <definedName name="ADPT02">'Assessment Details'!$Q$13</definedName>
    <definedName name="ADPT03">'Assessment Details'!$Q$14</definedName>
    <definedName name="ADPT04">'Assessment Details'!$Q$15</definedName>
    <definedName name="ais_ja">Poeng!$G$4</definedName>
    <definedName name="AIS_NA">Poeng!$G$6</definedName>
    <definedName name="ais_nei">Poeng!$G$5</definedName>
    <definedName name="AIS_statement09" localSheetId="7">'Assessment Details'!#REF!</definedName>
    <definedName name="AIS_statement09">'Assessment Details'!#REF!</definedName>
    <definedName name="AIS_statement29">'Assessment Details'!$B$37</definedName>
    <definedName name="BP_01">'Summary of Building Performance'!$C$36</definedName>
    <definedName name="BP_02">'Summary of Building Performance'!$C$37</definedName>
    <definedName name="BP_03">'Summary of Building Performance'!$C$38</definedName>
    <definedName name="BP_04">'Summary of Building Performance'!$C$39</definedName>
    <definedName name="BP_05">'Summary of Building Performance'!$C$40</definedName>
    <definedName name="BP_06">'Summary of Building Performance'!$C$41</definedName>
    <definedName name="BP_07">'Summary of Building Performance'!$C$42</definedName>
    <definedName name="BP_08">'Summary of Building Performance'!$C$43</definedName>
    <definedName name="BP_09">'Summary of Building Performance'!$C$44</definedName>
    <definedName name="BP_10">'Summary of Building Performance'!$C$45</definedName>
    <definedName name="BP_11">'Summary of Building Performance'!$D$36</definedName>
    <definedName name="BP_12">'Summary of Building Performance'!$D$37</definedName>
    <definedName name="BP_13">'Summary of Building Performance'!$D$38</definedName>
    <definedName name="BP_14">'Summary of Building Performance'!$D$39</definedName>
    <definedName name="BP_15">'Summary of Building Performance'!$D$40</definedName>
    <definedName name="BP_16">'Summary of Building Performance'!$D$41</definedName>
    <definedName name="BP_18">'Summary of Building Performance'!$D$42</definedName>
    <definedName name="BP_19">'Summary of Building Performance'!$D$43</definedName>
    <definedName name="BP_20">'Summary of Building Performance'!$D$44</definedName>
    <definedName name="BP_21">'Summary of Building Performance'!$D$45</definedName>
    <definedName name="BP_22">'Summary of Building Performance'!$E$36</definedName>
    <definedName name="BP_23">'Summary of Building Performance'!$E$37</definedName>
    <definedName name="BP_24">'Summary of Building Performance'!$E$38</definedName>
    <definedName name="BP_25">'Summary of Building Performance'!$E$39</definedName>
    <definedName name="BP_26">'Summary of Building Performance'!$E$40</definedName>
    <definedName name="BP_27">'Summary of Building Performance'!$E$41</definedName>
    <definedName name="BP_28">'Summary of Building Performance'!$E$42</definedName>
    <definedName name="BP_29">'Summary of Building Performance'!$E$43</definedName>
    <definedName name="BP_30">'Summary of Building Performance'!$E$44</definedName>
    <definedName name="BP_31">'Summary of Building Performance'!$E$45</definedName>
    <definedName name="BP_BREEAMRating">Poeng!$BE$264</definedName>
    <definedName name="BP_Energy_score">'Summary of Building Performance'!$K$38</definedName>
    <definedName name="BP_Innovation_score">'Summary of Building Performance'!$K$45</definedName>
    <definedName name="BP_LUE_score">'Summary of Building Performance'!$K$43</definedName>
    <definedName name="BP_Man_score">'Summary of Building Performance'!$K$36</definedName>
    <definedName name="BP_Materials_score">'Summary of Building Performance'!$K$41</definedName>
    <definedName name="BP_MinStandards">Poeng!$BE$259</definedName>
    <definedName name="BP_MinStandards_const">Poeng!$BK$259</definedName>
    <definedName name="BP_MinStandards_design">Poeng!$BH$259</definedName>
    <definedName name="BP_Trans_score">'Summary of Building Performance'!$K$39</definedName>
    <definedName name="BP_Waste_Score">'Summary of Building Performance'!$K$42</definedName>
    <definedName name="BP_Water_score">'Summary of Building Performance'!$K$40</definedName>
    <definedName name="BRK_Banner" localSheetId="7">'PAE available for copy'!$F$1</definedName>
    <definedName name="BRK_Banner">'Pre-Assessment Estimator'!$F$1</definedName>
    <definedName name="Ene_01">Poeng!$E$69</definedName>
    <definedName name="Ene_02">Poeng!$E$75</definedName>
    <definedName name="Ene_03">Poeng!$E$79</definedName>
    <definedName name="Ene_04">Poeng!$E$82</definedName>
    <definedName name="Ene_05">Poeng!$E$83</definedName>
    <definedName name="Ene_06">Poeng!$E$86</definedName>
    <definedName name="Ene_07">Poeng!$E$90</definedName>
    <definedName name="Ene_08">Poeng!$E$93</definedName>
    <definedName name="Ene_09">Poeng!$E$95</definedName>
    <definedName name="Ene_23">Poeng!$E$96</definedName>
    <definedName name="Ene_c_user">Poeng!$AK$97</definedName>
    <definedName name="Ene_cont_tot">Poeng!$AE$97</definedName>
    <definedName name="Ene_Credits">Poeng!$AB$97</definedName>
    <definedName name="Ene_d_user">Poeng!$AJ$97</definedName>
    <definedName name="Ene_tot_user">Poeng!$AI$97</definedName>
    <definedName name="Ene_Weight">'Summary of Building Performance'!$J$38</definedName>
    <definedName name="Ene01_27">Poeng!$BT$311</definedName>
    <definedName name="Ene01_28">Poeng!$BE$69</definedName>
    <definedName name="Ene01_41">Poeng!$AD$69</definedName>
    <definedName name="Ene01_42">Poeng!$AE$69</definedName>
    <definedName name="Ene01_credits">Poeng!$AB$69</definedName>
    <definedName name="Ene01_Crit1">Poeng!$E$239</definedName>
    <definedName name="Ene01_Crit1_credits">Poeng!$AB$239</definedName>
    <definedName name="Ene01_minstd">Poeng!$BE$239</definedName>
    <definedName name="Ene01_tot">Poeng!$BS$311</definedName>
    <definedName name="Ene01_user">Poeng!$AI$69</definedName>
    <definedName name="Ene02_10">Poeng!$AD$75</definedName>
    <definedName name="Ene02_11">Poeng!$BT$312</definedName>
    <definedName name="Ene02_12">Poeng!$BE$75</definedName>
    <definedName name="Ene02_13">Poeng!$AE$75</definedName>
    <definedName name="Ene02_credits">Poeng!$AB$75</definedName>
    <definedName name="Ene02_tot">Poeng!$BS$312</definedName>
    <definedName name="Ene02_user">Poeng!$AI$75</definedName>
    <definedName name="Ene03_05">Poeng!$AD$79</definedName>
    <definedName name="Ene03_06">Poeng!$AE$79</definedName>
    <definedName name="Ene03_credits">Poeng!$AB$79</definedName>
    <definedName name="Ene03_minstd">Poeng!$BE$79</definedName>
    <definedName name="Ene03_tot" localSheetId="7">Poeng!#REF!</definedName>
    <definedName name="Ene03_tot">Poeng!#REF!</definedName>
    <definedName name="Ene03_user">Poeng!$AI$79</definedName>
    <definedName name="Ene04_15">Poeng!$BS$316</definedName>
    <definedName name="Ene04_16">Poeng!$BE$82</definedName>
    <definedName name="Ene04_19">Poeng!$AD$82</definedName>
    <definedName name="Ene04_20">Poeng!$AE$82</definedName>
    <definedName name="Ene04_credits">Poeng!$AB$82</definedName>
    <definedName name="Ene04_tot">Poeng!$BR$316</definedName>
    <definedName name="Ene04_user">Poeng!$AI$82</definedName>
    <definedName name="Ene05_14">Poeng!$BS$83</definedName>
    <definedName name="Ene05_15">Poeng!$BE$83</definedName>
    <definedName name="Ene05_20">Poeng!$AD$83</definedName>
    <definedName name="Ene05_21">Poeng!$AE$83</definedName>
    <definedName name="Ene05_credits">Poeng!$AB$83</definedName>
    <definedName name="Ene05_tot">Poeng!$BR$83</definedName>
    <definedName name="Ene05_user">Poeng!$AI$83</definedName>
    <definedName name="Ene06_11">Poeng!$AD$86</definedName>
    <definedName name="Ene06_12">Poeng!$AE$86</definedName>
    <definedName name="Ene06_credits">Poeng!$AB$86</definedName>
    <definedName name="Ene06_minstd">Poeng!$BE$86</definedName>
    <definedName name="Ene06_tot">Poeng!$BR$86</definedName>
    <definedName name="Ene06_user">Poeng!$AI$86</definedName>
    <definedName name="Ene07_24">Poeng!$AD$90</definedName>
    <definedName name="Ene07_25">Poeng!$AE$90</definedName>
    <definedName name="Ene07_credits">Poeng!$AB$90</definedName>
    <definedName name="Ene07_minstd">Poeng!$BE$90</definedName>
    <definedName name="Ene07_tot">Poeng!$BR$90</definedName>
    <definedName name="Ene07_user">Poeng!$AI$90</definedName>
    <definedName name="Ene08_27">Poeng!$AD$93</definedName>
    <definedName name="Ene08_29">Poeng!$AE$93</definedName>
    <definedName name="Ene08_credits">Poeng!$AB$93</definedName>
    <definedName name="Ene08_minstd">Poeng!$BE$93</definedName>
    <definedName name="Ene08_tot">Poeng!$BR$93</definedName>
    <definedName name="Ene08_user">Poeng!$AI$93</definedName>
    <definedName name="Ene09_07">Poeng!$AD$95</definedName>
    <definedName name="Ene09_10">Poeng!$AE$95</definedName>
    <definedName name="Ene09_credits">Poeng!$AB$95</definedName>
    <definedName name="Ene09_minstd">Poeng!$BE$95</definedName>
    <definedName name="Ene09_tot">Poeng!$BR$95</definedName>
    <definedName name="Ene09_user">Poeng!$AI$95</definedName>
    <definedName name="Ene23_cont">Poeng!$AE$96</definedName>
    <definedName name="Ene23_credits">Poeng!$AB$96</definedName>
    <definedName name="Ene23_minstd">Poeng!$BE$96</definedName>
    <definedName name="Ene23_user">Poeng!$AI$96</definedName>
    <definedName name="Hea_01">Poeng!$E$39</definedName>
    <definedName name="Hea_02">Poeng!$E$46</definedName>
    <definedName name="Hea_03">Poeng!$E$51</definedName>
    <definedName name="Hea_04">Poeng!$E$55</definedName>
    <definedName name="Hea_05">Poeng!$E$56</definedName>
    <definedName name="Hea_06">Poeng!$E$59</definedName>
    <definedName name="Hea_07">Poeng!$E$62</definedName>
    <definedName name="Hea_08">Poeng!$E$63</definedName>
    <definedName name="Hea_09">Poeng!$E$65</definedName>
    <definedName name="Hea_cont_tot">Poeng!$AE$66</definedName>
    <definedName name="Hea_Credits">Poeng!$AB$66</definedName>
    <definedName name="Hea_Weight">'Summary of Building Performance'!$J$37</definedName>
    <definedName name="Hea01_06" localSheetId="7">Poeng!#REF!</definedName>
    <definedName name="Hea01_06">Poeng!#REF!</definedName>
    <definedName name="Hea01_25" localSheetId="7">Poeng!#REF!</definedName>
    <definedName name="Hea01_25">Poeng!#REF!</definedName>
    <definedName name="Hea01_26">Poeng!$AD$39</definedName>
    <definedName name="Hea01_27">Poeng!$AE$39</definedName>
    <definedName name="Hea01_credits">Poeng!$AB$39</definedName>
    <definedName name="Hea01_minstd">Poeng!$BE$39</definedName>
    <definedName name="Hea01_tot" localSheetId="7">Poeng!#REF!</definedName>
    <definedName name="Hea01_tot">Poeng!#REF!</definedName>
    <definedName name="Hea01_user">Poeng!$AI$39</definedName>
    <definedName name="Hea02_25">Poeng!$AD$46</definedName>
    <definedName name="Hea02_26">Poeng!$AE$46</definedName>
    <definedName name="Hea02_credits">Poeng!$AB$46</definedName>
    <definedName name="Hea02_Crit1">Poeng!$E$236</definedName>
    <definedName name="Hea02_Crit1_cont">Poeng!$AE$236</definedName>
    <definedName name="Hea02_Crit1_credits">Poeng!$AB$236</definedName>
    <definedName name="Hea02_minst_crit">Poeng!$BE$236</definedName>
    <definedName name="Hea02_minstd">Poeng!$BE$46</definedName>
    <definedName name="Hea02_tot">Poeng!$BS$296</definedName>
    <definedName name="Hea02_user">Poeng!$AI$46</definedName>
    <definedName name="Hea03_09">Poeng!$AD$51</definedName>
    <definedName name="Hea03_10">Poeng!$BT$297</definedName>
    <definedName name="Hea03_11">Poeng!$BE$51</definedName>
    <definedName name="Hea03_contr">Poeng!$AE$51</definedName>
    <definedName name="Hea03_credits">Poeng!$AB$51</definedName>
    <definedName name="Hea03_tot">Poeng!$BS$297</definedName>
    <definedName name="Hea03_user">Poeng!$AI$51</definedName>
    <definedName name="Hea04_10">Poeng!$BT$298</definedName>
    <definedName name="Hea04_11">Poeng!$BE$55</definedName>
    <definedName name="Hea04_12">Poeng!$AD$55</definedName>
    <definedName name="Hea04_13">Poeng!$AE$55</definedName>
    <definedName name="Hea04_credits">Poeng!$AB$55</definedName>
    <definedName name="Hea04_tot">Poeng!$BS$298</definedName>
    <definedName name="Hea04_user">Poeng!$AI$55</definedName>
    <definedName name="Hea05_07">Poeng!$AD$56</definedName>
    <definedName name="Hea05_08">Poeng!$AE$56</definedName>
    <definedName name="Hea05_credits">Poeng!$AB$56</definedName>
    <definedName name="Hea05_minstd">Poeng!$BE$56</definedName>
    <definedName name="Hea05_tot">Poeng!$BS$300</definedName>
    <definedName name="Hea05_user">Poeng!$AI$56</definedName>
    <definedName name="Hea06_07">Poeng!$AD$59</definedName>
    <definedName name="Hea06_contr">Poeng!$AE$59</definedName>
    <definedName name="Hea06_credits">Poeng!$AB$59</definedName>
    <definedName name="Hea06_minstd">Poeng!$BE$59</definedName>
    <definedName name="Hea06_tot">Poeng!$BS$301</definedName>
    <definedName name="Hea06_user">Poeng!$AI$59</definedName>
    <definedName name="Hea07_07">Poeng!$AD$62</definedName>
    <definedName name="Hea07_contr">Poeng!$AE$62</definedName>
    <definedName name="Hea07_Credits">Poeng!$AB$62</definedName>
    <definedName name="Hea07_minstd">Poeng!$BE$62</definedName>
    <definedName name="Hea07_Tot">Poeng!$BS$303</definedName>
    <definedName name="Hea07_user">Poeng!$AI$62</definedName>
    <definedName name="Hea08_07">Poeng!$AD$63</definedName>
    <definedName name="Hea08_contr">Poeng!$AE$63</definedName>
    <definedName name="Hea08_Credits">Poeng!$AB$63</definedName>
    <definedName name="Hea08_minstd">Poeng!$BE$63</definedName>
    <definedName name="Hea08_tot">Poeng!$BS$304</definedName>
    <definedName name="Hea08_user">Poeng!$AI$63</definedName>
    <definedName name="Hea09_cont">Poeng!$AE$65</definedName>
    <definedName name="Hea09_Credits">Poeng!$AB$65</definedName>
    <definedName name="Hea09_minstd">Poeng!$BE$65</definedName>
    <definedName name="Hea09_user">Poeng!$AI$65</definedName>
    <definedName name="HUG" localSheetId="7">'PAE available for copy'!$AP$15</definedName>
    <definedName name="HUG">'Pre-Assessment Estimator'!$AU$35</definedName>
    <definedName name="HW_c_user">Poeng!$AK$66</definedName>
    <definedName name="HW_d_user">Poeng!$AJ$66</definedName>
    <definedName name="HW_tot_user">Poeng!$AI$66</definedName>
    <definedName name="Inn_01">Poeng!$E$217</definedName>
    <definedName name="Inn_02">Poeng!$E$218</definedName>
    <definedName name="Inn_03">Poeng!$E$219</definedName>
    <definedName name="Inn_04">Poeng!$E$220</definedName>
    <definedName name="Inn_05">Poeng!$E$221</definedName>
    <definedName name="Inn_06">Poeng!$E$222</definedName>
    <definedName name="Inn_07">Poeng!$E$223</definedName>
    <definedName name="Inn_08">Poeng!$E$224</definedName>
    <definedName name="Inn_09">Poeng!$E$225</definedName>
    <definedName name="Inn_10">Poeng!$E$226</definedName>
    <definedName name="Inn_11">Poeng!$E$227</definedName>
    <definedName name="Inn_12">Poeng!$E$228</definedName>
    <definedName name="Inn_13">Poeng!$E$229</definedName>
    <definedName name="Inn_c_user">Poeng!$AK$231</definedName>
    <definedName name="Inn_cont_tot">Poeng!$AE$231</definedName>
    <definedName name="Inn_Credits">Poeng!$AB$231</definedName>
    <definedName name="Inn_d_user">Poeng!$AJ$231</definedName>
    <definedName name="Inn_tot_user">Poeng!$AI$231</definedName>
    <definedName name="Inn_Weight">'Summary of Building Performance'!$J$45</definedName>
    <definedName name="Inn01_cont">Poeng!$AE$217</definedName>
    <definedName name="Inn01_credits">Poeng!$AB$217</definedName>
    <definedName name="Inn01_minstd">Poeng!$BE$217</definedName>
    <definedName name="Inn01_user">Poeng!$AI$217</definedName>
    <definedName name="Inn02_cont">Poeng!$AE$218</definedName>
    <definedName name="Inn02_credits">Poeng!$AB$218</definedName>
    <definedName name="Inn02_minstd">Poeng!$BE$218</definedName>
    <definedName name="Inn02_user">Poeng!$AI$218</definedName>
    <definedName name="Inn03_cont">Poeng!$AE$219</definedName>
    <definedName name="Inn03_credits">Poeng!$AB$219</definedName>
    <definedName name="Inn03_minstd">Poeng!$BE$219</definedName>
    <definedName name="Inn03_user">Poeng!$AI$219</definedName>
    <definedName name="Inn04_cont">Poeng!$AE$220</definedName>
    <definedName name="Inn04_credits">Poeng!$AB$220</definedName>
    <definedName name="Inn04_minstd">Poeng!$BE$220</definedName>
    <definedName name="Inn04_user">Poeng!$AI$220</definedName>
    <definedName name="Inn05_cont">Poeng!$AE$221</definedName>
    <definedName name="Inn05_credits">Poeng!$AB$221</definedName>
    <definedName name="Inn05_minstd">Poeng!$BE$221</definedName>
    <definedName name="Inn05_user">Poeng!$AI$221</definedName>
    <definedName name="Inn06_cont">Poeng!$AE$222</definedName>
    <definedName name="Inn06_credits">Poeng!$AB$222</definedName>
    <definedName name="Inn06_minstd">Poeng!$BE$222</definedName>
    <definedName name="Inn06_user">Poeng!$AI$222</definedName>
    <definedName name="Inn07_cont">Poeng!$AE$223</definedName>
    <definedName name="Inn07_credits">Poeng!$AB$223</definedName>
    <definedName name="Inn07_minstd">Poeng!$BE$223</definedName>
    <definedName name="Inn07_user">Poeng!$AI$223</definedName>
    <definedName name="Inn08_cont">Poeng!$AE$224</definedName>
    <definedName name="Inn08_credits">Poeng!$AB$224</definedName>
    <definedName name="Inn08_minstd">Poeng!$BE$224</definedName>
    <definedName name="Inn08_user">Poeng!$AI$224</definedName>
    <definedName name="Inn09_cont">Poeng!$AE$225</definedName>
    <definedName name="Inn09_credits">Poeng!$AB$225</definedName>
    <definedName name="Inn09_minstd">Poeng!$BE$225</definedName>
    <definedName name="Inn09_user">Poeng!$AI$225</definedName>
    <definedName name="Inn10_cont">Poeng!$AE$226</definedName>
    <definedName name="Inn10_credits">Poeng!$AB$226</definedName>
    <definedName name="Inn10_minstd">Poeng!$BE$226</definedName>
    <definedName name="Inn10_user">Poeng!$AI$226</definedName>
    <definedName name="Inn11_cont">Poeng!$AE$227</definedName>
    <definedName name="Inn11_credits">Poeng!$AB$227</definedName>
    <definedName name="Inn11_minstd">Poeng!$BE$227</definedName>
    <definedName name="Inn11_user">Poeng!$AI$227</definedName>
    <definedName name="Inn12_cont">Poeng!$AE$228</definedName>
    <definedName name="Inn12_credits">Poeng!$AB$228</definedName>
    <definedName name="Inn12_minstd">Poeng!$BE$228</definedName>
    <definedName name="Inn12_user">Poeng!$AI$228</definedName>
    <definedName name="Inn13_cont">Poeng!$AE$229</definedName>
    <definedName name="Inn13_credits">Poeng!$AB$229</definedName>
    <definedName name="Inn13_minstd">Poeng!$BE$229</definedName>
    <definedName name="Inn13_user">Poeng!$AI$229</definedName>
    <definedName name="janei">'Assessment Details'!$O$51:$O$52</definedName>
    <definedName name="LE_01">Poeng!$E$169</definedName>
    <definedName name="LE_02">Poeng!$E$171</definedName>
    <definedName name="LE_03">Poeng!$E$175</definedName>
    <definedName name="LE_04">Poeng!$E$179</definedName>
    <definedName name="LE_05">Poeng!$E$183</definedName>
    <definedName name="LE_06">Poeng!$E$187</definedName>
    <definedName name="LE_07">Poeng!$E$189</definedName>
    <definedName name="LE_08">Poeng!$E$192</definedName>
    <definedName name="LE_cont_tot">Poeng!$AE$197</definedName>
    <definedName name="LE_Credits">Poeng!$AB$197</definedName>
    <definedName name="LE_Weight">'Summary of Building Performance'!$J$43</definedName>
    <definedName name="LE01_07">Poeng!$AD$169</definedName>
    <definedName name="LE01_08">Poeng!$AE$169</definedName>
    <definedName name="LE01_credits">Poeng!$AB$169</definedName>
    <definedName name="LE01_minstd">Poeng!$BE$169</definedName>
    <definedName name="LE01_tot">Poeng!$BR$169</definedName>
    <definedName name="LE01_user">Poeng!$AI$169</definedName>
    <definedName name="LE02_07">Poeng!$AD$171</definedName>
    <definedName name="LE02_08">Poeng!$AE$171</definedName>
    <definedName name="LE02_credits">Poeng!$AB$171</definedName>
    <definedName name="LE02_minstd">Poeng!$BE$171</definedName>
    <definedName name="LE02_tot">Poeng!$BR$171</definedName>
    <definedName name="LE02_user">Poeng!$AI$171</definedName>
    <definedName name="LE03_07">Poeng!$AD$175</definedName>
    <definedName name="LE03_cont">Poeng!$AE$175</definedName>
    <definedName name="LE03_credits">Poeng!$AB$175</definedName>
    <definedName name="LE03_minstd">Poeng!$BE$175</definedName>
    <definedName name="LE03_user">Poeng!$AI$175</definedName>
    <definedName name="LE04_13">Poeng!$AD$179</definedName>
    <definedName name="LE04_14">Poeng!$AE$179</definedName>
    <definedName name="LE04_credits">Poeng!$AB$179</definedName>
    <definedName name="LE04_minstd">Poeng!$BE$179</definedName>
    <definedName name="LE04_tot">Poeng!$BR$179</definedName>
    <definedName name="LE04_user">Poeng!$AI$179</definedName>
    <definedName name="LE05_14">Poeng!$AD$183</definedName>
    <definedName name="LE05_15">Poeng!$AE$183</definedName>
    <definedName name="LE05_credits">Poeng!$AB$183</definedName>
    <definedName name="LE05_minstd">Poeng!$BE$183</definedName>
    <definedName name="LE05_minstdach">Poeng!$BE$183</definedName>
    <definedName name="LE05_tot">Poeng!$BR$183</definedName>
    <definedName name="LE05_user">Poeng!$AI$183</definedName>
    <definedName name="LE06_07">Poeng!$AD$187</definedName>
    <definedName name="LE06_contr">Poeng!$AE$187</definedName>
    <definedName name="LE06_credits">Poeng!$AB$187</definedName>
    <definedName name="LE06_minstd">Poeng!$BE$187</definedName>
    <definedName name="LE06_tot">Poeng!$BR$187</definedName>
    <definedName name="LE06_user">Poeng!$AI$187</definedName>
    <definedName name="LE07_07">Poeng!$AD$189</definedName>
    <definedName name="LE07_cont">Poeng!$AE$189</definedName>
    <definedName name="LE07_credits">Poeng!$AB$189</definedName>
    <definedName name="LE07_minstd">Poeng!$BE$189</definedName>
    <definedName name="LE07_user">Poeng!$AI$189</definedName>
    <definedName name="LE08_07">Poeng!$AD$192</definedName>
    <definedName name="LE08_cont">Poeng!$AE$192</definedName>
    <definedName name="LE08_credits">Poeng!$AB$192</definedName>
    <definedName name="LE08_minstd">Poeng!$BE$192</definedName>
    <definedName name="LE08_user">Poeng!$AI$192</definedName>
    <definedName name="Lue_c_user">Poeng!$AK$197</definedName>
    <definedName name="Lue_d_user">Poeng!$AJ$197</definedName>
    <definedName name="Lue_tot_user">Poeng!$AI$197</definedName>
    <definedName name="Man_01">Poeng!$E$10</definedName>
    <definedName name="Man_02">Poeng!$E$16</definedName>
    <definedName name="Man_03">Poeng!$E$19</definedName>
    <definedName name="Man_04">Poeng!$E$26</definedName>
    <definedName name="Man_05">Poeng!$E$30</definedName>
    <definedName name="Man_06">Poeng!$E$34</definedName>
    <definedName name="Man_07">Poeng!$E$35</definedName>
    <definedName name="Man_c_user">Poeng!$AK$36</definedName>
    <definedName name="Man_cont_tot">Poeng!$AE$36</definedName>
    <definedName name="Man_Credits">Poeng!$AB$36</definedName>
    <definedName name="Man_d_user">Poeng!$AJ$36</definedName>
    <definedName name="Man_tot_user">Poeng!$AI$36</definedName>
    <definedName name="Man_Weight">'Summary of Building Performance'!$J$36</definedName>
    <definedName name="Man01_37">Poeng!$BE$10</definedName>
    <definedName name="Man01_38">Poeng!$AD$10</definedName>
    <definedName name="Man01_39">Poeng!$AE$10</definedName>
    <definedName name="Man01_credits">Poeng!$AB$10</definedName>
    <definedName name="Man01_Crit1">Poeng!$E$238</definedName>
    <definedName name="Man01_Crit1_cont">Poeng!$AE$238</definedName>
    <definedName name="Man01_Crit1_credits">Poeng!$AB$238</definedName>
    <definedName name="Man01_Exemp">Poeng!$BS$10</definedName>
    <definedName name="Man01_minstd">Poeng!$BE$238</definedName>
    <definedName name="Man01_Tot">Poeng!$BR$10</definedName>
    <definedName name="Man01_user">Poeng!$AI$10</definedName>
    <definedName name="Man02_11">Poeng!$AD$16</definedName>
    <definedName name="Man02_12">Poeng!$AE$16</definedName>
    <definedName name="Man02_credits">Poeng!$AB$16</definedName>
    <definedName name="Man02_Exempl">Poeng!$BS$16</definedName>
    <definedName name="Man02_minstd">Poeng!$BE$16</definedName>
    <definedName name="Man02_Tot">Poeng!$BR$16</definedName>
    <definedName name="Man02_user">Poeng!$AI$16</definedName>
    <definedName name="Man03_12">Poeng!$AD$19</definedName>
    <definedName name="Man03_18">Poeng!$AE$19</definedName>
    <definedName name="Man03_credits">Poeng!$AB$19</definedName>
    <definedName name="Man03_Crit1">Poeng!$E$240</definedName>
    <definedName name="Man03_Crit1_credits">Poeng!$AB$240</definedName>
    <definedName name="Man03_minstd">Poeng!$BE$19</definedName>
    <definedName name="Man03_minstd_cri">Poeng!$BE$240</definedName>
    <definedName name="Man03_Tot">Poeng!$BR$19</definedName>
    <definedName name="Man03_user">Poeng!$AI$19</definedName>
    <definedName name="Man04_17">Poeng!$AD$26</definedName>
    <definedName name="Man04_cont">Poeng!$AE$26</definedName>
    <definedName name="Man04_credits">Poeng!$AB$26</definedName>
    <definedName name="Man04_Crit1">Poeng!$E$241</definedName>
    <definedName name="Man04_Crit1_credits">Poeng!$AB$241</definedName>
    <definedName name="Man04_minstd">Poeng!$BE$26</definedName>
    <definedName name="Man04_minstd_cri">Poeng!$BE$241</definedName>
    <definedName name="Man04_tot">Poeng!$BR$26</definedName>
    <definedName name="Man04_user">Poeng!$AI$26</definedName>
    <definedName name="Man05_10">Poeng!$AD$30</definedName>
    <definedName name="Man05_cont">Poeng!$AE$30</definedName>
    <definedName name="Man05_credits">Poeng!$AB$30</definedName>
    <definedName name="Man05_Crit1">Poeng!$E$242</definedName>
    <definedName name="Man05_Crit1_credits">Poeng!$AB$242</definedName>
    <definedName name="Man05_minstd">Poeng!$BE$30</definedName>
    <definedName name="Man05_minstd_cri">Poeng!$BE$242</definedName>
    <definedName name="Man05_tot">Poeng!$BR$30</definedName>
    <definedName name="Man05_user">Poeng!$AI$30</definedName>
    <definedName name="Man06_cont">Poeng!$AE$34</definedName>
    <definedName name="Man06_credits">Poeng!$AB$34</definedName>
    <definedName name="Man06_minstd">Poeng!$BE$34</definedName>
    <definedName name="Man06_user">Poeng!$AI$34</definedName>
    <definedName name="Man07_cont">Poeng!$AE$35</definedName>
    <definedName name="Man07_credits">Poeng!$AB$35</definedName>
    <definedName name="Man07_minstd">Poeng!$BE$35</definedName>
    <definedName name="Man07_user">Poeng!$AI$35</definedName>
    <definedName name="Mat_01">Poeng!$E$126</definedName>
    <definedName name="Mat_02">Poeng!$E$130</definedName>
    <definedName name="Mat_03">Poeng!$E$134</definedName>
    <definedName name="Mat_05">Poeng!$E$138</definedName>
    <definedName name="Mat_06">Poeng!$E$144</definedName>
    <definedName name="Mat_07">Poeng!$E$148</definedName>
    <definedName name="Mat_c_user">Poeng!$AK$152</definedName>
    <definedName name="Mat_cont_tot">Poeng!$AE$152</definedName>
    <definedName name="Mat_Credits">Poeng!$AB$152</definedName>
    <definedName name="Mat_d_user">Poeng!$AJ$152</definedName>
    <definedName name="Mat_tot_user">Poeng!$AI$152</definedName>
    <definedName name="Mat_Weight">'Summary of Building Performance'!$J$41</definedName>
    <definedName name="Mat01_08">Poeng!$BS$126</definedName>
    <definedName name="Mat01_27">Poeng!$AD$126</definedName>
    <definedName name="Mat01_28">Poeng!$AE$126</definedName>
    <definedName name="Mat01_credits">Poeng!$AB$126</definedName>
    <definedName name="Mat01_Crit1">Poeng!$E$244</definedName>
    <definedName name="Mat01_Crit1_credits">Poeng!$AB$244</definedName>
    <definedName name="Mat01_minstd">Poeng!$BE$244</definedName>
    <definedName name="Mat01_minstd2">Poeng!$BE$126</definedName>
    <definedName name="Mat01_tot">Poeng!$BR$126</definedName>
    <definedName name="Mat01_user">Poeng!$AI$126</definedName>
    <definedName name="Mat02_37">Poeng!$AD$130</definedName>
    <definedName name="Mat02_cont">Poeng!$AE$130</definedName>
    <definedName name="Mat02_credits">Poeng!$AB$130</definedName>
    <definedName name="Mat02_Crit1">Poeng!$E$237</definedName>
    <definedName name="Mat02_Crit1_cont">Poeng!$AE$237</definedName>
    <definedName name="Mat02_Crit1_credits">Poeng!$AB$237</definedName>
    <definedName name="Mat02_minstd">Poeng!$BE$237</definedName>
    <definedName name="Mat02_minstd2">Poeng!$BE$130</definedName>
    <definedName name="Mat02_user">Poeng!$AI$130</definedName>
    <definedName name="Mat03_35">Poeng!$BS$134</definedName>
    <definedName name="Mat03_36">Poeng!$BE$134</definedName>
    <definedName name="Mat03_37">Poeng!$AD$134</definedName>
    <definedName name="Mat03_38">Poeng!$AE$134</definedName>
    <definedName name="Mat03_credits">Poeng!$AB$134</definedName>
    <definedName name="Mat03_Crit1">Poeng!$E$252</definedName>
    <definedName name="Mat03_Crit1_cont">Poeng!$AE$252</definedName>
    <definedName name="Mat03_Crit1_credits">Poeng!$AB$252</definedName>
    <definedName name="Mat03_minstd">Poeng!$BE$252</definedName>
    <definedName name="Mat03_tot">Poeng!$BR$134</definedName>
    <definedName name="Mat03_user">Poeng!$AI$134</definedName>
    <definedName name="Mat05_05">Poeng!$AD$138</definedName>
    <definedName name="Mat05_06">Poeng!$AE$138</definedName>
    <definedName name="Mat05_credits">Poeng!$AB$138</definedName>
    <definedName name="Mat05_minstd">Poeng!$BE$138</definedName>
    <definedName name="Mat05_tot">Poeng!$BR$138</definedName>
    <definedName name="Mat05_user">Poeng!$AI$138</definedName>
    <definedName name="Mat06_05">Poeng!$AD$144</definedName>
    <definedName name="Mat06_cont">Poeng!$AE$144</definedName>
    <definedName name="Mat06_credits">Poeng!$AB$144</definedName>
    <definedName name="Mat06_Crit1">Poeng!$E$245</definedName>
    <definedName name="Mat06_Crit1_credits">Poeng!$AB$245</definedName>
    <definedName name="Mat06_minstd">Poeng!$BE$144</definedName>
    <definedName name="Mat06_minstd_cred">Poeng!$BE$245</definedName>
    <definedName name="Mat06_user">Poeng!$AI$144</definedName>
    <definedName name="Mat07_05">Poeng!$AD$148</definedName>
    <definedName name="Mat07_cont">Poeng!$AE$148</definedName>
    <definedName name="Mat07_credits">Poeng!$AB$148</definedName>
    <definedName name="Mat07_Crit1">Poeng!$E$247</definedName>
    <definedName name="Mat07_Crit1_credits">Poeng!$AB$247</definedName>
    <definedName name="Mat07_minstd">Poeng!$BE$148</definedName>
    <definedName name="Mat07_minstd_cred">Poeng!$BE$247</definedName>
    <definedName name="Mat07_user">Poeng!$AI$148</definedName>
    <definedName name="Note_minstand">Poeng!$BE$267</definedName>
    <definedName name="Note_minstand_const">Poeng!$BK$267</definedName>
    <definedName name="Note_minstand_design">Poeng!$BH$267</definedName>
    <definedName name="Poeng_bort">Poeng!$AA$258</definedName>
    <definedName name="Poeng_tilgj">Poeng!$AB$258</definedName>
    <definedName name="Poeng_tot">Poeng!$T$258</definedName>
    <definedName name="Pol_01">Poeng!$E$200</definedName>
    <definedName name="Pol_02">Poeng!$E$204</definedName>
    <definedName name="Pol_03">Poeng!$E$207</definedName>
    <definedName name="Pol_04">Poeng!$E$208</definedName>
    <definedName name="Pol_05">Poeng!$E$211</definedName>
    <definedName name="Pol_c_user">Poeng!$AK$214</definedName>
    <definedName name="Pol_cont_tot">Poeng!$AE$214</definedName>
    <definedName name="Pol_Credits">Poeng!$AB$214</definedName>
    <definedName name="Pol_d_user">Poeng!$AJ$214</definedName>
    <definedName name="Pol_tot_user">Poeng!$AI$214</definedName>
    <definedName name="Pol_Weight">'Summary of Building Performance'!$J$44</definedName>
    <definedName name="Pol01_19">Poeng!$AD$200</definedName>
    <definedName name="Pol01_20">Poeng!$AE$200</definedName>
    <definedName name="Pol01_credits">Poeng!$AB$200</definedName>
    <definedName name="Pol01_minstd">Poeng!$BE$200</definedName>
    <definedName name="Pol01_tot">Poeng!$BR$200</definedName>
    <definedName name="Pol01_user">Poeng!$AI$200</definedName>
    <definedName name="Pol02_26">Poeng!$AD$204</definedName>
    <definedName name="Pol02_27">Poeng!$AE$204</definedName>
    <definedName name="Pol02_credits">Poeng!$AB$204</definedName>
    <definedName name="Pol02_minstd">Poeng!$BE$204</definedName>
    <definedName name="Pol02_tot">Poeng!$BR$204</definedName>
    <definedName name="Pol02_user">Poeng!$AI$204</definedName>
    <definedName name="Pol03_14">Poeng!$AD$207</definedName>
    <definedName name="Pol03_15">Poeng!$AE$207</definedName>
    <definedName name="Pol03_credits">Poeng!$AB$207</definedName>
    <definedName name="Pol03_minstd">Poeng!$BE$207</definedName>
    <definedName name="Pol03_tot">Poeng!$BR$207</definedName>
    <definedName name="Pol03_user">Poeng!$AI$207</definedName>
    <definedName name="Pol04_05">Poeng!$AD$208</definedName>
    <definedName name="Pol04_06">Poeng!$AE$208</definedName>
    <definedName name="Pol04_credits">Poeng!$AB$208</definedName>
    <definedName name="Pol04_minstd">Poeng!$BE$208</definedName>
    <definedName name="Pol04_tot">Poeng!$BR$208</definedName>
    <definedName name="Pol04_user">Poeng!$AI$208</definedName>
    <definedName name="Pol05_10">Poeng!$AD$211</definedName>
    <definedName name="Pol05_11">Poeng!$AE$211</definedName>
    <definedName name="Pol05_credits">Poeng!$AB$211</definedName>
    <definedName name="Pol05_minstd">Poeng!$BE$211</definedName>
    <definedName name="Pol05_tot">Poeng!$BR$211</definedName>
    <definedName name="Pol05_user">Poeng!$AI$211</definedName>
    <definedName name="projecttype">'Assessment Details'!$P$98</definedName>
    <definedName name="Score_const">'Summary of Building Performance'!$M$46</definedName>
    <definedName name="Score_design">'Summary of Building Performance'!$L$46</definedName>
    <definedName name="Score_Initial">'Summary of Building Performance'!$K$46</definedName>
    <definedName name="status">'Assessment Details'!$O$45:$O$48</definedName>
    <definedName name="Tra_01">Poeng!$E$100</definedName>
    <definedName name="Tra_02">Poeng!$E$103</definedName>
    <definedName name="Tra_03">Poeng!$E$106</definedName>
    <definedName name="Tra_04">Poeng!$E$107</definedName>
    <definedName name="Tra_05">Poeng!$E$108</definedName>
    <definedName name="Tra_06">Poeng!$E$109</definedName>
    <definedName name="Tra_c_user">Poeng!$AK$110</definedName>
    <definedName name="Tra_cont_tot">Poeng!$AE$110</definedName>
    <definedName name="Tra_Credits">Poeng!$AB$110</definedName>
    <definedName name="Tra_d_user">Poeng!$AJ$110</definedName>
    <definedName name="Tra_tot_user">Poeng!$AI$110</definedName>
    <definedName name="Tra_Weight">'Summary of Building Performance'!$J$39</definedName>
    <definedName name="Tra01_07">Poeng!$AD$100</definedName>
    <definedName name="TRa01_08">Poeng!$AE$100</definedName>
    <definedName name="TRA01_BuildType">'Assessment Details'!$O$24:$O$30</definedName>
    <definedName name="Tra01_credits">Poeng!$AB$100</definedName>
    <definedName name="Tra01_Crit1">Poeng!$E$243</definedName>
    <definedName name="Tra01_Crit1_credits">Poeng!$AB$243</definedName>
    <definedName name="Tra01_minstd">Poeng!$BE$243</definedName>
    <definedName name="Tra01_tot">Poeng!$BR$100</definedName>
    <definedName name="Tra01_type7">'Assessment Details'!$O$30</definedName>
    <definedName name="Tra01_user">Poeng!$AI$100</definedName>
    <definedName name="Tra02_06">Poeng!$AD$103</definedName>
    <definedName name="Tra02_07">Poeng!$AE$103</definedName>
    <definedName name="Tra02_credits">Poeng!$AB$103</definedName>
    <definedName name="Tra02_minstd">Poeng!$BE$103</definedName>
    <definedName name="Tra02_tot">Poeng!$BR$103</definedName>
    <definedName name="Tra02_user">Poeng!$AI$103</definedName>
    <definedName name="Tra03_02">'Assessment Details'!$P$64:$P$64</definedName>
    <definedName name="Tra03_13">Poeng!$AD$106</definedName>
    <definedName name="Tra03_14">Poeng!$AE$106</definedName>
    <definedName name="Tra03_credits">Poeng!$AB$106</definedName>
    <definedName name="Tra03_minstd">Poeng!$BE$106</definedName>
    <definedName name="Tra03_tot">Poeng!$BR$106</definedName>
    <definedName name="Tra03_user">Poeng!$AI$106</definedName>
    <definedName name="Tra04_09">Poeng!$AD$107</definedName>
    <definedName name="Tra04_10">Poeng!$AE$107</definedName>
    <definedName name="Tra04_credits">Poeng!$AB$107</definedName>
    <definedName name="Tra04_minstd">Poeng!$BE$107</definedName>
    <definedName name="Tra04_tot">Poeng!$BR$107</definedName>
    <definedName name="Tra04_user">Poeng!$AI$107</definedName>
    <definedName name="Tra05_04">Poeng!$AD$108</definedName>
    <definedName name="Tra05_05">Poeng!$AE$108</definedName>
    <definedName name="Tra05_credits">Poeng!$AB$108</definedName>
    <definedName name="Tra05_minstd">Poeng!$BE$108</definedName>
    <definedName name="Tra05_tot">Poeng!$BR$108</definedName>
    <definedName name="Tra05_user">Poeng!$AI$108</definedName>
    <definedName name="Tra06_04">Poeng!$AD$109</definedName>
    <definedName name="Tra06_05">Poeng!$AE$109</definedName>
    <definedName name="Tra06_credits">Poeng!$AB$109</definedName>
    <definedName name="Tra06_minstd">Poeng!$BE$109</definedName>
    <definedName name="Tra06_user">Poeng!$AI$109</definedName>
    <definedName name="TVC_current_date">'Version Control'!$C$5</definedName>
    <definedName name="TVC_current_version">'Version Control'!$B$5</definedName>
    <definedName name="_xlnm.Print_Area" localSheetId="1">'Assessment Details'!$B$2:$F$54</definedName>
    <definedName name="_xlnm.Print_Area" localSheetId="0">Instructions!$B$2:$P$19</definedName>
    <definedName name="_xlnm.Print_Area" localSheetId="7">'PAE available for copy'!$D$1:$AA$226</definedName>
    <definedName name="_xlnm.Print_Area" localSheetId="2">'Pre-Assessment Estimator'!$F$1:$AC$226</definedName>
    <definedName name="_xlnm.Print_Area" localSheetId="6">'Summary of Building Performance'!$B$2:$P$111</definedName>
    <definedName name="_xlnm.Print_Area" localSheetId="8">'Version Control'!$B$2:$P$26</definedName>
    <definedName name="_xlnm.Print_Titles" localSheetId="7">'PAE available for copy'!$9:$9</definedName>
    <definedName name="_xlnm.Print_Titles" localSheetId="2">'Pre-Assessment Estimator'!$9:$9</definedName>
    <definedName name="Wat__Credits">Poeng!$AB$123</definedName>
    <definedName name="Wat_01">Poeng!$E$113</definedName>
    <definedName name="Wat_02">Poeng!$E$115</definedName>
    <definedName name="Wat_03">Poeng!$E$117</definedName>
    <definedName name="Wat_04">Poeng!$E$121</definedName>
    <definedName name="Wat_c_user">Poeng!$AK$123</definedName>
    <definedName name="Wat_cont_tot">Poeng!$AE$123</definedName>
    <definedName name="Wat_Credits">Poeng!$AB$123</definedName>
    <definedName name="Wat_d_user">Poeng!$AJ$123</definedName>
    <definedName name="Wat_tot_user">Poeng!$AI$123</definedName>
    <definedName name="Wat_Weight">'Summary of Building Performance'!$J$40</definedName>
    <definedName name="Wat01_08">Poeng!$BS$113</definedName>
    <definedName name="Wat01_09">Poeng!$BE$113</definedName>
    <definedName name="Wat01_14">Poeng!$AD$113</definedName>
    <definedName name="Wat01_15">Poeng!$AE$113</definedName>
    <definedName name="Wat01_credits">Poeng!$AB$113</definedName>
    <definedName name="Wat01_minstd">Poeng!$BE$113</definedName>
    <definedName name="Wat01_tot">Poeng!$BR$113</definedName>
    <definedName name="Wat01_user">Poeng!$AI$113</definedName>
    <definedName name="Wat02_10">Poeng!$BS$115</definedName>
    <definedName name="Wat02_11">Poeng!$BE$115</definedName>
    <definedName name="Wat02_12">Poeng!$AD$115</definedName>
    <definedName name="Wat02_13">Poeng!$AE$115</definedName>
    <definedName name="Wat02_credits">Poeng!$AB$115</definedName>
    <definedName name="Wat02_tot">Poeng!$BR$115</definedName>
    <definedName name="Wat02_user">Poeng!$AI$115</definedName>
    <definedName name="Wat03_09">Poeng!$AD$117</definedName>
    <definedName name="Wat03_10">Poeng!$AE$117</definedName>
    <definedName name="Wat03_credits">Poeng!$AB$117</definedName>
    <definedName name="Wat03_minstd">Poeng!$BE$117</definedName>
    <definedName name="Wat03_tot">Poeng!$BR$117</definedName>
    <definedName name="Wat03_user">Poeng!$AI$117</definedName>
    <definedName name="Wat04_05">Poeng!$AD$121</definedName>
    <definedName name="Wat04_06">Poeng!$AE$121</definedName>
    <definedName name="Wat04_credits">Poeng!$AB$121</definedName>
    <definedName name="Wat04_minstd">Poeng!$BE$121</definedName>
    <definedName name="Wat04_tot">Poeng!$BR$121</definedName>
    <definedName name="Wat04_user">Poeng!$AI$121</definedName>
    <definedName name="Wst_01">Poeng!$E$155</definedName>
    <definedName name="Wst_02">Poeng!$E$159</definedName>
    <definedName name="Wst_03">Poeng!$E$160</definedName>
    <definedName name="Wst_04">Poeng!$E$164</definedName>
    <definedName name="Wst_c_user">Poeng!$AK$166</definedName>
    <definedName name="Wst_cont_tot">Poeng!$AE$166</definedName>
    <definedName name="Wst_Credits">Poeng!$AB$166</definedName>
    <definedName name="Wst_d_user">Poeng!$AJ$166</definedName>
    <definedName name="Wst_tot_user">Poeng!$AI$166</definedName>
    <definedName name="Wst_Weight">'Summary of Building Performance'!$J$42</definedName>
    <definedName name="Wst01_17">Poeng!$BS$155</definedName>
    <definedName name="Wst01_18">Poeng!$BE$155</definedName>
    <definedName name="Wst01_27">Poeng!$AD$155</definedName>
    <definedName name="Wst01_28">Poeng!$AE$155</definedName>
    <definedName name="Wst01_credits">Poeng!$AB$155</definedName>
    <definedName name="Wst01_Crit1">Poeng!$E$248</definedName>
    <definedName name="Wst01_Crit1_credits">Poeng!$AB$248</definedName>
    <definedName name="Wst01_minstd">Poeng!$BE$248</definedName>
    <definedName name="Wst01_tot">Poeng!$BR$155</definedName>
    <definedName name="Wst01_user">Poeng!$AI$155</definedName>
    <definedName name="Wst02_11">Poeng!$BS$159</definedName>
    <definedName name="Wst02_14">Poeng!$AD$159</definedName>
    <definedName name="Wst02_15">Poeng!$AE$159</definedName>
    <definedName name="Wst02_credits">Poeng!$AB$159</definedName>
    <definedName name="Wst02_minstd">Poeng!$BE$159</definedName>
    <definedName name="Wst02_tot">Poeng!$BR$159</definedName>
    <definedName name="Wst02_user">Poeng!$AI$159</definedName>
    <definedName name="Wst03_09">Poeng!$BS$160</definedName>
    <definedName name="Wst03_10">Poeng!$BE$160</definedName>
    <definedName name="Wst03_12">Poeng!$AD$160</definedName>
    <definedName name="Wst03_13">Poeng!$AE$160</definedName>
    <definedName name="Wst03_credits">Poeng!$AB$160</definedName>
    <definedName name="Wst03_tot">Poeng!$BR$160</definedName>
    <definedName name="Wst03_user">Poeng!$AI$160</definedName>
    <definedName name="Wst04_08">Poeng!$AD$164</definedName>
    <definedName name="Wst04_09">Poeng!$AE$164</definedName>
    <definedName name="Wst04_credits">Poeng!$AB$164</definedName>
    <definedName name="Wst04_minstd">Poeng!$BE$164</definedName>
    <definedName name="Wst04_tot">Poeng!$BR$164</definedName>
    <definedName name="Wst04_user">Poeng!$AI$164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21" l="1"/>
  <c r="E13" i="21"/>
  <c r="E14" i="21"/>
  <c r="E15" i="21"/>
  <c r="E16" i="21"/>
  <c r="E18" i="21"/>
  <c r="E19" i="21"/>
  <c r="E21" i="21"/>
  <c r="E22" i="21"/>
  <c r="E23" i="21"/>
  <c r="E24" i="21"/>
  <c r="E25" i="21"/>
  <c r="E26" i="21"/>
  <c r="E28" i="21"/>
  <c r="E29" i="21"/>
  <c r="E30" i="21"/>
  <c r="E32" i="21"/>
  <c r="E33" i="21"/>
  <c r="E34" i="21"/>
  <c r="E39" i="21"/>
  <c r="E40" i="21"/>
  <c r="E41" i="21"/>
  <c r="E42" i="21"/>
  <c r="E43" i="21"/>
  <c r="E44" i="21"/>
  <c r="E45" i="21"/>
  <c r="E47" i="21"/>
  <c r="E48" i="21"/>
  <c r="E49" i="21"/>
  <c r="E50" i="21"/>
  <c r="E52" i="21"/>
  <c r="E53" i="21"/>
  <c r="E54" i="21"/>
  <c r="E56" i="21"/>
  <c r="E57" i="21"/>
  <c r="E59" i="21"/>
  <c r="E60" i="21"/>
  <c r="E62" i="21"/>
  <c r="E67" i="21"/>
  <c r="E68" i="21"/>
  <c r="E69" i="21"/>
  <c r="E70" i="21"/>
  <c r="E71" i="21"/>
  <c r="E72" i="21"/>
  <c r="E74" i="21"/>
  <c r="E75" i="21"/>
  <c r="E76" i="21"/>
  <c r="E78" i="21"/>
  <c r="E79" i="21"/>
  <c r="E81" i="21"/>
  <c r="E82" i="21"/>
  <c r="E84" i="21"/>
  <c r="E85" i="21"/>
  <c r="E86" i="21"/>
  <c r="E88" i="21"/>
  <c r="E89" i="21"/>
  <c r="E91" i="21"/>
  <c r="E96" i="21"/>
  <c r="E97" i="21"/>
  <c r="E99" i="21"/>
  <c r="E100" i="21"/>
  <c r="E105" i="21"/>
  <c r="E106" i="21"/>
  <c r="E108" i="21"/>
  <c r="E110" i="21"/>
  <c r="E111" i="21"/>
  <c r="E112" i="21"/>
  <c r="E114" i="21"/>
  <c r="E119" i="21"/>
  <c r="E120" i="21"/>
  <c r="E121" i="21"/>
  <c r="E123" i="21"/>
  <c r="E124" i="21"/>
  <c r="E125" i="21"/>
  <c r="E127" i="21"/>
  <c r="E128" i="21"/>
  <c r="E129" i="21"/>
  <c r="E131" i="21"/>
  <c r="E132" i="21"/>
  <c r="E133" i="21"/>
  <c r="E134" i="21"/>
  <c r="E135" i="21"/>
  <c r="E137" i="21"/>
  <c r="E138" i="21"/>
  <c r="E139" i="21"/>
  <c r="E140" i="21"/>
  <c r="E142" i="21"/>
  <c r="E143" i="21"/>
  <c r="E144" i="21"/>
  <c r="E149" i="21"/>
  <c r="E150" i="21"/>
  <c r="E151" i="21"/>
  <c r="E152" i="21"/>
  <c r="E153" i="21"/>
  <c r="E155" i="21"/>
  <c r="E157" i="21"/>
  <c r="E159" i="21"/>
  <c r="E164" i="21"/>
  <c r="E165" i="21"/>
  <c r="E167" i="21"/>
  <c r="E168" i="21"/>
  <c r="E169" i="21"/>
  <c r="E171" i="21"/>
  <c r="E172" i="21"/>
  <c r="E173" i="21"/>
  <c r="E175" i="21"/>
  <c r="E176" i="21"/>
  <c r="E177" i="21"/>
  <c r="E179" i="21"/>
  <c r="E180" i="21"/>
  <c r="E181" i="21"/>
  <c r="E183" i="21"/>
  <c r="E185" i="21"/>
  <c r="E186" i="21"/>
  <c r="E188" i="21"/>
  <c r="E189" i="21"/>
  <c r="E190" i="21"/>
  <c r="E191" i="21"/>
  <c r="E196" i="21"/>
  <c r="E197" i="21"/>
  <c r="E198" i="21"/>
  <c r="E199" i="21"/>
  <c r="E201" i="21"/>
  <c r="E202" i="21"/>
  <c r="E204" i="21"/>
  <c r="E205" i="21"/>
  <c r="E207" i="21"/>
  <c r="E208" i="21"/>
  <c r="E212" i="21"/>
  <c r="E213" i="21"/>
  <c r="E214" i="21"/>
  <c r="E215" i="21"/>
  <c r="E216" i="21"/>
  <c r="E217" i="21"/>
  <c r="E218" i="21"/>
  <c r="E219" i="21"/>
  <c r="E220" i="21"/>
  <c r="E221" i="21"/>
  <c r="E222" i="21"/>
  <c r="E223" i="21"/>
  <c r="E224" i="21"/>
  <c r="E225" i="21"/>
  <c r="C196" i="5"/>
  <c r="C197" i="5" s="1"/>
  <c r="C201" i="5"/>
  <c r="C202" i="5"/>
  <c r="C204" i="5"/>
  <c r="C205" i="5" s="1"/>
  <c r="C207" i="5"/>
  <c r="C208" i="5" s="1"/>
  <c r="C198" i="5" l="1"/>
  <c r="C199" i="5"/>
  <c r="Q16" i="3" l="1"/>
  <c r="Q15" i="3"/>
  <c r="Q12" i="3"/>
  <c r="BT145" i="13" l="1"/>
  <c r="BS145" i="13"/>
  <c r="BR145" i="13"/>
  <c r="BQ250" i="13"/>
  <c r="I15" i="3"/>
  <c r="U119" i="13" s="1"/>
  <c r="AK281" i="13"/>
  <c r="B63" i="11" l="1"/>
  <c r="U118" i="13"/>
  <c r="AJ281" i="13" l="1"/>
  <c r="AI281" i="13"/>
  <c r="H21" i="3"/>
  <c r="AA172" i="21"/>
  <c r="Z172" i="21"/>
  <c r="V172" i="21"/>
  <c r="T172" i="21"/>
  <c r="S172" i="21"/>
  <c r="O172" i="21"/>
  <c r="M172" i="21"/>
  <c r="L172" i="21"/>
  <c r="D172" i="21"/>
  <c r="AG171" i="5"/>
  <c r="AF171" i="5"/>
  <c r="AE171" i="5"/>
  <c r="H16" i="3"/>
  <c r="BW175" i="13"/>
  <c r="S213" i="21" l="1"/>
  <c r="S39" i="21"/>
  <c r="L39" i="21"/>
  <c r="L40" i="21"/>
  <c r="AA40" i="21"/>
  <c r="Z40" i="21"/>
  <c r="V40" i="21"/>
  <c r="T40" i="21"/>
  <c r="S40" i="21"/>
  <c r="O40" i="21"/>
  <c r="M40" i="21"/>
  <c r="E131" i="13" l="1"/>
  <c r="AG40" i="5" l="1"/>
  <c r="AF40" i="5"/>
  <c r="AE40" i="5"/>
  <c r="BT235" i="13"/>
  <c r="BS235" i="13"/>
  <c r="BR235" i="13"/>
  <c r="H192" i="16" l="1"/>
  <c r="H38" i="16"/>
  <c r="I23" i="3"/>
  <c r="H22" i="16"/>
  <c r="D12" i="21" l="1"/>
  <c r="D13" i="21"/>
  <c r="D14" i="21"/>
  <c r="D15" i="21"/>
  <c r="D16" i="21"/>
  <c r="D17" i="21"/>
  <c r="D18" i="21"/>
  <c r="D19" i="21"/>
  <c r="D20" i="21"/>
  <c r="D21" i="21"/>
  <c r="D22" i="21"/>
  <c r="D23" i="21"/>
  <c r="D24" i="21"/>
  <c r="D25" i="21"/>
  <c r="D26" i="21"/>
  <c r="D27" i="21"/>
  <c r="D28" i="21"/>
  <c r="D29" i="21"/>
  <c r="D30" i="21"/>
  <c r="D31" i="21"/>
  <c r="D32" i="21"/>
  <c r="D33" i="21"/>
  <c r="D34" i="21"/>
  <c r="D38" i="21"/>
  <c r="D46" i="21"/>
  <c r="D51" i="21"/>
  <c r="D55" i="21"/>
  <c r="D58" i="21"/>
  <c r="D61" i="21"/>
  <c r="D66" i="21"/>
  <c r="D73" i="21"/>
  <c r="D77" i="21"/>
  <c r="D80" i="21"/>
  <c r="D83" i="21"/>
  <c r="D87" i="21"/>
  <c r="D90" i="21"/>
  <c r="D95" i="21"/>
  <c r="D104" i="21"/>
  <c r="D107" i="21"/>
  <c r="D109" i="21"/>
  <c r="D113" i="21"/>
  <c r="D118" i="21"/>
  <c r="D122" i="21"/>
  <c r="D126" i="21"/>
  <c r="D130" i="21"/>
  <c r="D136" i="21"/>
  <c r="D141" i="21"/>
  <c r="D148" i="21"/>
  <c r="D154" i="21"/>
  <c r="D156" i="21"/>
  <c r="D158" i="21"/>
  <c r="D163" i="21"/>
  <c r="D166" i="21"/>
  <c r="D170" i="21"/>
  <c r="D171" i="21"/>
  <c r="D173" i="21"/>
  <c r="D174" i="21"/>
  <c r="D178" i="21"/>
  <c r="D182" i="21"/>
  <c r="D184" i="21"/>
  <c r="D187" i="21"/>
  <c r="D195" i="21"/>
  <c r="D200" i="21"/>
  <c r="D203" i="21"/>
  <c r="D206" i="21"/>
  <c r="D212" i="21"/>
  <c r="D213" i="21"/>
  <c r="D214" i="21"/>
  <c r="D215" i="21"/>
  <c r="D216" i="21"/>
  <c r="D217" i="21"/>
  <c r="D218" i="21"/>
  <c r="D219" i="21"/>
  <c r="D220" i="21"/>
  <c r="D221" i="21"/>
  <c r="D222" i="21"/>
  <c r="D223" i="21"/>
  <c r="D224" i="21"/>
  <c r="D225" i="21"/>
  <c r="D11" i="21"/>
  <c r="AA71" i="21" l="1"/>
  <c r="Z71" i="21"/>
  <c r="V71" i="21"/>
  <c r="T71" i="21"/>
  <c r="S71" i="21"/>
  <c r="O71" i="21"/>
  <c r="M71" i="21"/>
  <c r="L71" i="21"/>
  <c r="L205" i="21"/>
  <c r="M205" i="21"/>
  <c r="O205" i="21"/>
  <c r="S205" i="21"/>
  <c r="T205" i="21"/>
  <c r="V205" i="21"/>
  <c r="Z205" i="21"/>
  <c r="AA205" i="21"/>
  <c r="L206" i="21"/>
  <c r="M206" i="21"/>
  <c r="O206" i="21"/>
  <c r="S206" i="21"/>
  <c r="T206" i="21"/>
  <c r="V206" i="21"/>
  <c r="Z206" i="21"/>
  <c r="AA206" i="21"/>
  <c r="L207" i="21"/>
  <c r="M207" i="21"/>
  <c r="O207" i="21"/>
  <c r="S207" i="21"/>
  <c r="T207" i="21"/>
  <c r="V207" i="21"/>
  <c r="Z207" i="21"/>
  <c r="AA207" i="21"/>
  <c r="L208" i="21"/>
  <c r="M208" i="21"/>
  <c r="O208" i="21"/>
  <c r="S208" i="21"/>
  <c r="T208" i="21"/>
  <c r="V208" i="21"/>
  <c r="Z208" i="21"/>
  <c r="AA208" i="21"/>
  <c r="L209" i="21"/>
  <c r="M209" i="21"/>
  <c r="O209" i="21"/>
  <c r="S209" i="21"/>
  <c r="T209" i="21"/>
  <c r="V209" i="21"/>
  <c r="Z209" i="21"/>
  <c r="AA209" i="21"/>
  <c r="L184" i="21"/>
  <c r="M184" i="21"/>
  <c r="O184" i="21"/>
  <c r="S184" i="21"/>
  <c r="T184" i="21"/>
  <c r="V184" i="21"/>
  <c r="Z184" i="21"/>
  <c r="AA184" i="21"/>
  <c r="L185" i="21"/>
  <c r="M185" i="21"/>
  <c r="O185" i="21"/>
  <c r="S185" i="21"/>
  <c r="T185" i="21"/>
  <c r="V185" i="21"/>
  <c r="Z185" i="21"/>
  <c r="AA185" i="21"/>
  <c r="L186" i="21"/>
  <c r="M186" i="21"/>
  <c r="O186" i="21"/>
  <c r="S186" i="21"/>
  <c r="T186" i="21"/>
  <c r="V186" i="21"/>
  <c r="Z186" i="21"/>
  <c r="AA186" i="21"/>
  <c r="L187" i="21"/>
  <c r="M187" i="21"/>
  <c r="O187" i="21"/>
  <c r="S187" i="21"/>
  <c r="T187" i="21"/>
  <c r="V187" i="21"/>
  <c r="Z187" i="21"/>
  <c r="AA187" i="21"/>
  <c r="L188" i="21"/>
  <c r="M188" i="21"/>
  <c r="O188" i="21"/>
  <c r="S188" i="21"/>
  <c r="T188" i="21"/>
  <c r="V188" i="21"/>
  <c r="Z188" i="21"/>
  <c r="AA188" i="21"/>
  <c r="L189" i="21"/>
  <c r="M189" i="21"/>
  <c r="O189" i="21"/>
  <c r="S189" i="21"/>
  <c r="T189" i="21"/>
  <c r="V189" i="21"/>
  <c r="Z189" i="21"/>
  <c r="AA189" i="21"/>
  <c r="L190" i="21"/>
  <c r="M190" i="21"/>
  <c r="O190" i="21"/>
  <c r="S190" i="21"/>
  <c r="T190" i="21"/>
  <c r="V190" i="21"/>
  <c r="Z190" i="21"/>
  <c r="AA190" i="21"/>
  <c r="L191" i="21"/>
  <c r="M191" i="21"/>
  <c r="O191" i="21"/>
  <c r="S191" i="21"/>
  <c r="T191" i="21"/>
  <c r="V191" i="21"/>
  <c r="Z191" i="21"/>
  <c r="AA191" i="21"/>
  <c r="L192" i="21"/>
  <c r="M192" i="21"/>
  <c r="O192" i="21"/>
  <c r="S192" i="21"/>
  <c r="T192" i="21"/>
  <c r="V192" i="21"/>
  <c r="Z192" i="21"/>
  <c r="AA192" i="21"/>
  <c r="L151" i="21"/>
  <c r="M151" i="21"/>
  <c r="O151" i="21"/>
  <c r="S151" i="21"/>
  <c r="T151" i="21"/>
  <c r="V151" i="21"/>
  <c r="Z151" i="21"/>
  <c r="AA151" i="21"/>
  <c r="L152" i="21"/>
  <c r="M152" i="21"/>
  <c r="O152" i="21"/>
  <c r="S152" i="21"/>
  <c r="T152" i="21"/>
  <c r="V152" i="21"/>
  <c r="Z152" i="21"/>
  <c r="AA152" i="21"/>
  <c r="L153" i="21"/>
  <c r="M153" i="21"/>
  <c r="O153" i="21"/>
  <c r="S153" i="21"/>
  <c r="T153" i="21"/>
  <c r="V153" i="21"/>
  <c r="Z153" i="21"/>
  <c r="AA153" i="21"/>
  <c r="L154" i="21"/>
  <c r="M154" i="21"/>
  <c r="O154" i="21"/>
  <c r="S154" i="21"/>
  <c r="T154" i="21"/>
  <c r="V154" i="21"/>
  <c r="Z154" i="21"/>
  <c r="AA154" i="21"/>
  <c r="L155" i="21"/>
  <c r="M155" i="21"/>
  <c r="O155" i="21"/>
  <c r="S155" i="21"/>
  <c r="T155" i="21"/>
  <c r="V155" i="21"/>
  <c r="Z155" i="21"/>
  <c r="AA155" i="21"/>
  <c r="L156" i="21"/>
  <c r="M156" i="21"/>
  <c r="O156" i="21"/>
  <c r="S156" i="21"/>
  <c r="T156" i="21"/>
  <c r="V156" i="21"/>
  <c r="Z156" i="21"/>
  <c r="AA156" i="21"/>
  <c r="L157" i="21"/>
  <c r="M157" i="21"/>
  <c r="O157" i="21"/>
  <c r="S157" i="21"/>
  <c r="T157" i="21"/>
  <c r="V157" i="21"/>
  <c r="Z157" i="21"/>
  <c r="AA157" i="21"/>
  <c r="L158" i="21"/>
  <c r="M158" i="21"/>
  <c r="O158" i="21"/>
  <c r="S158" i="21"/>
  <c r="T158" i="21"/>
  <c r="V158" i="21"/>
  <c r="Z158" i="21"/>
  <c r="AA158" i="21"/>
  <c r="L159" i="21"/>
  <c r="M159" i="21"/>
  <c r="O159" i="21"/>
  <c r="S159" i="21"/>
  <c r="T159" i="21"/>
  <c r="V159" i="21"/>
  <c r="Z159" i="21"/>
  <c r="AA159" i="21"/>
  <c r="L160" i="21"/>
  <c r="M160" i="21"/>
  <c r="O160" i="21"/>
  <c r="S160" i="21"/>
  <c r="T160" i="21"/>
  <c r="V160" i="21"/>
  <c r="Z160" i="21"/>
  <c r="AA160" i="21"/>
  <c r="L143" i="21"/>
  <c r="M143" i="21"/>
  <c r="O143" i="21"/>
  <c r="S143" i="21"/>
  <c r="T143" i="21"/>
  <c r="V143" i="21"/>
  <c r="Z143" i="21"/>
  <c r="AA143" i="21"/>
  <c r="L144" i="21"/>
  <c r="M144" i="21"/>
  <c r="O144" i="21"/>
  <c r="S144" i="21"/>
  <c r="T144" i="21"/>
  <c r="V144" i="21"/>
  <c r="Z144" i="21"/>
  <c r="AA144" i="21"/>
  <c r="L145" i="21"/>
  <c r="M145" i="21"/>
  <c r="O145" i="21"/>
  <c r="S145" i="21"/>
  <c r="T145" i="21"/>
  <c r="V145" i="21"/>
  <c r="Z145" i="21"/>
  <c r="AA145" i="21"/>
  <c r="L114" i="21"/>
  <c r="M114" i="21"/>
  <c r="O114" i="21"/>
  <c r="S114" i="21"/>
  <c r="T114" i="21"/>
  <c r="V114" i="21"/>
  <c r="Z114" i="21"/>
  <c r="AA114" i="21"/>
  <c r="L115" i="21"/>
  <c r="M115" i="21"/>
  <c r="O115" i="21"/>
  <c r="S115" i="21"/>
  <c r="T115" i="21"/>
  <c r="V115" i="21"/>
  <c r="Z115" i="21"/>
  <c r="AA115" i="21"/>
  <c r="AC117" i="21"/>
  <c r="AG117" i="21"/>
  <c r="L223" i="21"/>
  <c r="M223" i="21"/>
  <c r="O223" i="21"/>
  <c r="S223" i="21"/>
  <c r="T223" i="21"/>
  <c r="V223" i="21"/>
  <c r="Z223" i="21"/>
  <c r="AA223" i="21"/>
  <c r="L224" i="21"/>
  <c r="M224" i="21"/>
  <c r="O224" i="21"/>
  <c r="S224" i="21"/>
  <c r="T224" i="21"/>
  <c r="V224" i="21"/>
  <c r="Z224" i="21"/>
  <c r="AA224" i="21"/>
  <c r="L225" i="21"/>
  <c r="M225" i="21"/>
  <c r="O225" i="21"/>
  <c r="S225" i="21"/>
  <c r="T225" i="21"/>
  <c r="V225" i="21"/>
  <c r="Z225" i="21"/>
  <c r="AA225" i="21"/>
  <c r="L226" i="21"/>
  <c r="M226" i="21"/>
  <c r="O226" i="21"/>
  <c r="S226" i="21"/>
  <c r="T226" i="21"/>
  <c r="V226" i="21"/>
  <c r="Z226" i="21"/>
  <c r="AA226" i="21"/>
  <c r="AG137" i="5" l="1"/>
  <c r="AF137" i="5"/>
  <c r="AE137" i="5"/>
  <c r="C137" i="5"/>
  <c r="D137" i="21" s="1"/>
  <c r="C138" i="5"/>
  <c r="D138" i="21" s="1"/>
  <c r="BP158" i="13"/>
  <c r="BP156" i="13"/>
  <c r="BP114" i="13"/>
  <c r="BQ255" i="13"/>
  <c r="BQ254" i="13"/>
  <c r="BQ253" i="13"/>
  <c r="AG149" i="5"/>
  <c r="AF149" i="5"/>
  <c r="AE149" i="5"/>
  <c r="AG105" i="5"/>
  <c r="AF105" i="5"/>
  <c r="AE105" i="5"/>
  <c r="C149" i="5"/>
  <c r="D149" i="21" s="1"/>
  <c r="C150" i="5"/>
  <c r="D150" i="21" s="1"/>
  <c r="AG70" i="5"/>
  <c r="AF70" i="5"/>
  <c r="AE70" i="5"/>
  <c r="C105" i="5"/>
  <c r="D105" i="21" s="1"/>
  <c r="C106" i="5"/>
  <c r="D106" i="21" s="1"/>
  <c r="BQ251" i="13"/>
  <c r="U94" i="13" l="1"/>
  <c r="U93" i="13" s="1"/>
  <c r="AG36" i="21"/>
  <c r="AG37" i="21"/>
  <c r="AG64" i="21"/>
  <c r="AG65" i="21"/>
  <c r="AG93" i="21"/>
  <c r="AG94" i="21"/>
  <c r="AG102" i="21"/>
  <c r="AG103" i="21"/>
  <c r="AG116" i="21"/>
  <c r="AA222" i="21"/>
  <c r="Z222" i="21"/>
  <c r="V222" i="21"/>
  <c r="T222" i="21"/>
  <c r="S222" i="21"/>
  <c r="O222" i="21"/>
  <c r="M222" i="21"/>
  <c r="L222" i="21"/>
  <c r="AA221" i="21"/>
  <c r="Z221" i="21"/>
  <c r="V221" i="21"/>
  <c r="T221" i="21"/>
  <c r="S221" i="21"/>
  <c r="O221" i="21"/>
  <c r="M221" i="21"/>
  <c r="L221" i="21"/>
  <c r="AA220" i="21"/>
  <c r="Z220" i="21"/>
  <c r="V220" i="21"/>
  <c r="T220" i="21"/>
  <c r="S220" i="21"/>
  <c r="O220" i="21"/>
  <c r="M220" i="21"/>
  <c r="L220" i="21"/>
  <c r="AA219" i="21"/>
  <c r="Z219" i="21"/>
  <c r="V219" i="21"/>
  <c r="T219" i="21"/>
  <c r="S219" i="21"/>
  <c r="O219" i="21"/>
  <c r="M219" i="21"/>
  <c r="L219" i="21"/>
  <c r="AA218" i="21"/>
  <c r="Z218" i="21"/>
  <c r="V218" i="21"/>
  <c r="T218" i="21"/>
  <c r="S218" i="21"/>
  <c r="O218" i="21"/>
  <c r="M218" i="21"/>
  <c r="L218" i="21"/>
  <c r="AA217" i="21"/>
  <c r="Z217" i="21"/>
  <c r="V217" i="21"/>
  <c r="T217" i="21"/>
  <c r="S217" i="21"/>
  <c r="O217" i="21"/>
  <c r="M217" i="21"/>
  <c r="L217" i="21"/>
  <c r="AA216" i="21"/>
  <c r="Z216" i="21"/>
  <c r="V216" i="21"/>
  <c r="T216" i="21"/>
  <c r="S216" i="21"/>
  <c r="O216" i="21"/>
  <c r="M216" i="21"/>
  <c r="L216" i="21"/>
  <c r="AA215" i="21"/>
  <c r="Z215" i="21"/>
  <c r="V215" i="21"/>
  <c r="T215" i="21"/>
  <c r="S215" i="21"/>
  <c r="O215" i="21"/>
  <c r="M215" i="21"/>
  <c r="L215" i="21"/>
  <c r="AA214" i="21"/>
  <c r="Z214" i="21"/>
  <c r="V214" i="21"/>
  <c r="T214" i="21"/>
  <c r="S214" i="21"/>
  <c r="O214" i="21"/>
  <c r="M214" i="21"/>
  <c r="L214" i="21"/>
  <c r="AA213" i="21"/>
  <c r="Z213" i="21"/>
  <c r="V213" i="21"/>
  <c r="T213" i="21"/>
  <c r="O213" i="21"/>
  <c r="M213" i="21"/>
  <c r="L213" i="21"/>
  <c r="AA212" i="21"/>
  <c r="Z212" i="21"/>
  <c r="V212" i="21"/>
  <c r="T212" i="21"/>
  <c r="S212" i="21"/>
  <c r="O212" i="21"/>
  <c r="M212" i="21"/>
  <c r="L212" i="21"/>
  <c r="AA204" i="21"/>
  <c r="Z204" i="21"/>
  <c r="V204" i="21"/>
  <c r="T204" i="21"/>
  <c r="S204" i="21"/>
  <c r="O204" i="21"/>
  <c r="M204" i="21"/>
  <c r="L204" i="21"/>
  <c r="AA203" i="21"/>
  <c r="Z203" i="21"/>
  <c r="V203" i="21"/>
  <c r="T203" i="21"/>
  <c r="S203" i="21"/>
  <c r="O203" i="21"/>
  <c r="M203" i="21"/>
  <c r="L203" i="21"/>
  <c r="AA202" i="21"/>
  <c r="Z202" i="21"/>
  <c r="V202" i="21"/>
  <c r="T202" i="21"/>
  <c r="S202" i="21"/>
  <c r="O202" i="21"/>
  <c r="M202" i="21"/>
  <c r="L202" i="21"/>
  <c r="AA201" i="21"/>
  <c r="Z201" i="21"/>
  <c r="V201" i="21"/>
  <c r="T201" i="21"/>
  <c r="S201" i="21"/>
  <c r="O201" i="21"/>
  <c r="M201" i="21"/>
  <c r="L201" i="21"/>
  <c r="AA200" i="21"/>
  <c r="Z200" i="21"/>
  <c r="V200" i="21"/>
  <c r="T200" i="21"/>
  <c r="S200" i="21"/>
  <c r="O200" i="21"/>
  <c r="M200" i="21"/>
  <c r="L200" i="21"/>
  <c r="AA199" i="21"/>
  <c r="Z199" i="21"/>
  <c r="V199" i="21"/>
  <c r="T199" i="21"/>
  <c r="S199" i="21"/>
  <c r="O199" i="21"/>
  <c r="M199" i="21"/>
  <c r="L199" i="21"/>
  <c r="AA198" i="21"/>
  <c r="Z198" i="21"/>
  <c r="V198" i="21"/>
  <c r="T198" i="21"/>
  <c r="S198" i="21"/>
  <c r="O198" i="21"/>
  <c r="M198" i="21"/>
  <c r="L198" i="21"/>
  <c r="AA197" i="21"/>
  <c r="Z197" i="21"/>
  <c r="V197" i="21"/>
  <c r="T197" i="21"/>
  <c r="S197" i="21"/>
  <c r="O197" i="21"/>
  <c r="M197" i="21"/>
  <c r="L197" i="21"/>
  <c r="AA196" i="21"/>
  <c r="Z196" i="21"/>
  <c r="V196" i="21"/>
  <c r="T196" i="21"/>
  <c r="S196" i="21"/>
  <c r="O196" i="21"/>
  <c r="M196" i="21"/>
  <c r="L196" i="21"/>
  <c r="AA195" i="21"/>
  <c r="Z195" i="21"/>
  <c r="V195" i="21"/>
  <c r="T195" i="21"/>
  <c r="S195" i="21"/>
  <c r="O195" i="21"/>
  <c r="M195" i="21"/>
  <c r="L195" i="21"/>
  <c r="AA183" i="21"/>
  <c r="Z183" i="21"/>
  <c r="V183" i="21"/>
  <c r="T183" i="21"/>
  <c r="S183" i="21"/>
  <c r="O183" i="21"/>
  <c r="M183" i="21"/>
  <c r="L183" i="21"/>
  <c r="AA182" i="21"/>
  <c r="Z182" i="21"/>
  <c r="V182" i="21"/>
  <c r="T182" i="21"/>
  <c r="S182" i="21"/>
  <c r="O182" i="21"/>
  <c r="M182" i="21"/>
  <c r="L182" i="21"/>
  <c r="AA181" i="21"/>
  <c r="Z181" i="21"/>
  <c r="V181" i="21"/>
  <c r="T181" i="21"/>
  <c r="S181" i="21"/>
  <c r="O181" i="21"/>
  <c r="M181" i="21"/>
  <c r="L181" i="21"/>
  <c r="AA180" i="21"/>
  <c r="Z180" i="21"/>
  <c r="V180" i="21"/>
  <c r="T180" i="21"/>
  <c r="S180" i="21"/>
  <c r="O180" i="21"/>
  <c r="M180" i="21"/>
  <c r="L180" i="21"/>
  <c r="AA179" i="21"/>
  <c r="Z179" i="21"/>
  <c r="V179" i="21"/>
  <c r="T179" i="21"/>
  <c r="S179" i="21"/>
  <c r="O179" i="21"/>
  <c r="M179" i="21"/>
  <c r="L179" i="21"/>
  <c r="AA178" i="21"/>
  <c r="Z178" i="21"/>
  <c r="V178" i="21"/>
  <c r="T178" i="21"/>
  <c r="S178" i="21"/>
  <c r="O178" i="21"/>
  <c r="M178" i="21"/>
  <c r="L178" i="21"/>
  <c r="AA177" i="21"/>
  <c r="Z177" i="21"/>
  <c r="V177" i="21"/>
  <c r="T177" i="21"/>
  <c r="S177" i="21"/>
  <c r="O177" i="21"/>
  <c r="M177" i="21"/>
  <c r="L177" i="21"/>
  <c r="AA176" i="21"/>
  <c r="Z176" i="21"/>
  <c r="V176" i="21"/>
  <c r="T176" i="21"/>
  <c r="S176" i="21"/>
  <c r="O176" i="21"/>
  <c r="M176" i="21"/>
  <c r="L176" i="21"/>
  <c r="AA175" i="21"/>
  <c r="Z175" i="21"/>
  <c r="V175" i="21"/>
  <c r="T175" i="21"/>
  <c r="S175" i="21"/>
  <c r="O175" i="21"/>
  <c r="M175" i="21"/>
  <c r="L175" i="21"/>
  <c r="AA174" i="21"/>
  <c r="Z174" i="21"/>
  <c r="V174" i="21"/>
  <c r="T174" i="21"/>
  <c r="S174" i="21"/>
  <c r="O174" i="21"/>
  <c r="M174" i="21"/>
  <c r="L174" i="21"/>
  <c r="AA173" i="21"/>
  <c r="Z173" i="21"/>
  <c r="V173" i="21"/>
  <c r="T173" i="21"/>
  <c r="S173" i="21"/>
  <c r="O173" i="21"/>
  <c r="M173" i="21"/>
  <c r="L173" i="21"/>
  <c r="AA171" i="21"/>
  <c r="Z171" i="21"/>
  <c r="V171" i="21"/>
  <c r="T171" i="21"/>
  <c r="S171" i="21"/>
  <c r="O171" i="21"/>
  <c r="M171" i="21"/>
  <c r="L171" i="21"/>
  <c r="AA170" i="21"/>
  <c r="Z170" i="21"/>
  <c r="V170" i="21"/>
  <c r="T170" i="21"/>
  <c r="S170" i="21"/>
  <c r="O170" i="21"/>
  <c r="M170" i="21"/>
  <c r="L170" i="21"/>
  <c r="AA169" i="21"/>
  <c r="Z169" i="21"/>
  <c r="V169" i="21"/>
  <c r="T169" i="21"/>
  <c r="S169" i="21"/>
  <c r="O169" i="21"/>
  <c r="M169" i="21"/>
  <c r="L169" i="21"/>
  <c r="AA168" i="21"/>
  <c r="Z168" i="21"/>
  <c r="V168" i="21"/>
  <c r="T168" i="21"/>
  <c r="S168" i="21"/>
  <c r="O168" i="21"/>
  <c r="M168" i="21"/>
  <c r="L168" i="21"/>
  <c r="AA167" i="21"/>
  <c r="Z167" i="21"/>
  <c r="V167" i="21"/>
  <c r="T167" i="21"/>
  <c r="S167" i="21"/>
  <c r="O167" i="21"/>
  <c r="M167" i="21"/>
  <c r="L167" i="21"/>
  <c r="AA166" i="21"/>
  <c r="Z166" i="21"/>
  <c r="V166" i="21"/>
  <c r="T166" i="21"/>
  <c r="S166" i="21"/>
  <c r="O166" i="21"/>
  <c r="M166" i="21"/>
  <c r="L166" i="21"/>
  <c r="AA165" i="21"/>
  <c r="Z165" i="21"/>
  <c r="V165" i="21"/>
  <c r="T165" i="21"/>
  <c r="S165" i="21"/>
  <c r="O165" i="21"/>
  <c r="M165" i="21"/>
  <c r="L165" i="21"/>
  <c r="AA164" i="21"/>
  <c r="Z164" i="21"/>
  <c r="V164" i="21"/>
  <c r="T164" i="21"/>
  <c r="S164" i="21"/>
  <c r="O164" i="21"/>
  <c r="M164" i="21"/>
  <c r="L164" i="21"/>
  <c r="AA163" i="21"/>
  <c r="Z163" i="21"/>
  <c r="V163" i="21"/>
  <c r="T163" i="21"/>
  <c r="S163" i="21"/>
  <c r="O163" i="21"/>
  <c r="M163" i="21"/>
  <c r="L163" i="21"/>
  <c r="AA150" i="21"/>
  <c r="Z150" i="21"/>
  <c r="V150" i="21"/>
  <c r="T150" i="21"/>
  <c r="S150" i="21"/>
  <c r="O150" i="21"/>
  <c r="M150" i="21"/>
  <c r="L150" i="21"/>
  <c r="AA149" i="21"/>
  <c r="Z149" i="21"/>
  <c r="V149" i="21"/>
  <c r="T149" i="21"/>
  <c r="S149" i="21"/>
  <c r="O149" i="21"/>
  <c r="M149" i="21"/>
  <c r="L149" i="21"/>
  <c r="AA148" i="21"/>
  <c r="Z148" i="21"/>
  <c r="V148" i="21"/>
  <c r="T148" i="21"/>
  <c r="S148" i="21"/>
  <c r="O148" i="21"/>
  <c r="M148" i="21"/>
  <c r="L148" i="21"/>
  <c r="AA142" i="21"/>
  <c r="Z142" i="21"/>
  <c r="V142" i="21"/>
  <c r="T142" i="21"/>
  <c r="S142" i="21"/>
  <c r="O142" i="21"/>
  <c r="M142" i="21"/>
  <c r="L142" i="21"/>
  <c r="AA141" i="21"/>
  <c r="Z141" i="21"/>
  <c r="V141" i="21"/>
  <c r="T141" i="21"/>
  <c r="S141" i="21"/>
  <c r="O141" i="21"/>
  <c r="M141" i="21"/>
  <c r="L141" i="21"/>
  <c r="AA140" i="21"/>
  <c r="Z140" i="21"/>
  <c r="V140" i="21"/>
  <c r="T140" i="21"/>
  <c r="S140" i="21"/>
  <c r="O140" i="21"/>
  <c r="M140" i="21"/>
  <c r="L140" i="21"/>
  <c r="AA139" i="21"/>
  <c r="Z139" i="21"/>
  <c r="V139" i="21"/>
  <c r="T139" i="21"/>
  <c r="S139" i="21"/>
  <c r="O139" i="21"/>
  <c r="M139" i="21"/>
  <c r="L139" i="21"/>
  <c r="AA138" i="21"/>
  <c r="Z138" i="21"/>
  <c r="V138" i="21"/>
  <c r="T138" i="21"/>
  <c r="S138" i="21"/>
  <c r="O138" i="21"/>
  <c r="M138" i="21"/>
  <c r="L138" i="21"/>
  <c r="AA137" i="21"/>
  <c r="Z137" i="21"/>
  <c r="V137" i="21"/>
  <c r="T137" i="21"/>
  <c r="S137" i="21"/>
  <c r="O137" i="21"/>
  <c r="M137" i="21"/>
  <c r="L137" i="21"/>
  <c r="AA136" i="21"/>
  <c r="Z136" i="21"/>
  <c r="V136" i="21"/>
  <c r="T136" i="21"/>
  <c r="S136" i="21"/>
  <c r="O136" i="21"/>
  <c r="M136" i="21"/>
  <c r="L136" i="21"/>
  <c r="AA135" i="21"/>
  <c r="Z135" i="21"/>
  <c r="V135" i="21"/>
  <c r="T135" i="21"/>
  <c r="S135" i="21"/>
  <c r="O135" i="21"/>
  <c r="M135" i="21"/>
  <c r="L135" i="21"/>
  <c r="AA134" i="21"/>
  <c r="Z134" i="21"/>
  <c r="V134" i="21"/>
  <c r="T134" i="21"/>
  <c r="S134" i="21"/>
  <c r="O134" i="21"/>
  <c r="M134" i="21"/>
  <c r="L134" i="21"/>
  <c r="AA133" i="21"/>
  <c r="Z133" i="21"/>
  <c r="V133" i="21"/>
  <c r="T133" i="21"/>
  <c r="S133" i="21"/>
  <c r="O133" i="21"/>
  <c r="M133" i="21"/>
  <c r="L133" i="21"/>
  <c r="AA132" i="21"/>
  <c r="Z132" i="21"/>
  <c r="V132" i="21"/>
  <c r="T132" i="21"/>
  <c r="S132" i="21"/>
  <c r="O132" i="21"/>
  <c r="M132" i="21"/>
  <c r="L132" i="21"/>
  <c r="AA131" i="21"/>
  <c r="Z131" i="21"/>
  <c r="V131" i="21"/>
  <c r="T131" i="21"/>
  <c r="S131" i="21"/>
  <c r="O131" i="21"/>
  <c r="M131" i="21"/>
  <c r="L131" i="21"/>
  <c r="AA130" i="21"/>
  <c r="Z130" i="21"/>
  <c r="V130" i="21"/>
  <c r="T130" i="21"/>
  <c r="S130" i="21"/>
  <c r="O130" i="21"/>
  <c r="M130" i="21"/>
  <c r="L130" i="21"/>
  <c r="AA129" i="21"/>
  <c r="Z129" i="21"/>
  <c r="V129" i="21"/>
  <c r="T129" i="21"/>
  <c r="S129" i="21"/>
  <c r="O129" i="21"/>
  <c r="M129" i="21"/>
  <c r="L129" i="21"/>
  <c r="AA128" i="21"/>
  <c r="Z128" i="21"/>
  <c r="V128" i="21"/>
  <c r="T128" i="21"/>
  <c r="S128" i="21"/>
  <c r="O128" i="21"/>
  <c r="M128" i="21"/>
  <c r="L128" i="21"/>
  <c r="AA127" i="21"/>
  <c r="Z127" i="21"/>
  <c r="V127" i="21"/>
  <c r="T127" i="21"/>
  <c r="S127" i="21"/>
  <c r="O127" i="21"/>
  <c r="M127" i="21"/>
  <c r="L127" i="21"/>
  <c r="AA126" i="21"/>
  <c r="Z126" i="21"/>
  <c r="V126" i="21"/>
  <c r="T126" i="21"/>
  <c r="S126" i="21"/>
  <c r="O126" i="21"/>
  <c r="M126" i="21"/>
  <c r="L126" i="21"/>
  <c r="AA125" i="21"/>
  <c r="Z125" i="21"/>
  <c r="V125" i="21"/>
  <c r="T125" i="21"/>
  <c r="S125" i="21"/>
  <c r="O125" i="21"/>
  <c r="M125" i="21"/>
  <c r="L125" i="21"/>
  <c r="AA124" i="21"/>
  <c r="Z124" i="21"/>
  <c r="V124" i="21"/>
  <c r="T124" i="21"/>
  <c r="S124" i="21"/>
  <c r="O124" i="21"/>
  <c r="M124" i="21"/>
  <c r="L124" i="21"/>
  <c r="AA123" i="21"/>
  <c r="Z123" i="21"/>
  <c r="V123" i="21"/>
  <c r="T123" i="21"/>
  <c r="S123" i="21"/>
  <c r="O123" i="21"/>
  <c r="M123" i="21"/>
  <c r="L123" i="21"/>
  <c r="AA122" i="21"/>
  <c r="Z122" i="21"/>
  <c r="V122" i="21"/>
  <c r="T122" i="21"/>
  <c r="S122" i="21"/>
  <c r="O122" i="21"/>
  <c r="M122" i="21"/>
  <c r="L122" i="21"/>
  <c r="AA121" i="21"/>
  <c r="Z121" i="21"/>
  <c r="V121" i="21"/>
  <c r="T121" i="21"/>
  <c r="S121" i="21"/>
  <c r="O121" i="21"/>
  <c r="M121" i="21"/>
  <c r="L121" i="21"/>
  <c r="AA120" i="21"/>
  <c r="Z120" i="21"/>
  <c r="V120" i="21"/>
  <c r="T120" i="21"/>
  <c r="S120" i="21"/>
  <c r="O120" i="21"/>
  <c r="M120" i="21"/>
  <c r="L120" i="21"/>
  <c r="AA119" i="21"/>
  <c r="Z119" i="21"/>
  <c r="V119" i="21"/>
  <c r="T119" i="21"/>
  <c r="S119" i="21"/>
  <c r="O119" i="21"/>
  <c r="M119" i="21"/>
  <c r="L119" i="21"/>
  <c r="AA118" i="21"/>
  <c r="Z118" i="21"/>
  <c r="V118" i="21"/>
  <c r="T118" i="21"/>
  <c r="S118" i="21"/>
  <c r="O118" i="21"/>
  <c r="M118" i="21"/>
  <c r="L118" i="21"/>
  <c r="AA113" i="21"/>
  <c r="Z113" i="21"/>
  <c r="V113" i="21"/>
  <c r="T113" i="21"/>
  <c r="S113" i="21"/>
  <c r="O113" i="21"/>
  <c r="M113" i="21"/>
  <c r="L113" i="21"/>
  <c r="AA112" i="21"/>
  <c r="Z112" i="21"/>
  <c r="V112" i="21"/>
  <c r="T112" i="21"/>
  <c r="S112" i="21"/>
  <c r="O112" i="21"/>
  <c r="M112" i="21"/>
  <c r="L112" i="21"/>
  <c r="AA111" i="21"/>
  <c r="Z111" i="21"/>
  <c r="V111" i="21"/>
  <c r="T111" i="21"/>
  <c r="S111" i="21"/>
  <c r="O111" i="21"/>
  <c r="M111" i="21"/>
  <c r="L111" i="21"/>
  <c r="AA110" i="21"/>
  <c r="Z110" i="21"/>
  <c r="V110" i="21"/>
  <c r="T110" i="21"/>
  <c r="S110" i="21"/>
  <c r="O110" i="21"/>
  <c r="M110" i="21"/>
  <c r="L110" i="21"/>
  <c r="AA109" i="21"/>
  <c r="Z109" i="21"/>
  <c r="V109" i="21"/>
  <c r="T109" i="21"/>
  <c r="S109" i="21"/>
  <c r="O109" i="21"/>
  <c r="M109" i="21"/>
  <c r="L109" i="21"/>
  <c r="AA108" i="21"/>
  <c r="Z108" i="21"/>
  <c r="V108" i="21"/>
  <c r="T108" i="21"/>
  <c r="S108" i="21"/>
  <c r="O108" i="21"/>
  <c r="M108" i="21"/>
  <c r="L108" i="21"/>
  <c r="AA107" i="21"/>
  <c r="Z107" i="21"/>
  <c r="V107" i="21"/>
  <c r="T107" i="21"/>
  <c r="S107" i="21"/>
  <c r="O107" i="21"/>
  <c r="M107" i="21"/>
  <c r="L107" i="21"/>
  <c r="AA106" i="21"/>
  <c r="Z106" i="21"/>
  <c r="V106" i="21"/>
  <c r="T106" i="21"/>
  <c r="S106" i="21"/>
  <c r="O106" i="21"/>
  <c r="M106" i="21"/>
  <c r="L106" i="21"/>
  <c r="AA105" i="21"/>
  <c r="Z105" i="21"/>
  <c r="V105" i="21"/>
  <c r="T105" i="21"/>
  <c r="S105" i="21"/>
  <c r="O105" i="21"/>
  <c r="M105" i="21"/>
  <c r="L105" i="21"/>
  <c r="AA104" i="21"/>
  <c r="Z104" i="21"/>
  <c r="V104" i="21"/>
  <c r="T104" i="21"/>
  <c r="S104" i="21"/>
  <c r="O104" i="21"/>
  <c r="M104" i="21"/>
  <c r="L104" i="21"/>
  <c r="AA100" i="21"/>
  <c r="Z100" i="21"/>
  <c r="V100" i="21"/>
  <c r="T100" i="21"/>
  <c r="S100" i="21"/>
  <c r="O100" i="21"/>
  <c r="M100" i="21"/>
  <c r="L100" i="21"/>
  <c r="AA99" i="21"/>
  <c r="Z99" i="21"/>
  <c r="V99" i="21"/>
  <c r="T99" i="21"/>
  <c r="S99" i="21"/>
  <c r="O99" i="21"/>
  <c r="M99" i="21"/>
  <c r="L99" i="21"/>
  <c r="AA98" i="21"/>
  <c r="Z98" i="21"/>
  <c r="V98" i="21"/>
  <c r="T98" i="21"/>
  <c r="S98" i="21"/>
  <c r="O98" i="21"/>
  <c r="M98" i="21"/>
  <c r="L98" i="21"/>
  <c r="AA97" i="21"/>
  <c r="Z97" i="21"/>
  <c r="V97" i="21"/>
  <c r="T97" i="21"/>
  <c r="S97" i="21"/>
  <c r="O97" i="21"/>
  <c r="M97" i="21"/>
  <c r="L97" i="21"/>
  <c r="AA96" i="21"/>
  <c r="Z96" i="21"/>
  <c r="V96" i="21"/>
  <c r="T96" i="21"/>
  <c r="S96" i="21"/>
  <c r="O96" i="21"/>
  <c r="M96" i="21"/>
  <c r="L96" i="21"/>
  <c r="AA95" i="21"/>
  <c r="Z95" i="21"/>
  <c r="V95" i="21"/>
  <c r="T95" i="21"/>
  <c r="S95" i="21"/>
  <c r="O95" i="21"/>
  <c r="M95" i="21"/>
  <c r="L95" i="21"/>
  <c r="AA91" i="21"/>
  <c r="Z91" i="21"/>
  <c r="V91" i="21"/>
  <c r="T91" i="21"/>
  <c r="S91" i="21"/>
  <c r="O91" i="21"/>
  <c r="M91" i="21"/>
  <c r="L91" i="21"/>
  <c r="AA90" i="21"/>
  <c r="Z90" i="21"/>
  <c r="V90" i="21"/>
  <c r="T90" i="21"/>
  <c r="S90" i="21"/>
  <c r="O90" i="21"/>
  <c r="M90" i="21"/>
  <c r="L90" i="21"/>
  <c r="AA89" i="21"/>
  <c r="Z89" i="21"/>
  <c r="V89" i="21"/>
  <c r="T89" i="21"/>
  <c r="S89" i="21"/>
  <c r="O89" i="21"/>
  <c r="M89" i="21"/>
  <c r="L89" i="21"/>
  <c r="AA88" i="21"/>
  <c r="Z88" i="21"/>
  <c r="V88" i="21"/>
  <c r="T88" i="21"/>
  <c r="S88" i="21"/>
  <c r="O88" i="21"/>
  <c r="M88" i="21"/>
  <c r="L88" i="21"/>
  <c r="AA87" i="21"/>
  <c r="Z87" i="21"/>
  <c r="V87" i="21"/>
  <c r="T87" i="21"/>
  <c r="S87" i="21"/>
  <c r="O87" i="21"/>
  <c r="M87" i="21"/>
  <c r="L87" i="21"/>
  <c r="AA86" i="21"/>
  <c r="Z86" i="21"/>
  <c r="V86" i="21"/>
  <c r="T86" i="21"/>
  <c r="S86" i="21"/>
  <c r="O86" i="21"/>
  <c r="M86" i="21"/>
  <c r="L86" i="21"/>
  <c r="AA85" i="21"/>
  <c r="Z85" i="21"/>
  <c r="V85" i="21"/>
  <c r="T85" i="21"/>
  <c r="S85" i="21"/>
  <c r="O85" i="21"/>
  <c r="M85" i="21"/>
  <c r="L85" i="21"/>
  <c r="AA84" i="21"/>
  <c r="Z84" i="21"/>
  <c r="V84" i="21"/>
  <c r="T84" i="21"/>
  <c r="S84" i="21"/>
  <c r="O84" i="21"/>
  <c r="M84" i="21"/>
  <c r="L84" i="21"/>
  <c r="AA83" i="21"/>
  <c r="Z83" i="21"/>
  <c r="V83" i="21"/>
  <c r="T83" i="21"/>
  <c r="S83" i="21"/>
  <c r="O83" i="21"/>
  <c r="M83" i="21"/>
  <c r="L83" i="21"/>
  <c r="AA82" i="21"/>
  <c r="Z82" i="21"/>
  <c r="V82" i="21"/>
  <c r="T82" i="21"/>
  <c r="S82" i="21"/>
  <c r="O82" i="21"/>
  <c r="M82" i="21"/>
  <c r="L82" i="21"/>
  <c r="AA81" i="21"/>
  <c r="Z81" i="21"/>
  <c r="V81" i="21"/>
  <c r="T81" i="21"/>
  <c r="S81" i="21"/>
  <c r="O81" i="21"/>
  <c r="M81" i="21"/>
  <c r="L81" i="21"/>
  <c r="AA80" i="21"/>
  <c r="Z80" i="21"/>
  <c r="V80" i="21"/>
  <c r="T80" i="21"/>
  <c r="S80" i="21"/>
  <c r="O80" i="21"/>
  <c r="M80" i="21"/>
  <c r="L80" i="21"/>
  <c r="AA79" i="21"/>
  <c r="Z79" i="21"/>
  <c r="V79" i="21"/>
  <c r="T79" i="21"/>
  <c r="S79" i="21"/>
  <c r="O79" i="21"/>
  <c r="M79" i="21"/>
  <c r="L79" i="21"/>
  <c r="AA78" i="21"/>
  <c r="Z78" i="21"/>
  <c r="V78" i="21"/>
  <c r="T78" i="21"/>
  <c r="S78" i="21"/>
  <c r="O78" i="21"/>
  <c r="M78" i="21"/>
  <c r="L78" i="21"/>
  <c r="AA77" i="21"/>
  <c r="Z77" i="21"/>
  <c r="V77" i="21"/>
  <c r="T77" i="21"/>
  <c r="S77" i="21"/>
  <c r="O77" i="21"/>
  <c r="M77" i="21"/>
  <c r="L77" i="21"/>
  <c r="AA76" i="21"/>
  <c r="Z76" i="21"/>
  <c r="V76" i="21"/>
  <c r="T76" i="21"/>
  <c r="S76" i="21"/>
  <c r="O76" i="21"/>
  <c r="M76" i="21"/>
  <c r="L76" i="21"/>
  <c r="AA75" i="21"/>
  <c r="Z75" i="21"/>
  <c r="V75" i="21"/>
  <c r="T75" i="21"/>
  <c r="S75" i="21"/>
  <c r="O75" i="21"/>
  <c r="M75" i="21"/>
  <c r="L75" i="21"/>
  <c r="AA74" i="21"/>
  <c r="Z74" i="21"/>
  <c r="V74" i="21"/>
  <c r="T74" i="21"/>
  <c r="S74" i="21"/>
  <c r="O74" i="21"/>
  <c r="M74" i="21"/>
  <c r="L74" i="21"/>
  <c r="AA73" i="21"/>
  <c r="Z73" i="21"/>
  <c r="V73" i="21"/>
  <c r="T73" i="21"/>
  <c r="S73" i="21"/>
  <c r="O73" i="21"/>
  <c r="M73" i="21"/>
  <c r="L73" i="21"/>
  <c r="AA72" i="21"/>
  <c r="Z72" i="21"/>
  <c r="V72" i="21"/>
  <c r="T72" i="21"/>
  <c r="S72" i="21"/>
  <c r="O72" i="21"/>
  <c r="M72" i="21"/>
  <c r="L72" i="21"/>
  <c r="AA70" i="21"/>
  <c r="Z70" i="21"/>
  <c r="V70" i="21"/>
  <c r="T70" i="21"/>
  <c r="S70" i="21"/>
  <c r="O70" i="21"/>
  <c r="M70" i="21"/>
  <c r="L70" i="21"/>
  <c r="AA69" i="21"/>
  <c r="Z69" i="21"/>
  <c r="V69" i="21"/>
  <c r="T69" i="21"/>
  <c r="S69" i="21"/>
  <c r="O69" i="21"/>
  <c r="M69" i="21"/>
  <c r="L69" i="21"/>
  <c r="AA68" i="21"/>
  <c r="Z68" i="21"/>
  <c r="V68" i="21"/>
  <c r="T68" i="21"/>
  <c r="S68" i="21"/>
  <c r="O68" i="21"/>
  <c r="M68" i="21"/>
  <c r="L68" i="21"/>
  <c r="AA67" i="21"/>
  <c r="Z67" i="21"/>
  <c r="V67" i="21"/>
  <c r="T67" i="21"/>
  <c r="S67" i="21"/>
  <c r="O67" i="21"/>
  <c r="M67" i="21"/>
  <c r="L67" i="21"/>
  <c r="AA66" i="21"/>
  <c r="Z66" i="21"/>
  <c r="V66" i="21"/>
  <c r="T66" i="21"/>
  <c r="S66" i="21"/>
  <c r="O66" i="21"/>
  <c r="M66" i="21"/>
  <c r="L66" i="21"/>
  <c r="AA62" i="21"/>
  <c r="Z62" i="21"/>
  <c r="V62" i="21"/>
  <c r="T62" i="21"/>
  <c r="S62" i="21"/>
  <c r="O62" i="21"/>
  <c r="M62" i="21"/>
  <c r="L62" i="21"/>
  <c r="AA61" i="21"/>
  <c r="Z61" i="21"/>
  <c r="V61" i="21"/>
  <c r="T61" i="21"/>
  <c r="S61" i="21"/>
  <c r="O61" i="21"/>
  <c r="M61" i="21"/>
  <c r="L61" i="21"/>
  <c r="AA60" i="21"/>
  <c r="Z60" i="21"/>
  <c r="V60" i="21"/>
  <c r="T60" i="21"/>
  <c r="S60" i="21"/>
  <c r="O60" i="21"/>
  <c r="M60" i="21"/>
  <c r="L60" i="21"/>
  <c r="AA59" i="21"/>
  <c r="Z59" i="21"/>
  <c r="V59" i="21"/>
  <c r="T59" i="21"/>
  <c r="S59" i="21"/>
  <c r="O59" i="21"/>
  <c r="M59" i="21"/>
  <c r="L59" i="21"/>
  <c r="AA58" i="21"/>
  <c r="Z58" i="21"/>
  <c r="V58" i="21"/>
  <c r="T58" i="21"/>
  <c r="S58" i="21"/>
  <c r="O58" i="21"/>
  <c r="M58" i="21"/>
  <c r="L58" i="21"/>
  <c r="AA57" i="21"/>
  <c r="Z57" i="21"/>
  <c r="V57" i="21"/>
  <c r="T57" i="21"/>
  <c r="S57" i="21"/>
  <c r="O57" i="21"/>
  <c r="M57" i="21"/>
  <c r="L57" i="21"/>
  <c r="AA56" i="21"/>
  <c r="Z56" i="21"/>
  <c r="V56" i="21"/>
  <c r="T56" i="21"/>
  <c r="S56" i="21"/>
  <c r="O56" i="21"/>
  <c r="M56" i="21"/>
  <c r="L56" i="21"/>
  <c r="AA55" i="21"/>
  <c r="Z55" i="21"/>
  <c r="V55" i="21"/>
  <c r="T55" i="21"/>
  <c r="S55" i="21"/>
  <c r="O55" i="21"/>
  <c r="M55" i="21"/>
  <c r="L55" i="21"/>
  <c r="AA54" i="21"/>
  <c r="Z54" i="21"/>
  <c r="V54" i="21"/>
  <c r="T54" i="21"/>
  <c r="S54" i="21"/>
  <c r="O54" i="21"/>
  <c r="M54" i="21"/>
  <c r="L54" i="21"/>
  <c r="AA53" i="21"/>
  <c r="Z53" i="21"/>
  <c r="V53" i="21"/>
  <c r="T53" i="21"/>
  <c r="S53" i="21"/>
  <c r="O53" i="21"/>
  <c r="M53" i="21"/>
  <c r="L53" i="21"/>
  <c r="AA52" i="21"/>
  <c r="Z52" i="21"/>
  <c r="V52" i="21"/>
  <c r="T52" i="21"/>
  <c r="S52" i="21"/>
  <c r="O52" i="21"/>
  <c r="M52" i="21"/>
  <c r="L52" i="21"/>
  <c r="AA51" i="21"/>
  <c r="Z51" i="21"/>
  <c r="V51" i="21"/>
  <c r="T51" i="21"/>
  <c r="S51" i="21"/>
  <c r="O51" i="21"/>
  <c r="M51" i="21"/>
  <c r="L51" i="21"/>
  <c r="AA50" i="21"/>
  <c r="Z50" i="21"/>
  <c r="V50" i="21"/>
  <c r="T50" i="21"/>
  <c r="S50" i="21"/>
  <c r="O50" i="21"/>
  <c r="M50" i="21"/>
  <c r="L50" i="21"/>
  <c r="AA49" i="21"/>
  <c r="Z49" i="21"/>
  <c r="V49" i="21"/>
  <c r="T49" i="21"/>
  <c r="S49" i="21"/>
  <c r="O49" i="21"/>
  <c r="M49" i="21"/>
  <c r="L49" i="21"/>
  <c r="AA48" i="21"/>
  <c r="Z48" i="21"/>
  <c r="V48" i="21"/>
  <c r="T48" i="21"/>
  <c r="S48" i="21"/>
  <c r="O48" i="21"/>
  <c r="M48" i="21"/>
  <c r="L48" i="21"/>
  <c r="AA47" i="21"/>
  <c r="Z47" i="21"/>
  <c r="V47" i="21"/>
  <c r="T47" i="21"/>
  <c r="S47" i="21"/>
  <c r="O47" i="21"/>
  <c r="M47" i="21"/>
  <c r="L47" i="21"/>
  <c r="AA46" i="21"/>
  <c r="Z46" i="21"/>
  <c r="V46" i="21"/>
  <c r="T46" i="21"/>
  <c r="S46" i="21"/>
  <c r="O46" i="21"/>
  <c r="M46" i="21"/>
  <c r="L46" i="21"/>
  <c r="AA45" i="21"/>
  <c r="Z45" i="21"/>
  <c r="V45" i="21"/>
  <c r="T45" i="21"/>
  <c r="S45" i="21"/>
  <c r="O45" i="21"/>
  <c r="M45" i="21"/>
  <c r="L45" i="21"/>
  <c r="AA44" i="21"/>
  <c r="Z44" i="21"/>
  <c r="V44" i="21"/>
  <c r="T44" i="21"/>
  <c r="S44" i="21"/>
  <c r="O44" i="21"/>
  <c r="M44" i="21"/>
  <c r="L44" i="21"/>
  <c r="AA43" i="21"/>
  <c r="Z43" i="21"/>
  <c r="V43" i="21"/>
  <c r="T43" i="21"/>
  <c r="S43" i="21"/>
  <c r="O43" i="21"/>
  <c r="M43" i="21"/>
  <c r="L43" i="21"/>
  <c r="AA42" i="21"/>
  <c r="Z42" i="21"/>
  <c r="V42" i="21"/>
  <c r="T42" i="21"/>
  <c r="S42" i="21"/>
  <c r="O42" i="21"/>
  <c r="M42" i="21"/>
  <c r="L42" i="21"/>
  <c r="AA41" i="21"/>
  <c r="Z41" i="21"/>
  <c r="V41" i="21"/>
  <c r="T41" i="21"/>
  <c r="S41" i="21"/>
  <c r="O41" i="21"/>
  <c r="M41" i="21"/>
  <c r="L41" i="21"/>
  <c r="AA39" i="21"/>
  <c r="Z39" i="21"/>
  <c r="V39" i="21"/>
  <c r="T39" i="21"/>
  <c r="O39" i="21"/>
  <c r="M39" i="21"/>
  <c r="AA38" i="21"/>
  <c r="Z38" i="21"/>
  <c r="V38" i="21"/>
  <c r="T38" i="21"/>
  <c r="S38" i="21"/>
  <c r="O38" i="21"/>
  <c r="M38" i="21"/>
  <c r="L38" i="21"/>
  <c r="AA101" i="21"/>
  <c r="Z101" i="21"/>
  <c r="V101" i="21"/>
  <c r="T101" i="21"/>
  <c r="S101" i="21"/>
  <c r="O101" i="21"/>
  <c r="M101" i="21"/>
  <c r="L101" i="21"/>
  <c r="AA92" i="21"/>
  <c r="Z92" i="21"/>
  <c r="V92" i="21"/>
  <c r="T92" i="21"/>
  <c r="S92" i="21"/>
  <c r="O92" i="21"/>
  <c r="M92" i="21"/>
  <c r="L92" i="21"/>
  <c r="AA63" i="21"/>
  <c r="Z63" i="21"/>
  <c r="V63" i="21"/>
  <c r="T63" i="21"/>
  <c r="S63" i="21"/>
  <c r="O63" i="21"/>
  <c r="M63" i="21"/>
  <c r="L63" i="21"/>
  <c r="AA11" i="21"/>
  <c r="O12" i="21"/>
  <c r="S12" i="21"/>
  <c r="T12" i="21"/>
  <c r="O13" i="21"/>
  <c r="S13" i="21"/>
  <c r="T13" i="21"/>
  <c r="O14" i="21"/>
  <c r="S14" i="21"/>
  <c r="T14" i="21"/>
  <c r="O15" i="21"/>
  <c r="S15" i="21"/>
  <c r="T15" i="21"/>
  <c r="O16" i="21"/>
  <c r="S16" i="21"/>
  <c r="T16" i="21"/>
  <c r="O17" i="21"/>
  <c r="S17" i="21"/>
  <c r="T17" i="21"/>
  <c r="O18" i="21"/>
  <c r="S18" i="21"/>
  <c r="T18" i="21"/>
  <c r="O19" i="21"/>
  <c r="S19" i="21"/>
  <c r="T19" i="21"/>
  <c r="O20" i="21"/>
  <c r="S20" i="21"/>
  <c r="T20" i="21"/>
  <c r="O21" i="21"/>
  <c r="S21" i="21"/>
  <c r="T21" i="21"/>
  <c r="O22" i="21"/>
  <c r="S22" i="21"/>
  <c r="T22" i="21"/>
  <c r="O23" i="21"/>
  <c r="S23" i="21"/>
  <c r="T23" i="21"/>
  <c r="O24" i="21"/>
  <c r="S24" i="21"/>
  <c r="T24" i="21"/>
  <c r="O25" i="21"/>
  <c r="S25" i="21"/>
  <c r="T25" i="21"/>
  <c r="O26" i="21"/>
  <c r="S26" i="21"/>
  <c r="T26" i="21"/>
  <c r="O27" i="21"/>
  <c r="S27" i="21"/>
  <c r="T27" i="21"/>
  <c r="O28" i="21"/>
  <c r="S28" i="21"/>
  <c r="T28" i="21"/>
  <c r="O29" i="21"/>
  <c r="S29" i="21"/>
  <c r="T29" i="21"/>
  <c r="O30" i="21"/>
  <c r="S30" i="21"/>
  <c r="T30" i="21"/>
  <c r="O31" i="21"/>
  <c r="S31" i="21"/>
  <c r="T31" i="21"/>
  <c r="O32" i="21"/>
  <c r="S32" i="21"/>
  <c r="T32" i="21"/>
  <c r="O33" i="21"/>
  <c r="S33" i="21"/>
  <c r="T33" i="21"/>
  <c r="O34" i="21"/>
  <c r="S34" i="21"/>
  <c r="T34" i="21"/>
  <c r="O35" i="21"/>
  <c r="S35" i="21"/>
  <c r="T35" i="21"/>
  <c r="Z11" i="21"/>
  <c r="V11" i="21"/>
  <c r="T11" i="21"/>
  <c r="S11" i="21"/>
  <c r="O11" i="21"/>
  <c r="L12" i="21"/>
  <c r="M12" i="21"/>
  <c r="L13" i="21"/>
  <c r="M13" i="21"/>
  <c r="L14" i="21"/>
  <c r="M14" i="21"/>
  <c r="L15" i="21"/>
  <c r="M15" i="21"/>
  <c r="L16" i="21"/>
  <c r="M16" i="21"/>
  <c r="L17" i="21"/>
  <c r="M17" i="21"/>
  <c r="L18" i="21"/>
  <c r="M18" i="21"/>
  <c r="L19" i="21"/>
  <c r="M19" i="21"/>
  <c r="L20" i="21"/>
  <c r="M20" i="21"/>
  <c r="L21" i="21"/>
  <c r="M21" i="21"/>
  <c r="L22" i="21"/>
  <c r="M22" i="21"/>
  <c r="L23" i="21"/>
  <c r="M23" i="21"/>
  <c r="L24" i="21"/>
  <c r="M24" i="21"/>
  <c r="L25" i="21"/>
  <c r="M25" i="21"/>
  <c r="L26" i="21"/>
  <c r="M26" i="21"/>
  <c r="L27" i="21"/>
  <c r="M27" i="21"/>
  <c r="L28" i="21"/>
  <c r="M28" i="21"/>
  <c r="L29" i="21"/>
  <c r="M29" i="21"/>
  <c r="L30" i="21"/>
  <c r="M30" i="21"/>
  <c r="L31" i="21"/>
  <c r="M31" i="21"/>
  <c r="L32" i="21"/>
  <c r="M32" i="21"/>
  <c r="L33" i="21"/>
  <c r="M33" i="21"/>
  <c r="L34" i="21"/>
  <c r="M34" i="21"/>
  <c r="L35" i="21"/>
  <c r="M35" i="21"/>
  <c r="V35" i="21"/>
  <c r="V34" i="21"/>
  <c r="V33" i="21"/>
  <c r="V32" i="21"/>
  <c r="V31" i="21"/>
  <c r="V30" i="21"/>
  <c r="V29" i="21"/>
  <c r="V28" i="21"/>
  <c r="V27" i="21"/>
  <c r="V26" i="21"/>
  <c r="V25" i="21"/>
  <c r="V24" i="21"/>
  <c r="V23" i="21"/>
  <c r="V22" i="21"/>
  <c r="V21" i="21"/>
  <c r="V20" i="21"/>
  <c r="V19" i="21"/>
  <c r="V18" i="21"/>
  <c r="V17" i="21"/>
  <c r="V16" i="21"/>
  <c r="V15" i="21"/>
  <c r="V14" i="21"/>
  <c r="V13" i="21"/>
  <c r="V12" i="21"/>
  <c r="Z12" i="21"/>
  <c r="AA12" i="21"/>
  <c r="Z13" i="21"/>
  <c r="AA13" i="21"/>
  <c r="Z14" i="21"/>
  <c r="AA14" i="21"/>
  <c r="Z15" i="21"/>
  <c r="AA15" i="21"/>
  <c r="Z16" i="21"/>
  <c r="AA16" i="21"/>
  <c r="Z17" i="21"/>
  <c r="AA17" i="21"/>
  <c r="Z18" i="21"/>
  <c r="AA18" i="21"/>
  <c r="Z19" i="21"/>
  <c r="AA19" i="21"/>
  <c r="Z20" i="21"/>
  <c r="AA20" i="21"/>
  <c r="Z21" i="21"/>
  <c r="AA21" i="21"/>
  <c r="Z22" i="21"/>
  <c r="AA22" i="21"/>
  <c r="Z23" i="21"/>
  <c r="AA23" i="21"/>
  <c r="Z24" i="21"/>
  <c r="AA24" i="21"/>
  <c r="Z25" i="21"/>
  <c r="AA25" i="21"/>
  <c r="Z26" i="21"/>
  <c r="AA26" i="21"/>
  <c r="Z27" i="21"/>
  <c r="AA27" i="21"/>
  <c r="Z28" i="21"/>
  <c r="AA28" i="21"/>
  <c r="Z29" i="21"/>
  <c r="AA29" i="21"/>
  <c r="Z30" i="21"/>
  <c r="AA30" i="21"/>
  <c r="Z31" i="21"/>
  <c r="AA31" i="21"/>
  <c r="Z32" i="21"/>
  <c r="AA32" i="21"/>
  <c r="Z33" i="21"/>
  <c r="AA33" i="21"/>
  <c r="Z34" i="21"/>
  <c r="AA34" i="21"/>
  <c r="Z35" i="21"/>
  <c r="AA35" i="21"/>
  <c r="AG10" i="21"/>
  <c r="F35" i="21"/>
  <c r="Q231" i="13" l="1"/>
  <c r="Q214" i="13"/>
  <c r="Q192" i="13"/>
  <c r="Q189" i="13"/>
  <c r="Q187" i="13"/>
  <c r="Q183" i="13"/>
  <c r="Q179" i="13"/>
  <c r="Q175" i="13"/>
  <c r="Q171" i="13"/>
  <c r="Q169" i="13"/>
  <c r="Q164" i="13"/>
  <c r="Q162" i="13"/>
  <c r="Q160" i="13"/>
  <c r="Q155" i="13"/>
  <c r="Q148" i="13"/>
  <c r="Q144" i="13"/>
  <c r="Q138" i="13"/>
  <c r="Q134" i="13"/>
  <c r="Q130" i="13"/>
  <c r="Q126" i="13"/>
  <c r="Q121" i="13"/>
  <c r="Q117" i="13"/>
  <c r="Q115" i="13"/>
  <c r="Q113" i="13"/>
  <c r="Q103" i="13"/>
  <c r="Q100" i="13"/>
  <c r="Q93" i="13"/>
  <c r="Q90" i="13"/>
  <c r="Q86" i="13"/>
  <c r="Q83" i="13"/>
  <c r="Q75" i="13"/>
  <c r="Q69" i="13"/>
  <c r="Q63" i="13"/>
  <c r="Q59" i="13"/>
  <c r="Q56" i="13"/>
  <c r="Q51" i="13"/>
  <c r="Q46" i="13"/>
  <c r="Q39" i="13"/>
  <c r="Q30" i="13"/>
  <c r="Q26" i="13"/>
  <c r="Q19" i="13"/>
  <c r="Q16" i="13"/>
  <c r="Q10" i="13"/>
  <c r="L17" i="3"/>
  <c r="R9" i="13" s="1"/>
  <c r="O2" i="11"/>
  <c r="AB38" i="11"/>
  <c r="AB39" i="11"/>
  <c r="AB41" i="11"/>
  <c r="AB42" i="11"/>
  <c r="AB43" i="11"/>
  <c r="AB45" i="11"/>
  <c r="AB46" i="11"/>
  <c r="AB47" i="11"/>
  <c r="AB48" i="11"/>
  <c r="AB49" i="11"/>
  <c r="AB50" i="11"/>
  <c r="AB51" i="11"/>
  <c r="AB52" i="11"/>
  <c r="AB53" i="11"/>
  <c r="AB54" i="11"/>
  <c r="AB55" i="11"/>
  <c r="AB56" i="11"/>
  <c r="AB57" i="11"/>
  <c r="AB58" i="11"/>
  <c r="Q152" i="13" l="1"/>
  <c r="Q110" i="13"/>
  <c r="Q123" i="13"/>
  <c r="Q36" i="13"/>
  <c r="Q97" i="13"/>
  <c r="Q66" i="13"/>
  <c r="Q166" i="13"/>
  <c r="Q197" i="13"/>
  <c r="E218" i="13"/>
  <c r="BQ252" i="13"/>
  <c r="AG165" i="5"/>
  <c r="AF165" i="5"/>
  <c r="AE165" i="5"/>
  <c r="AG153" i="5"/>
  <c r="AF153" i="5"/>
  <c r="AE153" i="5"/>
  <c r="C13" i="11"/>
  <c r="B49" i="11" s="1"/>
  <c r="V7" i="5"/>
  <c r="O7" i="5"/>
  <c r="BQ32" i="13"/>
  <c r="BR32" i="13" s="1"/>
  <c r="BQ33" i="13"/>
  <c r="BT33" i="13" s="1"/>
  <c r="BQ34" i="13"/>
  <c r="BR34" i="13" s="1"/>
  <c r="BQ35" i="13"/>
  <c r="BR35" i="13" s="1"/>
  <c r="BQ39" i="13"/>
  <c r="BR39" i="13" s="1"/>
  <c r="BQ40" i="13"/>
  <c r="BT40" i="13" s="1"/>
  <c r="BQ41" i="13"/>
  <c r="BR41" i="13" s="1"/>
  <c r="BQ42" i="13"/>
  <c r="BR42" i="13" s="1"/>
  <c r="BQ43" i="13"/>
  <c r="BR43" i="13" s="1"/>
  <c r="BQ44" i="13"/>
  <c r="BS44" i="13" s="1"/>
  <c r="BQ45" i="13"/>
  <c r="BR45" i="13" s="1"/>
  <c r="BQ46" i="13"/>
  <c r="BR46" i="13" s="1"/>
  <c r="BQ47" i="13"/>
  <c r="BR47" i="13" s="1"/>
  <c r="BQ48" i="13"/>
  <c r="BT48" i="13" s="1"/>
  <c r="BQ49" i="13"/>
  <c r="BQ50" i="13"/>
  <c r="BR50" i="13" s="1"/>
  <c r="BQ51" i="13"/>
  <c r="BR51" i="13" s="1"/>
  <c r="BQ52" i="13"/>
  <c r="BR52" i="13" s="1"/>
  <c r="BQ53" i="13"/>
  <c r="BT53" i="13" s="1"/>
  <c r="BQ54" i="13"/>
  <c r="BR54" i="13" s="1"/>
  <c r="BQ55" i="13"/>
  <c r="BR55" i="13" s="1"/>
  <c r="BQ56" i="13"/>
  <c r="BR56" i="13" s="1"/>
  <c r="BQ57" i="13"/>
  <c r="BT57" i="13" s="1"/>
  <c r="BQ58" i="13"/>
  <c r="BR58" i="13" s="1"/>
  <c r="BQ59" i="13"/>
  <c r="BR59" i="13" s="1"/>
  <c r="BQ60" i="13"/>
  <c r="BR60" i="13" s="1"/>
  <c r="BQ61" i="13"/>
  <c r="BT61" i="13" s="1"/>
  <c r="BQ62" i="13"/>
  <c r="BR62" i="13" s="1"/>
  <c r="BQ63" i="13"/>
  <c r="BR63" i="13" s="1"/>
  <c r="BQ64" i="13"/>
  <c r="BR64" i="13" s="1"/>
  <c r="BQ65" i="13"/>
  <c r="BT65" i="13" s="1"/>
  <c r="BQ69" i="13"/>
  <c r="BR69" i="13" s="1"/>
  <c r="BQ70" i="13"/>
  <c r="BR70" i="13" s="1"/>
  <c r="BQ71" i="13"/>
  <c r="BR71" i="13" s="1"/>
  <c r="BQ72" i="13"/>
  <c r="BQ73" i="13"/>
  <c r="BQ74" i="13"/>
  <c r="BR74" i="13" s="1"/>
  <c r="BQ75" i="13"/>
  <c r="BR75" i="13" s="1"/>
  <c r="BQ76" i="13"/>
  <c r="BR76" i="13" s="1"/>
  <c r="BQ77" i="13"/>
  <c r="BT77" i="13" s="1"/>
  <c r="BQ78" i="13"/>
  <c r="BR78" i="13" s="1"/>
  <c r="BQ79" i="13"/>
  <c r="BR79" i="13" s="1"/>
  <c r="BQ80" i="13"/>
  <c r="BR80" i="13" s="1"/>
  <c r="BQ81" i="13"/>
  <c r="BS81" i="13" s="1"/>
  <c r="BQ82" i="13"/>
  <c r="BR82" i="13" s="1"/>
  <c r="BQ83" i="13"/>
  <c r="BR83" i="13" s="1"/>
  <c r="BQ84" i="13"/>
  <c r="BR84" i="13" s="1"/>
  <c r="BQ85" i="13"/>
  <c r="BR85" i="13" s="1"/>
  <c r="BQ86" i="13"/>
  <c r="BR86" i="13" s="1"/>
  <c r="BQ87" i="13"/>
  <c r="BR87" i="13" s="1"/>
  <c r="BQ88" i="13"/>
  <c r="BR88" i="13" s="1"/>
  <c r="BQ89" i="13"/>
  <c r="BT89" i="13" s="1"/>
  <c r="BQ90" i="13"/>
  <c r="BR90" i="13" s="1"/>
  <c r="BQ91" i="13"/>
  <c r="BR91" i="13" s="1"/>
  <c r="BQ92" i="13"/>
  <c r="BR92" i="13" s="1"/>
  <c r="BQ93" i="13"/>
  <c r="BR93" i="13" s="1"/>
  <c r="BQ94" i="13"/>
  <c r="BR94" i="13" s="1"/>
  <c r="BQ95" i="13"/>
  <c r="BR95" i="13" s="1"/>
  <c r="BQ96" i="13"/>
  <c r="BR96" i="13" s="1"/>
  <c r="BQ100" i="13"/>
  <c r="BR100" i="13" s="1"/>
  <c r="BQ101" i="13"/>
  <c r="BQ102" i="13"/>
  <c r="BQ103" i="13"/>
  <c r="BR103" i="13" s="1"/>
  <c r="BQ104" i="13"/>
  <c r="BT104" i="13" s="1"/>
  <c r="BQ105" i="13"/>
  <c r="BR105" i="13" s="1"/>
  <c r="BQ106" i="13"/>
  <c r="BR106" i="13" s="1"/>
  <c r="BQ107" i="13"/>
  <c r="BR107" i="13" s="1"/>
  <c r="BQ108" i="13"/>
  <c r="BR108" i="13" s="1"/>
  <c r="BQ109" i="13"/>
  <c r="BR109" i="13" s="1"/>
  <c r="BQ113" i="13"/>
  <c r="BR113" i="13" s="1"/>
  <c r="BQ114" i="13"/>
  <c r="BQ115" i="13"/>
  <c r="BR115" i="13" s="1"/>
  <c r="BQ116" i="13"/>
  <c r="BT116" i="13" s="1"/>
  <c r="BQ117" i="13"/>
  <c r="BR117" i="13" s="1"/>
  <c r="BQ118" i="13"/>
  <c r="BR118" i="13" s="1"/>
  <c r="BQ119" i="13"/>
  <c r="BR119" i="13" s="1"/>
  <c r="BQ120" i="13"/>
  <c r="BT120" i="13" s="1"/>
  <c r="BQ121" i="13"/>
  <c r="BR121" i="13" s="1"/>
  <c r="BQ122" i="13"/>
  <c r="BR122" i="13" s="1"/>
  <c r="BQ126" i="13"/>
  <c r="BR126" i="13" s="1"/>
  <c r="BQ127" i="13"/>
  <c r="BS127" i="13" s="1"/>
  <c r="BQ128" i="13"/>
  <c r="BQ129" i="13"/>
  <c r="BQ130" i="13"/>
  <c r="BR130" i="13" s="1"/>
  <c r="BQ131" i="13"/>
  <c r="BT131" i="13" s="1"/>
  <c r="BQ132" i="13"/>
  <c r="BR132" i="13" s="1"/>
  <c r="BQ133" i="13"/>
  <c r="BR133" i="13" s="1"/>
  <c r="BQ134" i="13"/>
  <c r="BR134" i="13" s="1"/>
  <c r="BQ135" i="13"/>
  <c r="BT135" i="13" s="1"/>
  <c r="BQ136" i="13"/>
  <c r="BR136" i="13" s="1"/>
  <c r="BQ137" i="13"/>
  <c r="BR137" i="13" s="1"/>
  <c r="BQ138" i="13"/>
  <c r="BR138" i="13" s="1"/>
  <c r="BQ139" i="13"/>
  <c r="BR139" i="13" s="1"/>
  <c r="BQ140" i="13"/>
  <c r="BR140" i="13" s="1"/>
  <c r="BQ141" i="13"/>
  <c r="BR141" i="13" s="1"/>
  <c r="BQ142" i="13"/>
  <c r="BR142" i="13" s="1"/>
  <c r="BQ143" i="13"/>
  <c r="BT143" i="13" s="1"/>
  <c r="BQ144" i="13"/>
  <c r="BR144" i="13" s="1"/>
  <c r="BQ147" i="13"/>
  <c r="BQ148" i="13"/>
  <c r="BR148" i="13" s="1"/>
  <c r="BQ150" i="13"/>
  <c r="BQ151" i="13"/>
  <c r="BQ155" i="13"/>
  <c r="BR155" i="13" s="1"/>
  <c r="BQ156" i="13"/>
  <c r="BQ157" i="13"/>
  <c r="BT157" i="13" s="1"/>
  <c r="BQ158" i="13"/>
  <c r="BQ159" i="13"/>
  <c r="BR159" i="13" s="1"/>
  <c r="BQ160" i="13"/>
  <c r="BR160" i="13" s="1"/>
  <c r="BQ161" i="13"/>
  <c r="BR161" i="13" s="1"/>
  <c r="BQ162" i="13"/>
  <c r="BR162" i="13" s="1"/>
  <c r="BQ163" i="13"/>
  <c r="BR163" i="13" s="1"/>
  <c r="BQ164" i="13"/>
  <c r="BT164" i="13" s="1"/>
  <c r="BQ165" i="13"/>
  <c r="BR165" i="13" s="1"/>
  <c r="BQ169" i="13"/>
  <c r="BR169" i="13" s="1"/>
  <c r="BQ170" i="13"/>
  <c r="BQ171" i="13"/>
  <c r="BT171" i="13" s="1"/>
  <c r="BQ172" i="13"/>
  <c r="BR172" i="13" s="1"/>
  <c r="BQ173" i="13"/>
  <c r="BQ175" i="13"/>
  <c r="BR175" i="13" s="1"/>
  <c r="BQ176" i="13"/>
  <c r="BT176" i="13" s="1"/>
  <c r="BQ177" i="13"/>
  <c r="BQ178" i="13"/>
  <c r="BQ179" i="13"/>
  <c r="BT179" i="13" s="1"/>
  <c r="BQ180" i="13"/>
  <c r="BR180" i="13" s="1"/>
  <c r="BQ181" i="13"/>
  <c r="BR181" i="13" s="1"/>
  <c r="BQ182" i="13"/>
  <c r="BR182" i="13" s="1"/>
  <c r="BQ183" i="13"/>
  <c r="BT183" i="13" s="1"/>
  <c r="BQ184" i="13"/>
  <c r="BR184" i="13" s="1"/>
  <c r="BQ185" i="13"/>
  <c r="BR185" i="13" s="1"/>
  <c r="BQ186" i="13"/>
  <c r="BR186" i="13" s="1"/>
  <c r="BQ187" i="13"/>
  <c r="BT187" i="13" s="1"/>
  <c r="BQ188" i="13"/>
  <c r="BQ189" i="13"/>
  <c r="BR189" i="13" s="1"/>
  <c r="BQ190" i="13"/>
  <c r="BR190" i="13" s="1"/>
  <c r="BQ191" i="13"/>
  <c r="BR191" i="13" s="1"/>
  <c r="BQ192" i="13"/>
  <c r="BT192" i="13" s="1"/>
  <c r="BQ193" i="13"/>
  <c r="BR193" i="13" s="1"/>
  <c r="BQ194" i="13"/>
  <c r="BR194" i="13" s="1"/>
  <c r="BQ195" i="13"/>
  <c r="BR195" i="13" s="1"/>
  <c r="BQ196" i="13"/>
  <c r="BT196" i="13" s="1"/>
  <c r="BQ200" i="13"/>
  <c r="BR200" i="13" s="1"/>
  <c r="BQ201" i="13"/>
  <c r="BR201" i="13" s="1"/>
  <c r="BQ202" i="13"/>
  <c r="BS202" i="13" s="1"/>
  <c r="BQ203" i="13"/>
  <c r="BS203" i="13" s="1"/>
  <c r="BQ204" i="13"/>
  <c r="BR204" i="13" s="1"/>
  <c r="BQ205" i="13"/>
  <c r="BR205" i="13" s="1"/>
  <c r="BQ206" i="13"/>
  <c r="BR206" i="13" s="1"/>
  <c r="BQ207" i="13"/>
  <c r="BT207" i="13" s="1"/>
  <c r="BQ208" i="13"/>
  <c r="BR208" i="13" s="1"/>
  <c r="BQ209" i="13"/>
  <c r="BR209" i="13" s="1"/>
  <c r="BQ210" i="13"/>
  <c r="BS210" i="13" s="1"/>
  <c r="BQ211" i="13"/>
  <c r="BT211" i="13" s="1"/>
  <c r="BQ212" i="13"/>
  <c r="BR212" i="13" s="1"/>
  <c r="BQ213" i="13"/>
  <c r="BR213" i="13" s="1"/>
  <c r="BQ217" i="13"/>
  <c r="BR217" i="13" s="1"/>
  <c r="BQ218" i="13"/>
  <c r="BS218" i="13" s="1"/>
  <c r="BQ219" i="13"/>
  <c r="BR219" i="13" s="1"/>
  <c r="BQ220" i="13"/>
  <c r="BR220" i="13" s="1"/>
  <c r="BQ221" i="13"/>
  <c r="BS221" i="13" s="1"/>
  <c r="BQ222" i="13"/>
  <c r="BT222" i="13" s="1"/>
  <c r="BQ223" i="13"/>
  <c r="BR223" i="13" s="1"/>
  <c r="BQ224" i="13"/>
  <c r="BR224" i="13" s="1"/>
  <c r="BQ225" i="13"/>
  <c r="BQ226" i="13"/>
  <c r="BR226" i="13" s="1"/>
  <c r="BQ227" i="13"/>
  <c r="BT227" i="13" s="1"/>
  <c r="BQ228" i="13"/>
  <c r="BR228" i="13" s="1"/>
  <c r="BQ229" i="13"/>
  <c r="BR229" i="13" s="1"/>
  <c r="BQ230" i="13"/>
  <c r="BT230" i="13" s="1"/>
  <c r="BQ234" i="13"/>
  <c r="BS234" i="13" s="1"/>
  <c r="BQ236" i="13"/>
  <c r="BR236" i="13" s="1"/>
  <c r="BQ237" i="13"/>
  <c r="BR237" i="13" s="1"/>
  <c r="BQ238" i="13"/>
  <c r="BQ239" i="13"/>
  <c r="BQ240" i="13"/>
  <c r="BR240" i="13" s="1"/>
  <c r="BQ241" i="13"/>
  <c r="BR241" i="13" s="1"/>
  <c r="BQ243" i="13"/>
  <c r="BT243" i="13" s="1"/>
  <c r="BQ244" i="13"/>
  <c r="BR244" i="13" s="1"/>
  <c r="BQ245" i="13"/>
  <c r="BR245" i="13" s="1"/>
  <c r="BQ246" i="13"/>
  <c r="BS246" i="13" s="1"/>
  <c r="BQ247" i="13"/>
  <c r="BS247" i="13" s="1"/>
  <c r="BQ248" i="13"/>
  <c r="BR248" i="13" s="1"/>
  <c r="BQ249" i="13"/>
  <c r="BR249" i="13" s="1"/>
  <c r="BQ11" i="13"/>
  <c r="BS11" i="13" s="1"/>
  <c r="BQ12" i="13"/>
  <c r="BQ13" i="13"/>
  <c r="BT13" i="13" s="1"/>
  <c r="BQ14" i="13"/>
  <c r="BS14" i="13" s="1"/>
  <c r="BQ15" i="13"/>
  <c r="BR15" i="13" s="1"/>
  <c r="BQ16" i="13"/>
  <c r="BR16" i="13" s="1"/>
  <c r="BQ17" i="13"/>
  <c r="BT17" i="13" s="1"/>
  <c r="BQ18" i="13"/>
  <c r="BS18" i="13" s="1"/>
  <c r="BQ19" i="13"/>
  <c r="BS19" i="13" s="1"/>
  <c r="BQ20" i="13"/>
  <c r="BS20" i="13" s="1"/>
  <c r="BQ21" i="13"/>
  <c r="BR21" i="13" s="1"/>
  <c r="BQ22" i="13"/>
  <c r="BQ23" i="13"/>
  <c r="BQ24" i="13"/>
  <c r="BQ25" i="13"/>
  <c r="BQ26" i="13"/>
  <c r="BT26" i="13" s="1"/>
  <c r="BQ27" i="13"/>
  <c r="BS27" i="13" s="1"/>
  <c r="BQ28" i="13"/>
  <c r="BR28" i="13" s="1"/>
  <c r="BQ29" i="13"/>
  <c r="BT29" i="13" s="1"/>
  <c r="BQ30" i="13"/>
  <c r="BT30" i="13" s="1"/>
  <c r="BQ31" i="13"/>
  <c r="BR31" i="13" s="1"/>
  <c r="BQ10" i="13"/>
  <c r="BT10" i="13" s="1"/>
  <c r="Q258" i="13" l="1"/>
  <c r="BS157" i="13"/>
  <c r="BR127" i="13"/>
  <c r="BS94" i="13"/>
  <c r="BR81" i="13"/>
  <c r="BS57" i="13"/>
  <c r="BR157" i="13"/>
  <c r="BR120" i="13"/>
  <c r="BT93" i="13"/>
  <c r="BR77" i="13"/>
  <c r="BR57" i="13"/>
  <c r="BT140" i="13"/>
  <c r="BT109" i="13"/>
  <c r="BS93" i="13"/>
  <c r="BT54" i="13"/>
  <c r="BS140" i="13"/>
  <c r="BS109" i="13"/>
  <c r="BS54" i="13"/>
  <c r="BT139" i="13"/>
  <c r="BT108" i="13"/>
  <c r="BR89" i="13"/>
  <c r="BR53" i="13"/>
  <c r="BS139" i="13"/>
  <c r="BS108" i="13"/>
  <c r="BT85" i="13"/>
  <c r="BT69" i="13"/>
  <c r="BR48" i="13"/>
  <c r="BR19" i="13"/>
  <c r="BS85" i="13"/>
  <c r="BS69" i="13"/>
  <c r="BT45" i="13"/>
  <c r="BS26" i="13"/>
  <c r="BR135" i="13"/>
  <c r="BR104" i="13"/>
  <c r="BR65" i="13"/>
  <c r="BS45" i="13"/>
  <c r="BT100" i="13"/>
  <c r="BT82" i="13"/>
  <c r="BR61" i="13"/>
  <c r="BT44" i="13"/>
  <c r="BS13" i="13"/>
  <c r="BS100" i="13"/>
  <c r="BS82" i="13"/>
  <c r="BT58" i="13"/>
  <c r="BR44" i="13"/>
  <c r="BS196" i="13"/>
  <c r="BT127" i="13"/>
  <c r="BT81" i="13"/>
  <c r="BS58" i="13"/>
  <c r="BR33" i="13"/>
  <c r="BT94" i="13"/>
  <c r="BR20" i="13"/>
  <c r="BS30" i="13"/>
  <c r="BS17" i="13"/>
  <c r="BR210" i="13"/>
  <c r="BS143" i="13"/>
  <c r="BS135" i="13"/>
  <c r="BS131" i="13"/>
  <c r="BS120" i="13"/>
  <c r="BS116" i="13"/>
  <c r="BS104" i="13"/>
  <c r="BS89" i="13"/>
  <c r="BS77" i="13"/>
  <c r="BS65" i="13"/>
  <c r="BS61" i="13"/>
  <c r="BS53" i="13"/>
  <c r="BS48" i="13"/>
  <c r="BS40" i="13"/>
  <c r="BS33" i="13"/>
  <c r="BR11" i="13"/>
  <c r="BR18" i="13"/>
  <c r="BS29" i="13"/>
  <c r="BS16" i="13"/>
  <c r="BR196" i="13"/>
  <c r="BT155" i="13"/>
  <c r="BT142" i="13"/>
  <c r="BT138" i="13"/>
  <c r="BT134" i="13"/>
  <c r="BT130" i="13"/>
  <c r="BT126" i="13"/>
  <c r="BT119" i="13"/>
  <c r="BT115" i="13"/>
  <c r="BT107" i="13"/>
  <c r="BT103" i="13"/>
  <c r="BT96" i="13"/>
  <c r="BT92" i="13"/>
  <c r="BT88" i="13"/>
  <c r="BT84" i="13"/>
  <c r="BT80" i="13"/>
  <c r="BT76" i="13"/>
  <c r="BT71" i="13"/>
  <c r="BT64" i="13"/>
  <c r="BT60" i="13"/>
  <c r="BT56" i="13"/>
  <c r="BT52" i="13"/>
  <c r="BT47" i="13"/>
  <c r="BT43" i="13"/>
  <c r="BT39" i="13"/>
  <c r="BT32" i="13"/>
  <c r="BR116" i="13"/>
  <c r="BR40" i="13"/>
  <c r="BR30" i="13"/>
  <c r="BR17" i="13"/>
  <c r="BT28" i="13"/>
  <c r="BT21" i="13"/>
  <c r="BT15" i="13"/>
  <c r="BR192" i="13"/>
  <c r="BS155" i="13"/>
  <c r="BS142" i="13"/>
  <c r="BS138" i="13"/>
  <c r="BS134" i="13"/>
  <c r="BS130" i="13"/>
  <c r="BS126" i="13"/>
  <c r="BS119" i="13"/>
  <c r="BS115" i="13"/>
  <c r="BS107" i="13"/>
  <c r="BS103" i="13"/>
  <c r="BS96" i="13"/>
  <c r="BS92" i="13"/>
  <c r="BS88" i="13"/>
  <c r="BS84" i="13"/>
  <c r="BS80" i="13"/>
  <c r="BS76" i="13"/>
  <c r="BS71" i="13"/>
  <c r="BS64" i="13"/>
  <c r="BS60" i="13"/>
  <c r="BS56" i="13"/>
  <c r="BS52" i="13"/>
  <c r="BS47" i="13"/>
  <c r="BS43" i="13"/>
  <c r="BS39" i="13"/>
  <c r="BS32" i="13"/>
  <c r="BT16" i="13"/>
  <c r="BR143" i="13"/>
  <c r="BR29" i="13"/>
  <c r="BS28" i="13"/>
  <c r="BS21" i="13"/>
  <c r="BS15" i="13"/>
  <c r="BT186" i="13"/>
  <c r="BR131" i="13"/>
  <c r="BT27" i="13"/>
  <c r="BT20" i="13"/>
  <c r="BT14" i="13"/>
  <c r="BS183" i="13"/>
  <c r="BT148" i="13"/>
  <c r="BT141" i="13"/>
  <c r="BT137" i="13"/>
  <c r="BT133" i="13"/>
  <c r="BT122" i="13"/>
  <c r="BT118" i="13"/>
  <c r="BT113" i="13"/>
  <c r="BT106" i="13"/>
  <c r="BT95" i="13"/>
  <c r="BT91" i="13"/>
  <c r="BT87" i="13"/>
  <c r="BT83" i="13"/>
  <c r="BT79" i="13"/>
  <c r="BT75" i="13"/>
  <c r="BT70" i="13"/>
  <c r="BT63" i="13"/>
  <c r="BT59" i="13"/>
  <c r="BT55" i="13"/>
  <c r="BT51" i="13"/>
  <c r="BT46" i="13"/>
  <c r="BT42" i="13"/>
  <c r="BT35" i="13"/>
  <c r="BT31" i="13"/>
  <c r="BR27" i="13"/>
  <c r="BR14" i="13"/>
  <c r="BS148" i="13"/>
  <c r="BS141" i="13"/>
  <c r="BS137" i="13"/>
  <c r="BS133" i="13"/>
  <c r="BS122" i="13"/>
  <c r="BS118" i="13"/>
  <c r="BS113" i="13"/>
  <c r="BS106" i="13"/>
  <c r="BS95" i="13"/>
  <c r="BS91" i="13"/>
  <c r="BS87" i="13"/>
  <c r="BS83" i="13"/>
  <c r="BS79" i="13"/>
  <c r="BS75" i="13"/>
  <c r="BS70" i="13"/>
  <c r="BS63" i="13"/>
  <c r="BS59" i="13"/>
  <c r="BS55" i="13"/>
  <c r="BS51" i="13"/>
  <c r="BS46" i="13"/>
  <c r="BS42" i="13"/>
  <c r="BS35" i="13"/>
  <c r="BS31" i="13"/>
  <c r="BR26" i="13"/>
  <c r="BR13" i="13"/>
  <c r="BT19" i="13"/>
  <c r="BT161" i="13"/>
  <c r="BR10" i="13"/>
  <c r="BT159" i="13"/>
  <c r="BT144" i="13"/>
  <c r="BT136" i="13"/>
  <c r="BT132" i="13"/>
  <c r="BT121" i="13"/>
  <c r="BT117" i="13"/>
  <c r="BT105" i="13"/>
  <c r="BT90" i="13"/>
  <c r="BT86" i="13"/>
  <c r="BT78" i="13"/>
  <c r="BT74" i="13"/>
  <c r="BT62" i="13"/>
  <c r="BT50" i="13"/>
  <c r="BT41" i="13"/>
  <c r="BT34" i="13"/>
  <c r="BS10" i="13"/>
  <c r="BT18" i="13"/>
  <c r="BT11" i="13"/>
  <c r="BS159" i="13"/>
  <c r="BS144" i="13"/>
  <c r="BS136" i="13"/>
  <c r="BS132" i="13"/>
  <c r="BS121" i="13"/>
  <c r="BS117" i="13"/>
  <c r="BS105" i="13"/>
  <c r="BS90" i="13"/>
  <c r="BS86" i="13"/>
  <c r="BS78" i="13"/>
  <c r="BS74" i="13"/>
  <c r="BS62" i="13"/>
  <c r="BS50" i="13"/>
  <c r="BS41" i="13"/>
  <c r="BS34" i="13"/>
  <c r="BT226" i="13"/>
  <c r="BS226" i="13"/>
  <c r="BS207" i="13"/>
  <c r="BT191" i="13"/>
  <c r="BR179" i="13"/>
  <c r="BS161" i="13"/>
  <c r="BR243" i="13"/>
  <c r="BT249" i="13"/>
  <c r="BR207" i="13"/>
  <c r="BS191" i="13"/>
  <c r="BS171" i="13"/>
  <c r="BS222" i="13"/>
  <c r="BT206" i="13"/>
  <c r="BR171" i="13"/>
  <c r="BT160" i="13"/>
  <c r="BS179" i="13"/>
  <c r="BS243" i="13"/>
  <c r="BR222" i="13"/>
  <c r="BS206" i="13"/>
  <c r="BS187" i="13"/>
  <c r="BS160" i="13"/>
  <c r="BT221" i="13"/>
  <c r="BR187" i="13"/>
  <c r="BS249" i="13"/>
  <c r="BS211" i="13"/>
  <c r="BT195" i="13"/>
  <c r="BR183" i="13"/>
  <c r="BR164" i="13"/>
  <c r="BR221" i="13"/>
  <c r="BR211" i="13"/>
  <c r="BS195" i="13"/>
  <c r="BT182" i="13"/>
  <c r="BT163" i="13"/>
  <c r="BT248" i="13"/>
  <c r="BT237" i="13"/>
  <c r="BS227" i="13"/>
  <c r="BT210" i="13"/>
  <c r="BS182" i="13"/>
  <c r="BS163" i="13"/>
  <c r="BS248" i="13"/>
  <c r="BS164" i="13"/>
  <c r="BS237" i="13"/>
  <c r="BR227" i="13"/>
  <c r="BS192" i="13"/>
  <c r="BT217" i="13"/>
  <c r="BT234" i="13"/>
  <c r="BR246" i="13"/>
  <c r="BR203" i="13"/>
  <c r="BR230" i="13"/>
  <c r="BR176" i="13"/>
  <c r="BT229" i="13"/>
  <c r="BT224" i="13"/>
  <c r="BT220" i="13"/>
  <c r="BT213" i="13"/>
  <c r="BT209" i="13"/>
  <c r="BT205" i="13"/>
  <c r="BT201" i="13"/>
  <c r="BT194" i="13"/>
  <c r="BT190" i="13"/>
  <c r="BT185" i="13"/>
  <c r="BT181" i="13"/>
  <c r="BT175" i="13"/>
  <c r="BT169" i="13"/>
  <c r="BT162" i="13"/>
  <c r="BT245" i="13"/>
  <c r="BT241" i="13"/>
  <c r="BT236" i="13"/>
  <c r="BR234" i="13"/>
  <c r="BS217" i="13"/>
  <c r="BR202" i="13"/>
  <c r="BS229" i="13"/>
  <c r="BS224" i="13"/>
  <c r="BS220" i="13"/>
  <c r="BS213" i="13"/>
  <c r="BS209" i="13"/>
  <c r="BS205" i="13"/>
  <c r="BS201" i="13"/>
  <c r="BS194" i="13"/>
  <c r="BS190" i="13"/>
  <c r="BS185" i="13"/>
  <c r="BS181" i="13"/>
  <c r="BS175" i="13"/>
  <c r="BS169" i="13"/>
  <c r="BS162" i="13"/>
  <c r="BS245" i="13"/>
  <c r="BS241" i="13"/>
  <c r="BS236" i="13"/>
  <c r="BT228" i="13"/>
  <c r="BT223" i="13"/>
  <c r="BT219" i="13"/>
  <c r="BT212" i="13"/>
  <c r="BT208" i="13"/>
  <c r="BT204" i="13"/>
  <c r="BT200" i="13"/>
  <c r="BT193" i="13"/>
  <c r="BT189" i="13"/>
  <c r="BT184" i="13"/>
  <c r="BT180" i="13"/>
  <c r="BT172" i="13"/>
  <c r="BT165" i="13"/>
  <c r="BT244" i="13"/>
  <c r="BT240" i="13"/>
  <c r="BT246" i="13"/>
  <c r="BS228" i="13"/>
  <c r="BS223" i="13"/>
  <c r="BS219" i="13"/>
  <c r="BS212" i="13"/>
  <c r="BS208" i="13"/>
  <c r="BS204" i="13"/>
  <c r="BS200" i="13"/>
  <c r="BS193" i="13"/>
  <c r="BS189" i="13"/>
  <c r="BS184" i="13"/>
  <c r="BS180" i="13"/>
  <c r="BS172" i="13"/>
  <c r="BS165" i="13"/>
  <c r="BS244" i="13"/>
  <c r="BS240" i="13"/>
  <c r="BR218" i="13"/>
  <c r="BR247" i="13"/>
  <c r="BT202" i="13"/>
  <c r="BS230" i="13"/>
  <c r="BS176" i="13"/>
  <c r="BS186" i="13"/>
  <c r="BT218" i="13"/>
  <c r="BT203" i="13"/>
  <c r="BT247" i="13"/>
  <c r="AG190" i="5" l="1"/>
  <c r="AF190" i="5"/>
  <c r="AE190" i="5"/>
  <c r="BJ195" i="13"/>
  <c r="BK195" i="13" s="1"/>
  <c r="BG195" i="13"/>
  <c r="BH195" i="13" s="1"/>
  <c r="BD195" i="13"/>
  <c r="BE195" i="13" s="1"/>
  <c r="B195" i="13"/>
  <c r="U122" i="13" l="1"/>
  <c r="U121" i="13" s="1"/>
  <c r="BJ40" i="13"/>
  <c r="BK40" i="13" s="1"/>
  <c r="BG40" i="13"/>
  <c r="BH40" i="13" s="1"/>
  <c r="BD40" i="13"/>
  <c r="BE40" i="13" s="1"/>
  <c r="AG39" i="5"/>
  <c r="AF39" i="5"/>
  <c r="AE39" i="5"/>
  <c r="C39" i="5"/>
  <c r="C41" i="5"/>
  <c r="D41" i="21" s="1"/>
  <c r="K39" i="13"/>
  <c r="D39" i="21" l="1"/>
  <c r="C40" i="5"/>
  <c r="D40" i="21" s="1"/>
  <c r="BJ178" i="13"/>
  <c r="BK178" i="13" s="1"/>
  <c r="BG178" i="13"/>
  <c r="BH178" i="13" s="1"/>
  <c r="BD178" i="13"/>
  <c r="BE178" i="13" s="1"/>
  <c r="BJ177" i="13"/>
  <c r="BK177" i="13" s="1"/>
  <c r="BG177" i="13"/>
  <c r="BH177" i="13" s="1"/>
  <c r="BD177" i="13"/>
  <c r="BE177" i="13" s="1"/>
  <c r="AI260" i="13"/>
  <c r="AI259" i="13"/>
  <c r="AG15" i="5" l="1"/>
  <c r="AF15" i="5"/>
  <c r="AE15" i="5"/>
  <c r="H158" i="16"/>
  <c r="H140" i="16"/>
  <c r="H139" i="16"/>
  <c r="H21" i="16"/>
  <c r="H20" i="16"/>
  <c r="H19" i="16"/>
  <c r="U88" i="13"/>
  <c r="U87" i="13"/>
  <c r="H86" i="16"/>
  <c r="H85" i="16"/>
  <c r="H7" i="16"/>
  <c r="U85" i="13"/>
  <c r="U84" i="13"/>
  <c r="U83" i="13" l="1"/>
  <c r="AG99" i="5"/>
  <c r="AF99" i="5"/>
  <c r="AE99" i="5"/>
  <c r="BJ88" i="13"/>
  <c r="BK88" i="13" s="1"/>
  <c r="BG88" i="13"/>
  <c r="BH88" i="13" s="1"/>
  <c r="BD88" i="13"/>
  <c r="BE88" i="13" s="1"/>
  <c r="AG85" i="5"/>
  <c r="AF85" i="5"/>
  <c r="AE85" i="5"/>
  <c r="C85" i="5"/>
  <c r="D85" i="21" s="1"/>
  <c r="B88" i="13"/>
  <c r="Z88" i="13" s="1"/>
  <c r="H75" i="13"/>
  <c r="N59" i="13"/>
  <c r="M59" i="13"/>
  <c r="H59" i="13"/>
  <c r="N56" i="13"/>
  <c r="M56" i="13"/>
  <c r="H56" i="13"/>
  <c r="AG26" i="5"/>
  <c r="AF26" i="5"/>
  <c r="AE26" i="5"/>
  <c r="AG25" i="5"/>
  <c r="AF25" i="5"/>
  <c r="AE25" i="5"/>
  <c r="B23" i="13"/>
  <c r="B24" i="13"/>
  <c r="AG198" i="5" l="1"/>
  <c r="AF198" i="5"/>
  <c r="AE198" i="5"/>
  <c r="L187" i="13"/>
  <c r="BJ143" i="13"/>
  <c r="BK143" i="13" s="1"/>
  <c r="BG143" i="13"/>
  <c r="BH143" i="13" s="1"/>
  <c r="BD143" i="13"/>
  <c r="BE143" i="13" s="1"/>
  <c r="AG135" i="5"/>
  <c r="AF135" i="5"/>
  <c r="AE135" i="5"/>
  <c r="H137" i="16"/>
  <c r="R138" i="13"/>
  <c r="P138" i="13"/>
  <c r="O138" i="13"/>
  <c r="N138" i="13"/>
  <c r="M138" i="13"/>
  <c r="L138" i="13"/>
  <c r="K138" i="13"/>
  <c r="J138" i="13"/>
  <c r="I138" i="13"/>
  <c r="H138" i="13"/>
  <c r="G138" i="13"/>
  <c r="F138" i="13"/>
  <c r="B143" i="13"/>
  <c r="H8" i="16" l="1"/>
  <c r="H9" i="16"/>
  <c r="H10" i="16"/>
  <c r="H11" i="16"/>
  <c r="H12" i="16"/>
  <c r="H13" i="16"/>
  <c r="H14" i="16"/>
  <c r="H15" i="16"/>
  <c r="H16" i="16"/>
  <c r="H17" i="16"/>
  <c r="H18" i="16"/>
  <c r="Z23" i="13"/>
  <c r="Z24" i="13"/>
  <c r="H23" i="16"/>
  <c r="H24" i="16"/>
  <c r="H25" i="16"/>
  <c r="H26" i="16"/>
  <c r="H27" i="16"/>
  <c r="H28" i="16"/>
  <c r="H29" i="16"/>
  <c r="H30" i="16"/>
  <c r="H31" i="16"/>
  <c r="H32" i="16"/>
  <c r="H33" i="16"/>
  <c r="H34" i="16"/>
  <c r="H35" i="16"/>
  <c r="H36"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9" i="16"/>
  <c r="H80" i="16"/>
  <c r="H81" i="16"/>
  <c r="H82" i="16"/>
  <c r="H83" i="16"/>
  <c r="H84"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8" i="16"/>
  <c r="Z143" i="13"/>
  <c r="H141" i="16"/>
  <c r="H142" i="16"/>
  <c r="H143" i="16"/>
  <c r="H144" i="16"/>
  <c r="H145" i="16"/>
  <c r="H146" i="16"/>
  <c r="H147" i="16"/>
  <c r="H148" i="16"/>
  <c r="H149" i="16"/>
  <c r="H150" i="16"/>
  <c r="H151" i="16"/>
  <c r="H152" i="16"/>
  <c r="H153" i="16"/>
  <c r="H154" i="16"/>
  <c r="H155" i="16"/>
  <c r="H156" i="16"/>
  <c r="H157"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3" i="16"/>
  <c r="Z195" i="13" s="1"/>
  <c r="H194" i="16"/>
  <c r="H195" i="16"/>
  <c r="H196" i="16"/>
  <c r="H197" i="16"/>
  <c r="H198" i="16"/>
  <c r="H200" i="16" s="1"/>
  <c r="H201" i="16"/>
  <c r="H202" i="16"/>
  <c r="H203" i="16" s="1"/>
  <c r="H204" i="16"/>
  <c r="H205" i="16"/>
  <c r="H206" i="16"/>
  <c r="H207" i="16" s="1"/>
  <c r="H208" i="16"/>
  <c r="H209" i="16"/>
  <c r="H210" i="16" s="1"/>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BJ213" i="13"/>
  <c r="BK213" i="13" s="1"/>
  <c r="BG213" i="13"/>
  <c r="BH213" i="13" s="1"/>
  <c r="BD213" i="13"/>
  <c r="BE213" i="13" s="1"/>
  <c r="BJ212" i="13"/>
  <c r="BK212" i="13" s="1"/>
  <c r="BG212" i="13"/>
  <c r="BH212" i="13" s="1"/>
  <c r="BD212" i="13"/>
  <c r="BE212" i="13" s="1"/>
  <c r="BJ196" i="13"/>
  <c r="BK196" i="13" s="1"/>
  <c r="BG196" i="13"/>
  <c r="BH196" i="13" s="1"/>
  <c r="BD196" i="13"/>
  <c r="BE196" i="13" s="1"/>
  <c r="BJ194" i="13"/>
  <c r="BK194" i="13" s="1"/>
  <c r="BG194" i="13"/>
  <c r="BH194" i="13" s="1"/>
  <c r="BD194" i="13"/>
  <c r="BE194" i="13" s="1"/>
  <c r="BJ193" i="13"/>
  <c r="BK193" i="13" s="1"/>
  <c r="BG193" i="13"/>
  <c r="BH193" i="13" s="1"/>
  <c r="BD193" i="13"/>
  <c r="BE193" i="13" s="1"/>
  <c r="BJ149" i="13"/>
  <c r="BK149" i="13" s="1"/>
  <c r="BG149" i="13"/>
  <c r="BH149" i="13" s="1"/>
  <c r="BD149" i="13"/>
  <c r="BE149" i="13" s="1"/>
  <c r="AG199" i="5"/>
  <c r="AF199" i="5"/>
  <c r="AE199" i="5"/>
  <c r="AG197" i="5"/>
  <c r="AF197" i="5"/>
  <c r="AE197" i="5"/>
  <c r="BD205" i="13"/>
  <c r="BE205" i="13" s="1"/>
  <c r="BG205" i="13"/>
  <c r="BH205" i="13" s="1"/>
  <c r="BJ205" i="13"/>
  <c r="BK205" i="13" s="1"/>
  <c r="BD206" i="13"/>
  <c r="BE206" i="13" s="1"/>
  <c r="BG206" i="13"/>
  <c r="BH206" i="13" s="1"/>
  <c r="BJ206" i="13"/>
  <c r="BK206" i="13" s="1"/>
  <c r="BD209" i="13"/>
  <c r="BE209" i="13" s="1"/>
  <c r="BG209" i="13"/>
  <c r="BH209" i="13" s="1"/>
  <c r="BJ209" i="13"/>
  <c r="BK209" i="13" s="1"/>
  <c r="BD210" i="13"/>
  <c r="BE210" i="13" s="1"/>
  <c r="BG210" i="13"/>
  <c r="BH210" i="13" s="1"/>
  <c r="BJ210" i="13"/>
  <c r="BK210" i="13" s="1"/>
  <c r="BD201" i="13"/>
  <c r="BE201" i="13" s="1"/>
  <c r="BG201" i="13"/>
  <c r="BH201" i="13" s="1"/>
  <c r="BJ201" i="13"/>
  <c r="BK201" i="13" s="1"/>
  <c r="BD202" i="13"/>
  <c r="BE202" i="13" s="1"/>
  <c r="BG202" i="13"/>
  <c r="BH202" i="13" s="1"/>
  <c r="BJ202" i="13"/>
  <c r="BK202" i="13" s="1"/>
  <c r="BD203" i="13"/>
  <c r="BE203" i="13" s="1"/>
  <c r="BG203" i="13"/>
  <c r="BH203" i="13" s="1"/>
  <c r="BJ203" i="13"/>
  <c r="BK203" i="13" s="1"/>
  <c r="BD172" i="13"/>
  <c r="BE172" i="13" s="1"/>
  <c r="BG172" i="13"/>
  <c r="BH172" i="13" s="1"/>
  <c r="BJ172" i="13"/>
  <c r="BK172" i="13" s="1"/>
  <c r="BD174" i="13"/>
  <c r="BE174" i="13" s="1"/>
  <c r="BG174" i="13"/>
  <c r="BH174" i="13" s="1"/>
  <c r="BJ174" i="13"/>
  <c r="BK174" i="13" s="1"/>
  <c r="BD176" i="13"/>
  <c r="BE176" i="13" s="1"/>
  <c r="BG176" i="13"/>
  <c r="BH176" i="13" s="1"/>
  <c r="BJ176" i="13"/>
  <c r="BK176" i="13" s="1"/>
  <c r="BD180" i="13"/>
  <c r="BE180" i="13" s="1"/>
  <c r="BG180" i="13"/>
  <c r="BH180" i="13" s="1"/>
  <c r="BJ180" i="13"/>
  <c r="BK180" i="13" s="1"/>
  <c r="BD182" i="13"/>
  <c r="BE182" i="13" s="1"/>
  <c r="BG182" i="13"/>
  <c r="BH182" i="13" s="1"/>
  <c r="BJ182" i="13"/>
  <c r="BK182" i="13" s="1"/>
  <c r="BD184" i="13"/>
  <c r="BE184" i="13" s="1"/>
  <c r="BG184" i="13"/>
  <c r="BH184" i="13" s="1"/>
  <c r="BJ184" i="13"/>
  <c r="BK184" i="13" s="1"/>
  <c r="BD185" i="13"/>
  <c r="BE185" i="13" s="1"/>
  <c r="BG185" i="13"/>
  <c r="BH185" i="13" s="1"/>
  <c r="BJ185" i="13"/>
  <c r="BK185" i="13" s="1"/>
  <c r="BD186" i="13"/>
  <c r="BE186" i="13" s="1"/>
  <c r="BG186" i="13"/>
  <c r="BH186" i="13" s="1"/>
  <c r="BJ186" i="13"/>
  <c r="BK186" i="13" s="1"/>
  <c r="BD190" i="13"/>
  <c r="BE190" i="13" s="1"/>
  <c r="BG190" i="13"/>
  <c r="BH190" i="13" s="1"/>
  <c r="BJ190" i="13"/>
  <c r="BK190" i="13" s="1"/>
  <c r="BD191" i="13"/>
  <c r="BE191" i="13" s="1"/>
  <c r="BG191" i="13"/>
  <c r="BH191" i="13" s="1"/>
  <c r="BJ191" i="13"/>
  <c r="BK191" i="13" s="1"/>
  <c r="BD170" i="13"/>
  <c r="BE170" i="13" s="1"/>
  <c r="BG170" i="13"/>
  <c r="BH170" i="13" s="1"/>
  <c r="BJ170" i="13"/>
  <c r="BK170" i="13" s="1"/>
  <c r="BD162" i="13"/>
  <c r="BE162" i="13" s="1"/>
  <c r="BG162" i="13"/>
  <c r="BH162" i="13" s="1"/>
  <c r="BJ162" i="13"/>
  <c r="BK162" i="13" s="1"/>
  <c r="BD131" i="13"/>
  <c r="BE131" i="13" s="1"/>
  <c r="BG131" i="13"/>
  <c r="BH131" i="13" s="1"/>
  <c r="BJ131" i="13"/>
  <c r="BK131" i="13" s="1"/>
  <c r="BD132" i="13"/>
  <c r="BE132" i="13" s="1"/>
  <c r="BG132" i="13"/>
  <c r="BH132" i="13" s="1"/>
  <c r="BJ132" i="13"/>
  <c r="BK132" i="13" s="1"/>
  <c r="BD133" i="13"/>
  <c r="BE133" i="13" s="1"/>
  <c r="BG133" i="13"/>
  <c r="BH133" i="13" s="1"/>
  <c r="BJ133" i="13"/>
  <c r="BK133" i="13" s="1"/>
  <c r="BD135" i="13"/>
  <c r="BE135" i="13" s="1"/>
  <c r="BG135" i="13"/>
  <c r="BH135" i="13" s="1"/>
  <c r="BJ135" i="13"/>
  <c r="BK135" i="13" s="1"/>
  <c r="BD136" i="13"/>
  <c r="BE136" i="13" s="1"/>
  <c r="BG136" i="13"/>
  <c r="BH136" i="13" s="1"/>
  <c r="BJ136" i="13"/>
  <c r="BK136" i="13" s="1"/>
  <c r="BD137" i="13"/>
  <c r="BE137" i="13" s="1"/>
  <c r="BG137" i="13"/>
  <c r="BH137" i="13" s="1"/>
  <c r="BJ137" i="13"/>
  <c r="BK137" i="13" s="1"/>
  <c r="BD139" i="13"/>
  <c r="BE139" i="13" s="1"/>
  <c r="BG139" i="13"/>
  <c r="BH139" i="13" s="1"/>
  <c r="BJ139" i="13"/>
  <c r="BK139" i="13" s="1"/>
  <c r="BD140" i="13"/>
  <c r="BE140" i="13" s="1"/>
  <c r="BG140" i="13"/>
  <c r="BH140" i="13" s="1"/>
  <c r="BJ140" i="13"/>
  <c r="BK140" i="13" s="1"/>
  <c r="BD141" i="13"/>
  <c r="BE141" i="13" s="1"/>
  <c r="BG141" i="13"/>
  <c r="BH141" i="13" s="1"/>
  <c r="BJ141" i="13"/>
  <c r="BK141" i="13" s="1"/>
  <c r="BD146" i="13"/>
  <c r="BE146" i="13" s="1"/>
  <c r="BG146" i="13"/>
  <c r="BH146" i="13" s="1"/>
  <c r="BJ146" i="13"/>
  <c r="BK146" i="13" s="1"/>
  <c r="BD147" i="13"/>
  <c r="BE147" i="13" s="1"/>
  <c r="BG147" i="13"/>
  <c r="BH147" i="13" s="1"/>
  <c r="BJ147" i="13"/>
  <c r="BK147" i="13" s="1"/>
  <c r="BD127" i="13"/>
  <c r="BE127" i="13" s="1"/>
  <c r="BG127" i="13"/>
  <c r="BH127" i="13" s="1"/>
  <c r="BJ127" i="13"/>
  <c r="BK127" i="13" s="1"/>
  <c r="BD129" i="13"/>
  <c r="BE129" i="13" s="1"/>
  <c r="BG129" i="13"/>
  <c r="BH129" i="13" s="1"/>
  <c r="BJ129" i="13"/>
  <c r="BK129" i="13" s="1"/>
  <c r="BD116" i="13"/>
  <c r="BE116" i="13" s="1"/>
  <c r="BG116" i="13"/>
  <c r="BH116" i="13" s="1"/>
  <c r="BJ116" i="13"/>
  <c r="BK116" i="13" s="1"/>
  <c r="BD118" i="13"/>
  <c r="BE118" i="13" s="1"/>
  <c r="BG118" i="13"/>
  <c r="BH118" i="13" s="1"/>
  <c r="BJ118" i="13"/>
  <c r="BK118" i="13" s="1"/>
  <c r="BD119" i="13"/>
  <c r="BE119" i="13" s="1"/>
  <c r="BG119" i="13"/>
  <c r="BH119" i="13" s="1"/>
  <c r="BJ119" i="13"/>
  <c r="BK119" i="13" s="1"/>
  <c r="BD120" i="13"/>
  <c r="BE120" i="13" s="1"/>
  <c r="BG120" i="13"/>
  <c r="BH120" i="13" s="1"/>
  <c r="BJ120" i="13"/>
  <c r="BK120" i="13" s="1"/>
  <c r="BD101" i="13"/>
  <c r="BE101" i="13" s="1"/>
  <c r="BG101" i="13"/>
  <c r="BH101" i="13" s="1"/>
  <c r="BJ101" i="13"/>
  <c r="BK101" i="13" s="1"/>
  <c r="BD104" i="13"/>
  <c r="BE104" i="13" s="1"/>
  <c r="BG104" i="13"/>
  <c r="BH104" i="13" s="1"/>
  <c r="BJ104" i="13"/>
  <c r="BK104" i="13" s="1"/>
  <c r="BD105" i="13"/>
  <c r="BE105" i="13" s="1"/>
  <c r="BG105" i="13"/>
  <c r="BH105" i="13" s="1"/>
  <c r="BJ105" i="13"/>
  <c r="BK105" i="13" s="1"/>
  <c r="BD76" i="13"/>
  <c r="BE76" i="13" s="1"/>
  <c r="BG76" i="13"/>
  <c r="BH76" i="13" s="1"/>
  <c r="BJ76" i="13"/>
  <c r="BK76" i="13" s="1"/>
  <c r="BD77" i="13"/>
  <c r="BE77" i="13" s="1"/>
  <c r="BG77" i="13"/>
  <c r="BH77" i="13" s="1"/>
  <c r="BJ77" i="13"/>
  <c r="BK77" i="13" s="1"/>
  <c r="BD78" i="13"/>
  <c r="BE78" i="13" s="1"/>
  <c r="BG78" i="13"/>
  <c r="BH78" i="13" s="1"/>
  <c r="BJ78" i="13"/>
  <c r="BK78" i="13" s="1"/>
  <c r="BD80" i="13"/>
  <c r="BE80" i="13" s="1"/>
  <c r="BG80" i="13"/>
  <c r="BH80" i="13" s="1"/>
  <c r="BJ80" i="13"/>
  <c r="BK80" i="13" s="1"/>
  <c r="BD81" i="13"/>
  <c r="BE81" i="13" s="1"/>
  <c r="BG81" i="13"/>
  <c r="BH81" i="13" s="1"/>
  <c r="BJ81" i="13"/>
  <c r="BK81" i="13" s="1"/>
  <c r="BD84" i="13"/>
  <c r="BE84" i="13" s="1"/>
  <c r="BG84" i="13"/>
  <c r="BH84" i="13" s="1"/>
  <c r="BJ84" i="13"/>
  <c r="BK84" i="13" s="1"/>
  <c r="BD85" i="13"/>
  <c r="BE85" i="13" s="1"/>
  <c r="BG85" i="13"/>
  <c r="BH85" i="13" s="1"/>
  <c r="BJ85" i="13"/>
  <c r="BK85" i="13" s="1"/>
  <c r="BD87" i="13"/>
  <c r="BE87" i="13" s="1"/>
  <c r="BG87" i="13"/>
  <c r="BH87" i="13" s="1"/>
  <c r="BJ87" i="13"/>
  <c r="BK87" i="13" s="1"/>
  <c r="BD89" i="13"/>
  <c r="BE89" i="13" s="1"/>
  <c r="BG89" i="13"/>
  <c r="BH89" i="13" s="1"/>
  <c r="BJ89" i="13"/>
  <c r="BK89" i="13" s="1"/>
  <c r="BD92" i="13"/>
  <c r="BE92" i="13" s="1"/>
  <c r="BG92" i="13"/>
  <c r="BH92" i="13" s="1"/>
  <c r="BJ92" i="13"/>
  <c r="BK92" i="13" s="1"/>
  <c r="BD94" i="13"/>
  <c r="BE94" i="13" s="1"/>
  <c r="BG94" i="13"/>
  <c r="BH94" i="13" s="1"/>
  <c r="BJ94" i="13"/>
  <c r="BK94" i="13" s="1"/>
  <c r="BD70" i="13"/>
  <c r="BE70" i="13" s="1"/>
  <c r="BG70" i="13"/>
  <c r="BH70" i="13" s="1"/>
  <c r="BJ70" i="13"/>
  <c r="BK70" i="13" s="1"/>
  <c r="BD71" i="13"/>
  <c r="BE71" i="13" s="1"/>
  <c r="BG71" i="13"/>
  <c r="BH71" i="13" s="1"/>
  <c r="BJ71" i="13"/>
  <c r="BK71" i="13" s="1"/>
  <c r="BD74" i="13"/>
  <c r="BE74" i="13" s="1"/>
  <c r="BG74" i="13"/>
  <c r="BH74" i="13" s="1"/>
  <c r="BJ74" i="13"/>
  <c r="BK74" i="13" s="1"/>
  <c r="BD47" i="13"/>
  <c r="BE47" i="13" s="1"/>
  <c r="BG47" i="13"/>
  <c r="BH47" i="13" s="1"/>
  <c r="BJ47" i="13"/>
  <c r="BK47" i="13" s="1"/>
  <c r="BD48" i="13"/>
  <c r="BE48" i="13" s="1"/>
  <c r="BG48" i="13"/>
  <c r="BH48" i="13" s="1"/>
  <c r="BJ48" i="13"/>
  <c r="BK48" i="13" s="1"/>
  <c r="BD50" i="13"/>
  <c r="BE50" i="13" s="1"/>
  <c r="BG50" i="13"/>
  <c r="BH50" i="13" s="1"/>
  <c r="BJ50" i="13"/>
  <c r="BK50" i="13" s="1"/>
  <c r="BD52" i="13"/>
  <c r="BE52" i="13" s="1"/>
  <c r="BG52" i="13"/>
  <c r="BH52" i="13" s="1"/>
  <c r="BJ52" i="13"/>
  <c r="BK52" i="13" s="1"/>
  <c r="BD53" i="13"/>
  <c r="BE53" i="13" s="1"/>
  <c r="BG53" i="13"/>
  <c r="BH53" i="13" s="1"/>
  <c r="BJ53" i="13"/>
  <c r="BK53" i="13" s="1"/>
  <c r="BD54" i="13"/>
  <c r="BE54" i="13" s="1"/>
  <c r="BG54" i="13"/>
  <c r="BH54" i="13" s="1"/>
  <c r="BJ54" i="13"/>
  <c r="BK54" i="13" s="1"/>
  <c r="BD57" i="13"/>
  <c r="BE57" i="13" s="1"/>
  <c r="BG57" i="13"/>
  <c r="BH57" i="13" s="1"/>
  <c r="BJ57" i="13"/>
  <c r="BK57" i="13" s="1"/>
  <c r="BD58" i="13"/>
  <c r="BE58" i="13" s="1"/>
  <c r="BG58" i="13"/>
  <c r="BH58" i="13" s="1"/>
  <c r="BJ58" i="13"/>
  <c r="BK58" i="13" s="1"/>
  <c r="BD60" i="13"/>
  <c r="BE60" i="13" s="1"/>
  <c r="BG60" i="13"/>
  <c r="BH60" i="13" s="1"/>
  <c r="BJ60" i="13"/>
  <c r="BK60" i="13" s="1"/>
  <c r="BD61" i="13"/>
  <c r="BE61" i="13" s="1"/>
  <c r="BG61" i="13"/>
  <c r="BH61" i="13" s="1"/>
  <c r="BJ61" i="13"/>
  <c r="BK61" i="13" s="1"/>
  <c r="BD64" i="13"/>
  <c r="BE64" i="13" s="1"/>
  <c r="BG64" i="13"/>
  <c r="BH64" i="13" s="1"/>
  <c r="BJ64" i="13"/>
  <c r="BK64" i="13" s="1"/>
  <c r="BD41" i="13"/>
  <c r="BE41" i="13" s="1"/>
  <c r="BG41" i="13"/>
  <c r="BH41" i="13" s="1"/>
  <c r="BJ41" i="13"/>
  <c r="BK41" i="13" s="1"/>
  <c r="BD42" i="13"/>
  <c r="BE42" i="13" s="1"/>
  <c r="BG42" i="13"/>
  <c r="BH42" i="13" s="1"/>
  <c r="BJ42" i="13"/>
  <c r="BK42" i="13" s="1"/>
  <c r="BD43" i="13"/>
  <c r="BE43" i="13" s="1"/>
  <c r="BG43" i="13"/>
  <c r="BH43" i="13" s="1"/>
  <c r="BJ43" i="13"/>
  <c r="BK43" i="13" s="1"/>
  <c r="BD44" i="13"/>
  <c r="BE44" i="13" s="1"/>
  <c r="BG44" i="13"/>
  <c r="BH44" i="13" s="1"/>
  <c r="BJ44" i="13"/>
  <c r="BK44" i="13" s="1"/>
  <c r="BD45" i="13"/>
  <c r="BE45" i="13" s="1"/>
  <c r="BG45" i="13"/>
  <c r="BH45" i="13" s="1"/>
  <c r="BJ45" i="13"/>
  <c r="BK45" i="13" s="1"/>
  <c r="BD17" i="13"/>
  <c r="BE17" i="13" s="1"/>
  <c r="BG17" i="13"/>
  <c r="BH17" i="13" s="1"/>
  <c r="BJ17" i="13"/>
  <c r="BK17" i="13" s="1"/>
  <c r="BD18" i="13"/>
  <c r="BE18" i="13" s="1"/>
  <c r="BG18" i="13"/>
  <c r="BH18" i="13" s="1"/>
  <c r="BJ18" i="13"/>
  <c r="BK18" i="13" s="1"/>
  <c r="BD20" i="13"/>
  <c r="BE20" i="13" s="1"/>
  <c r="BG20" i="13"/>
  <c r="BH20" i="13" s="1"/>
  <c r="BJ20" i="13"/>
  <c r="BK20" i="13" s="1"/>
  <c r="BD21" i="13"/>
  <c r="BE21" i="13" s="1"/>
  <c r="BG21" i="13"/>
  <c r="BH21" i="13" s="1"/>
  <c r="BJ21" i="13"/>
  <c r="BK21" i="13" s="1"/>
  <c r="BD26" i="13"/>
  <c r="BE26" i="13" s="1"/>
  <c r="BG26" i="13"/>
  <c r="BH26" i="13" s="1"/>
  <c r="BJ26" i="13"/>
  <c r="BK26" i="13" s="1"/>
  <c r="BD28" i="13"/>
  <c r="BE28" i="13" s="1"/>
  <c r="BG28" i="13"/>
  <c r="BH28" i="13" s="1"/>
  <c r="BJ28" i="13"/>
  <c r="BK28" i="13" s="1"/>
  <c r="BD31" i="13"/>
  <c r="BE31" i="13" s="1"/>
  <c r="BG31" i="13"/>
  <c r="BH31" i="13" s="1"/>
  <c r="BJ31" i="13"/>
  <c r="BK31" i="13" s="1"/>
  <c r="BD33" i="13"/>
  <c r="BE33" i="13" s="1"/>
  <c r="BG33" i="13"/>
  <c r="BH33" i="13" s="1"/>
  <c r="BJ33" i="13"/>
  <c r="BK33" i="13" s="1"/>
  <c r="BD13" i="13"/>
  <c r="BE13" i="13" s="1"/>
  <c r="BG13" i="13"/>
  <c r="BH13" i="13" s="1"/>
  <c r="BJ13" i="13"/>
  <c r="BK13" i="13" s="1"/>
  <c r="BD14" i="13"/>
  <c r="BE14" i="13" s="1"/>
  <c r="BG14" i="13"/>
  <c r="BH14" i="13" s="1"/>
  <c r="BJ14" i="13"/>
  <c r="BK14" i="13" s="1"/>
  <c r="H199" i="16" l="1"/>
  <c r="H78" i="16"/>
  <c r="AG95" i="13"/>
  <c r="AG96" i="13"/>
  <c r="G231" i="13"/>
  <c r="H231" i="13"/>
  <c r="I231" i="13"/>
  <c r="J231" i="13"/>
  <c r="K231" i="13"/>
  <c r="L231" i="13"/>
  <c r="M231" i="13"/>
  <c r="N231" i="13"/>
  <c r="O231" i="13"/>
  <c r="P231" i="13"/>
  <c r="R231" i="13"/>
  <c r="F231" i="13"/>
  <c r="G214" i="13"/>
  <c r="H214" i="13"/>
  <c r="I214" i="13"/>
  <c r="J214" i="13"/>
  <c r="K214" i="13"/>
  <c r="L214" i="13"/>
  <c r="M214" i="13"/>
  <c r="N214" i="13"/>
  <c r="O214" i="13"/>
  <c r="P214" i="13"/>
  <c r="R214" i="13"/>
  <c r="R169" i="13"/>
  <c r="P169" i="13"/>
  <c r="O169" i="13"/>
  <c r="N169" i="13"/>
  <c r="M169" i="13"/>
  <c r="L169" i="13"/>
  <c r="K169" i="13"/>
  <c r="J169" i="13"/>
  <c r="I169" i="13"/>
  <c r="H169" i="13"/>
  <c r="G169" i="13"/>
  <c r="R192" i="13"/>
  <c r="P192" i="13"/>
  <c r="O192" i="13"/>
  <c r="N192" i="13"/>
  <c r="M192" i="13"/>
  <c r="L192" i="13"/>
  <c r="K192" i="13"/>
  <c r="J192" i="13"/>
  <c r="I192" i="13"/>
  <c r="H192" i="13"/>
  <c r="G192" i="13"/>
  <c r="R189" i="13"/>
  <c r="P189" i="13"/>
  <c r="O189" i="13"/>
  <c r="N189" i="13"/>
  <c r="M189" i="13"/>
  <c r="L189" i="13"/>
  <c r="K189" i="13"/>
  <c r="J189" i="13"/>
  <c r="I189" i="13"/>
  <c r="H189" i="13"/>
  <c r="G189" i="13"/>
  <c r="R187" i="13"/>
  <c r="P187" i="13"/>
  <c r="O187" i="13"/>
  <c r="N187" i="13"/>
  <c r="M187" i="13"/>
  <c r="K187" i="13"/>
  <c r="J187" i="13"/>
  <c r="I187" i="13"/>
  <c r="H187" i="13"/>
  <c r="G187" i="13"/>
  <c r="R183" i="13"/>
  <c r="P183" i="13"/>
  <c r="O183" i="13"/>
  <c r="N183" i="13"/>
  <c r="M183" i="13"/>
  <c r="L183" i="13"/>
  <c r="K183" i="13"/>
  <c r="J183" i="13"/>
  <c r="I183" i="13"/>
  <c r="H183" i="13"/>
  <c r="G183" i="13"/>
  <c r="R179" i="13"/>
  <c r="P179" i="13"/>
  <c r="O179" i="13"/>
  <c r="N179" i="13"/>
  <c r="M179" i="13"/>
  <c r="L179" i="13"/>
  <c r="K179" i="13"/>
  <c r="J179" i="13"/>
  <c r="I179" i="13"/>
  <c r="H179" i="13"/>
  <c r="G179" i="13"/>
  <c r="R175" i="13"/>
  <c r="P175" i="13"/>
  <c r="O175" i="13"/>
  <c r="N175" i="13"/>
  <c r="M175" i="13"/>
  <c r="L175" i="13"/>
  <c r="K175" i="13"/>
  <c r="J175" i="13"/>
  <c r="I175" i="13"/>
  <c r="H175" i="13"/>
  <c r="G175" i="13"/>
  <c r="R171" i="13"/>
  <c r="P171" i="13"/>
  <c r="O171" i="13"/>
  <c r="N171" i="13"/>
  <c r="M171" i="13"/>
  <c r="L171" i="13"/>
  <c r="K171" i="13"/>
  <c r="J171" i="13"/>
  <c r="I171" i="13"/>
  <c r="H171" i="13"/>
  <c r="G171" i="13"/>
  <c r="R164" i="13"/>
  <c r="P164" i="13"/>
  <c r="O164" i="13"/>
  <c r="N164" i="13"/>
  <c r="M164" i="13"/>
  <c r="L164" i="13"/>
  <c r="K164" i="13"/>
  <c r="J164" i="13"/>
  <c r="I164" i="13"/>
  <c r="H164" i="13"/>
  <c r="G164" i="13"/>
  <c r="R162" i="13"/>
  <c r="P162" i="13"/>
  <c r="O162" i="13"/>
  <c r="N162" i="13"/>
  <c r="M162" i="13"/>
  <c r="L162" i="13"/>
  <c r="K162" i="13"/>
  <c r="J162" i="13"/>
  <c r="I162" i="13"/>
  <c r="H162" i="13"/>
  <c r="G162" i="13"/>
  <c r="R160" i="13"/>
  <c r="P160" i="13"/>
  <c r="O160" i="13"/>
  <c r="N160" i="13"/>
  <c r="M160" i="13"/>
  <c r="L160" i="13"/>
  <c r="K160" i="13"/>
  <c r="J160" i="13"/>
  <c r="I160" i="13"/>
  <c r="H160" i="13"/>
  <c r="G160" i="13"/>
  <c r="R155" i="13"/>
  <c r="P155" i="13"/>
  <c r="O155" i="13"/>
  <c r="N155" i="13"/>
  <c r="M155" i="13"/>
  <c r="L155" i="13"/>
  <c r="K155" i="13"/>
  <c r="J155" i="13"/>
  <c r="I155" i="13"/>
  <c r="H155" i="13"/>
  <c r="G155" i="13"/>
  <c r="R148" i="13"/>
  <c r="P148" i="13"/>
  <c r="O148" i="13"/>
  <c r="N148" i="13"/>
  <c r="M148" i="13"/>
  <c r="L148" i="13"/>
  <c r="K148" i="13"/>
  <c r="J148" i="13"/>
  <c r="I148" i="13"/>
  <c r="H148" i="13"/>
  <c r="G148" i="13"/>
  <c r="R144" i="13"/>
  <c r="P144" i="13"/>
  <c r="O144" i="13"/>
  <c r="N144" i="13"/>
  <c r="M144" i="13"/>
  <c r="L144" i="13"/>
  <c r="K144" i="13"/>
  <c r="J144" i="13"/>
  <c r="I144" i="13"/>
  <c r="H144" i="13"/>
  <c r="G144" i="13"/>
  <c r="R134" i="13"/>
  <c r="P134" i="13"/>
  <c r="O134" i="13"/>
  <c r="N134" i="13"/>
  <c r="M134" i="13"/>
  <c r="L134" i="13"/>
  <c r="K134" i="13"/>
  <c r="J134" i="13"/>
  <c r="I134" i="13"/>
  <c r="H134" i="13"/>
  <c r="G134" i="13"/>
  <c r="R130" i="13"/>
  <c r="P130" i="13"/>
  <c r="O130" i="13"/>
  <c r="N130" i="13"/>
  <c r="M130" i="13"/>
  <c r="L130" i="13"/>
  <c r="K130" i="13"/>
  <c r="J130" i="13"/>
  <c r="I130" i="13"/>
  <c r="H130" i="13"/>
  <c r="G130" i="13"/>
  <c r="R126" i="13"/>
  <c r="P126" i="13"/>
  <c r="O126" i="13"/>
  <c r="N126" i="13"/>
  <c r="M126" i="13"/>
  <c r="L126" i="13"/>
  <c r="K126" i="13"/>
  <c r="J126" i="13"/>
  <c r="I126" i="13"/>
  <c r="H126" i="13"/>
  <c r="G126" i="13"/>
  <c r="R121" i="13"/>
  <c r="P121" i="13"/>
  <c r="O121" i="13"/>
  <c r="N121" i="13"/>
  <c r="M121" i="13"/>
  <c r="L121" i="13"/>
  <c r="K121" i="13"/>
  <c r="J121" i="13"/>
  <c r="I121" i="13"/>
  <c r="H121" i="13"/>
  <c r="G121" i="13"/>
  <c r="R117" i="13"/>
  <c r="P117" i="13"/>
  <c r="O117" i="13"/>
  <c r="N117" i="13"/>
  <c r="M117" i="13"/>
  <c r="L117" i="13"/>
  <c r="K117" i="13"/>
  <c r="J117" i="13"/>
  <c r="I117" i="13"/>
  <c r="H117" i="13"/>
  <c r="G117" i="13"/>
  <c r="R115" i="13"/>
  <c r="P115" i="13"/>
  <c r="O115" i="13"/>
  <c r="N115" i="13"/>
  <c r="M115" i="13"/>
  <c r="L115" i="13"/>
  <c r="K115" i="13"/>
  <c r="J115" i="13"/>
  <c r="I115" i="13"/>
  <c r="H115" i="13"/>
  <c r="G115" i="13"/>
  <c r="R113" i="13"/>
  <c r="P113" i="13"/>
  <c r="O113" i="13"/>
  <c r="N113" i="13"/>
  <c r="M113" i="13"/>
  <c r="L113" i="13"/>
  <c r="K113" i="13"/>
  <c r="J113" i="13"/>
  <c r="I113" i="13"/>
  <c r="H113" i="13"/>
  <c r="G113" i="13"/>
  <c r="R103" i="13"/>
  <c r="P103" i="13"/>
  <c r="O103" i="13"/>
  <c r="N103" i="13"/>
  <c r="M103" i="13"/>
  <c r="L103" i="13"/>
  <c r="K103" i="13"/>
  <c r="J103" i="13"/>
  <c r="I103" i="13"/>
  <c r="H103" i="13"/>
  <c r="G103" i="13"/>
  <c r="R100" i="13"/>
  <c r="P100" i="13"/>
  <c r="O100" i="13"/>
  <c r="N100" i="13"/>
  <c r="M100" i="13"/>
  <c r="L100" i="13"/>
  <c r="K100" i="13"/>
  <c r="J100" i="13"/>
  <c r="I100" i="13"/>
  <c r="H100" i="13"/>
  <c r="G100" i="13"/>
  <c r="R93" i="13"/>
  <c r="P93" i="13"/>
  <c r="O93" i="13"/>
  <c r="N93" i="13"/>
  <c r="M93" i="13"/>
  <c r="L93" i="13"/>
  <c r="K93" i="13"/>
  <c r="J93" i="13"/>
  <c r="I93" i="13"/>
  <c r="H93" i="13"/>
  <c r="G93" i="13"/>
  <c r="H83" i="13"/>
  <c r="P90" i="13"/>
  <c r="O90" i="13"/>
  <c r="N90" i="13"/>
  <c r="M90" i="13"/>
  <c r="L90" i="13"/>
  <c r="K90" i="13"/>
  <c r="J90" i="13"/>
  <c r="I90" i="13"/>
  <c r="H90" i="13"/>
  <c r="G90" i="13"/>
  <c r="R90" i="13"/>
  <c r="H86" i="13"/>
  <c r="R86" i="13"/>
  <c r="R83" i="13"/>
  <c r="P86" i="13"/>
  <c r="P83" i="13"/>
  <c r="O86" i="13"/>
  <c r="O83" i="13"/>
  <c r="N86" i="13"/>
  <c r="N83" i="13"/>
  <c r="M86" i="13"/>
  <c r="M83" i="13"/>
  <c r="L86" i="13"/>
  <c r="L83" i="13"/>
  <c r="K86" i="13"/>
  <c r="K83" i="13"/>
  <c r="J86" i="13"/>
  <c r="J83" i="13"/>
  <c r="I86" i="13"/>
  <c r="I83" i="13"/>
  <c r="G86" i="13"/>
  <c r="G83" i="13"/>
  <c r="R75" i="13"/>
  <c r="R69" i="13"/>
  <c r="P75" i="13"/>
  <c r="P69" i="13"/>
  <c r="O75" i="13"/>
  <c r="O69" i="13"/>
  <c r="N75" i="13"/>
  <c r="N69" i="13"/>
  <c r="M75" i="13"/>
  <c r="M69" i="13"/>
  <c r="L75" i="13"/>
  <c r="L69" i="13"/>
  <c r="K75" i="13"/>
  <c r="K69" i="13"/>
  <c r="J75" i="13"/>
  <c r="J69" i="13"/>
  <c r="I75" i="13"/>
  <c r="I69" i="13"/>
  <c r="H69" i="13"/>
  <c r="G75" i="13"/>
  <c r="G69" i="13"/>
  <c r="H63" i="13"/>
  <c r="R63" i="13"/>
  <c r="P63" i="13"/>
  <c r="O63" i="13"/>
  <c r="N63" i="13"/>
  <c r="M63" i="13"/>
  <c r="L63" i="13"/>
  <c r="K63" i="13"/>
  <c r="J63" i="13"/>
  <c r="I63" i="13"/>
  <c r="G63" i="13"/>
  <c r="R59" i="13"/>
  <c r="R56" i="13"/>
  <c r="P59" i="13"/>
  <c r="P56" i="13"/>
  <c r="O59" i="13"/>
  <c r="O56" i="13"/>
  <c r="L59" i="13"/>
  <c r="L56" i="13"/>
  <c r="K59" i="13"/>
  <c r="K56" i="13"/>
  <c r="J59" i="13"/>
  <c r="J56" i="13"/>
  <c r="I59" i="13"/>
  <c r="I56" i="13"/>
  <c r="G59" i="13"/>
  <c r="G56" i="13"/>
  <c r="K51" i="13"/>
  <c r="K46" i="13"/>
  <c r="R51" i="13"/>
  <c r="R46" i="13"/>
  <c r="R39" i="13"/>
  <c r="P51" i="13"/>
  <c r="P46" i="13"/>
  <c r="P39" i="13"/>
  <c r="O51" i="13"/>
  <c r="O46" i="13"/>
  <c r="O39" i="13"/>
  <c r="N51" i="13"/>
  <c r="N46" i="13"/>
  <c r="N39" i="13"/>
  <c r="M51" i="13"/>
  <c r="M46" i="13"/>
  <c r="M39" i="13"/>
  <c r="L51" i="13"/>
  <c r="L46" i="13"/>
  <c r="L39" i="13"/>
  <c r="J51" i="13"/>
  <c r="J46" i="13"/>
  <c r="J39" i="13"/>
  <c r="I51" i="13"/>
  <c r="I46" i="13"/>
  <c r="I39" i="13"/>
  <c r="H51" i="13"/>
  <c r="H46" i="13"/>
  <c r="H39" i="13"/>
  <c r="G51" i="13"/>
  <c r="G46" i="13"/>
  <c r="G39" i="13"/>
  <c r="B202" i="13"/>
  <c r="Z202" i="13" s="1"/>
  <c r="B203" i="13"/>
  <c r="Z203" i="13" s="1"/>
  <c r="J123" i="13" l="1"/>
  <c r="M66" i="13"/>
  <c r="K110" i="13"/>
  <c r="J152" i="13"/>
  <c r="J110" i="13"/>
  <c r="H123" i="13"/>
  <c r="N166" i="13"/>
  <c r="J66" i="13"/>
  <c r="O66" i="13"/>
  <c r="M97" i="13"/>
  <c r="M110" i="13"/>
  <c r="O110" i="13"/>
  <c r="R110" i="13"/>
  <c r="N66" i="13"/>
  <c r="I123" i="13"/>
  <c r="H66" i="13"/>
  <c r="R97" i="13"/>
  <c r="L110" i="13"/>
  <c r="I166" i="13"/>
  <c r="G66" i="13"/>
  <c r="P66" i="13"/>
  <c r="N110" i="13"/>
  <c r="J166" i="13"/>
  <c r="O123" i="13"/>
  <c r="P110" i="13"/>
  <c r="R66" i="13"/>
  <c r="G110" i="13"/>
  <c r="J97" i="13"/>
  <c r="I66" i="13"/>
  <c r="R166" i="13"/>
  <c r="G97" i="13"/>
  <c r="I97" i="13"/>
  <c r="O97" i="13"/>
  <c r="M197" i="13"/>
  <c r="P97" i="13"/>
  <c r="P123" i="13"/>
  <c r="K66" i="13"/>
  <c r="H110" i="13"/>
  <c r="R123" i="13"/>
  <c r="H152" i="13"/>
  <c r="M166" i="13"/>
  <c r="K97" i="13"/>
  <c r="I110" i="13"/>
  <c r="L97" i="13"/>
  <c r="K152" i="13"/>
  <c r="L152" i="13"/>
  <c r="O166" i="13"/>
  <c r="M123" i="13"/>
  <c r="P166" i="13"/>
  <c r="L66" i="13"/>
  <c r="H166" i="13"/>
  <c r="H97" i="13"/>
  <c r="N97" i="13"/>
  <c r="I152" i="13"/>
  <c r="G123" i="13"/>
  <c r="G166" i="13"/>
  <c r="L197" i="13"/>
  <c r="I197" i="13"/>
  <c r="K123" i="13"/>
  <c r="K166" i="13"/>
  <c r="N197" i="13"/>
  <c r="J197" i="13"/>
  <c r="L123" i="13"/>
  <c r="N123" i="13"/>
  <c r="L166" i="13"/>
  <c r="O197" i="13"/>
  <c r="K197" i="13"/>
  <c r="R197" i="13"/>
  <c r="P197" i="13"/>
  <c r="M152" i="13"/>
  <c r="N152" i="13"/>
  <c r="O152" i="13"/>
  <c r="P152" i="13"/>
  <c r="R152" i="13"/>
  <c r="G152" i="13"/>
  <c r="AE95" i="13"/>
  <c r="AF95" i="13"/>
  <c r="AE96" i="13"/>
  <c r="AF96" i="13"/>
  <c r="H197" i="13"/>
  <c r="G197" i="13"/>
  <c r="F214" i="13" l="1"/>
  <c r="F189" i="13"/>
  <c r="F187" i="13"/>
  <c r="F192" i="13"/>
  <c r="F183" i="13"/>
  <c r="F179" i="13"/>
  <c r="F175" i="13"/>
  <c r="F169" i="13"/>
  <c r="F171" i="13"/>
  <c r="F164" i="13"/>
  <c r="F162" i="13"/>
  <c r="F160" i="13"/>
  <c r="F155" i="13"/>
  <c r="F148" i="13"/>
  <c r="F144" i="13"/>
  <c r="F134" i="13"/>
  <c r="F130" i="13"/>
  <c r="F126" i="13"/>
  <c r="F121" i="13"/>
  <c r="F117" i="13"/>
  <c r="F115" i="13"/>
  <c r="F113" i="13"/>
  <c r="F103" i="13"/>
  <c r="F100" i="13"/>
  <c r="F93" i="13"/>
  <c r="F90" i="13"/>
  <c r="F86" i="13"/>
  <c r="F83" i="13"/>
  <c r="F75" i="13"/>
  <c r="F69" i="13"/>
  <c r="F63" i="13"/>
  <c r="F59" i="13"/>
  <c r="F56" i="13"/>
  <c r="F51" i="13"/>
  <c r="F46" i="13"/>
  <c r="F39" i="13"/>
  <c r="AG225" i="5"/>
  <c r="AF225" i="5"/>
  <c r="AE225" i="5"/>
  <c r="AG224" i="5"/>
  <c r="AF224" i="5"/>
  <c r="AE224" i="5"/>
  <c r="AG223" i="5"/>
  <c r="AF223" i="5"/>
  <c r="AE223" i="5"/>
  <c r="AG222" i="5"/>
  <c r="AF222" i="5"/>
  <c r="AE222" i="5"/>
  <c r="AG221" i="5"/>
  <c r="AF221" i="5"/>
  <c r="AE221" i="5"/>
  <c r="AG220" i="5"/>
  <c r="AF220" i="5"/>
  <c r="AE220" i="5"/>
  <c r="AG219" i="5"/>
  <c r="AF219" i="5"/>
  <c r="AE219" i="5"/>
  <c r="AG218" i="5"/>
  <c r="AF218" i="5"/>
  <c r="AE218" i="5"/>
  <c r="AG217" i="5"/>
  <c r="AF217" i="5"/>
  <c r="AE217" i="5"/>
  <c r="AG216" i="5"/>
  <c r="AF216" i="5"/>
  <c r="AE216" i="5"/>
  <c r="AG215" i="5"/>
  <c r="AF215" i="5"/>
  <c r="AE215" i="5"/>
  <c r="AG214" i="5"/>
  <c r="AF214" i="5"/>
  <c r="AE214" i="5"/>
  <c r="AG213" i="5"/>
  <c r="AF213" i="5"/>
  <c r="AE213" i="5"/>
  <c r="AG212" i="5"/>
  <c r="AF212" i="5"/>
  <c r="AE212" i="5"/>
  <c r="AG208" i="5"/>
  <c r="AF208" i="5"/>
  <c r="AE208" i="5"/>
  <c r="AG207" i="5"/>
  <c r="AF207" i="5"/>
  <c r="AE207" i="5"/>
  <c r="AG206" i="5"/>
  <c r="AF206" i="5"/>
  <c r="AE206" i="5"/>
  <c r="AG205" i="5"/>
  <c r="AF205" i="5"/>
  <c r="AE205" i="5"/>
  <c r="AG204" i="5"/>
  <c r="AF204" i="5"/>
  <c r="AE204" i="5"/>
  <c r="AG203" i="5"/>
  <c r="AF203" i="5"/>
  <c r="AE203" i="5"/>
  <c r="AG202" i="5"/>
  <c r="AF202" i="5"/>
  <c r="AE202" i="5"/>
  <c r="AG201" i="5"/>
  <c r="AF201" i="5"/>
  <c r="AE201" i="5"/>
  <c r="AG200" i="5"/>
  <c r="AF200" i="5"/>
  <c r="AE200" i="5"/>
  <c r="AG196" i="5"/>
  <c r="AF196" i="5"/>
  <c r="AE196" i="5"/>
  <c r="AG195" i="5"/>
  <c r="AF195" i="5"/>
  <c r="AE195" i="5"/>
  <c r="AG191" i="5"/>
  <c r="AF191" i="5"/>
  <c r="AE191" i="5"/>
  <c r="AG189" i="5"/>
  <c r="AF189" i="5"/>
  <c r="AE189" i="5"/>
  <c r="AG188" i="5"/>
  <c r="AF188" i="5"/>
  <c r="AE188" i="5"/>
  <c r="AG187" i="5"/>
  <c r="AF187" i="5"/>
  <c r="AE187" i="5"/>
  <c r="AG186" i="5"/>
  <c r="AF186" i="5"/>
  <c r="AE186" i="5"/>
  <c r="AG185" i="5"/>
  <c r="AF185" i="5"/>
  <c r="AE185" i="5"/>
  <c r="AG184" i="5"/>
  <c r="AF184" i="5"/>
  <c r="AE184" i="5"/>
  <c r="AG183" i="5"/>
  <c r="AF183" i="5"/>
  <c r="AE183" i="5"/>
  <c r="AG182" i="5"/>
  <c r="AF182" i="5"/>
  <c r="AE182" i="5"/>
  <c r="AG181" i="5"/>
  <c r="AF181" i="5"/>
  <c r="AE181" i="5"/>
  <c r="AG180" i="5"/>
  <c r="AF180" i="5"/>
  <c r="AE180" i="5"/>
  <c r="AG179" i="5"/>
  <c r="AF179" i="5"/>
  <c r="AE179" i="5"/>
  <c r="AG178" i="5"/>
  <c r="AF178" i="5"/>
  <c r="AE178" i="5"/>
  <c r="AG177" i="5"/>
  <c r="AF177" i="5"/>
  <c r="AE177" i="5"/>
  <c r="AG176" i="5"/>
  <c r="AF176" i="5"/>
  <c r="AE176" i="5"/>
  <c r="AG175" i="5"/>
  <c r="AF175" i="5"/>
  <c r="AE175" i="5"/>
  <c r="AG174" i="5"/>
  <c r="AF174" i="5"/>
  <c r="AE174" i="5"/>
  <c r="AG173" i="5"/>
  <c r="AF173" i="5"/>
  <c r="AE173" i="5"/>
  <c r="AG172" i="5"/>
  <c r="AF172" i="5"/>
  <c r="AE172" i="5"/>
  <c r="AG170" i="5"/>
  <c r="AF170" i="5"/>
  <c r="AE170" i="5"/>
  <c r="AG169" i="5"/>
  <c r="AF169" i="5"/>
  <c r="AE169" i="5"/>
  <c r="AG168" i="5"/>
  <c r="AF168" i="5"/>
  <c r="AE168" i="5"/>
  <c r="AG167" i="5"/>
  <c r="AF167" i="5"/>
  <c r="AE167" i="5"/>
  <c r="AG166" i="5"/>
  <c r="AF166" i="5"/>
  <c r="AE166" i="5"/>
  <c r="AG164" i="5"/>
  <c r="AF164" i="5"/>
  <c r="AE164" i="5"/>
  <c r="AG163" i="5"/>
  <c r="AF163" i="5"/>
  <c r="AE163" i="5"/>
  <c r="AG159" i="5"/>
  <c r="AF159" i="5"/>
  <c r="AE159" i="5"/>
  <c r="AG158" i="5"/>
  <c r="AF158" i="5"/>
  <c r="AE158" i="5"/>
  <c r="AG157" i="5"/>
  <c r="AF157" i="5"/>
  <c r="AE157" i="5"/>
  <c r="AG156" i="5"/>
  <c r="AF156" i="5"/>
  <c r="AE156" i="5"/>
  <c r="AG155" i="5"/>
  <c r="AF155" i="5"/>
  <c r="AE155" i="5"/>
  <c r="AG154" i="5"/>
  <c r="AF154" i="5"/>
  <c r="AE154" i="5"/>
  <c r="AG152" i="5"/>
  <c r="AF152" i="5"/>
  <c r="AE152" i="5"/>
  <c r="AG151" i="5"/>
  <c r="AF151" i="5"/>
  <c r="AE151" i="5"/>
  <c r="AG150" i="5"/>
  <c r="AF150" i="5"/>
  <c r="AE150" i="5"/>
  <c r="AG148" i="5"/>
  <c r="AF148" i="5"/>
  <c r="AE148" i="5"/>
  <c r="AG144" i="5"/>
  <c r="AF144" i="5"/>
  <c r="AE144" i="5"/>
  <c r="AG143" i="5"/>
  <c r="AF143" i="5"/>
  <c r="AE143" i="5"/>
  <c r="AG142" i="5"/>
  <c r="AF142" i="5"/>
  <c r="AE142" i="5"/>
  <c r="AG141" i="5"/>
  <c r="AF141" i="5"/>
  <c r="AE141" i="5"/>
  <c r="AG140" i="5"/>
  <c r="AF140" i="5"/>
  <c r="AE140" i="5"/>
  <c r="AG139" i="5"/>
  <c r="AF139" i="5"/>
  <c r="AE139" i="5"/>
  <c r="AG138" i="5"/>
  <c r="AF138" i="5"/>
  <c r="AE138" i="5"/>
  <c r="AG136" i="5"/>
  <c r="AF136" i="5"/>
  <c r="AE136" i="5"/>
  <c r="AG134" i="5"/>
  <c r="AF134" i="5"/>
  <c r="AE134" i="5"/>
  <c r="AG133" i="5"/>
  <c r="AF133" i="5"/>
  <c r="AE133" i="5"/>
  <c r="AG132" i="5"/>
  <c r="AF132" i="5"/>
  <c r="AE132" i="5"/>
  <c r="AG131" i="5"/>
  <c r="AF131" i="5"/>
  <c r="AE131" i="5"/>
  <c r="AG130" i="5"/>
  <c r="AF130" i="5"/>
  <c r="AE130" i="5"/>
  <c r="AG129" i="5"/>
  <c r="AF129" i="5"/>
  <c r="AE129" i="5"/>
  <c r="AG128" i="5"/>
  <c r="AF128" i="5"/>
  <c r="AE128" i="5"/>
  <c r="AG127" i="5"/>
  <c r="AF127" i="5"/>
  <c r="AE127" i="5"/>
  <c r="AG126" i="5"/>
  <c r="AF126" i="5"/>
  <c r="AE126" i="5"/>
  <c r="AG125" i="5"/>
  <c r="AF125" i="5"/>
  <c r="AE125" i="5"/>
  <c r="AG124" i="5"/>
  <c r="AF124" i="5"/>
  <c r="AE124" i="5"/>
  <c r="AG123" i="5"/>
  <c r="AF123" i="5"/>
  <c r="AE123" i="5"/>
  <c r="AG122" i="5"/>
  <c r="AF122" i="5"/>
  <c r="AE122" i="5"/>
  <c r="AG121" i="5"/>
  <c r="AF121" i="5"/>
  <c r="AE121" i="5"/>
  <c r="AG120" i="5"/>
  <c r="AF120" i="5"/>
  <c r="AE120" i="5"/>
  <c r="AG119" i="5"/>
  <c r="AF119" i="5"/>
  <c r="AE119" i="5"/>
  <c r="AG118" i="5"/>
  <c r="AF118" i="5"/>
  <c r="AE118" i="5"/>
  <c r="AG114" i="5"/>
  <c r="AF114" i="5"/>
  <c r="AE114" i="5"/>
  <c r="AG113" i="5"/>
  <c r="AF113" i="5"/>
  <c r="AE113" i="5"/>
  <c r="AG112" i="5"/>
  <c r="AF112" i="5"/>
  <c r="AE112" i="5"/>
  <c r="AG111" i="5"/>
  <c r="AF111" i="5"/>
  <c r="AE111" i="5"/>
  <c r="AG110" i="5"/>
  <c r="AF110" i="5"/>
  <c r="AE110" i="5"/>
  <c r="AG109" i="5"/>
  <c r="AF109" i="5"/>
  <c r="AE109" i="5"/>
  <c r="AG108" i="5"/>
  <c r="AF108" i="5"/>
  <c r="AE108" i="5"/>
  <c r="AG107" i="5"/>
  <c r="AF107" i="5"/>
  <c r="AE107" i="5"/>
  <c r="AG106" i="5"/>
  <c r="AF106" i="5"/>
  <c r="AE106" i="5"/>
  <c r="AG104" i="5"/>
  <c r="AF104" i="5"/>
  <c r="AE104" i="5"/>
  <c r="AG100" i="5"/>
  <c r="AF100" i="5"/>
  <c r="AE100" i="5"/>
  <c r="AG98" i="5"/>
  <c r="AF98" i="5"/>
  <c r="AE98" i="5"/>
  <c r="AG97" i="5"/>
  <c r="AF97" i="5"/>
  <c r="AE97" i="5"/>
  <c r="AG96" i="5"/>
  <c r="AF96" i="5"/>
  <c r="AE96" i="5"/>
  <c r="AG95" i="5"/>
  <c r="AF95" i="5"/>
  <c r="AE95" i="5"/>
  <c r="AG91" i="5"/>
  <c r="AF91" i="5"/>
  <c r="AE91" i="5"/>
  <c r="AG90" i="5"/>
  <c r="AF90" i="5"/>
  <c r="AE90" i="5"/>
  <c r="AG89" i="5"/>
  <c r="AF89" i="5"/>
  <c r="AE89" i="5"/>
  <c r="AG88" i="5"/>
  <c r="AF88" i="5"/>
  <c r="AE88" i="5"/>
  <c r="AG87" i="5"/>
  <c r="AF87" i="5"/>
  <c r="AE87" i="5"/>
  <c r="AG86" i="5"/>
  <c r="AF86" i="5"/>
  <c r="AE86" i="5"/>
  <c r="AG84" i="5"/>
  <c r="AF84" i="5"/>
  <c r="AE84" i="5"/>
  <c r="AG83" i="5"/>
  <c r="AF83" i="5"/>
  <c r="AE83" i="5"/>
  <c r="AG82" i="5"/>
  <c r="AF82" i="5"/>
  <c r="AE82" i="5"/>
  <c r="AG81" i="5"/>
  <c r="AF81" i="5"/>
  <c r="AE81" i="5"/>
  <c r="AG80" i="5"/>
  <c r="AF80" i="5"/>
  <c r="AE80" i="5"/>
  <c r="AG79" i="5"/>
  <c r="AF79" i="5"/>
  <c r="AE79" i="5"/>
  <c r="AG78" i="5"/>
  <c r="AF78" i="5"/>
  <c r="AE78" i="5"/>
  <c r="AG77" i="5"/>
  <c r="AF77" i="5"/>
  <c r="AE77" i="5"/>
  <c r="AG76" i="5"/>
  <c r="AF76" i="5"/>
  <c r="AE76" i="5"/>
  <c r="AG75" i="5"/>
  <c r="AF75" i="5"/>
  <c r="AE75" i="5"/>
  <c r="AG74" i="5"/>
  <c r="AF74" i="5"/>
  <c r="AE74" i="5"/>
  <c r="AG73" i="5"/>
  <c r="AF73" i="5"/>
  <c r="AE73" i="5"/>
  <c r="AG72" i="5"/>
  <c r="AF72" i="5"/>
  <c r="AE72" i="5"/>
  <c r="AG71" i="5"/>
  <c r="AF71" i="5"/>
  <c r="AE71" i="5"/>
  <c r="AG69" i="5"/>
  <c r="AF69" i="5"/>
  <c r="AE69" i="5"/>
  <c r="AG68" i="5"/>
  <c r="AF68" i="5"/>
  <c r="AE68" i="5"/>
  <c r="AG67" i="5"/>
  <c r="AF67" i="5"/>
  <c r="AE67" i="5"/>
  <c r="AG66" i="5"/>
  <c r="AF66" i="5"/>
  <c r="AE66" i="5"/>
  <c r="AG62" i="5"/>
  <c r="AF62" i="5"/>
  <c r="AE62" i="5"/>
  <c r="AG61" i="5"/>
  <c r="AF61" i="5"/>
  <c r="AE61" i="5"/>
  <c r="AG60" i="5"/>
  <c r="AF60" i="5"/>
  <c r="AE60" i="5"/>
  <c r="AG59" i="5"/>
  <c r="AF59" i="5"/>
  <c r="AE59" i="5"/>
  <c r="AG58" i="5"/>
  <c r="AF58" i="5"/>
  <c r="AE58" i="5"/>
  <c r="AG57" i="5"/>
  <c r="AF57" i="5"/>
  <c r="AE57" i="5"/>
  <c r="AG56" i="5"/>
  <c r="AF56" i="5"/>
  <c r="AE56" i="5"/>
  <c r="AG55" i="5"/>
  <c r="AF55" i="5"/>
  <c r="AE55" i="5"/>
  <c r="AG54" i="5"/>
  <c r="AF54" i="5"/>
  <c r="AE54" i="5"/>
  <c r="AG53" i="5"/>
  <c r="AF53" i="5"/>
  <c r="AE53" i="5"/>
  <c r="AG52" i="5"/>
  <c r="AF52" i="5"/>
  <c r="AE52" i="5"/>
  <c r="AG51" i="5"/>
  <c r="AF51" i="5"/>
  <c r="AE51" i="5"/>
  <c r="AG50" i="5"/>
  <c r="AF50" i="5"/>
  <c r="AE50" i="5"/>
  <c r="AG49" i="5"/>
  <c r="AF49" i="5"/>
  <c r="AE49" i="5"/>
  <c r="AG48" i="5"/>
  <c r="AF48" i="5"/>
  <c r="AE48" i="5"/>
  <c r="AG47" i="5"/>
  <c r="AF47" i="5"/>
  <c r="AE47" i="5"/>
  <c r="AG46" i="5"/>
  <c r="AF46" i="5"/>
  <c r="AE46" i="5"/>
  <c r="AG45" i="5"/>
  <c r="AF45" i="5"/>
  <c r="AE45" i="5"/>
  <c r="AG44" i="5"/>
  <c r="AF44" i="5"/>
  <c r="AE44" i="5"/>
  <c r="AG43" i="5"/>
  <c r="AF43" i="5"/>
  <c r="AE43" i="5"/>
  <c r="AG42" i="5"/>
  <c r="AF42" i="5"/>
  <c r="AE42" i="5"/>
  <c r="AG41" i="5"/>
  <c r="AF41" i="5"/>
  <c r="AE41" i="5"/>
  <c r="AG38" i="5"/>
  <c r="AF38" i="5"/>
  <c r="AE38" i="5"/>
  <c r="F97" i="13" l="1"/>
  <c r="F197" i="13"/>
  <c r="F166" i="13"/>
  <c r="F152" i="13"/>
  <c r="F123" i="13"/>
  <c r="F110" i="13"/>
  <c r="F66" i="13"/>
  <c r="G16" i="13"/>
  <c r="H16" i="13"/>
  <c r="I16" i="13"/>
  <c r="J16" i="13"/>
  <c r="K16" i="13"/>
  <c r="L16" i="13"/>
  <c r="M16" i="13"/>
  <c r="N16" i="13"/>
  <c r="O16" i="13"/>
  <c r="P16" i="13"/>
  <c r="R16" i="13"/>
  <c r="G19" i="13"/>
  <c r="H19" i="13"/>
  <c r="I19" i="13"/>
  <c r="J19" i="13"/>
  <c r="K19" i="13"/>
  <c r="L19" i="13"/>
  <c r="M19" i="13"/>
  <c r="N19" i="13"/>
  <c r="O19" i="13"/>
  <c r="P19" i="13"/>
  <c r="R19" i="13"/>
  <c r="G26" i="13"/>
  <c r="H26" i="13"/>
  <c r="I26" i="13"/>
  <c r="J26" i="13"/>
  <c r="K26" i="13"/>
  <c r="L26" i="13"/>
  <c r="M26" i="13"/>
  <c r="N26" i="13"/>
  <c r="O26" i="13"/>
  <c r="P26" i="13"/>
  <c r="R26" i="13"/>
  <c r="G30" i="13"/>
  <c r="H30" i="13"/>
  <c r="I30" i="13"/>
  <c r="J30" i="13"/>
  <c r="K30" i="13"/>
  <c r="L30" i="13"/>
  <c r="M30" i="13"/>
  <c r="N30" i="13"/>
  <c r="O30" i="13"/>
  <c r="P30" i="13"/>
  <c r="R30" i="13"/>
  <c r="G10" i="13"/>
  <c r="H10" i="13"/>
  <c r="I10" i="13"/>
  <c r="J10" i="13"/>
  <c r="K10" i="13"/>
  <c r="L10" i="13"/>
  <c r="M10" i="13"/>
  <c r="N10" i="13"/>
  <c r="O10" i="13"/>
  <c r="P10" i="13"/>
  <c r="R10" i="13"/>
  <c r="F30" i="13"/>
  <c r="F26" i="13"/>
  <c r="F19" i="13"/>
  <c r="F16" i="13"/>
  <c r="F10" i="13"/>
  <c r="F36" i="13" s="1"/>
  <c r="N36" i="13" l="1"/>
  <c r="J36" i="13"/>
  <c r="R36" i="13"/>
  <c r="G36" i="13"/>
  <c r="M36" i="13"/>
  <c r="H36" i="13"/>
  <c r="L36" i="13"/>
  <c r="I36" i="13"/>
  <c r="P36" i="13"/>
  <c r="O36" i="13"/>
  <c r="K36" i="13"/>
  <c r="AE12" i="5"/>
  <c r="AF12" i="5"/>
  <c r="AG12" i="5"/>
  <c r="AE13" i="5"/>
  <c r="AF13" i="5"/>
  <c r="AG13" i="5"/>
  <c r="AE14" i="5"/>
  <c r="AF14" i="5"/>
  <c r="AG14" i="5"/>
  <c r="AE16" i="5"/>
  <c r="AF16" i="5"/>
  <c r="AG16" i="5"/>
  <c r="AE17" i="5"/>
  <c r="AF17" i="5"/>
  <c r="AG17" i="5"/>
  <c r="AE18" i="5"/>
  <c r="AF18" i="5"/>
  <c r="AG18" i="5"/>
  <c r="AE19" i="5"/>
  <c r="AF19" i="5"/>
  <c r="AG19" i="5"/>
  <c r="AE20" i="5"/>
  <c r="AF20" i="5"/>
  <c r="AG20" i="5"/>
  <c r="AE21" i="5"/>
  <c r="AF21" i="5"/>
  <c r="AG21" i="5"/>
  <c r="AE22" i="5"/>
  <c r="AF22" i="5"/>
  <c r="AG22" i="5"/>
  <c r="AE23" i="5"/>
  <c r="AF23" i="5"/>
  <c r="AG23" i="5"/>
  <c r="AE24" i="5"/>
  <c r="AF24" i="5"/>
  <c r="AG24" i="5"/>
  <c r="AE27" i="5"/>
  <c r="AF27" i="5"/>
  <c r="AG27" i="5"/>
  <c r="AE28" i="5"/>
  <c r="AF28" i="5"/>
  <c r="AG28" i="5"/>
  <c r="AE29" i="5"/>
  <c r="AF29" i="5"/>
  <c r="AG29" i="5"/>
  <c r="AE30" i="5"/>
  <c r="AF30" i="5"/>
  <c r="AG30" i="5"/>
  <c r="AE31" i="5"/>
  <c r="AF31" i="5"/>
  <c r="AG31" i="5"/>
  <c r="AE32" i="5"/>
  <c r="AF32" i="5"/>
  <c r="AG32" i="5"/>
  <c r="AE33" i="5"/>
  <c r="AF33" i="5"/>
  <c r="AG33" i="5"/>
  <c r="AE34" i="5"/>
  <c r="AF34" i="5"/>
  <c r="AG34" i="5"/>
  <c r="AD36" i="5"/>
  <c r="AD37" i="5"/>
  <c r="D196" i="21"/>
  <c r="C164" i="5"/>
  <c r="D164" i="21" s="1"/>
  <c r="C151" i="5"/>
  <c r="C119" i="5"/>
  <c r="C114" i="5"/>
  <c r="D114" i="21" s="1"/>
  <c r="C110" i="5"/>
  <c r="C108" i="5"/>
  <c r="D108" i="21" s="1"/>
  <c r="C96" i="5"/>
  <c r="C67" i="5"/>
  <c r="C42" i="5"/>
  <c r="B218" i="13"/>
  <c r="Z218" i="13" s="1"/>
  <c r="B219" i="13"/>
  <c r="Z219" i="13" s="1"/>
  <c r="B220" i="13"/>
  <c r="Z220" i="13" s="1"/>
  <c r="B221" i="13"/>
  <c r="Z221" i="13" s="1"/>
  <c r="B222" i="13"/>
  <c r="Z222" i="13" s="1"/>
  <c r="B223" i="13"/>
  <c r="Z223" i="13" s="1"/>
  <c r="B224" i="13"/>
  <c r="Z224" i="13" s="1"/>
  <c r="B225" i="13"/>
  <c r="Z225" i="13" s="1"/>
  <c r="B226" i="13"/>
  <c r="Z226" i="13" s="1"/>
  <c r="B227" i="13"/>
  <c r="Z227" i="13" s="1"/>
  <c r="B228" i="13"/>
  <c r="Z228" i="13" s="1"/>
  <c r="B229" i="13"/>
  <c r="Z229" i="13" s="1"/>
  <c r="B230" i="13"/>
  <c r="Z230" i="13" s="1"/>
  <c r="B217" i="13"/>
  <c r="Z217" i="13" s="1"/>
  <c r="E227" i="13"/>
  <c r="E228" i="13"/>
  <c r="E229" i="13"/>
  <c r="E230" i="13"/>
  <c r="B211" i="13"/>
  <c r="C211" i="13" s="1"/>
  <c r="B208" i="13"/>
  <c r="C208" i="13" s="1"/>
  <c r="B204" i="13"/>
  <c r="C204" i="13" s="1"/>
  <c r="B200" i="13"/>
  <c r="C200" i="13" s="1"/>
  <c r="B192" i="13"/>
  <c r="C192" i="13" s="1"/>
  <c r="B189" i="13"/>
  <c r="C189" i="13" s="1"/>
  <c r="B187" i="13"/>
  <c r="C187" i="13" s="1"/>
  <c r="B183" i="13"/>
  <c r="C183" i="13" s="1"/>
  <c r="B179" i="13"/>
  <c r="C179" i="13" s="1"/>
  <c r="B175" i="13"/>
  <c r="C175" i="13" s="1"/>
  <c r="B171" i="13"/>
  <c r="C171" i="13" s="1"/>
  <c r="B169" i="13"/>
  <c r="C169" i="13" s="1"/>
  <c r="B164" i="13"/>
  <c r="C164" i="13" s="1"/>
  <c r="B162" i="13"/>
  <c r="C162" i="13" s="1"/>
  <c r="B160" i="13"/>
  <c r="C160" i="13" s="1"/>
  <c r="B155" i="13"/>
  <c r="C155" i="13" s="1"/>
  <c r="B148" i="13"/>
  <c r="C148" i="13" s="1"/>
  <c r="B144" i="13"/>
  <c r="C144" i="13" s="1"/>
  <c r="B138" i="13"/>
  <c r="C138" i="13" s="1"/>
  <c r="B134" i="13"/>
  <c r="C134" i="13" s="1"/>
  <c r="B130" i="13"/>
  <c r="C130" i="13" s="1"/>
  <c r="B126" i="13"/>
  <c r="C126" i="13" s="1"/>
  <c r="B121" i="13"/>
  <c r="C121" i="13" s="1"/>
  <c r="B117" i="13"/>
  <c r="C117" i="13" s="1"/>
  <c r="B115" i="13"/>
  <c r="C115" i="13" s="1"/>
  <c r="B113" i="13"/>
  <c r="C113" i="13" s="1"/>
  <c r="B103" i="13"/>
  <c r="C103" i="13" s="1"/>
  <c r="B100" i="13"/>
  <c r="C100" i="13" s="1"/>
  <c r="B93" i="13"/>
  <c r="C93" i="13" s="1"/>
  <c r="B90" i="13"/>
  <c r="C90" i="13" s="1"/>
  <c r="B86" i="13"/>
  <c r="C86" i="13" s="1"/>
  <c r="B83" i="13"/>
  <c r="C83" i="13" s="1"/>
  <c r="B79" i="13"/>
  <c r="C79" i="13" s="1"/>
  <c r="B75" i="13"/>
  <c r="C75" i="13" s="1"/>
  <c r="B69" i="13"/>
  <c r="C69" i="13" s="1"/>
  <c r="B63" i="13"/>
  <c r="C63" i="13" s="1"/>
  <c r="B59" i="13"/>
  <c r="C59" i="13" s="1"/>
  <c r="B56" i="13"/>
  <c r="C56" i="13" s="1"/>
  <c r="B51" i="13"/>
  <c r="C51" i="13" s="1"/>
  <c r="B46" i="13"/>
  <c r="C46" i="13" s="1"/>
  <c r="B39" i="13"/>
  <c r="C39" i="13" s="1"/>
  <c r="B30" i="13"/>
  <c r="C30" i="13" s="1"/>
  <c r="B26" i="13"/>
  <c r="C26" i="13" s="1"/>
  <c r="B19" i="13"/>
  <c r="C19" i="13" s="1"/>
  <c r="B16" i="13"/>
  <c r="C16" i="13" s="1"/>
  <c r="C17" i="13" s="1"/>
  <c r="C18" i="13" s="1"/>
  <c r="B10" i="13"/>
  <c r="B212" i="13"/>
  <c r="Z212" i="13" s="1"/>
  <c r="B213" i="13"/>
  <c r="Z213" i="13" s="1"/>
  <c r="B209" i="13"/>
  <c r="Z209" i="13" s="1"/>
  <c r="W209" i="13" s="1"/>
  <c r="B210" i="13"/>
  <c r="Z210" i="13" s="1"/>
  <c r="B205" i="13"/>
  <c r="Z205" i="13" s="1"/>
  <c r="W205" i="13" s="1"/>
  <c r="B206" i="13"/>
  <c r="Z206" i="13" s="1"/>
  <c r="W206" i="13" s="1"/>
  <c r="B201" i="13"/>
  <c r="Z201" i="13" s="1"/>
  <c r="B194" i="13"/>
  <c r="Z194" i="13" s="1"/>
  <c r="B196" i="13"/>
  <c r="Z196" i="13" s="1"/>
  <c r="B191" i="13"/>
  <c r="Z191" i="13" s="1"/>
  <c r="Z189" i="13" s="1"/>
  <c r="B188" i="13"/>
  <c r="Z188" i="13" s="1"/>
  <c r="Z187" i="13" s="1"/>
  <c r="B185" i="13"/>
  <c r="Z185" i="13" s="1"/>
  <c r="B186" i="13"/>
  <c r="Z186" i="13" s="1"/>
  <c r="B181" i="13"/>
  <c r="Z181" i="13" s="1"/>
  <c r="B182" i="13"/>
  <c r="Z182" i="13" s="1"/>
  <c r="B177" i="13"/>
  <c r="Z177" i="13" s="1"/>
  <c r="B178" i="13"/>
  <c r="Z178" i="13" s="1"/>
  <c r="B173" i="13"/>
  <c r="Z173" i="13" s="1"/>
  <c r="B174" i="13"/>
  <c r="Z174" i="13" s="1"/>
  <c r="B170" i="13"/>
  <c r="Z170" i="13" s="1"/>
  <c r="Z169" i="13" s="1"/>
  <c r="B165" i="13"/>
  <c r="Z165" i="13" s="1"/>
  <c r="Z164" i="13" s="1"/>
  <c r="B163" i="13"/>
  <c r="Z163" i="13" s="1"/>
  <c r="Z162" i="13" s="1"/>
  <c r="B161" i="13"/>
  <c r="Z161" i="13" s="1"/>
  <c r="Z160" i="13" s="1"/>
  <c r="B156" i="13"/>
  <c r="Z156" i="13" s="1"/>
  <c r="B157" i="13"/>
  <c r="Z157" i="13" s="1"/>
  <c r="B158" i="13"/>
  <c r="Z158" i="13" s="1"/>
  <c r="B149" i="13"/>
  <c r="Z149" i="13" s="1"/>
  <c r="B150" i="13"/>
  <c r="Z150" i="13" s="1"/>
  <c r="B151" i="13"/>
  <c r="Z151" i="13" s="1"/>
  <c r="B145" i="13"/>
  <c r="Z145" i="13" s="1"/>
  <c r="B146" i="13"/>
  <c r="Z146" i="13" s="1"/>
  <c r="B147" i="13"/>
  <c r="Z147" i="13" s="1"/>
  <c r="B140" i="13"/>
  <c r="Z140" i="13" s="1"/>
  <c r="B141" i="13"/>
  <c r="Z141" i="13" s="1"/>
  <c r="B142" i="13"/>
  <c r="Z142" i="13" s="1"/>
  <c r="B136" i="13"/>
  <c r="Z136" i="13" s="1"/>
  <c r="B137" i="13"/>
  <c r="Z137" i="13" s="1"/>
  <c r="B132" i="13"/>
  <c r="Z132" i="13" s="1"/>
  <c r="B133" i="13"/>
  <c r="Z133" i="13" s="1"/>
  <c r="B128" i="13"/>
  <c r="Z128" i="13" s="1"/>
  <c r="B129" i="13"/>
  <c r="Z129" i="13" s="1"/>
  <c r="B122" i="13"/>
  <c r="Z122" i="13" s="1"/>
  <c r="Z121" i="13" s="1"/>
  <c r="B118" i="13"/>
  <c r="Z118" i="13" s="1"/>
  <c r="B119" i="13"/>
  <c r="Z119" i="13" s="1"/>
  <c r="B120" i="13"/>
  <c r="Z120" i="13" s="1"/>
  <c r="B116" i="13"/>
  <c r="Z116" i="13" s="1"/>
  <c r="Z115" i="13" s="1"/>
  <c r="B114" i="13"/>
  <c r="Z114" i="13" s="1"/>
  <c r="Z113" i="13" s="1"/>
  <c r="B105" i="13"/>
  <c r="Z105" i="13" s="1"/>
  <c r="B101" i="13"/>
  <c r="Z101" i="13" s="1"/>
  <c r="B102" i="13"/>
  <c r="Z102" i="13" s="1"/>
  <c r="B94" i="13"/>
  <c r="Z94" i="13" s="1"/>
  <c r="Z93" i="13" s="1"/>
  <c r="B91" i="13"/>
  <c r="Z91" i="13" s="1"/>
  <c r="B92" i="13"/>
  <c r="Z92" i="13" s="1"/>
  <c r="B87" i="13"/>
  <c r="Z87" i="13" s="1"/>
  <c r="B89" i="13"/>
  <c r="Z89" i="13" s="1"/>
  <c r="B84" i="13"/>
  <c r="Z84" i="13" s="1"/>
  <c r="B85" i="13"/>
  <c r="Z85" i="13" s="1"/>
  <c r="B80" i="13"/>
  <c r="Z80" i="13" s="1"/>
  <c r="W80" i="13" s="1"/>
  <c r="W81" i="13" s="1"/>
  <c r="B81" i="13"/>
  <c r="Z81" i="13" s="1"/>
  <c r="B76" i="13"/>
  <c r="Z76" i="13" s="1"/>
  <c r="B77" i="13"/>
  <c r="Z77" i="13" s="1"/>
  <c r="B78" i="13"/>
  <c r="Z78" i="13" s="1"/>
  <c r="B70" i="13"/>
  <c r="Z70" i="13" s="1"/>
  <c r="B71" i="13"/>
  <c r="Z71" i="13" s="1"/>
  <c r="B72" i="13"/>
  <c r="Z72" i="13" s="1"/>
  <c r="B73" i="13"/>
  <c r="Z73" i="13" s="1"/>
  <c r="B74" i="13"/>
  <c r="Z74" i="13" s="1"/>
  <c r="B64" i="13"/>
  <c r="Z64" i="13" s="1"/>
  <c r="Z63" i="13" s="1"/>
  <c r="B60" i="13"/>
  <c r="Z60" i="13" s="1"/>
  <c r="B61" i="13"/>
  <c r="Z61" i="13" s="1"/>
  <c r="B58" i="13"/>
  <c r="Z58" i="13" s="1"/>
  <c r="Z56" i="13" s="1"/>
  <c r="B52" i="13"/>
  <c r="Z52" i="13" s="1"/>
  <c r="B53" i="13"/>
  <c r="Z53" i="13" s="1"/>
  <c r="B54" i="13"/>
  <c r="Z54" i="13" s="1"/>
  <c r="B48" i="13"/>
  <c r="Z48" i="13" s="1"/>
  <c r="B49" i="13"/>
  <c r="Z49" i="13" s="1"/>
  <c r="B50" i="13"/>
  <c r="Z50" i="13" s="1"/>
  <c r="B41" i="13"/>
  <c r="Z41" i="13" s="1"/>
  <c r="B42" i="13"/>
  <c r="Z42" i="13" s="1"/>
  <c r="B43" i="13"/>
  <c r="Z43" i="13" s="1"/>
  <c r="B44" i="13"/>
  <c r="Z44" i="13" s="1"/>
  <c r="B45" i="13"/>
  <c r="Z45" i="13" s="1"/>
  <c r="B31" i="13"/>
  <c r="Z31" i="13" s="1"/>
  <c r="B32" i="13"/>
  <c r="Z32" i="13" s="1"/>
  <c r="B33" i="13"/>
  <c r="Z33" i="13" s="1"/>
  <c r="B27" i="13"/>
  <c r="Z27" i="13" s="1"/>
  <c r="B28" i="13"/>
  <c r="Z28" i="13" s="1"/>
  <c r="B29" i="13"/>
  <c r="Z29" i="13" s="1"/>
  <c r="B20" i="13"/>
  <c r="Z20" i="13" s="1"/>
  <c r="B21" i="13"/>
  <c r="Z21" i="13" s="1"/>
  <c r="B22" i="13"/>
  <c r="Z22" i="13" s="1"/>
  <c r="B25" i="13"/>
  <c r="Z25" i="13" s="1"/>
  <c r="B17" i="13"/>
  <c r="Z17" i="13" s="1"/>
  <c r="B18" i="13"/>
  <c r="Z18" i="13" s="1"/>
  <c r="B11" i="13"/>
  <c r="B12" i="13"/>
  <c r="Z12" i="13" s="1"/>
  <c r="B13" i="13"/>
  <c r="B14" i="13"/>
  <c r="Z14" i="13" s="1"/>
  <c r="B15" i="13"/>
  <c r="Z15" i="13" s="1"/>
  <c r="F70" i="5" l="1"/>
  <c r="F171" i="5"/>
  <c r="I175" i="5"/>
  <c r="T55" i="11"/>
  <c r="T67" i="11"/>
  <c r="T79" i="11"/>
  <c r="J72" i="11"/>
  <c r="X106" i="5"/>
  <c r="Y106" i="21" s="1"/>
  <c r="I150" i="5"/>
  <c r="J69" i="11"/>
  <c r="J106" i="5"/>
  <c r="K106" i="21" s="1"/>
  <c r="T73" i="11"/>
  <c r="X150" i="5"/>
  <c r="Y150" i="21" s="1"/>
  <c r="T64" i="11"/>
  <c r="T56" i="11"/>
  <c r="T68" i="11"/>
  <c r="T80" i="11"/>
  <c r="J71" i="11"/>
  <c r="W106" i="5"/>
  <c r="F150" i="5"/>
  <c r="P106" i="5"/>
  <c r="T72" i="11"/>
  <c r="J62" i="11"/>
  <c r="J55" i="11"/>
  <c r="J79" i="11"/>
  <c r="J76" i="11"/>
  <c r="F122" i="5"/>
  <c r="T57" i="11"/>
  <c r="T69" i="11"/>
  <c r="T81" i="11"/>
  <c r="Q106" i="5"/>
  <c r="R106" i="21" s="1"/>
  <c r="T54" i="11"/>
  <c r="T74" i="11"/>
  <c r="W150" i="5"/>
  <c r="T77" i="11"/>
  <c r="J150" i="5"/>
  <c r="K150" i="21" s="1"/>
  <c r="T58" i="11"/>
  <c r="T70" i="11"/>
  <c r="T82" i="11"/>
  <c r="I106" i="5"/>
  <c r="J81" i="11"/>
  <c r="T76" i="11"/>
  <c r="P150" i="5"/>
  <c r="T59" i="11"/>
  <c r="T71" i="11"/>
  <c r="T83" i="11"/>
  <c r="J63" i="11"/>
  <c r="F106" i="5"/>
  <c r="T63" i="11"/>
  <c r="J56" i="11"/>
  <c r="T78" i="11"/>
  <c r="T60" i="11"/>
  <c r="T65" i="11"/>
  <c r="T61" i="11"/>
  <c r="J54" i="11"/>
  <c r="T75" i="11"/>
  <c r="Q150" i="5"/>
  <c r="R150" i="21" s="1"/>
  <c r="J75" i="11"/>
  <c r="T62" i="11"/>
  <c r="J80" i="11"/>
  <c r="T66" i="11"/>
  <c r="W40" i="5"/>
  <c r="W40" i="21" s="1"/>
  <c r="I40" i="5"/>
  <c r="I40" i="21" s="1"/>
  <c r="F40" i="5"/>
  <c r="F40" i="21" s="1"/>
  <c r="P40" i="5"/>
  <c r="P40" i="21" s="1"/>
  <c r="F13" i="5"/>
  <c r="F13" i="21" s="1"/>
  <c r="B79" i="11"/>
  <c r="B76" i="11"/>
  <c r="B62" i="11"/>
  <c r="C10" i="13"/>
  <c r="C11" i="13" s="1"/>
  <c r="C12" i="13" s="1"/>
  <c r="C13" i="13" s="1"/>
  <c r="C14" i="13" s="1"/>
  <c r="C15" i="13" s="1"/>
  <c r="B66" i="11"/>
  <c r="B69" i="11"/>
  <c r="B75" i="11"/>
  <c r="C20" i="13"/>
  <c r="C21" i="13" s="1"/>
  <c r="C22" i="13" s="1"/>
  <c r="C23" i="13" s="1"/>
  <c r="C24" i="13" s="1"/>
  <c r="C25" i="13" s="1"/>
  <c r="C27" i="13" s="1"/>
  <c r="C28" i="13" s="1"/>
  <c r="C29" i="13" s="1"/>
  <c r="C31" i="13" s="1"/>
  <c r="C32" i="13" s="1"/>
  <c r="C33" i="13" s="1"/>
  <c r="C40" i="13" s="1"/>
  <c r="C41" i="13" s="1"/>
  <c r="C42" i="13" s="1"/>
  <c r="C43" i="13" s="1"/>
  <c r="C44" i="13" s="1"/>
  <c r="C45" i="13" s="1"/>
  <c r="C47" i="13" s="1"/>
  <c r="C48" i="13" s="1"/>
  <c r="C49" i="13" s="1"/>
  <c r="C50" i="13" s="1"/>
  <c r="C52" i="13" s="1"/>
  <c r="C53" i="13" s="1"/>
  <c r="C54" i="13" s="1"/>
  <c r="C57" i="13" s="1"/>
  <c r="C58" i="13" s="1"/>
  <c r="C60" i="13" s="1"/>
  <c r="C61" i="13" s="1"/>
  <c r="C64" i="13" s="1"/>
  <c r="C70" i="13" s="1"/>
  <c r="C71" i="13" s="1"/>
  <c r="C72" i="13" s="1"/>
  <c r="C73" i="13" s="1"/>
  <c r="C74" i="13" s="1"/>
  <c r="C76" i="13" s="1"/>
  <c r="C77" i="13" s="1"/>
  <c r="C78" i="13" s="1"/>
  <c r="C80" i="13" s="1"/>
  <c r="C81" i="13" s="1"/>
  <c r="C84" i="13" s="1"/>
  <c r="C85" i="13" s="1"/>
  <c r="C87" i="13" s="1"/>
  <c r="C88" i="13" s="1"/>
  <c r="C89" i="13" s="1"/>
  <c r="C91" i="13" s="1"/>
  <c r="C92" i="13" s="1"/>
  <c r="C94" i="13" s="1"/>
  <c r="C101" i="13" s="1"/>
  <c r="C102" i="13" s="1"/>
  <c r="C104" i="13" s="1"/>
  <c r="C105" i="13" s="1"/>
  <c r="C114" i="13" s="1"/>
  <c r="C116" i="13" s="1"/>
  <c r="C118" i="13" s="1"/>
  <c r="C119" i="13" s="1"/>
  <c r="C120" i="13" s="1"/>
  <c r="C122" i="13" s="1"/>
  <c r="C127" i="13" s="1"/>
  <c r="C128" i="13" s="1"/>
  <c r="C129" i="13" s="1"/>
  <c r="C131" i="13" s="1"/>
  <c r="C132" i="13" s="1"/>
  <c r="C133" i="13" s="1"/>
  <c r="C135" i="13" s="1"/>
  <c r="C136" i="13" s="1"/>
  <c r="C137" i="13" s="1"/>
  <c r="C139" i="13" s="1"/>
  <c r="C140" i="13" s="1"/>
  <c r="C141" i="13" s="1"/>
  <c r="C142" i="13" s="1"/>
  <c r="C143" i="13" s="1"/>
  <c r="C145" i="13" s="1"/>
  <c r="C146" i="13" s="1"/>
  <c r="C147" i="13" s="1"/>
  <c r="C149" i="13" s="1"/>
  <c r="C150" i="13" s="1"/>
  <c r="C151" i="13" s="1"/>
  <c r="C156" i="13" s="1"/>
  <c r="C157" i="13" s="1"/>
  <c r="C158" i="13" s="1"/>
  <c r="C161" i="13" s="1"/>
  <c r="C163" i="13" s="1"/>
  <c r="C165" i="13" s="1"/>
  <c r="C170" i="13" s="1"/>
  <c r="C172" i="13" s="1"/>
  <c r="C173" i="13" s="1"/>
  <c r="C174" i="13" s="1"/>
  <c r="C176" i="13" s="1"/>
  <c r="C177" i="13" s="1"/>
  <c r="C178" i="13" s="1"/>
  <c r="C180" i="13" s="1"/>
  <c r="C181" i="13" s="1"/>
  <c r="C182" i="13" s="1"/>
  <c r="C184" i="13" s="1"/>
  <c r="C185" i="13" s="1"/>
  <c r="C186" i="13" s="1"/>
  <c r="C188" i="13" s="1"/>
  <c r="C190" i="13" s="1"/>
  <c r="C191" i="13" s="1"/>
  <c r="C193" i="13" s="1"/>
  <c r="C194" i="13" s="1"/>
  <c r="C195" i="13" s="1"/>
  <c r="C196" i="13" s="1"/>
  <c r="C201" i="13" s="1"/>
  <c r="C202" i="13" s="1"/>
  <c r="C203" i="13" s="1"/>
  <c r="C205" i="13" s="1"/>
  <c r="C206" i="13" s="1"/>
  <c r="C209" i="13" s="1"/>
  <c r="C210" i="13" s="1"/>
  <c r="C212" i="13" s="1"/>
  <c r="C213" i="13" s="1"/>
  <c r="C43" i="5"/>
  <c r="D42" i="21"/>
  <c r="C68" i="5"/>
  <c r="D68" i="21" s="1"/>
  <c r="D67" i="21"/>
  <c r="C97" i="5"/>
  <c r="D98" i="21" s="1"/>
  <c r="D96" i="21"/>
  <c r="C111" i="5"/>
  <c r="D110" i="21"/>
  <c r="C120" i="5"/>
  <c r="D119" i="21"/>
  <c r="C152" i="5"/>
  <c r="D152" i="21" s="1"/>
  <c r="D151" i="21"/>
  <c r="W137" i="5"/>
  <c r="P137" i="5"/>
  <c r="I137" i="5"/>
  <c r="F137" i="5"/>
  <c r="W70" i="5"/>
  <c r="F105" i="5"/>
  <c r="X70" i="5"/>
  <c r="Y70" i="21" s="1"/>
  <c r="F149" i="5"/>
  <c r="Q70" i="5"/>
  <c r="R70" i="21" s="1"/>
  <c r="I70" i="5"/>
  <c r="J70" i="5"/>
  <c r="K70" i="21" s="1"/>
  <c r="P70" i="5"/>
  <c r="F26" i="5"/>
  <c r="F26" i="21" s="1"/>
  <c r="C167" i="5"/>
  <c r="C165" i="5"/>
  <c r="D165" i="21" s="1"/>
  <c r="Z19" i="13"/>
  <c r="P165" i="5"/>
  <c r="I165" i="5"/>
  <c r="F165" i="5"/>
  <c r="W165" i="5"/>
  <c r="C155" i="5"/>
  <c r="W153" i="5"/>
  <c r="P153" i="5"/>
  <c r="F153" i="5"/>
  <c r="I153" i="5"/>
  <c r="X190" i="5"/>
  <c r="Y190" i="21" s="1"/>
  <c r="Q190" i="5"/>
  <c r="R190" i="21" s="1"/>
  <c r="J190" i="5"/>
  <c r="K190" i="21" s="1"/>
  <c r="F190" i="5"/>
  <c r="F39" i="5"/>
  <c r="W39" i="5"/>
  <c r="W39" i="21" s="1"/>
  <c r="I39" i="5"/>
  <c r="I39" i="21" s="1"/>
  <c r="P39" i="5"/>
  <c r="P39" i="21" s="1"/>
  <c r="F163" i="5"/>
  <c r="F14" i="5"/>
  <c r="F14" i="21" s="1"/>
  <c r="Q173" i="5"/>
  <c r="R173" i="21" s="1"/>
  <c r="Q172" i="5"/>
  <c r="X173" i="5"/>
  <c r="Y173" i="21" s="1"/>
  <c r="X172" i="5"/>
  <c r="Q85" i="5"/>
  <c r="R85" i="21" s="1"/>
  <c r="X85" i="5"/>
  <c r="Y85" i="21" s="1"/>
  <c r="Q135" i="5"/>
  <c r="R135" i="21" s="1"/>
  <c r="X135" i="5"/>
  <c r="Y135" i="21" s="1"/>
  <c r="X191" i="5"/>
  <c r="Y191" i="21" s="1"/>
  <c r="X112" i="5"/>
  <c r="Y112" i="21" s="1"/>
  <c r="Q142" i="5"/>
  <c r="R142" i="21" s="1"/>
  <c r="X42" i="5"/>
  <c r="Y42" i="21" s="1"/>
  <c r="Q196" i="5"/>
  <c r="R196" i="21" s="1"/>
  <c r="X57" i="5"/>
  <c r="Y57" i="21" s="1"/>
  <c r="Q29" i="5"/>
  <c r="Q180" i="5"/>
  <c r="R180" i="21" s="1"/>
  <c r="Q43" i="5"/>
  <c r="R43" i="21" s="1"/>
  <c r="X81" i="5"/>
  <c r="Y81" i="21" s="1"/>
  <c r="Q59" i="5"/>
  <c r="R59" i="21" s="1"/>
  <c r="Q108" i="5"/>
  <c r="R108" i="21" s="1"/>
  <c r="X129" i="5"/>
  <c r="Y129" i="21" s="1"/>
  <c r="Q199" i="5"/>
  <c r="R199" i="21" s="1"/>
  <c r="X89" i="5"/>
  <c r="Y89" i="21" s="1"/>
  <c r="X15" i="5"/>
  <c r="X121" i="5"/>
  <c r="Y121" i="21" s="1"/>
  <c r="Q207" i="5"/>
  <c r="R207" i="21" s="1"/>
  <c r="X59" i="5"/>
  <c r="Y59" i="21" s="1"/>
  <c r="X196" i="5"/>
  <c r="Y196" i="21" s="1"/>
  <c r="Q201" i="5"/>
  <c r="R201" i="21" s="1"/>
  <c r="X52" i="5"/>
  <c r="Y52" i="21" s="1"/>
  <c r="Q74" i="5"/>
  <c r="R74" i="21" s="1"/>
  <c r="Q205" i="5"/>
  <c r="R205" i="21" s="1"/>
  <c r="Q79" i="5"/>
  <c r="R79" i="21" s="1"/>
  <c r="X75" i="5"/>
  <c r="Y75" i="21" s="1"/>
  <c r="Q34" i="5"/>
  <c r="Q139" i="5"/>
  <c r="R139" i="21" s="1"/>
  <c r="X32" i="5"/>
  <c r="X29" i="5"/>
  <c r="X133" i="5"/>
  <c r="Y133" i="21" s="1"/>
  <c r="X142" i="5"/>
  <c r="Y142" i="21" s="1"/>
  <c r="X53" i="5"/>
  <c r="Y53" i="21" s="1"/>
  <c r="X201" i="5"/>
  <c r="Y201" i="21" s="1"/>
  <c r="Q208" i="5"/>
  <c r="R208" i="21" s="1"/>
  <c r="X72" i="5"/>
  <c r="Y72" i="21" s="1"/>
  <c r="Q27" i="5"/>
  <c r="Q189" i="5"/>
  <c r="R189" i="21" s="1"/>
  <c r="Q18" i="5"/>
  <c r="Q32" i="5"/>
  <c r="Q129" i="5"/>
  <c r="R129" i="21" s="1"/>
  <c r="Q62" i="5"/>
  <c r="R62" i="21" s="1"/>
  <c r="Q86" i="5"/>
  <c r="R86" i="21" s="1"/>
  <c r="X19" i="5"/>
  <c r="X128" i="5"/>
  <c r="Y128" i="21" s="1"/>
  <c r="X207" i="5"/>
  <c r="Y207" i="21" s="1"/>
  <c r="X67" i="5"/>
  <c r="Y67" i="21" s="1"/>
  <c r="Q48" i="5"/>
  <c r="R48" i="21" s="1"/>
  <c r="X91" i="5"/>
  <c r="Y91" i="21" s="1"/>
  <c r="Q67" i="5"/>
  <c r="R67" i="21" s="1"/>
  <c r="Q19" i="5"/>
  <c r="Q84" i="5"/>
  <c r="R84" i="21" s="1"/>
  <c r="X108" i="5"/>
  <c r="Y108" i="21" s="1"/>
  <c r="Q21" i="5"/>
  <c r="Q124" i="5"/>
  <c r="R124" i="21" s="1"/>
  <c r="Q52" i="5"/>
  <c r="R52" i="21" s="1"/>
  <c r="X43" i="5"/>
  <c r="Y43" i="21" s="1"/>
  <c r="X177" i="5"/>
  <c r="Y177" i="21" s="1"/>
  <c r="X84" i="5"/>
  <c r="Y84" i="21" s="1"/>
  <c r="Q14" i="5"/>
  <c r="X208" i="5"/>
  <c r="Y208" i="21" s="1"/>
  <c r="X82" i="5"/>
  <c r="Y82" i="21" s="1"/>
  <c r="Q41" i="5"/>
  <c r="R41" i="21" s="1"/>
  <c r="Q112" i="5"/>
  <c r="R112" i="21" s="1"/>
  <c r="Q45" i="5"/>
  <c r="R45" i="21" s="1"/>
  <c r="X139" i="5"/>
  <c r="Y139" i="21" s="1"/>
  <c r="Q44" i="5"/>
  <c r="Q186" i="5"/>
  <c r="R186" i="21" s="1"/>
  <c r="Q42" i="5"/>
  <c r="R42" i="21" s="1"/>
  <c r="X60" i="5"/>
  <c r="Y60" i="21" s="1"/>
  <c r="X169" i="5"/>
  <c r="Y169" i="21" s="1"/>
  <c r="Q68" i="5"/>
  <c r="R68" i="21" s="1"/>
  <c r="X78" i="5"/>
  <c r="Y78" i="21" s="1"/>
  <c r="Q100" i="5"/>
  <c r="R100" i="21" s="1"/>
  <c r="Q54" i="5"/>
  <c r="R54" i="21" s="1"/>
  <c r="X76" i="5"/>
  <c r="Y76" i="21" s="1"/>
  <c r="X54" i="5"/>
  <c r="Y54" i="21" s="1"/>
  <c r="X198" i="5"/>
  <c r="Y198" i="21" s="1"/>
  <c r="Q133" i="5"/>
  <c r="R133" i="21" s="1"/>
  <c r="X100" i="5"/>
  <c r="Y100" i="21" s="1"/>
  <c r="Q111" i="5"/>
  <c r="R111" i="21" s="1"/>
  <c r="Q128" i="5"/>
  <c r="R128" i="21" s="1"/>
  <c r="X110" i="5"/>
  <c r="Y110" i="21" s="1"/>
  <c r="Q91" i="5"/>
  <c r="R91" i="21" s="1"/>
  <c r="Q78" i="5"/>
  <c r="R78" i="21" s="1"/>
  <c r="X21" i="5"/>
  <c r="X124" i="5"/>
  <c r="Y124" i="21" s="1"/>
  <c r="Q50" i="5"/>
  <c r="R50" i="21" s="1"/>
  <c r="Q204" i="5"/>
  <c r="R204" i="21" s="1"/>
  <c r="X48" i="5"/>
  <c r="Y48" i="21" s="1"/>
  <c r="X202" i="5"/>
  <c r="Y202" i="21" s="1"/>
  <c r="Q177" i="5"/>
  <c r="R177" i="21" s="1"/>
  <c r="X111" i="5"/>
  <c r="Y111" i="21" s="1"/>
  <c r="Q132" i="5"/>
  <c r="R132" i="21" s="1"/>
  <c r="Q53" i="5"/>
  <c r="R53" i="21" s="1"/>
  <c r="X140" i="5"/>
  <c r="Y140" i="21" s="1"/>
  <c r="Q82" i="5"/>
  <c r="R82" i="21" s="1"/>
  <c r="Q22" i="5"/>
  <c r="X44" i="5"/>
  <c r="Y44" i="21" s="1"/>
  <c r="X186" i="5"/>
  <c r="Y186" i="21" s="1"/>
  <c r="Q191" i="5"/>
  <c r="R191" i="21" s="1"/>
  <c r="X68" i="5"/>
  <c r="Y68" i="21" s="1"/>
  <c r="Q60" i="5"/>
  <c r="R60" i="21" s="1"/>
  <c r="Q198" i="5"/>
  <c r="R198" i="21" s="1"/>
  <c r="X132" i="5"/>
  <c r="Y132" i="21" s="1"/>
  <c r="Q156" i="5"/>
  <c r="R156" i="21" s="1"/>
  <c r="X34" i="5"/>
  <c r="X125" i="5"/>
  <c r="Y125" i="21" s="1"/>
  <c r="Q110" i="5"/>
  <c r="R110" i="21" s="1"/>
  <c r="Q57" i="5"/>
  <c r="R57" i="21" s="1"/>
  <c r="X62" i="5"/>
  <c r="Y62" i="21" s="1"/>
  <c r="X199" i="5"/>
  <c r="Y199" i="21" s="1"/>
  <c r="Q89" i="5"/>
  <c r="R89" i="21" s="1"/>
  <c r="X86" i="5"/>
  <c r="Y86" i="21" s="1"/>
  <c r="Q121" i="5"/>
  <c r="R121" i="21" s="1"/>
  <c r="X14" i="5"/>
  <c r="X156" i="5"/>
  <c r="Y156" i="21" s="1"/>
  <c r="Q181" i="5"/>
  <c r="R181" i="21" s="1"/>
  <c r="X22" i="5"/>
  <c r="X164" i="5"/>
  <c r="Y164" i="21" s="1"/>
  <c r="Q140" i="5"/>
  <c r="R140" i="21" s="1"/>
  <c r="Q72" i="5"/>
  <c r="R72" i="21" s="1"/>
  <c r="X50" i="5"/>
  <c r="Y50" i="21" s="1"/>
  <c r="X204" i="5"/>
  <c r="Y204" i="21" s="1"/>
  <c r="Q81" i="5"/>
  <c r="R81" i="21" s="1"/>
  <c r="X79" i="5"/>
  <c r="Y79" i="21" s="1"/>
  <c r="Q169" i="5"/>
  <c r="R169" i="21" s="1"/>
  <c r="X27" i="5"/>
  <c r="X181" i="5"/>
  <c r="Y181" i="21" s="1"/>
  <c r="X45" i="5"/>
  <c r="Y45" i="21" s="1"/>
  <c r="X180" i="5"/>
  <c r="Y180" i="21" s="1"/>
  <c r="Q125" i="5"/>
  <c r="R125" i="21" s="1"/>
  <c r="Q76" i="5"/>
  <c r="R76" i="21" s="1"/>
  <c r="Q15" i="5"/>
  <c r="Q75" i="5"/>
  <c r="R75" i="21" s="1"/>
  <c r="X74" i="5"/>
  <c r="Y74" i="21" s="1"/>
  <c r="Q202" i="5"/>
  <c r="R202" i="21" s="1"/>
  <c r="X18" i="5"/>
  <c r="X41" i="5"/>
  <c r="Y41" i="21" s="1"/>
  <c r="X205" i="5"/>
  <c r="Y205" i="21" s="1"/>
  <c r="Q164" i="5"/>
  <c r="R164" i="21" s="1"/>
  <c r="X189" i="5"/>
  <c r="Y189" i="21" s="1"/>
  <c r="W212" i="13"/>
  <c r="W201" i="13"/>
  <c r="F11" i="5"/>
  <c r="W99" i="5"/>
  <c r="P99" i="5"/>
  <c r="I99" i="5"/>
  <c r="F85" i="5"/>
  <c r="J85" i="5"/>
  <c r="K85" i="21" s="1"/>
  <c r="F25" i="5"/>
  <c r="F25" i="21" s="1"/>
  <c r="F198" i="5"/>
  <c r="P197" i="5"/>
  <c r="I197" i="5"/>
  <c r="J198" i="5"/>
  <c r="K198" i="21" s="1"/>
  <c r="C139" i="5"/>
  <c r="Z83" i="13"/>
  <c r="Z86" i="13"/>
  <c r="Z192" i="13"/>
  <c r="Z144" i="13"/>
  <c r="Z171" i="13"/>
  <c r="Z148" i="13"/>
  <c r="Z175" i="13"/>
  <c r="Z179" i="13"/>
  <c r="Z155" i="13"/>
  <c r="Z183" i="13"/>
  <c r="F135" i="5"/>
  <c r="J135" i="5"/>
  <c r="K135" i="21" s="1"/>
  <c r="Z138" i="13"/>
  <c r="Z51" i="13"/>
  <c r="Z75" i="13"/>
  <c r="Z100" i="13"/>
  <c r="Z26" i="13"/>
  <c r="Z117" i="13"/>
  <c r="F197" i="5"/>
  <c r="Z11" i="13"/>
  <c r="F199" i="5"/>
  <c r="J199" i="5"/>
  <c r="K199" i="21" s="1"/>
  <c r="Z39" i="13"/>
  <c r="Z46" i="13"/>
  <c r="Z69" i="13"/>
  <c r="Z126" i="13"/>
  <c r="F224" i="5"/>
  <c r="Z13" i="13"/>
  <c r="Z130" i="13"/>
  <c r="Z30" i="13"/>
  <c r="Z103" i="13"/>
  <c r="Z134" i="13"/>
  <c r="Z79" i="13"/>
  <c r="Z16" i="13"/>
  <c r="Z59" i="13"/>
  <c r="D197" i="21"/>
  <c r="J18" i="5"/>
  <c r="F17" i="5"/>
  <c r="F17" i="21" s="1"/>
  <c r="F30" i="5"/>
  <c r="F30" i="21" s="1"/>
  <c r="F16" i="5"/>
  <c r="F16" i="21" s="1"/>
  <c r="F225" i="5"/>
  <c r="J21" i="5"/>
  <c r="F29" i="5"/>
  <c r="F29" i="21" s="1"/>
  <c r="J19" i="5"/>
  <c r="J22" i="5"/>
  <c r="F28" i="5"/>
  <c r="F28" i="21" s="1"/>
  <c r="I188" i="5"/>
  <c r="I185" i="5"/>
  <c r="I179" i="5"/>
  <c r="I131" i="5"/>
  <c r="I123" i="5"/>
  <c r="I47" i="5"/>
  <c r="F187" i="5"/>
  <c r="F90" i="5"/>
  <c r="F109" i="5"/>
  <c r="J181" i="5"/>
  <c r="K181" i="21" s="1"/>
  <c r="J128" i="5"/>
  <c r="K128" i="21" s="1"/>
  <c r="J91" i="5"/>
  <c r="K91" i="21" s="1"/>
  <c r="J60" i="5"/>
  <c r="K60" i="21" s="1"/>
  <c r="F184" i="5"/>
  <c r="F156" i="5"/>
  <c r="F87" i="5"/>
  <c r="F148" i="5"/>
  <c r="W47" i="5"/>
  <c r="F51" i="5"/>
  <c r="J201" i="5"/>
  <c r="K201" i="21" s="1"/>
  <c r="J133" i="5"/>
  <c r="K133" i="21" s="1"/>
  <c r="J108" i="5"/>
  <c r="K108" i="21" s="1"/>
  <c r="J42" i="5"/>
  <c r="K42" i="21" s="1"/>
  <c r="F207" i="5"/>
  <c r="F204" i="5"/>
  <c r="F201" i="5"/>
  <c r="F191" i="5"/>
  <c r="F188" i="5"/>
  <c r="F185" i="5"/>
  <c r="F181" i="5"/>
  <c r="F179" i="5"/>
  <c r="F176" i="5"/>
  <c r="F173" i="5"/>
  <c r="F168" i="5"/>
  <c r="F164" i="5"/>
  <c r="F157" i="5"/>
  <c r="F152" i="5"/>
  <c r="F143" i="5"/>
  <c r="F140" i="5"/>
  <c r="F138" i="5"/>
  <c r="F133" i="5"/>
  <c r="F131" i="5"/>
  <c r="F128" i="5"/>
  <c r="F125" i="5"/>
  <c r="F123" i="5"/>
  <c r="F120" i="5"/>
  <c r="F114" i="5"/>
  <c r="F111" i="5"/>
  <c r="F108" i="5"/>
  <c r="F100" i="5"/>
  <c r="F97" i="5"/>
  <c r="F91" i="5"/>
  <c r="F88" i="5"/>
  <c r="F84" i="5"/>
  <c r="F81" i="5"/>
  <c r="F78" i="5"/>
  <c r="F75" i="5"/>
  <c r="F72" i="5"/>
  <c r="F69" i="5"/>
  <c r="F67" i="5"/>
  <c r="F60" i="5"/>
  <c r="F57" i="5"/>
  <c r="F54" i="5"/>
  <c r="F52" i="5"/>
  <c r="F49" i="5"/>
  <c r="F47" i="5"/>
  <c r="F44" i="5"/>
  <c r="F42" i="5"/>
  <c r="F182" i="5"/>
  <c r="F154" i="5"/>
  <c r="F83" i="5"/>
  <c r="F118" i="5"/>
  <c r="J111" i="5"/>
  <c r="K111" i="21" s="1"/>
  <c r="J72" i="5"/>
  <c r="K72" i="21" s="1"/>
  <c r="W175" i="5"/>
  <c r="W167" i="5"/>
  <c r="W127" i="5"/>
  <c r="W119" i="5"/>
  <c r="W56" i="5"/>
  <c r="F178" i="5"/>
  <c r="F141" i="5"/>
  <c r="F80" i="5"/>
  <c r="F104" i="5"/>
  <c r="F104" i="21" s="1"/>
  <c r="F107" i="5"/>
  <c r="J191" i="5"/>
  <c r="K191" i="21" s="1"/>
  <c r="J125" i="5"/>
  <c r="K125" i="21" s="1"/>
  <c r="J57" i="5"/>
  <c r="K57" i="21" s="1"/>
  <c r="F98" i="5"/>
  <c r="P175" i="5"/>
  <c r="P167" i="5"/>
  <c r="P127" i="5"/>
  <c r="P119" i="5"/>
  <c r="P56" i="5"/>
  <c r="F174" i="5"/>
  <c r="F136" i="5"/>
  <c r="F77" i="5"/>
  <c r="F95" i="5"/>
  <c r="F95" i="21" s="1"/>
  <c r="W123" i="5"/>
  <c r="J81" i="5"/>
  <c r="K81" i="21" s="1"/>
  <c r="J54" i="5"/>
  <c r="K54" i="21" s="1"/>
  <c r="J208" i="5"/>
  <c r="K208" i="21" s="1"/>
  <c r="J205" i="5"/>
  <c r="K205" i="21" s="1"/>
  <c r="J202" i="5"/>
  <c r="K202" i="21" s="1"/>
  <c r="J196" i="5"/>
  <c r="K196" i="21" s="1"/>
  <c r="J189" i="5"/>
  <c r="K189" i="21" s="1"/>
  <c r="J186" i="5"/>
  <c r="K186" i="21" s="1"/>
  <c r="J180" i="5"/>
  <c r="K180" i="21" s="1"/>
  <c r="J177" i="5"/>
  <c r="K177" i="21" s="1"/>
  <c r="J169" i="5"/>
  <c r="K169" i="21" s="1"/>
  <c r="J142" i="5"/>
  <c r="K142" i="21" s="1"/>
  <c r="J139" i="5"/>
  <c r="K139" i="21" s="1"/>
  <c r="J132" i="5"/>
  <c r="K132" i="21" s="1"/>
  <c r="J129" i="5"/>
  <c r="K129" i="21" s="1"/>
  <c r="J124" i="5"/>
  <c r="K124" i="21" s="1"/>
  <c r="J121" i="5"/>
  <c r="K121" i="21" s="1"/>
  <c r="J112" i="5"/>
  <c r="K112" i="21" s="1"/>
  <c r="J110" i="5"/>
  <c r="K110" i="21" s="1"/>
  <c r="J89" i="5"/>
  <c r="K89" i="21" s="1"/>
  <c r="J86" i="5"/>
  <c r="K86" i="21" s="1"/>
  <c r="J82" i="5"/>
  <c r="K82" i="21" s="1"/>
  <c r="J79" i="5"/>
  <c r="K79" i="21" s="1"/>
  <c r="J76" i="5"/>
  <c r="K76" i="21" s="1"/>
  <c r="J74" i="5"/>
  <c r="K74" i="21" s="1"/>
  <c r="J68" i="5"/>
  <c r="K68" i="21" s="1"/>
  <c r="J62" i="5"/>
  <c r="K62" i="21" s="1"/>
  <c r="J59" i="5"/>
  <c r="K59" i="21" s="1"/>
  <c r="J53" i="5"/>
  <c r="K53" i="21" s="1"/>
  <c r="J50" i="5"/>
  <c r="K50" i="21" s="1"/>
  <c r="J48" i="5"/>
  <c r="K48" i="21" s="1"/>
  <c r="J45" i="5"/>
  <c r="K45" i="21" s="1"/>
  <c r="J43" i="5"/>
  <c r="K43" i="21" s="1"/>
  <c r="J41" i="5"/>
  <c r="K41" i="21" s="1"/>
  <c r="F170" i="5"/>
  <c r="F130" i="5"/>
  <c r="F73" i="5"/>
  <c r="F66" i="5"/>
  <c r="F66" i="21" s="1"/>
  <c r="F46" i="5"/>
  <c r="J164" i="5"/>
  <c r="K164" i="21" s="1"/>
  <c r="J67" i="5"/>
  <c r="K67" i="21" s="1"/>
  <c r="F200" i="5"/>
  <c r="I167" i="5"/>
  <c r="I127" i="5"/>
  <c r="I119" i="5"/>
  <c r="I56" i="5"/>
  <c r="F166" i="5"/>
  <c r="F126" i="5"/>
  <c r="F61" i="5"/>
  <c r="F61" i="21" s="1"/>
  <c r="F38" i="5"/>
  <c r="F38" i="21" s="1"/>
  <c r="J100" i="5"/>
  <c r="K100" i="21" s="1"/>
  <c r="F158" i="5"/>
  <c r="F158" i="21" s="1"/>
  <c r="F58" i="5"/>
  <c r="F58" i="21" s="1"/>
  <c r="F206" i="5"/>
  <c r="J207" i="5"/>
  <c r="K207" i="21" s="1"/>
  <c r="J75" i="5"/>
  <c r="K75" i="21" s="1"/>
  <c r="J44" i="5"/>
  <c r="K44" i="21" s="1"/>
  <c r="F208" i="5"/>
  <c r="F205" i="5"/>
  <c r="F205" i="21" s="1"/>
  <c r="F202" i="5"/>
  <c r="F196" i="5"/>
  <c r="F189" i="5"/>
  <c r="F186" i="5"/>
  <c r="F183" i="5"/>
  <c r="F180" i="5"/>
  <c r="F177" i="5"/>
  <c r="F175" i="5"/>
  <c r="F172" i="5"/>
  <c r="F172" i="21" s="1"/>
  <c r="F169" i="5"/>
  <c r="F167" i="5"/>
  <c r="F159" i="5"/>
  <c r="F155" i="5"/>
  <c r="F151" i="5"/>
  <c r="F144" i="5"/>
  <c r="F142" i="5"/>
  <c r="F139" i="5"/>
  <c r="F134" i="5"/>
  <c r="F132" i="5"/>
  <c r="F129" i="5"/>
  <c r="F127" i="5"/>
  <c r="F124" i="5"/>
  <c r="F121" i="5"/>
  <c r="F119" i="5"/>
  <c r="F112" i="5"/>
  <c r="F110" i="5"/>
  <c r="F99" i="5"/>
  <c r="F96" i="5"/>
  <c r="F89" i="5"/>
  <c r="F86" i="5"/>
  <c r="F82" i="5"/>
  <c r="F79" i="5"/>
  <c r="F76" i="5"/>
  <c r="F74" i="5"/>
  <c r="F71" i="5"/>
  <c r="F71" i="21" s="1"/>
  <c r="F68" i="5"/>
  <c r="F68" i="21" s="1"/>
  <c r="F62" i="5"/>
  <c r="F59" i="5"/>
  <c r="F56" i="5"/>
  <c r="F53" i="5"/>
  <c r="F50" i="5"/>
  <c r="F48" i="5"/>
  <c r="F45" i="5"/>
  <c r="F43" i="5"/>
  <c r="F41" i="5"/>
  <c r="F41" i="21" s="1"/>
  <c r="F113" i="5"/>
  <c r="F55" i="5"/>
  <c r="F55" i="21" s="1"/>
  <c r="W131" i="5"/>
  <c r="J84" i="5"/>
  <c r="K84" i="21" s="1"/>
  <c r="F195" i="5"/>
  <c r="W188" i="5"/>
  <c r="W185" i="5"/>
  <c r="W179" i="5"/>
  <c r="P188" i="5"/>
  <c r="P185" i="5"/>
  <c r="P179" i="5"/>
  <c r="P131" i="5"/>
  <c r="P123" i="5"/>
  <c r="P47" i="5"/>
  <c r="F203" i="5"/>
  <c r="J156" i="5"/>
  <c r="K156" i="21" s="1"/>
  <c r="J204" i="5"/>
  <c r="K204" i="21" s="1"/>
  <c r="J140" i="5"/>
  <c r="K140" i="21" s="1"/>
  <c r="J78" i="5"/>
  <c r="K78" i="21" s="1"/>
  <c r="J52" i="5"/>
  <c r="K52" i="21" s="1"/>
  <c r="F27" i="5"/>
  <c r="F27" i="21" s="1"/>
  <c r="J34" i="5"/>
  <c r="F223" i="5"/>
  <c r="F15" i="5"/>
  <c r="F15" i="21" s="1"/>
  <c r="F24" i="5"/>
  <c r="F24" i="21" s="1"/>
  <c r="J15" i="5"/>
  <c r="F23" i="5"/>
  <c r="F23" i="21" s="1"/>
  <c r="J32" i="5"/>
  <c r="J14" i="5"/>
  <c r="F32" i="5"/>
  <c r="F32" i="21" s="1"/>
  <c r="F22" i="5"/>
  <c r="F22" i="21" s="1"/>
  <c r="F18" i="5"/>
  <c r="F18" i="21" s="1"/>
  <c r="F12" i="5"/>
  <c r="F12" i="21" s="1"/>
  <c r="F21" i="5"/>
  <c r="F21" i="21" s="1"/>
  <c r="J29" i="5"/>
  <c r="F31" i="5"/>
  <c r="F31" i="21" s="1"/>
  <c r="F34" i="5"/>
  <c r="F34" i="21" s="1"/>
  <c r="F20" i="5"/>
  <c r="F20" i="21" s="1"/>
  <c r="F33" i="5"/>
  <c r="F33" i="21" s="1"/>
  <c r="F19" i="5"/>
  <c r="F19" i="21" s="1"/>
  <c r="F222" i="5"/>
  <c r="AE247" i="5"/>
  <c r="AF247" i="5"/>
  <c r="AG247" i="5"/>
  <c r="F247" i="5"/>
  <c r="F251" i="5"/>
  <c r="Y21" i="21" l="1"/>
  <c r="R21" i="21"/>
  <c r="R18" i="21"/>
  <c r="R29" i="21"/>
  <c r="K34" i="21"/>
  <c r="Y14" i="21"/>
  <c r="Y29" i="21"/>
  <c r="Y34" i="21"/>
  <c r="R14" i="21"/>
  <c r="Y19" i="21"/>
  <c r="R27" i="21"/>
  <c r="Y32" i="21"/>
  <c r="Y18" i="21"/>
  <c r="R22" i="21"/>
  <c r="R44" i="21"/>
  <c r="R19" i="21"/>
  <c r="Y172" i="21"/>
  <c r="K29" i="21"/>
  <c r="K19" i="21"/>
  <c r="R34" i="21"/>
  <c r="Y27" i="21"/>
  <c r="R172" i="21"/>
  <c r="K14" i="21"/>
  <c r="K32" i="21"/>
  <c r="K18" i="21"/>
  <c r="K15" i="21"/>
  <c r="K21" i="21"/>
  <c r="Y22" i="21"/>
  <c r="R32" i="21"/>
  <c r="K22" i="21"/>
  <c r="R15" i="21"/>
  <c r="Y15" i="21"/>
  <c r="B81" i="11"/>
  <c r="F118" i="21"/>
  <c r="C69" i="5"/>
  <c r="B71" i="11"/>
  <c r="B72" i="11"/>
  <c r="B80" i="11"/>
  <c r="B59" i="11"/>
  <c r="B70" i="11"/>
  <c r="B55" i="11"/>
  <c r="C70" i="5"/>
  <c r="D70" i="21" s="1"/>
  <c r="F163" i="21"/>
  <c r="F137" i="21"/>
  <c r="F11" i="21"/>
  <c r="F43" i="21"/>
  <c r="F157" i="21"/>
  <c r="F185" i="21"/>
  <c r="F96" i="21"/>
  <c r="F39" i="21"/>
  <c r="F155" i="21"/>
  <c r="F154" i="21"/>
  <c r="F53" i="21"/>
  <c r="F186" i="21"/>
  <c r="F45" i="21"/>
  <c r="F86" i="21"/>
  <c r="F50" i="21"/>
  <c r="F89" i="21"/>
  <c r="F59" i="21"/>
  <c r="F206" i="21"/>
  <c r="F56" i="21"/>
  <c r="F189" i="21"/>
  <c r="F46" i="21"/>
  <c r="F60" i="21"/>
  <c r="F184" i="21"/>
  <c r="F223" i="21"/>
  <c r="F67" i="21"/>
  <c r="F152" i="21"/>
  <c r="F69" i="21"/>
  <c r="F114" i="21"/>
  <c r="F115" i="21"/>
  <c r="F207" i="21"/>
  <c r="F48" i="21"/>
  <c r="B54" i="11"/>
  <c r="F42" i="21"/>
  <c r="F105" i="21"/>
  <c r="F144" i="21"/>
  <c r="F145" i="21"/>
  <c r="F44" i="21"/>
  <c r="F190" i="21"/>
  <c r="F47" i="21"/>
  <c r="F51" i="21"/>
  <c r="F187" i="21"/>
  <c r="F225" i="21"/>
  <c r="F226" i="21"/>
  <c r="F62" i="21"/>
  <c r="F63" i="21"/>
  <c r="F49" i="21"/>
  <c r="F159" i="21"/>
  <c r="F160" i="21"/>
  <c r="F52" i="21"/>
  <c r="B56" i="11"/>
  <c r="F208" i="21"/>
  <c r="F209" i="21"/>
  <c r="F54" i="21"/>
  <c r="F188" i="21"/>
  <c r="F224" i="21"/>
  <c r="F57" i="21"/>
  <c r="F143" i="21"/>
  <c r="F191" i="21"/>
  <c r="F192" i="21"/>
  <c r="F156" i="21"/>
  <c r="F153" i="21"/>
  <c r="C121" i="5"/>
  <c r="D120" i="21"/>
  <c r="C112" i="5"/>
  <c r="D112" i="21" s="1"/>
  <c r="D111" i="21"/>
  <c r="D201" i="21"/>
  <c r="C168" i="5"/>
  <c r="D167" i="21"/>
  <c r="C71" i="5"/>
  <c r="D69" i="21"/>
  <c r="C140" i="5"/>
  <c r="D139" i="21"/>
  <c r="C99" i="5"/>
  <c r="D97" i="21"/>
  <c r="C153" i="5"/>
  <c r="D153" i="21" s="1"/>
  <c r="C157" i="5"/>
  <c r="D155" i="21"/>
  <c r="C44" i="5"/>
  <c r="D43" i="21"/>
  <c r="F109" i="21"/>
  <c r="F129" i="21"/>
  <c r="F138" i="21"/>
  <c r="F148" i="21"/>
  <c r="F151" i="21"/>
  <c r="F70" i="21"/>
  <c r="F74" i="21"/>
  <c r="F106" i="21"/>
  <c r="F99" i="21"/>
  <c r="F120" i="21"/>
  <c r="F197" i="21"/>
  <c r="F179" i="21"/>
  <c r="F165" i="21"/>
  <c r="F140" i="21"/>
  <c r="F173" i="21"/>
  <c r="F142" i="21"/>
  <c r="F202" i="21"/>
  <c r="F126" i="21"/>
  <c r="F79" i="21"/>
  <c r="F149" i="21"/>
  <c r="F133" i="21"/>
  <c r="F177" i="21"/>
  <c r="F84" i="21"/>
  <c r="F98" i="21"/>
  <c r="F136" i="21"/>
  <c r="F166" i="21"/>
  <c r="F204" i="21"/>
  <c r="F119" i="21"/>
  <c r="F78" i="21"/>
  <c r="F124" i="21"/>
  <c r="F200" i="21"/>
  <c r="F199" i="21"/>
  <c r="F76" i="21"/>
  <c r="F168" i="21"/>
  <c r="F123" i="21"/>
  <c r="F170" i="21"/>
  <c r="F80" i="21"/>
  <c r="F72" i="21"/>
  <c r="F180" i="21"/>
  <c r="F121" i="21"/>
  <c r="F139" i="21"/>
  <c r="F75" i="21"/>
  <c r="F122" i="21"/>
  <c r="F196" i="21"/>
  <c r="F183" i="21"/>
  <c r="F175" i="21"/>
  <c r="F169" i="21"/>
  <c r="F108" i="21"/>
  <c r="F81" i="21"/>
  <c r="F127" i="21"/>
  <c r="F90" i="21"/>
  <c r="F195" i="21"/>
  <c r="F130" i="21"/>
  <c r="F176" i="21"/>
  <c r="F111" i="21"/>
  <c r="F88" i="21"/>
  <c r="F132" i="21"/>
  <c r="F178" i="21"/>
  <c r="F125" i="21"/>
  <c r="F73" i="21"/>
  <c r="F91" i="21"/>
  <c r="F92" i="21"/>
  <c r="F182" i="21"/>
  <c r="F164" i="21"/>
  <c r="F97" i="21"/>
  <c r="F87" i="21"/>
  <c r="F85" i="21"/>
  <c r="F167" i="21"/>
  <c r="F100" i="21"/>
  <c r="F101" i="21"/>
  <c r="F141" i="21"/>
  <c r="F112" i="21"/>
  <c r="F107" i="21"/>
  <c r="F198" i="21"/>
  <c r="F181" i="21"/>
  <c r="F82" i="21"/>
  <c r="F128" i="21"/>
  <c r="F171" i="21"/>
  <c r="F77" i="21"/>
  <c r="F110" i="21"/>
  <c r="F201" i="21"/>
  <c r="F131" i="21"/>
  <c r="F174" i="21"/>
  <c r="F203" i="21"/>
  <c r="F135" i="21"/>
  <c r="F83" i="21"/>
  <c r="F113" i="21"/>
  <c r="F134" i="21"/>
  <c r="F150" i="21"/>
  <c r="W210" i="13"/>
  <c r="W213" i="13"/>
  <c r="W202" i="13"/>
  <c r="W203" i="13"/>
  <c r="D198" i="21"/>
  <c r="D199" i="21"/>
  <c r="Z10" i="13"/>
  <c r="AG258" i="5"/>
  <c r="AF258" i="5"/>
  <c r="AE258" i="5"/>
  <c r="F258" i="5"/>
  <c r="F257" i="5"/>
  <c r="AG257" i="5"/>
  <c r="AF257" i="5"/>
  <c r="AE257" i="5"/>
  <c r="AG254" i="5"/>
  <c r="AF254" i="5"/>
  <c r="AE254" i="5"/>
  <c r="F254" i="5"/>
  <c r="AG259" i="5"/>
  <c r="AF259" i="5"/>
  <c r="AE259" i="5"/>
  <c r="F259" i="5"/>
  <c r="AG252" i="5"/>
  <c r="AF252" i="5"/>
  <c r="AE252" i="5"/>
  <c r="F252" i="5"/>
  <c r="AG248" i="5"/>
  <c r="AF248" i="5"/>
  <c r="AE248" i="5"/>
  <c r="F248" i="5"/>
  <c r="F246" i="5"/>
  <c r="AG246" i="5"/>
  <c r="AF246" i="5"/>
  <c r="AE246" i="5"/>
  <c r="AG251" i="5"/>
  <c r="AF251" i="5"/>
  <c r="AE251" i="5"/>
  <c r="AG245" i="5"/>
  <c r="AF245" i="5"/>
  <c r="AE245" i="5"/>
  <c r="F245" i="5"/>
  <c r="AG236" i="5"/>
  <c r="AF236" i="5"/>
  <c r="AE236" i="5"/>
  <c r="F236" i="5"/>
  <c r="AG255" i="5"/>
  <c r="AF255" i="5"/>
  <c r="AE255" i="5"/>
  <c r="F255" i="5"/>
  <c r="C142" i="5" l="1"/>
  <c r="D140" i="21"/>
  <c r="C72" i="5"/>
  <c r="D71" i="21"/>
  <c r="C169" i="5"/>
  <c r="D168" i="21"/>
  <c r="C45" i="5"/>
  <c r="D44" i="21"/>
  <c r="D202" i="21"/>
  <c r="C159" i="5"/>
  <c r="D159" i="21" s="1"/>
  <c r="D157" i="21"/>
  <c r="C100" i="5"/>
  <c r="D100" i="21" s="1"/>
  <c r="D99" i="21"/>
  <c r="C123" i="5"/>
  <c r="D121" i="21"/>
  <c r="L11" i="3"/>
  <c r="K9" i="13" s="1"/>
  <c r="L12" i="3"/>
  <c r="L9" i="13" s="1"/>
  <c r="L13" i="3"/>
  <c r="M9" i="13" s="1"/>
  <c r="L14" i="3"/>
  <c r="N9" i="13" s="1"/>
  <c r="L15" i="3"/>
  <c r="O9" i="13" s="1"/>
  <c r="L16" i="3"/>
  <c r="P9" i="13" s="1"/>
  <c r="L10" i="3"/>
  <c r="L8" i="3"/>
  <c r="L9" i="3"/>
  <c r="L7" i="3"/>
  <c r="L6" i="3"/>
  <c r="L5" i="3"/>
  <c r="D204" i="21" l="1"/>
  <c r="C175" i="5"/>
  <c r="D169" i="21"/>
  <c r="C124" i="5"/>
  <c r="D123" i="21"/>
  <c r="C74" i="5"/>
  <c r="D72" i="21"/>
  <c r="C47" i="5"/>
  <c r="D45" i="21"/>
  <c r="C143" i="5"/>
  <c r="D142" i="21"/>
  <c r="J9" i="13"/>
  <c r="V91" i="13"/>
  <c r="V92" i="13"/>
  <c r="U101" i="13"/>
  <c r="Q9" i="13"/>
  <c r="Q13" i="3"/>
  <c r="O38" i="13"/>
  <c r="O233" i="13"/>
  <c r="O199" i="13"/>
  <c r="O216" i="13"/>
  <c r="O154" i="13"/>
  <c r="O168" i="13"/>
  <c r="O125" i="13"/>
  <c r="O112" i="13"/>
  <c r="O99" i="13"/>
  <c r="O68" i="13"/>
  <c r="M38" i="13"/>
  <c r="M168" i="13"/>
  <c r="M99" i="13"/>
  <c r="M199" i="13"/>
  <c r="M154" i="13"/>
  <c r="M112" i="13"/>
  <c r="M216" i="13"/>
  <c r="M125" i="13"/>
  <c r="M68" i="13"/>
  <c r="M233" i="13"/>
  <c r="J168" i="13"/>
  <c r="J199" i="13"/>
  <c r="J112" i="13"/>
  <c r="J233" i="13"/>
  <c r="J99" i="13"/>
  <c r="J38" i="13"/>
  <c r="J125" i="13"/>
  <c r="J216" i="13"/>
  <c r="J154" i="13"/>
  <c r="J68" i="13"/>
  <c r="P38" i="13"/>
  <c r="P233" i="13"/>
  <c r="P199" i="13"/>
  <c r="P216" i="13"/>
  <c r="P154" i="13"/>
  <c r="P168" i="13"/>
  <c r="P125" i="13"/>
  <c r="P112" i="13"/>
  <c r="P99" i="13"/>
  <c r="P68" i="13"/>
  <c r="N154" i="13"/>
  <c r="N168" i="13"/>
  <c r="N112" i="13"/>
  <c r="N216" i="13"/>
  <c r="N99" i="13"/>
  <c r="N38" i="13"/>
  <c r="N199" i="13"/>
  <c r="N125" i="13"/>
  <c r="N68" i="13"/>
  <c r="N233" i="13"/>
  <c r="L233" i="13"/>
  <c r="L216" i="13"/>
  <c r="L112" i="13"/>
  <c r="L38" i="13"/>
  <c r="L168" i="13"/>
  <c r="L125" i="13"/>
  <c r="L68" i="13"/>
  <c r="L199" i="13"/>
  <c r="L99" i="13"/>
  <c r="L154" i="13"/>
  <c r="K233" i="13"/>
  <c r="K112" i="13"/>
  <c r="K154" i="13"/>
  <c r="K99" i="13"/>
  <c r="K199" i="13"/>
  <c r="K168" i="13"/>
  <c r="K38" i="13"/>
  <c r="K125" i="13"/>
  <c r="K216" i="13"/>
  <c r="K68" i="13"/>
  <c r="P258" i="13"/>
  <c r="O258" i="13"/>
  <c r="M258" i="13"/>
  <c r="L258" i="13"/>
  <c r="N258" i="13"/>
  <c r="K258" i="13"/>
  <c r="J258" i="13"/>
  <c r="Y6" i="13" l="1"/>
  <c r="Q17" i="3"/>
  <c r="C125" i="5"/>
  <c r="D124" i="21"/>
  <c r="C144" i="5"/>
  <c r="D144" i="21" s="1"/>
  <c r="D143" i="21"/>
  <c r="C48" i="5"/>
  <c r="D47" i="21"/>
  <c r="C75" i="5"/>
  <c r="D74" i="21"/>
  <c r="C176" i="5"/>
  <c r="D175" i="21"/>
  <c r="D205" i="21"/>
  <c r="V90" i="13"/>
  <c r="Q68" i="13"/>
  <c r="Q38" i="13"/>
  <c r="Q125" i="13"/>
  <c r="Q233" i="13"/>
  <c r="Q216" i="13"/>
  <c r="Q199" i="13"/>
  <c r="Q168" i="13"/>
  <c r="Q154" i="13"/>
  <c r="Q112" i="13"/>
  <c r="Q99" i="13"/>
  <c r="Y5" i="13"/>
  <c r="X225" i="13"/>
  <c r="X226" i="13"/>
  <c r="X227" i="13"/>
  <c r="X228" i="13"/>
  <c r="X229" i="13"/>
  <c r="X189" i="13"/>
  <c r="X192" i="13"/>
  <c r="X175" i="13"/>
  <c r="X138" i="13"/>
  <c r="X144" i="13"/>
  <c r="X148" i="13"/>
  <c r="X130" i="13"/>
  <c r="BW192" i="13"/>
  <c r="BW189" i="13"/>
  <c r="BW148" i="13"/>
  <c r="E219" i="13"/>
  <c r="E220" i="13"/>
  <c r="E221" i="13"/>
  <c r="F216" i="5" s="1"/>
  <c r="E222" i="13"/>
  <c r="E223" i="13"/>
  <c r="E224" i="13"/>
  <c r="E225" i="13"/>
  <c r="E226" i="13"/>
  <c r="F7" i="5" l="1"/>
  <c r="F7" i="21" s="1"/>
  <c r="Y4" i="13"/>
  <c r="Y49" i="13" s="1"/>
  <c r="BS341" i="13"/>
  <c r="C177" i="5"/>
  <c r="D176" i="21"/>
  <c r="C76" i="5"/>
  <c r="D75" i="21"/>
  <c r="D208" i="21"/>
  <c r="D207" i="21"/>
  <c r="C49" i="5"/>
  <c r="D48" i="21"/>
  <c r="C127" i="5"/>
  <c r="D125" i="21"/>
  <c r="F218" i="5"/>
  <c r="F220" i="5"/>
  <c r="F219" i="5"/>
  <c r="F221" i="5"/>
  <c r="F222" i="21" s="1"/>
  <c r="F215" i="5"/>
  <c r="F217" i="5"/>
  <c r="F214" i="5"/>
  <c r="O5" i="3"/>
  <c r="AC14" i="21"/>
  <c r="AC15" i="21"/>
  <c r="AC41" i="21"/>
  <c r="AC42" i="21"/>
  <c r="AC68" i="21"/>
  <c r="AC189" i="21"/>
  <c r="AC190" i="21"/>
  <c r="AC191" i="21"/>
  <c r="CE79" i="13"/>
  <c r="BS346" i="13" l="1"/>
  <c r="J39" i="11" s="1"/>
  <c r="BS344" i="13"/>
  <c r="J37" i="11" s="1"/>
  <c r="BS352" i="13"/>
  <c r="BS343" i="13"/>
  <c r="J36" i="11" s="1"/>
  <c r="BS351" i="13"/>
  <c r="J44" i="11" s="1"/>
  <c r="BS348" i="13"/>
  <c r="J41" i="11" s="1"/>
  <c r="BS353" i="13"/>
  <c r="BS347" i="13"/>
  <c r="J40" i="11" s="1"/>
  <c r="BS345" i="13"/>
  <c r="J38" i="11" s="1"/>
  <c r="BS349" i="13"/>
  <c r="J42" i="11" s="1"/>
  <c r="BS350" i="13"/>
  <c r="J43" i="11" s="1"/>
  <c r="C128" i="5"/>
  <c r="D127" i="21"/>
  <c r="C50" i="5"/>
  <c r="D49" i="21"/>
  <c r="C78" i="5"/>
  <c r="D76" i="21"/>
  <c r="C179" i="5"/>
  <c r="D177" i="21"/>
  <c r="F218" i="21"/>
  <c r="F221" i="21"/>
  <c r="F216" i="21"/>
  <c r="F219" i="21"/>
  <c r="F217" i="21"/>
  <c r="F220" i="21"/>
  <c r="F215" i="21"/>
  <c r="CE39" i="13"/>
  <c r="CE211" i="13"/>
  <c r="CE208" i="13"/>
  <c r="CE204" i="13"/>
  <c r="CE200" i="13"/>
  <c r="CE138" i="13"/>
  <c r="CE115" i="13"/>
  <c r="CE117" i="13"/>
  <c r="CE95" i="13"/>
  <c r="CE93" i="13"/>
  <c r="CE83" i="13"/>
  <c r="CE75" i="13"/>
  <c r="CE55" i="13"/>
  <c r="CE51" i="13"/>
  <c r="CE46" i="13"/>
  <c r="CB117" i="13"/>
  <c r="CB75" i="13"/>
  <c r="CB46" i="13"/>
  <c r="CB39" i="13"/>
  <c r="BW218" i="13"/>
  <c r="BW219" i="13"/>
  <c r="BW220" i="13"/>
  <c r="BW221" i="13"/>
  <c r="BW222" i="13"/>
  <c r="BW223" i="13"/>
  <c r="BW224" i="13"/>
  <c r="BW225" i="13"/>
  <c r="BW204" i="13"/>
  <c r="BW207" i="13"/>
  <c r="BW208" i="13"/>
  <c r="BW211" i="13"/>
  <c r="BW171" i="13"/>
  <c r="BW179" i="13"/>
  <c r="BW183" i="13"/>
  <c r="BW187" i="13"/>
  <c r="BW159" i="13"/>
  <c r="BW160" i="13"/>
  <c r="BW164" i="13"/>
  <c r="BW134" i="13"/>
  <c r="BW138" i="13"/>
  <c r="BW144" i="13"/>
  <c r="BW115" i="13"/>
  <c r="BW117" i="13"/>
  <c r="BW121" i="13"/>
  <c r="BW103" i="13"/>
  <c r="BW106" i="13"/>
  <c r="BW107" i="13"/>
  <c r="BW108" i="13"/>
  <c r="BW109" i="13"/>
  <c r="BW155" i="13"/>
  <c r="BW169" i="13"/>
  <c r="BW200" i="13"/>
  <c r="BW217" i="13"/>
  <c r="BW126" i="13"/>
  <c r="BW113" i="13"/>
  <c r="BW100" i="13"/>
  <c r="BW75" i="13"/>
  <c r="BW79" i="13"/>
  <c r="BW82" i="13"/>
  <c r="BW83" i="13"/>
  <c r="BW86" i="13"/>
  <c r="BW90" i="13"/>
  <c r="BW93" i="13"/>
  <c r="BW95" i="13"/>
  <c r="BW96" i="13"/>
  <c r="BW69" i="13"/>
  <c r="BW59" i="13"/>
  <c r="BW62" i="13"/>
  <c r="BW63" i="13"/>
  <c r="BW65" i="13"/>
  <c r="BW56" i="13"/>
  <c r="BW55" i="13"/>
  <c r="BW51" i="13"/>
  <c r="BW46" i="13"/>
  <c r="BW39" i="13"/>
  <c r="BW16" i="13"/>
  <c r="BW19" i="13"/>
  <c r="BW26" i="13"/>
  <c r="BW30" i="13"/>
  <c r="BW10" i="13"/>
  <c r="J46" i="11" l="1"/>
  <c r="C180" i="5"/>
  <c r="D179" i="21"/>
  <c r="C79" i="5"/>
  <c r="D78" i="21"/>
  <c r="C52" i="5"/>
  <c r="D50" i="21"/>
  <c r="C129" i="5"/>
  <c r="D128" i="21"/>
  <c r="AJ195" i="5"/>
  <c r="AJ200" i="5"/>
  <c r="AJ203" i="5"/>
  <c r="AJ206" i="5"/>
  <c r="AJ130" i="5"/>
  <c r="AJ109" i="5"/>
  <c r="AJ107" i="5"/>
  <c r="AJ90" i="5"/>
  <c r="AJ80" i="5"/>
  <c r="AJ77" i="5"/>
  <c r="AJ73" i="5"/>
  <c r="AJ51" i="5"/>
  <c r="AJ46" i="5"/>
  <c r="AJ38" i="5"/>
  <c r="E325" i="13"/>
  <c r="BX233" i="13"/>
  <c r="BX216" i="13"/>
  <c r="BX199" i="13"/>
  <c r="BX168" i="13"/>
  <c r="BX154" i="13"/>
  <c r="BX125" i="13"/>
  <c r="BX112" i="13"/>
  <c r="BX99" i="13"/>
  <c r="BX68" i="13"/>
  <c r="BX38" i="13"/>
  <c r="BX9" i="13"/>
  <c r="E293" i="13"/>
  <c r="E294" i="13"/>
  <c r="E295" i="13"/>
  <c r="E296" i="13"/>
  <c r="E297" i="13"/>
  <c r="E298" i="13"/>
  <c r="E299" i="13"/>
  <c r="E300" i="13"/>
  <c r="E301" i="13"/>
  <c r="E302" i="13"/>
  <c r="E303" i="13"/>
  <c r="E304" i="13"/>
  <c r="E305" i="13"/>
  <c r="E306" i="13"/>
  <c r="E307" i="13"/>
  <c r="E308" i="13"/>
  <c r="E309" i="13"/>
  <c r="E310" i="13"/>
  <c r="E311" i="13"/>
  <c r="E312" i="13"/>
  <c r="C131" i="5" l="1"/>
  <c r="D129" i="21"/>
  <c r="C53" i="5"/>
  <c r="D52" i="21"/>
  <c r="C81" i="5"/>
  <c r="D79" i="21"/>
  <c r="C181" i="5"/>
  <c r="D180" i="21"/>
  <c r="CA38" i="13"/>
  <c r="CA68" i="13"/>
  <c r="CA199" i="13"/>
  <c r="BZ68" i="13"/>
  <c r="BZ199" i="13"/>
  <c r="CC236" i="13"/>
  <c r="CC154" i="13"/>
  <c r="CC99" i="13"/>
  <c r="CA252" i="13"/>
  <c r="CA236" i="13"/>
  <c r="CC216" i="13"/>
  <c r="CA154" i="13"/>
  <c r="CC112" i="13"/>
  <c r="CA99" i="13"/>
  <c r="CC252" i="13"/>
  <c r="BZ252" i="13"/>
  <c r="BZ236" i="13"/>
  <c r="CC168" i="13"/>
  <c r="BZ154" i="13"/>
  <c r="BZ99" i="13"/>
  <c r="CC38" i="13"/>
  <c r="BZ125" i="13"/>
  <c r="CC237" i="13"/>
  <c r="CC233" i="13"/>
  <c r="CA216" i="13"/>
  <c r="CA112" i="13"/>
  <c r="BZ216" i="13"/>
  <c r="CC125" i="13"/>
  <c r="CC68" i="13"/>
  <c r="CA237" i="13"/>
  <c r="CA233" i="13"/>
  <c r="CC199" i="13"/>
  <c r="BZ168" i="13"/>
  <c r="BZ38" i="13"/>
  <c r="CA168" i="13"/>
  <c r="BZ112" i="13"/>
  <c r="BZ237" i="13"/>
  <c r="BZ233" i="13"/>
  <c r="CA125" i="13"/>
  <c r="AC210" i="21"/>
  <c r="AC146" i="21"/>
  <c r="AC140" i="21"/>
  <c r="AC139" i="21"/>
  <c r="AC100" i="21"/>
  <c r="C183" i="5" l="1"/>
  <c r="D181" i="21"/>
  <c r="C82" i="5"/>
  <c r="D81" i="21"/>
  <c r="C54" i="5"/>
  <c r="D53" i="21"/>
  <c r="C132" i="5"/>
  <c r="D131" i="21"/>
  <c r="AL5" i="5"/>
  <c r="AL4" i="5"/>
  <c r="AL3" i="5"/>
  <c r="C133" i="5" l="1"/>
  <c r="D132" i="21"/>
  <c r="C56" i="5"/>
  <c r="D54" i="21"/>
  <c r="C84" i="5"/>
  <c r="D82" i="21"/>
  <c r="C185" i="5"/>
  <c r="D183" i="21"/>
  <c r="AK4" i="5"/>
  <c r="AT11" i="5" s="1"/>
  <c r="AA1" i="5"/>
  <c r="P2" i="12"/>
  <c r="P2" i="8"/>
  <c r="AA1" i="21"/>
  <c r="N2" i="11"/>
  <c r="C186" i="5" l="1"/>
  <c r="D185" i="21"/>
  <c r="C86" i="5"/>
  <c r="D84" i="21"/>
  <c r="C57" i="5"/>
  <c r="D56" i="21"/>
  <c r="C134" i="5"/>
  <c r="D133" i="21"/>
  <c r="AV257" i="5"/>
  <c r="AU254" i="5"/>
  <c r="AT259" i="5"/>
  <c r="AV258" i="5"/>
  <c r="AU257" i="5"/>
  <c r="AT254" i="5"/>
  <c r="AV259" i="5"/>
  <c r="AU258" i="5"/>
  <c r="AT257" i="5"/>
  <c r="AT258" i="5"/>
  <c r="AV254" i="5"/>
  <c r="AU259" i="5"/>
  <c r="AV246" i="5"/>
  <c r="AU246" i="5"/>
  <c r="AT246" i="5"/>
  <c r="AV236" i="5"/>
  <c r="AT236" i="5"/>
  <c r="AU236" i="5"/>
  <c r="AC9" i="21"/>
  <c r="AV255" i="5"/>
  <c r="AU255" i="5"/>
  <c r="AT255" i="5"/>
  <c r="AC7" i="21"/>
  <c r="AC9" i="5"/>
  <c r="AT27" i="5"/>
  <c r="AC4" i="21"/>
  <c r="AC5" i="21"/>
  <c r="AV35" i="5"/>
  <c r="AV27" i="5"/>
  <c r="AV58" i="5"/>
  <c r="AV61" i="5"/>
  <c r="AT163" i="5"/>
  <c r="AU211" i="5"/>
  <c r="AV217" i="5"/>
  <c r="AT195" i="5"/>
  <c r="AV118" i="5"/>
  <c r="AT216" i="5"/>
  <c r="AU103" i="5"/>
  <c r="AT200" i="5"/>
  <c r="AU92" i="5"/>
  <c r="AU65" i="5"/>
  <c r="AU58" i="5"/>
  <c r="AU51" i="5"/>
  <c r="AU80" i="5"/>
  <c r="AU214" i="5"/>
  <c r="AV256" i="5"/>
  <c r="AT203" i="5"/>
  <c r="AV64" i="5"/>
  <c r="AV166" i="5"/>
  <c r="AU148" i="5"/>
  <c r="AV178" i="5"/>
  <c r="AT83" i="5"/>
  <c r="AU17" i="5"/>
  <c r="AV20" i="5"/>
  <c r="AT35" i="5"/>
  <c r="AV17" i="5"/>
  <c r="AT17" i="5"/>
  <c r="AV160" i="5"/>
  <c r="AT65" i="5"/>
  <c r="AT117" i="5"/>
  <c r="AT209" i="5"/>
  <c r="AU194" i="5"/>
  <c r="AV192" i="5"/>
  <c r="AT90" i="5"/>
  <c r="AT147" i="5"/>
  <c r="AT217" i="5"/>
  <c r="AU104" i="5"/>
  <c r="AU216" i="5"/>
  <c r="AT162" i="5"/>
  <c r="AV103" i="5"/>
  <c r="AU66" i="5"/>
  <c r="AT206" i="5"/>
  <c r="AV145" i="5"/>
  <c r="AU95" i="5"/>
  <c r="AU218" i="5"/>
  <c r="AT166" i="5"/>
  <c r="AV107" i="5"/>
  <c r="AU77" i="5"/>
  <c r="AU203" i="5"/>
  <c r="AT145" i="5"/>
  <c r="AV94" i="5"/>
  <c r="AW195" i="5"/>
  <c r="AU36" i="5"/>
  <c r="AV11" i="5"/>
  <c r="AV113" i="5"/>
  <c r="AV36" i="5"/>
  <c r="AT36" i="5"/>
  <c r="AV209" i="5"/>
  <c r="AT107" i="5"/>
  <c r="AU64" i="5"/>
  <c r="AV161" i="5"/>
  <c r="AT66" i="5"/>
  <c r="AV126" i="5"/>
  <c r="AU215" i="5"/>
  <c r="AV102" i="5"/>
  <c r="AU61" i="5"/>
  <c r="AT178" i="5"/>
  <c r="AU130" i="5"/>
  <c r="AU93" i="5"/>
  <c r="AU160" i="5"/>
  <c r="AV116" i="5"/>
  <c r="AU109" i="5"/>
  <c r="AV210" i="5"/>
  <c r="AT226" i="5"/>
  <c r="AU115" i="5"/>
  <c r="AT210" i="5"/>
  <c r="AV147" i="5"/>
  <c r="AU27" i="5"/>
  <c r="AU11" i="5"/>
  <c r="AU35" i="5"/>
  <c r="AV31" i="5"/>
  <c r="AT55" i="5"/>
  <c r="AU147" i="5"/>
  <c r="AU217" i="5"/>
  <c r="AV104" i="5"/>
  <c r="AV194" i="5"/>
  <c r="AV182" i="5"/>
  <c r="AU116" i="5"/>
  <c r="AT87" i="5"/>
  <c r="AU163" i="5"/>
  <c r="AV211" i="5"/>
  <c r="AV101" i="5"/>
  <c r="AV213" i="5"/>
  <c r="AU158" i="5"/>
  <c r="AT101" i="5"/>
  <c r="AV63" i="5"/>
  <c r="AU200" i="5"/>
  <c r="AT256" i="5"/>
  <c r="AV92" i="5"/>
  <c r="AV215" i="5"/>
  <c r="AU161" i="5"/>
  <c r="AT103" i="5"/>
  <c r="AV65" i="5"/>
  <c r="AV195" i="5"/>
  <c r="AU126" i="5"/>
  <c r="AT92" i="5"/>
  <c r="AW109" i="5"/>
  <c r="AT194" i="5"/>
  <c r="AT161" i="5"/>
  <c r="AU20" i="5"/>
  <c r="AU37" i="5"/>
  <c r="AU98" i="5"/>
  <c r="AU94" i="5"/>
  <c r="AT219" i="5"/>
  <c r="AV51" i="5"/>
  <c r="AT37" i="5"/>
  <c r="AV55" i="5"/>
  <c r="AT31" i="5"/>
  <c r="AT58" i="5"/>
  <c r="AU55" i="5"/>
  <c r="AT126" i="5"/>
  <c r="AT212" i="5"/>
  <c r="AU174" i="5"/>
  <c r="AU219" i="5"/>
  <c r="AT174" i="5"/>
  <c r="AV109" i="5"/>
  <c r="AT154" i="5"/>
  <c r="AT220" i="5"/>
  <c r="AU113" i="5"/>
  <c r="AT211" i="5"/>
  <c r="AV148" i="5"/>
  <c r="AU220" i="5"/>
  <c r="AV193" i="5"/>
  <c r="AU118" i="5"/>
  <c r="AT213" i="5"/>
  <c r="AV154" i="5"/>
  <c r="AT63" i="5"/>
  <c r="AT193" i="5"/>
  <c r="AV117" i="5"/>
  <c r="AU90" i="5"/>
  <c r="AX46" i="5"/>
  <c r="AU46" i="5"/>
  <c r="AT94" i="5"/>
  <c r="AT160" i="5"/>
  <c r="AV216" i="5"/>
  <c r="AU162" i="5"/>
  <c r="AT104" i="5"/>
  <c r="AV66" i="5"/>
  <c r="AV130" i="5"/>
  <c r="AV214" i="5"/>
  <c r="AT102" i="5"/>
  <c r="AT192" i="5"/>
  <c r="AV93" i="5"/>
  <c r="AU206" i="5"/>
  <c r="AT146" i="5"/>
  <c r="AV95" i="5"/>
  <c r="AU226" i="5"/>
  <c r="AT182" i="5"/>
  <c r="AV115" i="5"/>
  <c r="AU83" i="5"/>
  <c r="AU210" i="5"/>
  <c r="AT148" i="5"/>
  <c r="AV220" i="5"/>
  <c r="AU178" i="5"/>
  <c r="AT115" i="5"/>
  <c r="AV80" i="5"/>
  <c r="AW46" i="5"/>
  <c r="AT61" i="5"/>
  <c r="AT20" i="5"/>
  <c r="AV46" i="5"/>
  <c r="AT215" i="5"/>
  <c r="AU102" i="5"/>
  <c r="AU192" i="5"/>
  <c r="AV87" i="5"/>
  <c r="AV146" i="5"/>
  <c r="AT214" i="5"/>
  <c r="AV158" i="5"/>
  <c r="AU101" i="5"/>
  <c r="AT64" i="5"/>
  <c r="AU117" i="5"/>
  <c r="AU209" i="5"/>
  <c r="AV98" i="5"/>
  <c r="AV162" i="5"/>
  <c r="AU87" i="5"/>
  <c r="AV200" i="5"/>
  <c r="AU256" i="5"/>
  <c r="AT93" i="5"/>
  <c r="AV218" i="5"/>
  <c r="AU166" i="5"/>
  <c r="AT109" i="5"/>
  <c r="AV77" i="5"/>
  <c r="AV203" i="5"/>
  <c r="AU145" i="5"/>
  <c r="AT95" i="5"/>
  <c r="AT218" i="5"/>
  <c r="AV163" i="5"/>
  <c r="AU107" i="5"/>
  <c r="AT77" i="5"/>
  <c r="AT46" i="5"/>
  <c r="AT51" i="5"/>
  <c r="AV37" i="5"/>
  <c r="AU31" i="5"/>
  <c r="AU195" i="5"/>
  <c r="AV219" i="5"/>
  <c r="AT113" i="5"/>
  <c r="AV206" i="5"/>
  <c r="AU146" i="5"/>
  <c r="AT98" i="5"/>
  <c r="AU212" i="5"/>
  <c r="AV174" i="5"/>
  <c r="AT80" i="5"/>
  <c r="AT130" i="5"/>
  <c r="AV226" i="5"/>
  <c r="AU182" i="5"/>
  <c r="AT116" i="5"/>
  <c r="AV83" i="5"/>
  <c r="AU213" i="5"/>
  <c r="AT158" i="5"/>
  <c r="AU63" i="5"/>
  <c r="AU193" i="5"/>
  <c r="AT118" i="5"/>
  <c r="AV90" i="5"/>
  <c r="AV212" i="5"/>
  <c r="AU154" i="5"/>
  <c r="BX5" i="13"/>
  <c r="H9" i="13"/>
  <c r="G9" i="13"/>
  <c r="F9" i="13"/>
  <c r="AC5" i="13"/>
  <c r="I9" i="13"/>
  <c r="E6" i="13"/>
  <c r="F256" i="5"/>
  <c r="N6" i="11"/>
  <c r="E54" i="3"/>
  <c r="D3" i="12"/>
  <c r="O93" i="16"/>
  <c r="O94" i="16"/>
  <c r="O95" i="16"/>
  <c r="O96" i="16"/>
  <c r="O97" i="16"/>
  <c r="I27" i="16"/>
  <c r="I41" i="16"/>
  <c r="I57" i="16"/>
  <c r="I66" i="16"/>
  <c r="I73" i="16"/>
  <c r="I84" i="16"/>
  <c r="I92" i="16"/>
  <c r="I15" i="16"/>
  <c r="F2" i="3"/>
  <c r="B17" i="3"/>
  <c r="I16" i="16"/>
  <c r="I28" i="16"/>
  <c r="I42" i="16"/>
  <c r="I50" i="16"/>
  <c r="I51" i="16"/>
  <c r="I58" i="16"/>
  <c r="I67" i="16"/>
  <c r="I74" i="16"/>
  <c r="I85" i="16"/>
  <c r="I93" i="16"/>
  <c r="O7" i="16"/>
  <c r="O8" i="16"/>
  <c r="O9" i="16"/>
  <c r="O10" i="16"/>
  <c r="O11" i="16"/>
  <c r="O12" i="16"/>
  <c r="O13" i="16"/>
  <c r="O14" i="16"/>
  <c r="O15" i="16"/>
  <c r="O16" i="16"/>
  <c r="O17" i="16"/>
  <c r="O18" i="16"/>
  <c r="O19" i="16"/>
  <c r="O20" i="16"/>
  <c r="O21" i="16"/>
  <c r="O22" i="16"/>
  <c r="O23" i="16"/>
  <c r="O24" i="16"/>
  <c r="O25" i="16"/>
  <c r="O26" i="16"/>
  <c r="O27" i="16"/>
  <c r="O28" i="16"/>
  <c r="O29" i="16"/>
  <c r="O30" i="16"/>
  <c r="O31"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60" i="16"/>
  <c r="O61" i="16"/>
  <c r="O63" i="16"/>
  <c r="O64" i="16"/>
  <c r="O65" i="16"/>
  <c r="O66" i="16"/>
  <c r="O67" i="16"/>
  <c r="O68" i="16"/>
  <c r="O69" i="16"/>
  <c r="O70" i="16"/>
  <c r="O71" i="16"/>
  <c r="O72" i="16"/>
  <c r="O73" i="16"/>
  <c r="O74" i="16"/>
  <c r="O75" i="16"/>
  <c r="O77" i="16"/>
  <c r="O78" i="16"/>
  <c r="O79" i="16"/>
  <c r="O82" i="16"/>
  <c r="O83" i="16"/>
  <c r="O84" i="16"/>
  <c r="O85" i="16"/>
  <c r="O86" i="16"/>
  <c r="O87" i="16"/>
  <c r="O88" i="16"/>
  <c r="O89" i="16"/>
  <c r="O90" i="16"/>
  <c r="O91" i="16"/>
  <c r="O92" i="16"/>
  <c r="O6" i="16"/>
  <c r="M11" i="21"/>
  <c r="L37" i="21"/>
  <c r="M37" i="21"/>
  <c r="O37" i="21"/>
  <c r="R37" i="21"/>
  <c r="S37" i="21"/>
  <c r="T37" i="21"/>
  <c r="V37" i="21"/>
  <c r="Y37" i="21"/>
  <c r="Z37" i="21"/>
  <c r="M65" i="21"/>
  <c r="O65" i="21"/>
  <c r="V65" i="21"/>
  <c r="O8" i="3"/>
  <c r="O9" i="3"/>
  <c r="O10" i="3"/>
  <c r="O11" i="3"/>
  <c r="O12" i="3"/>
  <c r="O13" i="3"/>
  <c r="O6" i="3"/>
  <c r="O7" i="3"/>
  <c r="V4" i="5"/>
  <c r="O4" i="5"/>
  <c r="B40" i="3"/>
  <c r="AX269" i="13"/>
  <c r="AC23" i="11"/>
  <c r="AC24" i="11"/>
  <c r="AC25" i="11"/>
  <c r="AC26" i="11"/>
  <c r="AC27" i="11"/>
  <c r="AC28" i="11"/>
  <c r="AC29" i="11"/>
  <c r="AC30" i="11"/>
  <c r="AC31" i="11"/>
  <c r="AC32" i="11"/>
  <c r="AF22" i="11"/>
  <c r="AE36" i="11" s="1"/>
  <c r="AE22" i="11"/>
  <c r="AD36" i="11" s="1"/>
  <c r="AD22" i="11"/>
  <c r="AC36" i="11" s="1"/>
  <c r="AB37" i="11"/>
  <c r="AB36" i="11"/>
  <c r="D6" i="11"/>
  <c r="C3" i="12"/>
  <c r="F6" i="5"/>
  <c r="F6" i="21" s="1"/>
  <c r="M6" i="11"/>
  <c r="AD64" i="5"/>
  <c r="AD65" i="5"/>
  <c r="AD93" i="5"/>
  <c r="AD94" i="5"/>
  <c r="AD102" i="5"/>
  <c r="AD103" i="5"/>
  <c r="AD116" i="5"/>
  <c r="AD117" i="5"/>
  <c r="AD146" i="5"/>
  <c r="AD147" i="5"/>
  <c r="AD161" i="5"/>
  <c r="AD162" i="5"/>
  <c r="AD193" i="5"/>
  <c r="AD194" i="5"/>
  <c r="AD210" i="5"/>
  <c r="AD211" i="5"/>
  <c r="AD10" i="5"/>
  <c r="AE256" i="5"/>
  <c r="AF256" i="5"/>
  <c r="AG256" i="5"/>
  <c r="AG11" i="5"/>
  <c r="AF11" i="5"/>
  <c r="AE11" i="5"/>
  <c r="X59" i="13"/>
  <c r="X63" i="13"/>
  <c r="X69" i="13"/>
  <c r="X75" i="13"/>
  <c r="X79" i="13"/>
  <c r="X83" i="13"/>
  <c r="X86" i="13"/>
  <c r="X93" i="13"/>
  <c r="X100" i="13"/>
  <c r="X103" i="13"/>
  <c r="X113" i="13"/>
  <c r="X115" i="13"/>
  <c r="X117" i="13"/>
  <c r="X121" i="13"/>
  <c r="X126" i="13"/>
  <c r="X134" i="13"/>
  <c r="X155" i="13"/>
  <c r="X160" i="13"/>
  <c r="X164" i="13"/>
  <c r="X169" i="13"/>
  <c r="X171" i="13"/>
  <c r="X179" i="13"/>
  <c r="X183" i="13"/>
  <c r="X187" i="13"/>
  <c r="X200" i="13"/>
  <c r="X204" i="13"/>
  <c r="X208" i="13"/>
  <c r="X211" i="13"/>
  <c r="X217" i="13"/>
  <c r="X218" i="13"/>
  <c r="X219" i="13"/>
  <c r="X220" i="13"/>
  <c r="X221" i="13"/>
  <c r="X222" i="13"/>
  <c r="X223" i="13"/>
  <c r="X224" i="13"/>
  <c r="X16" i="13"/>
  <c r="X19" i="13"/>
  <c r="X26" i="13"/>
  <c r="X30" i="13"/>
  <c r="X34" i="13"/>
  <c r="X35" i="13"/>
  <c r="X39" i="13"/>
  <c r="X46" i="13"/>
  <c r="X51" i="13"/>
  <c r="X56" i="13"/>
  <c r="X10" i="13"/>
  <c r="F213" i="5"/>
  <c r="F214" i="21" s="1"/>
  <c r="E217" i="13"/>
  <c r="V306" i="11"/>
  <c r="V303" i="11"/>
  <c r="V302" i="11"/>
  <c r="V301" i="11"/>
  <c r="V300" i="11"/>
  <c r="V299" i="11"/>
  <c r="V304" i="11"/>
  <c r="T306" i="11"/>
  <c r="T305" i="11"/>
  <c r="T304" i="11"/>
  <c r="T303" i="11"/>
  <c r="T302" i="11"/>
  <c r="T301" i="11"/>
  <c r="T300" i="11"/>
  <c r="T299" i="11"/>
  <c r="T298" i="11"/>
  <c r="T297" i="11"/>
  <c r="V297" i="11"/>
  <c r="V305" i="11"/>
  <c r="V298" i="11"/>
  <c r="C54" i="3"/>
  <c r="F5" i="5"/>
  <c r="F5" i="21" s="1"/>
  <c r="T166" i="13" l="1"/>
  <c r="BA235" i="13"/>
  <c r="BC235" i="13"/>
  <c r="BB235" i="13"/>
  <c r="AY235" i="13"/>
  <c r="T235" i="13"/>
  <c r="AB235" i="13" s="1"/>
  <c r="AZ235" i="13"/>
  <c r="D134" i="21"/>
  <c r="C135" i="5"/>
  <c r="D135" i="21" s="1"/>
  <c r="C59" i="5"/>
  <c r="D57" i="21"/>
  <c r="C88" i="5"/>
  <c r="D86" i="21"/>
  <c r="C188" i="5"/>
  <c r="D186" i="21"/>
  <c r="BC250" i="13"/>
  <c r="AZ250" i="13"/>
  <c r="AY250" i="13"/>
  <c r="BB250" i="13"/>
  <c r="BA250" i="13"/>
  <c r="T250" i="13"/>
  <c r="T253" i="13"/>
  <c r="AB253" i="13" s="1"/>
  <c r="T254" i="13"/>
  <c r="T255" i="13"/>
  <c r="AB255" i="13" s="1"/>
  <c r="G150" i="5" s="1"/>
  <c r="H150" i="21" s="1"/>
  <c r="BC72" i="13"/>
  <c r="BB72" i="13"/>
  <c r="F212" i="5"/>
  <c r="T251" i="13"/>
  <c r="AB251" i="13" s="1"/>
  <c r="BC252" i="13"/>
  <c r="BB252" i="13"/>
  <c r="BA252" i="13"/>
  <c r="AZ251" i="13"/>
  <c r="AZ252" i="13"/>
  <c r="AY252" i="13"/>
  <c r="BC251" i="13"/>
  <c r="BB251" i="13"/>
  <c r="BA251" i="13"/>
  <c r="AY251" i="13"/>
  <c r="T40" i="13"/>
  <c r="AA40" i="13" s="1"/>
  <c r="T195" i="13"/>
  <c r="AA195" i="13" s="1"/>
  <c r="BC234" i="13"/>
  <c r="BA234" i="13"/>
  <c r="BB234" i="13"/>
  <c r="AZ234" i="13"/>
  <c r="AY234" i="13"/>
  <c r="BB12" i="13"/>
  <c r="BC12" i="13"/>
  <c r="BB11" i="13"/>
  <c r="BC11" i="13"/>
  <c r="T88" i="13"/>
  <c r="AA88" i="13" s="1"/>
  <c r="BC246" i="13"/>
  <c r="BB246" i="13"/>
  <c r="BA246" i="13"/>
  <c r="AY246" i="13"/>
  <c r="T246" i="13"/>
  <c r="AB246" i="13" s="1"/>
  <c r="AZ246" i="13"/>
  <c r="BC23" i="13"/>
  <c r="BA23" i="13"/>
  <c r="BB23" i="13"/>
  <c r="T23" i="13"/>
  <c r="AA23" i="13" s="1"/>
  <c r="T24" i="13"/>
  <c r="AA24" i="13" s="1"/>
  <c r="BC249" i="13"/>
  <c r="BB249" i="13"/>
  <c r="BA249" i="13"/>
  <c r="AZ249" i="13"/>
  <c r="AY249" i="13"/>
  <c r="T249" i="13"/>
  <c r="AB249" i="13" s="1"/>
  <c r="T143" i="13"/>
  <c r="AA143" i="13" s="1"/>
  <c r="BC27" i="13"/>
  <c r="BB22" i="13"/>
  <c r="BC25" i="13"/>
  <c r="BB27" i="13"/>
  <c r="BB25" i="13"/>
  <c r="BC22" i="13"/>
  <c r="AY27" i="13"/>
  <c r="BA27" i="13"/>
  <c r="AZ27" i="13"/>
  <c r="BB73" i="13"/>
  <c r="BA29" i="13"/>
  <c r="BC29" i="13"/>
  <c r="BB29" i="13"/>
  <c r="BA22" i="13"/>
  <c r="AZ22" i="13"/>
  <c r="BC73" i="13"/>
  <c r="AY22" i="13"/>
  <c r="T158" i="13"/>
  <c r="AA158" i="13" s="1"/>
  <c r="T185" i="13"/>
  <c r="AA185" i="13" s="1"/>
  <c r="T173" i="13"/>
  <c r="AA173" i="13" s="1"/>
  <c r="T150" i="13"/>
  <c r="AA150" i="13" s="1"/>
  <c r="T137" i="13"/>
  <c r="AA137" i="13" s="1"/>
  <c r="T120" i="13"/>
  <c r="AA120" i="13" s="1"/>
  <c r="T92" i="13"/>
  <c r="Y92" i="13" s="1"/>
  <c r="T78" i="13"/>
  <c r="T60" i="13"/>
  <c r="U60" i="13" s="1"/>
  <c r="T47" i="13"/>
  <c r="AA47" i="13" s="1"/>
  <c r="T230" i="13"/>
  <c r="AA230" i="13" s="1"/>
  <c r="T77" i="13"/>
  <c r="T46" i="13"/>
  <c r="T213" i="13"/>
  <c r="V213" i="13" s="1"/>
  <c r="T212" i="13"/>
  <c r="V212" i="13" s="1"/>
  <c r="T196" i="13"/>
  <c r="AA196" i="13" s="1"/>
  <c r="T183" i="13"/>
  <c r="AA183" i="13" s="1"/>
  <c r="T148" i="13"/>
  <c r="AA148" i="13" s="1"/>
  <c r="T135" i="13"/>
  <c r="AA135" i="13" s="1"/>
  <c r="T118" i="13"/>
  <c r="AA118" i="13" s="1"/>
  <c r="T90" i="13"/>
  <c r="T76" i="13"/>
  <c r="T58" i="13"/>
  <c r="T45" i="13"/>
  <c r="AA45" i="13" s="1"/>
  <c r="T181" i="13"/>
  <c r="AA181" i="13" s="1"/>
  <c r="T146" i="13"/>
  <c r="AA146" i="13" s="1"/>
  <c r="T133" i="13"/>
  <c r="AA133" i="13" s="1"/>
  <c r="T87" i="13"/>
  <c r="AA87" i="13" s="1"/>
  <c r="T56" i="13"/>
  <c r="AA56" i="13" s="1"/>
  <c r="T211" i="13"/>
  <c r="U211" i="13" s="1"/>
  <c r="T194" i="13"/>
  <c r="AA194" i="13" s="1"/>
  <c r="T182" i="13"/>
  <c r="AA182" i="13" s="1"/>
  <c r="T165" i="13"/>
  <c r="Y165" i="13" s="1"/>
  <c r="T147" i="13"/>
  <c r="AA147" i="13" s="1"/>
  <c r="T134" i="13"/>
  <c r="AA134" i="13" s="1"/>
  <c r="T117" i="13"/>
  <c r="AA117" i="13" s="1"/>
  <c r="T89" i="13"/>
  <c r="T74" i="13"/>
  <c r="T57" i="13"/>
  <c r="AA57" i="13" s="1"/>
  <c r="T44" i="13"/>
  <c r="AA44" i="13" s="1"/>
  <c r="T193" i="13"/>
  <c r="AA193" i="13" s="1"/>
  <c r="T164" i="13"/>
  <c r="T116" i="13"/>
  <c r="AA116" i="13" s="1"/>
  <c r="T73" i="13"/>
  <c r="AA73" i="13" s="1"/>
  <c r="T43" i="13"/>
  <c r="AA43" i="13" s="1"/>
  <c r="T210" i="13"/>
  <c r="T209" i="13"/>
  <c r="U209" i="13" s="1"/>
  <c r="AA209" i="13" s="1"/>
  <c r="T192" i="13"/>
  <c r="AA192" i="13" s="1"/>
  <c r="T180" i="13"/>
  <c r="AA180" i="13" s="1"/>
  <c r="T163" i="13"/>
  <c r="AA163" i="13" s="1"/>
  <c r="T145" i="13"/>
  <c r="T132" i="13"/>
  <c r="AA132" i="13" s="1"/>
  <c r="T86" i="13"/>
  <c r="T72" i="13"/>
  <c r="AA72" i="13" s="1"/>
  <c r="T54" i="13"/>
  <c r="U54" i="13" s="1"/>
  <c r="T42" i="13"/>
  <c r="T91" i="13"/>
  <c r="T208" i="13"/>
  <c r="AA208" i="13" s="1"/>
  <c r="T191" i="13"/>
  <c r="AA191" i="13" s="1"/>
  <c r="T179" i="13"/>
  <c r="AA179" i="13" s="1"/>
  <c r="T162" i="13"/>
  <c r="AA162" i="13" s="1"/>
  <c r="T144" i="13"/>
  <c r="T131" i="13"/>
  <c r="AA131" i="13" s="1"/>
  <c r="T105" i="13"/>
  <c r="AA105" i="13" s="1"/>
  <c r="T85" i="13"/>
  <c r="T71" i="13"/>
  <c r="AA71" i="13" s="1"/>
  <c r="T53" i="13"/>
  <c r="U53" i="13" s="1"/>
  <c r="T136" i="13"/>
  <c r="AA136" i="13" s="1"/>
  <c r="T206" i="13"/>
  <c r="U206" i="13" s="1"/>
  <c r="T190" i="13"/>
  <c r="AA190" i="13" s="1"/>
  <c r="T178" i="13"/>
  <c r="AA178" i="13" s="1"/>
  <c r="T161" i="13"/>
  <c r="AA161" i="13" s="1"/>
  <c r="T142" i="13"/>
  <c r="AA142" i="13" s="1"/>
  <c r="T129" i="13"/>
  <c r="AA129" i="13" s="1"/>
  <c r="T104" i="13"/>
  <c r="AA104" i="13" s="1"/>
  <c r="T84" i="13"/>
  <c r="T52" i="13"/>
  <c r="U52" i="13" s="1"/>
  <c r="T119" i="13"/>
  <c r="T59" i="13"/>
  <c r="AA59" i="13" s="1"/>
  <c r="T205" i="13"/>
  <c r="U205" i="13" s="1"/>
  <c r="T189" i="13"/>
  <c r="AA189" i="13" s="1"/>
  <c r="T177" i="13"/>
  <c r="AA177" i="13" s="1"/>
  <c r="T160" i="13"/>
  <c r="AA160" i="13" s="1"/>
  <c r="T141" i="13"/>
  <c r="AA141" i="13" s="1"/>
  <c r="T128" i="13"/>
  <c r="AA128" i="13" s="1"/>
  <c r="T102" i="13"/>
  <c r="AA102" i="13" s="1"/>
  <c r="T83" i="13"/>
  <c r="AA83" i="13" s="1"/>
  <c r="T75" i="13"/>
  <c r="T51" i="13"/>
  <c r="T149" i="13"/>
  <c r="AA149" i="13" s="1"/>
  <c r="T203" i="13"/>
  <c r="T188" i="13"/>
  <c r="AA188" i="13" s="1"/>
  <c r="T176" i="13"/>
  <c r="AA176" i="13" s="1"/>
  <c r="T157" i="13"/>
  <c r="AA157" i="13" s="1"/>
  <c r="T140" i="13"/>
  <c r="AA140" i="13" s="1"/>
  <c r="T81" i="13"/>
  <c r="T64" i="13"/>
  <c r="AA64" i="13" s="1"/>
  <c r="T50" i="13"/>
  <c r="U50" i="13" s="1"/>
  <c r="T172" i="13"/>
  <c r="AA172" i="13" s="1"/>
  <c r="T202" i="13"/>
  <c r="T187" i="13"/>
  <c r="AA187" i="13" s="1"/>
  <c r="T175" i="13"/>
  <c r="AA175" i="13" s="1"/>
  <c r="T139" i="13"/>
  <c r="AA139" i="13" s="1"/>
  <c r="T122" i="13"/>
  <c r="AA122" i="13" s="1"/>
  <c r="T94" i="13"/>
  <c r="Y94" i="13" s="1"/>
  <c r="T80" i="13"/>
  <c r="T63" i="13"/>
  <c r="AA63" i="13" s="1"/>
  <c r="T49" i="13"/>
  <c r="U49" i="13" s="1"/>
  <c r="T184" i="13"/>
  <c r="AA184" i="13" s="1"/>
  <c r="T186" i="13"/>
  <c r="AA186" i="13" s="1"/>
  <c r="T174" i="13"/>
  <c r="AA174" i="13" s="1"/>
  <c r="T151" i="13"/>
  <c r="AA151" i="13" s="1"/>
  <c r="T138" i="13"/>
  <c r="AA138" i="13" s="1"/>
  <c r="T121" i="13"/>
  <c r="AA121" i="13" s="1"/>
  <c r="T93" i="13"/>
  <c r="AA93" i="13" s="1"/>
  <c r="T79" i="13"/>
  <c r="AA79" i="13" s="1"/>
  <c r="T61" i="13"/>
  <c r="T48" i="13"/>
  <c r="T204" i="13"/>
  <c r="BC230" i="13"/>
  <c r="T13" i="13"/>
  <c r="AA13" i="13" s="1"/>
  <c r="T27" i="13"/>
  <c r="AA27" i="13" s="1"/>
  <c r="T14" i="13"/>
  <c r="AA14" i="13" s="1"/>
  <c r="T28" i="13"/>
  <c r="T15" i="13"/>
  <c r="AA15" i="13" s="1"/>
  <c r="T29" i="13"/>
  <c r="AA29" i="13" s="1"/>
  <c r="T16" i="13"/>
  <c r="AA16" i="13" s="1"/>
  <c r="T30" i="13"/>
  <c r="AA30" i="13" s="1"/>
  <c r="T26" i="13"/>
  <c r="AA26" i="13" s="1"/>
  <c r="T17" i="13"/>
  <c r="AA17" i="13" s="1"/>
  <c r="T31" i="13"/>
  <c r="T18" i="13"/>
  <c r="AA18" i="13" s="1"/>
  <c r="T32" i="13"/>
  <c r="T22" i="13"/>
  <c r="AA22" i="13" s="1"/>
  <c r="T19" i="13"/>
  <c r="AA19" i="13" s="1"/>
  <c r="T33" i="13"/>
  <c r="T12" i="13"/>
  <c r="AA12" i="13" s="1"/>
  <c r="T20" i="13"/>
  <c r="AA20" i="13" s="1"/>
  <c r="T34" i="13"/>
  <c r="AA34" i="13" s="1"/>
  <c r="T21" i="13"/>
  <c r="AA21" i="13" s="1"/>
  <c r="T35" i="13"/>
  <c r="AA35" i="13" s="1"/>
  <c r="T11" i="13"/>
  <c r="AA11" i="13" s="1"/>
  <c r="T25" i="13"/>
  <c r="AA25" i="13" s="1"/>
  <c r="BQ298" i="13"/>
  <c r="AB40" i="11" s="1"/>
  <c r="BC241" i="13"/>
  <c r="BB241" i="13"/>
  <c r="BA241" i="13"/>
  <c r="AY241" i="13"/>
  <c r="AZ241" i="13"/>
  <c r="AY242" i="13"/>
  <c r="BC242" i="13"/>
  <c r="BB242" i="13"/>
  <c r="BA242" i="13"/>
  <c r="AZ242" i="13"/>
  <c r="T233" i="13"/>
  <c r="AZ248" i="13"/>
  <c r="AY248" i="13"/>
  <c r="BA248" i="13"/>
  <c r="BC247" i="13"/>
  <c r="T248" i="13"/>
  <c r="AB248" i="13" s="1"/>
  <c r="BB247" i="13"/>
  <c r="BC245" i="13"/>
  <c r="BB245" i="13"/>
  <c r="BA245" i="13"/>
  <c r="BB248" i="13"/>
  <c r="AZ245" i="13"/>
  <c r="BA247" i="13"/>
  <c r="AZ247" i="13"/>
  <c r="AY247" i="13"/>
  <c r="BC248" i="13"/>
  <c r="AY245" i="13"/>
  <c r="BB243" i="13"/>
  <c r="AZ240" i="13"/>
  <c r="BA243" i="13"/>
  <c r="AY240" i="13"/>
  <c r="AZ243" i="13"/>
  <c r="BC239" i="13"/>
  <c r="AY243" i="13"/>
  <c r="BB239" i="13"/>
  <c r="BA244" i="13"/>
  <c r="BA240" i="13"/>
  <c r="BA239" i="13"/>
  <c r="AZ239" i="13"/>
  <c r="BC244" i="13"/>
  <c r="AY239" i="13"/>
  <c r="BB244" i="13"/>
  <c r="BC243" i="13"/>
  <c r="AZ244" i="13"/>
  <c r="BC240" i="13"/>
  <c r="AY244" i="13"/>
  <c r="BB240" i="13"/>
  <c r="T216" i="13"/>
  <c r="AY238" i="13"/>
  <c r="BC238" i="13"/>
  <c r="T238" i="13"/>
  <c r="AB238" i="13" s="1"/>
  <c r="G119" i="5" s="1"/>
  <c r="H119" i="21" s="1"/>
  <c r="BB238" i="13"/>
  <c r="BA238" i="13"/>
  <c r="AZ238" i="13"/>
  <c r="I233" i="13"/>
  <c r="I112" i="13"/>
  <c r="I125" i="13"/>
  <c r="I154" i="13"/>
  <c r="I199" i="13"/>
  <c r="I99" i="13"/>
  <c r="I216" i="13"/>
  <c r="I68" i="13"/>
  <c r="I168" i="13"/>
  <c r="F199" i="13"/>
  <c r="T226" i="13" s="1"/>
  <c r="AA226" i="13" s="1"/>
  <c r="F154" i="13"/>
  <c r="T156" i="13" s="1"/>
  <c r="AA156" i="13" s="1"/>
  <c r="F112" i="13"/>
  <c r="T114" i="13" s="1"/>
  <c r="F233" i="13"/>
  <c r="T234" i="13" s="1"/>
  <c r="AB234" i="13" s="1"/>
  <c r="F168" i="13"/>
  <c r="T247" i="13" s="1"/>
  <c r="AB247" i="13" s="1"/>
  <c r="F68" i="13"/>
  <c r="T70" i="13" s="1"/>
  <c r="AA70" i="13" s="1"/>
  <c r="F216" i="13"/>
  <c r="F99" i="13"/>
  <c r="T101" i="13" s="1"/>
  <c r="AA101" i="13" s="1"/>
  <c r="F125" i="13"/>
  <c r="T127" i="13" s="1"/>
  <c r="AA127" i="13" s="1"/>
  <c r="G154" i="13"/>
  <c r="G233" i="13"/>
  <c r="G168" i="13"/>
  <c r="G125" i="13"/>
  <c r="G216" i="13"/>
  <c r="G99" i="13"/>
  <c r="G112" i="13"/>
  <c r="G199" i="13"/>
  <c r="G68" i="13"/>
  <c r="R233" i="13"/>
  <c r="R199" i="13"/>
  <c r="R216" i="13"/>
  <c r="R154" i="13"/>
  <c r="R168" i="13"/>
  <c r="R125" i="13"/>
  <c r="R112" i="13"/>
  <c r="R99" i="13"/>
  <c r="R68" i="13"/>
  <c r="H68" i="13"/>
  <c r="H233" i="13"/>
  <c r="H199" i="13"/>
  <c r="H216" i="13"/>
  <c r="H154" i="13"/>
  <c r="H168" i="13"/>
  <c r="H125" i="13"/>
  <c r="T126" i="13" s="1"/>
  <c r="AA126" i="13" s="1"/>
  <c r="H112" i="13"/>
  <c r="H99" i="13"/>
  <c r="R258" i="13"/>
  <c r="I258" i="13"/>
  <c r="H258" i="13"/>
  <c r="G258" i="13"/>
  <c r="BA237" i="13"/>
  <c r="BC228" i="13"/>
  <c r="BC229" i="13"/>
  <c r="BC227" i="13"/>
  <c r="BC226" i="13"/>
  <c r="T228" i="13"/>
  <c r="AA228" i="13" s="1"/>
  <c r="T130" i="13"/>
  <c r="AA130" i="13" s="1"/>
  <c r="AK8" i="5"/>
  <c r="T9" i="13"/>
  <c r="T68" i="13"/>
  <c r="BA236" i="13"/>
  <c r="T125" i="13"/>
  <c r="AY8" i="13"/>
  <c r="AY236" i="13"/>
  <c r="T199" i="13"/>
  <c r="BC236" i="13"/>
  <c r="AZ236" i="13"/>
  <c r="T112" i="13"/>
  <c r="BC237" i="13"/>
  <c r="AZ237" i="13"/>
  <c r="AY237" i="13"/>
  <c r="T168" i="13"/>
  <c r="T99" i="13"/>
  <c r="BD126" i="13"/>
  <c r="BB236" i="13"/>
  <c r="BD39" i="13"/>
  <c r="T154" i="13"/>
  <c r="T38" i="13"/>
  <c r="BB237" i="13"/>
  <c r="BC225" i="13"/>
  <c r="BY103" i="13"/>
  <c r="BX187" i="13"/>
  <c r="BX103" i="13"/>
  <c r="T10" i="13"/>
  <c r="AA10" i="13" s="1"/>
  <c r="T110" i="13"/>
  <c r="D49" i="16" s="1"/>
  <c r="BC219" i="13"/>
  <c r="BC223" i="13"/>
  <c r="BC217" i="13"/>
  <c r="BC204" i="13"/>
  <c r="BD204" i="13" s="1"/>
  <c r="T220" i="13"/>
  <c r="Y220" i="13" s="1"/>
  <c r="AA220" i="13" s="1"/>
  <c r="BC222" i="13"/>
  <c r="BC211" i="13"/>
  <c r="BC200" i="13"/>
  <c r="BC221" i="13"/>
  <c r="BC220" i="13"/>
  <c r="BC208" i="13"/>
  <c r="BJ121" i="13"/>
  <c r="BK121" i="13" s="1"/>
  <c r="X113" i="5" s="1"/>
  <c r="BC224" i="13"/>
  <c r="BC218" i="13"/>
  <c r="BC207" i="13"/>
  <c r="T214" i="13"/>
  <c r="D91" i="16" s="1"/>
  <c r="D88" i="16"/>
  <c r="BJ100" i="13"/>
  <c r="BK100" i="13" s="1"/>
  <c r="D38" i="16"/>
  <c r="D32" i="16"/>
  <c r="D20" i="16"/>
  <c r="H38" i="13"/>
  <c r="T36" i="13"/>
  <c r="D14" i="16" s="1"/>
  <c r="T66" i="13"/>
  <c r="D26" i="16" s="1"/>
  <c r="T231" i="13"/>
  <c r="D107" i="16" s="1"/>
  <c r="T252" i="13"/>
  <c r="AB252" i="13" s="1"/>
  <c r="T218" i="13"/>
  <c r="AA218" i="13" s="1"/>
  <c r="G38" i="13"/>
  <c r="T224" i="13"/>
  <c r="AA224" i="13" s="1"/>
  <c r="T115" i="13"/>
  <c r="AA115" i="13" s="1"/>
  <c r="D47" i="16"/>
  <c r="T103" i="13"/>
  <c r="AA103" i="13" s="1"/>
  <c r="F38" i="13"/>
  <c r="T39" i="13" s="1"/>
  <c r="AA39" i="13" s="1"/>
  <c r="T197" i="13"/>
  <c r="D83" i="16" s="1"/>
  <c r="T69" i="13"/>
  <c r="AA69" i="13" s="1"/>
  <c r="T223" i="13"/>
  <c r="AA223" i="13" s="1"/>
  <c r="D25" i="16"/>
  <c r="T222" i="13"/>
  <c r="D45" i="16"/>
  <c r="T221" i="13"/>
  <c r="BX46" i="13"/>
  <c r="I38" i="13"/>
  <c r="BY121" i="13"/>
  <c r="D69" i="16"/>
  <c r="T171" i="13"/>
  <c r="AA171" i="13" s="1"/>
  <c r="R38" i="13"/>
  <c r="D79" i="16" l="1"/>
  <c r="Y113" i="21"/>
  <c r="Y91" i="13"/>
  <c r="G40" i="5"/>
  <c r="H40" i="21" s="1"/>
  <c r="AJ235" i="13"/>
  <c r="BG235" i="13" s="1"/>
  <c r="BH235" i="13" s="1"/>
  <c r="Q40" i="5" s="1"/>
  <c r="R40" i="21" s="1"/>
  <c r="AI235" i="13"/>
  <c r="BD235" i="13" s="1"/>
  <c r="BE235" i="13" s="1"/>
  <c r="J40" i="5" s="1"/>
  <c r="K40" i="21" s="1"/>
  <c r="AK235" i="13"/>
  <c r="BJ235" i="13" s="1"/>
  <c r="BK235" i="13" s="1"/>
  <c r="X40" i="5" s="1"/>
  <c r="D188" i="21"/>
  <c r="C189" i="5"/>
  <c r="C190" i="5"/>
  <c r="D190" i="21" s="1"/>
  <c r="C89" i="5"/>
  <c r="D88" i="21"/>
  <c r="C60" i="5"/>
  <c r="D59" i="21"/>
  <c r="F213" i="21"/>
  <c r="AJ104" i="13"/>
  <c r="AI104" i="13"/>
  <c r="AK104" i="13"/>
  <c r="U51" i="13"/>
  <c r="AA51" i="13" s="1"/>
  <c r="AI255" i="13"/>
  <c r="AJ255" i="13"/>
  <c r="AK255" i="13"/>
  <c r="G70" i="5"/>
  <c r="AK253" i="13"/>
  <c r="AI253" i="13"/>
  <c r="AJ253" i="13"/>
  <c r="F212" i="21"/>
  <c r="U145" i="13"/>
  <c r="AA49" i="13"/>
  <c r="AB49" i="13" s="1"/>
  <c r="U48" i="13"/>
  <c r="U212" i="13"/>
  <c r="U213" i="13" s="1"/>
  <c r="AA211" i="13"/>
  <c r="AJ234" i="13"/>
  <c r="AI234" i="13"/>
  <c r="AK234" i="13"/>
  <c r="BJ234" i="13" s="1"/>
  <c r="AJ248" i="13"/>
  <c r="AI248" i="13"/>
  <c r="AK248" i="13"/>
  <c r="AI249" i="13"/>
  <c r="AK249" i="13"/>
  <c r="AJ249" i="13"/>
  <c r="AI246" i="13"/>
  <c r="AK246" i="13"/>
  <c r="AJ246" i="13"/>
  <c r="AI238" i="13"/>
  <c r="AK238" i="13"/>
  <c r="AJ238" i="13"/>
  <c r="AK247" i="13"/>
  <c r="AJ247" i="13"/>
  <c r="AI247" i="13"/>
  <c r="AJ252" i="13"/>
  <c r="AI252" i="13"/>
  <c r="K79" i="11" s="1"/>
  <c r="AK252" i="13"/>
  <c r="AI251" i="13"/>
  <c r="AK251" i="13"/>
  <c r="BJ251" i="13" s="1"/>
  <c r="AJ251" i="13"/>
  <c r="U210" i="13"/>
  <c r="AA210" i="13" s="1"/>
  <c r="U80" i="13"/>
  <c r="U81" i="13" s="1"/>
  <c r="G153" i="5"/>
  <c r="H153" i="21" s="1"/>
  <c r="Y77" i="13"/>
  <c r="D7" i="16"/>
  <c r="Y31" i="13"/>
  <c r="AA31" i="13" s="1"/>
  <c r="AB31" i="13" s="1"/>
  <c r="Y58" i="13"/>
  <c r="AA58" i="13" s="1"/>
  <c r="AB58" i="13" s="1"/>
  <c r="Y221" i="13"/>
  <c r="AA221" i="13" s="1"/>
  <c r="AB221" i="13" s="1"/>
  <c r="I28" i="3" s="1"/>
  <c r="Y76" i="13"/>
  <c r="AA76" i="13" s="1"/>
  <c r="AB76" i="13" s="1"/>
  <c r="Y61" i="13"/>
  <c r="AA61" i="13" s="1"/>
  <c r="AB61" i="13" s="1"/>
  <c r="Y206" i="13"/>
  <c r="AA206" i="13" s="1"/>
  <c r="U91" i="13"/>
  <c r="Y60" i="13"/>
  <c r="AA60" i="13" s="1"/>
  <c r="AB60" i="13" s="1"/>
  <c r="D101" i="16"/>
  <c r="AB224" i="13"/>
  <c r="AJ224" i="13" s="1"/>
  <c r="D97" i="16"/>
  <c r="Y114" i="13"/>
  <c r="Y205" i="13"/>
  <c r="Y42" i="13"/>
  <c r="AA42" i="13" s="1"/>
  <c r="AB42" i="13" s="1"/>
  <c r="Y78" i="13"/>
  <c r="AA78" i="13" s="1"/>
  <c r="AB78" i="13" s="1"/>
  <c r="Y203" i="13"/>
  <c r="Y53" i="13"/>
  <c r="AA53" i="13" s="1"/>
  <c r="AB53" i="13" s="1"/>
  <c r="Y54" i="13"/>
  <c r="AA54" i="13" s="1"/>
  <c r="AB54" i="13" s="1"/>
  <c r="U92" i="13"/>
  <c r="D95" i="16"/>
  <c r="Y33" i="13"/>
  <c r="AA33" i="13" s="1"/>
  <c r="AB33" i="13" s="1"/>
  <c r="Y28" i="13"/>
  <c r="AA28" i="13" s="1"/>
  <c r="AB28" i="13" s="1"/>
  <c r="Y119" i="13"/>
  <c r="AA119" i="13" s="1"/>
  <c r="AB119" i="13" s="1"/>
  <c r="D17" i="16"/>
  <c r="D100" i="16"/>
  <c r="Y52" i="13"/>
  <c r="AA52" i="13" s="1"/>
  <c r="AB52" i="13" s="1"/>
  <c r="Y85" i="13"/>
  <c r="AA85" i="13" s="1"/>
  <c r="AB85" i="13" s="1"/>
  <c r="D99" i="16"/>
  <c r="Y222" i="13"/>
  <c r="AA222" i="13" s="1"/>
  <c r="AB222" i="13" s="1"/>
  <c r="AK222" i="13" s="1"/>
  <c r="Y202" i="13"/>
  <c r="Y84" i="13"/>
  <c r="D59" i="16"/>
  <c r="Y32" i="13"/>
  <c r="AA32" i="13" s="1"/>
  <c r="AB32" i="13" s="1"/>
  <c r="Y212" i="13"/>
  <c r="D29" i="16"/>
  <c r="Y50" i="13"/>
  <c r="AA50" i="13" s="1"/>
  <c r="AB50" i="13" s="1"/>
  <c r="Y74" i="13"/>
  <c r="AA74" i="13" s="1"/>
  <c r="AB74" i="13" s="1"/>
  <c r="Y213" i="13"/>
  <c r="AB184" i="13"/>
  <c r="AB64" i="13"/>
  <c r="AB142" i="13"/>
  <c r="AB181" i="13"/>
  <c r="AB195" i="13"/>
  <c r="AB163" i="13"/>
  <c r="AB161" i="13"/>
  <c r="AB40" i="13"/>
  <c r="AB190" i="13"/>
  <c r="AB147" i="13"/>
  <c r="AB47" i="13"/>
  <c r="AB146" i="13"/>
  <c r="AB70" i="13"/>
  <c r="AB140" i="13"/>
  <c r="G132" i="5" s="1"/>
  <c r="H132" i="21" s="1"/>
  <c r="AB23" i="13"/>
  <c r="AB102" i="13"/>
  <c r="AB191" i="13"/>
  <c r="AB122" i="13"/>
  <c r="AB188" i="13"/>
  <c r="AB136" i="13"/>
  <c r="AB73" i="13"/>
  <c r="AB182" i="13"/>
  <c r="AB118" i="13"/>
  <c r="AB156" i="13"/>
  <c r="G149" i="5" s="1"/>
  <c r="AB116" i="13"/>
  <c r="AB194" i="13"/>
  <c r="AB149" i="13"/>
  <c r="AB71" i="13"/>
  <c r="AI71" i="13" s="1"/>
  <c r="AB72" i="13"/>
  <c r="AB193" i="13"/>
  <c r="AB143" i="13"/>
  <c r="AB151" i="13"/>
  <c r="AB105" i="13"/>
  <c r="AB132" i="13"/>
  <c r="AB87" i="13"/>
  <c r="AB150" i="13"/>
  <c r="G143" i="5" s="1"/>
  <c r="H143" i="21" s="1"/>
  <c r="AB174" i="13"/>
  <c r="AB131" i="13"/>
  <c r="AI131" i="13" s="1"/>
  <c r="AB57" i="13"/>
  <c r="AB133" i="13"/>
  <c r="G256" i="5"/>
  <c r="G165" i="5"/>
  <c r="H165" i="21" s="1"/>
  <c r="U165" i="13"/>
  <c r="G39" i="5"/>
  <c r="H39" i="21" s="1"/>
  <c r="T113" i="13"/>
  <c r="AA113" i="13" s="1"/>
  <c r="AB88" i="13"/>
  <c r="U89" i="13"/>
  <c r="AB209" i="13"/>
  <c r="D90" i="16"/>
  <c r="AB24" i="13"/>
  <c r="D21" i="16"/>
  <c r="D24" i="16"/>
  <c r="T170" i="13"/>
  <c r="AA170" i="13" s="1"/>
  <c r="T41" i="13"/>
  <c r="AA41" i="13" s="1"/>
  <c r="T201" i="13"/>
  <c r="U201" i="13" s="1"/>
  <c r="U203" i="13" s="1"/>
  <c r="G197" i="5"/>
  <c r="H197" i="21" s="1"/>
  <c r="D89" i="16"/>
  <c r="T200" i="13"/>
  <c r="AA200" i="13" s="1"/>
  <c r="D9" i="16"/>
  <c r="D61" i="16"/>
  <c r="D22" i="16"/>
  <c r="AB15" i="13"/>
  <c r="BD83" i="13"/>
  <c r="BE83" i="13" s="1"/>
  <c r="J80" i="5" s="1"/>
  <c r="K80" i="21" s="1"/>
  <c r="BG83" i="13"/>
  <c r="BH83" i="13" s="1"/>
  <c r="Q80" i="5" s="1"/>
  <c r="R80" i="21" s="1"/>
  <c r="BJ83" i="13"/>
  <c r="BK83" i="13" s="1"/>
  <c r="X80" i="5" s="1"/>
  <c r="Y80" i="21" s="1"/>
  <c r="BG86" i="13"/>
  <c r="BH86" i="13" s="1"/>
  <c r="Q83" i="5" s="1"/>
  <c r="R83" i="21" s="1"/>
  <c r="BJ86" i="13"/>
  <c r="BK86" i="13" s="1"/>
  <c r="X83" i="5" s="1"/>
  <c r="Y83" i="21" s="1"/>
  <c r="BD86" i="13"/>
  <c r="BE86" i="13" s="1"/>
  <c r="J83" i="5" s="1"/>
  <c r="K83" i="21" s="1"/>
  <c r="D44" i="16"/>
  <c r="BG103" i="13"/>
  <c r="BH103" i="13" s="1"/>
  <c r="BJ103" i="13"/>
  <c r="BK103" i="13" s="1"/>
  <c r="BD103" i="13"/>
  <c r="BE103" i="13" s="1"/>
  <c r="BG95" i="13"/>
  <c r="BH95" i="13" s="1"/>
  <c r="BJ95" i="13"/>
  <c r="BK95" i="13" s="1"/>
  <c r="BD95" i="13"/>
  <c r="BE95" i="13" s="1"/>
  <c r="BG55" i="13"/>
  <c r="BH55" i="13" s="1"/>
  <c r="BJ55" i="13"/>
  <c r="BK55" i="13" s="1"/>
  <c r="BD55" i="13"/>
  <c r="BE55" i="13" s="1"/>
  <c r="BG117" i="13"/>
  <c r="BH117" i="13" s="1"/>
  <c r="Q109" i="5" s="1"/>
  <c r="BJ117" i="13"/>
  <c r="BK117" i="13" s="1"/>
  <c r="X109" i="5" s="1"/>
  <c r="BD117" i="13"/>
  <c r="BE117" i="13" s="1"/>
  <c r="J109" i="5" s="1"/>
  <c r="BG138" i="13"/>
  <c r="BH138" i="13" s="1"/>
  <c r="Q130" i="5" s="1"/>
  <c r="R130" i="21" s="1"/>
  <c r="BD138" i="13"/>
  <c r="BE138" i="13" s="1"/>
  <c r="J130" i="5" s="1"/>
  <c r="K130" i="21" s="1"/>
  <c r="BJ138" i="13"/>
  <c r="BK138" i="13" s="1"/>
  <c r="X130" i="5" s="1"/>
  <c r="Y130" i="21" s="1"/>
  <c r="AB25" i="13"/>
  <c r="AB177" i="13"/>
  <c r="AB44" i="13"/>
  <c r="BD82" i="13"/>
  <c r="BE82" i="13" s="1"/>
  <c r="BG82" i="13"/>
  <c r="BH82" i="13" s="1"/>
  <c r="BJ82" i="13"/>
  <c r="BK82" i="13" s="1"/>
  <c r="D76" i="16"/>
  <c r="D53" i="16"/>
  <c r="BJ160" i="13"/>
  <c r="BK160" i="13" s="1"/>
  <c r="X154" i="5" s="1"/>
  <c r="Y154" i="21" s="1"/>
  <c r="BG160" i="13"/>
  <c r="BH160" i="13" s="1"/>
  <c r="Q154" i="5" s="1"/>
  <c r="R154" i="21" s="1"/>
  <c r="BD160" i="13"/>
  <c r="BE160" i="13" s="1"/>
  <c r="BG179" i="13"/>
  <c r="BH179" i="13" s="1"/>
  <c r="Q174" i="5" s="1"/>
  <c r="R174" i="21" s="1"/>
  <c r="BJ179" i="13"/>
  <c r="BK179" i="13" s="1"/>
  <c r="X174" i="5" s="1"/>
  <c r="Y174" i="21" s="1"/>
  <c r="BD179" i="13"/>
  <c r="BE179" i="13" s="1"/>
  <c r="J174" i="5" s="1"/>
  <c r="K174" i="21" s="1"/>
  <c r="AB11" i="13"/>
  <c r="AB17" i="13"/>
  <c r="BJ230" i="13"/>
  <c r="BK230" i="13" s="1"/>
  <c r="X225" i="5" s="1"/>
  <c r="Y225" i="21" s="1"/>
  <c r="BD230" i="13"/>
  <c r="BE230" i="13" s="1"/>
  <c r="J225" i="5" s="1"/>
  <c r="K225" i="21" s="1"/>
  <c r="BG230" i="13"/>
  <c r="BH230" i="13" s="1"/>
  <c r="Q225" i="5" s="1"/>
  <c r="R225" i="21" s="1"/>
  <c r="AB157" i="13"/>
  <c r="D13" i="16"/>
  <c r="AB35" i="13"/>
  <c r="D10" i="16"/>
  <c r="AB172" i="13"/>
  <c r="AB120" i="13"/>
  <c r="AB128" i="13"/>
  <c r="AB180" i="13"/>
  <c r="G99" i="5"/>
  <c r="H99" i="21" s="1"/>
  <c r="AB135" i="13"/>
  <c r="AB45" i="13"/>
  <c r="BG208" i="13"/>
  <c r="BH208" i="13" s="1"/>
  <c r="Q203" i="5" s="1"/>
  <c r="BD208" i="13"/>
  <c r="BE208" i="13" s="1"/>
  <c r="J203" i="5" s="1"/>
  <c r="BJ208" i="13"/>
  <c r="BK208" i="13" s="1"/>
  <c r="X203" i="5" s="1"/>
  <c r="AB21" i="13"/>
  <c r="AB186" i="13"/>
  <c r="AB176" i="13"/>
  <c r="BG183" i="13"/>
  <c r="BH183" i="13" s="1"/>
  <c r="Q178" i="5" s="1"/>
  <c r="R178" i="21" s="1"/>
  <c r="BJ183" i="13"/>
  <c r="BK183" i="13" s="1"/>
  <c r="X178" i="5" s="1"/>
  <c r="BD183" i="13"/>
  <c r="BE183" i="13" s="1"/>
  <c r="J178" i="5" s="1"/>
  <c r="K178" i="21" s="1"/>
  <c r="AB230" i="13"/>
  <c r="AK230" i="13" s="1"/>
  <c r="AB137" i="13"/>
  <c r="AB43" i="13"/>
  <c r="AB158" i="13"/>
  <c r="AI158" i="13" s="1"/>
  <c r="BD207" i="13"/>
  <c r="BE207" i="13" s="1"/>
  <c r="BG207" i="13"/>
  <c r="BH207" i="13" s="1"/>
  <c r="BJ207" i="13"/>
  <c r="BK207" i="13" s="1"/>
  <c r="BJ16" i="13"/>
  <c r="BK16" i="13" s="1"/>
  <c r="X17" i="5" s="1"/>
  <c r="BG16" i="13"/>
  <c r="BH16" i="13" s="1"/>
  <c r="Q17" i="5" s="1"/>
  <c r="BD16" i="13"/>
  <c r="BE16" i="13" s="1"/>
  <c r="J17" i="5" s="1"/>
  <c r="BJ79" i="13"/>
  <c r="BK79" i="13" s="1"/>
  <c r="X77" i="5" s="1"/>
  <c r="BD79" i="13"/>
  <c r="BE79" i="13" s="1"/>
  <c r="J77" i="5" s="1"/>
  <c r="K77" i="21" s="1"/>
  <c r="BG79" i="13"/>
  <c r="BH79" i="13" s="1"/>
  <c r="Q77" i="5" s="1"/>
  <c r="R77" i="21" s="1"/>
  <c r="BG63" i="13"/>
  <c r="BH63" i="13" s="1"/>
  <c r="Q61" i="5" s="1"/>
  <c r="R61" i="21" s="1"/>
  <c r="BD63" i="13"/>
  <c r="BE63" i="13" s="1"/>
  <c r="BJ63" i="13"/>
  <c r="BK63" i="13" s="1"/>
  <c r="X61" i="5" s="1"/>
  <c r="Y61" i="21" s="1"/>
  <c r="BD19" i="13"/>
  <c r="BE19" i="13" s="1"/>
  <c r="BG19" i="13"/>
  <c r="BH19" i="13" s="1"/>
  <c r="Q20" i="5" s="1"/>
  <c r="BJ19" i="13"/>
  <c r="BK19" i="13" s="1"/>
  <c r="X20" i="5" s="1"/>
  <c r="Y20" i="21" s="1"/>
  <c r="BG134" i="13"/>
  <c r="BH134" i="13" s="1"/>
  <c r="Q126" i="5" s="1"/>
  <c r="R126" i="21" s="1"/>
  <c r="BJ134" i="13"/>
  <c r="BK134" i="13" s="1"/>
  <c r="X126" i="5" s="1"/>
  <c r="Y126" i="21" s="1"/>
  <c r="BD134" i="13"/>
  <c r="BE134" i="13" s="1"/>
  <c r="J126" i="5" s="1"/>
  <c r="K126" i="21" s="1"/>
  <c r="AB14" i="13"/>
  <c r="BJ122" i="13"/>
  <c r="BK122" i="13" s="1"/>
  <c r="X114" i="5" s="1"/>
  <c r="BD122" i="13"/>
  <c r="BE122" i="13" s="1"/>
  <c r="J114" i="5" s="1"/>
  <c r="K114" i="21" s="1"/>
  <c r="BG122" i="13"/>
  <c r="BH122" i="13" s="1"/>
  <c r="Q114" i="5" s="1"/>
  <c r="R114" i="21" s="1"/>
  <c r="AB173" i="13"/>
  <c r="AB185" i="13"/>
  <c r="AB141" i="13"/>
  <c r="D11" i="16"/>
  <c r="D12" i="16"/>
  <c r="AB12" i="13"/>
  <c r="BG30" i="13"/>
  <c r="BH30" i="13" s="1"/>
  <c r="Q31" i="5" s="1"/>
  <c r="BJ30" i="13"/>
  <c r="BK30" i="13" s="1"/>
  <c r="X31" i="5" s="1"/>
  <c r="BD30" i="13"/>
  <c r="BE30" i="13" s="1"/>
  <c r="BG175" i="13"/>
  <c r="BH175" i="13" s="1"/>
  <c r="Q170" i="5" s="1"/>
  <c r="R170" i="21" s="1"/>
  <c r="BJ175" i="13"/>
  <c r="BK175" i="13" s="1"/>
  <c r="X170" i="5" s="1"/>
  <c r="Y170" i="21" s="1"/>
  <c r="BD175" i="13"/>
  <c r="BE175" i="13" s="1"/>
  <c r="J170" i="5" s="1"/>
  <c r="K170" i="21" s="1"/>
  <c r="BG59" i="13"/>
  <c r="BH59" i="13" s="1"/>
  <c r="Q58" i="5" s="1"/>
  <c r="R58" i="21" s="1"/>
  <c r="BD59" i="13"/>
  <c r="BE59" i="13" s="1"/>
  <c r="BJ59" i="13"/>
  <c r="BK59" i="13" s="1"/>
  <c r="X58" i="5" s="1"/>
  <c r="Y58" i="21" s="1"/>
  <c r="BG90" i="13"/>
  <c r="BH90" i="13" s="1"/>
  <c r="Q87" i="5" s="1"/>
  <c r="BJ90" i="13"/>
  <c r="BK90" i="13" s="1"/>
  <c r="X87" i="5" s="1"/>
  <c r="BD90" i="13"/>
  <c r="BE90" i="13" s="1"/>
  <c r="J87" i="5" s="1"/>
  <c r="BD56" i="13"/>
  <c r="BE56" i="13" s="1"/>
  <c r="J55" i="5" s="1"/>
  <c r="BG56" i="13"/>
  <c r="BH56" i="13" s="1"/>
  <c r="Q55" i="5" s="1"/>
  <c r="BJ56" i="13"/>
  <c r="BK56" i="13" s="1"/>
  <c r="X55" i="5" s="1"/>
  <c r="BD35" i="13"/>
  <c r="BE35" i="13" s="1"/>
  <c r="BG35" i="13"/>
  <c r="BH35" i="13" s="1"/>
  <c r="BJ35" i="13"/>
  <c r="BK35" i="13" s="1"/>
  <c r="BJ189" i="13"/>
  <c r="BK189" i="13" s="1"/>
  <c r="X184" i="5" s="1"/>
  <c r="Y184" i="21" s="1"/>
  <c r="BD189" i="13"/>
  <c r="BE189" i="13" s="1"/>
  <c r="J184" i="5" s="1"/>
  <c r="K184" i="21" s="1"/>
  <c r="BG189" i="13"/>
  <c r="BH189" i="13" s="1"/>
  <c r="Q184" i="5" s="1"/>
  <c r="R184" i="21" s="1"/>
  <c r="AB22" i="13"/>
  <c r="AB27" i="13"/>
  <c r="BJ148" i="13"/>
  <c r="BK148" i="13" s="1"/>
  <c r="X141" i="5" s="1"/>
  <c r="Y141" i="21" s="1"/>
  <c r="BG148" i="13"/>
  <c r="BH148" i="13" s="1"/>
  <c r="Q141" i="5" s="1"/>
  <c r="R141" i="21" s="1"/>
  <c r="BD148" i="13"/>
  <c r="BE148" i="13" s="1"/>
  <c r="AB101" i="13"/>
  <c r="BG62" i="13"/>
  <c r="BH62" i="13" s="1"/>
  <c r="BJ62" i="13"/>
  <c r="BK62" i="13" s="1"/>
  <c r="BD62" i="13"/>
  <c r="BE62" i="13" s="1"/>
  <c r="AB29" i="13"/>
  <c r="AB13" i="13"/>
  <c r="BJ165" i="13"/>
  <c r="BK165" i="13" s="1"/>
  <c r="X159" i="5" s="1"/>
  <c r="BD165" i="13"/>
  <c r="BE165" i="13" s="1"/>
  <c r="J159" i="5" s="1"/>
  <c r="K159" i="21" s="1"/>
  <c r="BG165" i="13"/>
  <c r="BH165" i="13" s="1"/>
  <c r="Q159" i="5" s="1"/>
  <c r="R159" i="21" s="1"/>
  <c r="AB129" i="13"/>
  <c r="BG51" i="13"/>
  <c r="BH51" i="13" s="1"/>
  <c r="Q51" i="5" s="1"/>
  <c r="R51" i="21" s="1"/>
  <c r="BD51" i="13"/>
  <c r="BE51" i="13" s="1"/>
  <c r="BJ51" i="13"/>
  <c r="BK51" i="13" s="1"/>
  <c r="X51" i="5" s="1"/>
  <c r="Y51" i="21" s="1"/>
  <c r="BG144" i="13"/>
  <c r="BH144" i="13" s="1"/>
  <c r="Q136" i="5" s="1"/>
  <c r="R136" i="21" s="1"/>
  <c r="BJ144" i="13"/>
  <c r="BK144" i="13" s="1"/>
  <c r="X136" i="5" s="1"/>
  <c r="Y136" i="21" s="1"/>
  <c r="BD144" i="13"/>
  <c r="BE144" i="13" s="1"/>
  <c r="J136" i="5" s="1"/>
  <c r="K136" i="21" s="1"/>
  <c r="BG34" i="13"/>
  <c r="BH34" i="13" s="1"/>
  <c r="BJ34" i="13"/>
  <c r="BK34" i="13" s="1"/>
  <c r="BD34" i="13"/>
  <c r="BE34" i="13" s="1"/>
  <c r="AB20" i="13"/>
  <c r="BD93" i="13"/>
  <c r="BE93" i="13" s="1"/>
  <c r="J90" i="5" s="1"/>
  <c r="K90" i="21" s="1"/>
  <c r="BG93" i="13"/>
  <c r="BH93" i="13" s="1"/>
  <c r="Q90" i="5" s="1"/>
  <c r="R90" i="21" s="1"/>
  <c r="BJ93" i="13"/>
  <c r="BK93" i="13" s="1"/>
  <c r="X90" i="5" s="1"/>
  <c r="Y90" i="21" s="1"/>
  <c r="AB18" i="13"/>
  <c r="AB139" i="13"/>
  <c r="AB127" i="13"/>
  <c r="AB196" i="13"/>
  <c r="AB178" i="13"/>
  <c r="BE204" i="13"/>
  <c r="J200" i="5" s="1"/>
  <c r="BE126" i="13"/>
  <c r="J118" i="5" s="1"/>
  <c r="K118" i="21" s="1"/>
  <c r="BE39" i="13"/>
  <c r="J38" i="5" s="1"/>
  <c r="G258" i="5"/>
  <c r="AD258" i="5" s="1"/>
  <c r="G185" i="5"/>
  <c r="H185" i="21" s="1"/>
  <c r="G259" i="5"/>
  <c r="G188" i="5"/>
  <c r="H188" i="21" s="1"/>
  <c r="G245" i="5"/>
  <c r="T229" i="13"/>
  <c r="AA229" i="13" s="1"/>
  <c r="T227" i="13"/>
  <c r="AA227" i="13" s="1"/>
  <c r="T225" i="13"/>
  <c r="AA225" i="13" s="1"/>
  <c r="T243" i="13"/>
  <c r="AB243" i="13" s="1"/>
  <c r="G171" i="5" s="1"/>
  <c r="T239" i="13"/>
  <c r="AB239" i="13" s="1"/>
  <c r="D63" i="16"/>
  <c r="T245" i="13"/>
  <c r="AB245" i="13" s="1"/>
  <c r="T244" i="13"/>
  <c r="AB244" i="13" s="1"/>
  <c r="T242" i="13"/>
  <c r="AB242" i="13" s="1"/>
  <c r="T240" i="13"/>
  <c r="AB240" i="13" s="1"/>
  <c r="D80" i="16"/>
  <c r="T237" i="13"/>
  <c r="AB237" i="13" s="1"/>
  <c r="T241" i="13"/>
  <c r="AB241" i="13" s="1"/>
  <c r="T236" i="13"/>
  <c r="T100" i="13"/>
  <c r="AA100" i="13" s="1"/>
  <c r="T152" i="13"/>
  <c r="D65" i="16" s="1"/>
  <c r="D62" i="16"/>
  <c r="AB228" i="13"/>
  <c r="AI228" i="13" s="1"/>
  <c r="D105" i="16"/>
  <c r="F105" i="16" s="1"/>
  <c r="AB226" i="13"/>
  <c r="AI226" i="13" s="1"/>
  <c r="D103" i="16"/>
  <c r="F103" i="16" s="1"/>
  <c r="D77" i="16"/>
  <c r="D82" i="16"/>
  <c r="D81" i="16"/>
  <c r="D60" i="16"/>
  <c r="D64" i="16"/>
  <c r="BJ130" i="13"/>
  <c r="BK130" i="13" s="1"/>
  <c r="X122" i="5" s="1"/>
  <c r="Y122" i="21" s="1"/>
  <c r="BG130" i="13"/>
  <c r="BH130" i="13" s="1"/>
  <c r="Q122" i="5" s="1"/>
  <c r="R122" i="21" s="1"/>
  <c r="BD130" i="13"/>
  <c r="BD192" i="13"/>
  <c r="BG192" i="13"/>
  <c r="BH192" i="13" s="1"/>
  <c r="Q187" i="5" s="1"/>
  <c r="BJ192" i="13"/>
  <c r="BK192" i="13" s="1"/>
  <c r="X187" i="5" s="1"/>
  <c r="BY108" i="13"/>
  <c r="T219" i="13"/>
  <c r="T169" i="13"/>
  <c r="AA169" i="13" s="1"/>
  <c r="T217" i="13"/>
  <c r="AA217" i="13" s="1"/>
  <c r="T155" i="13"/>
  <c r="AA155" i="13" s="1"/>
  <c r="BG39" i="13"/>
  <c r="BH39" i="13" s="1"/>
  <c r="Q38" i="5" s="1"/>
  <c r="AS73" i="5"/>
  <c r="AS38" i="5"/>
  <c r="BY5" i="13"/>
  <c r="AT73" i="5"/>
  <c r="AW38" i="5"/>
  <c r="AX73" i="5"/>
  <c r="AX38" i="5"/>
  <c r="AU73" i="5"/>
  <c r="AY73" i="5"/>
  <c r="AU38" i="5"/>
  <c r="AV73" i="5"/>
  <c r="AV38" i="5"/>
  <c r="AT38" i="5"/>
  <c r="AY38" i="5"/>
  <c r="AW73" i="5"/>
  <c r="BJ39" i="13"/>
  <c r="BK39" i="13" s="1"/>
  <c r="X38" i="5" s="1"/>
  <c r="BX121" i="13"/>
  <c r="CA121" i="13" s="1"/>
  <c r="BY187" i="13"/>
  <c r="BX62" i="13"/>
  <c r="BZ62" i="13" s="1"/>
  <c r="BY90" i="13"/>
  <c r="BX159" i="13"/>
  <c r="BZ159" i="13" s="1"/>
  <c r="BY159" i="13"/>
  <c r="BX109" i="13"/>
  <c r="BZ109" i="13" s="1"/>
  <c r="BY109" i="13"/>
  <c r="BX108" i="13"/>
  <c r="CA108" i="13" s="1"/>
  <c r="BY62" i="13"/>
  <c r="BX90" i="13"/>
  <c r="CC90" i="13" s="1"/>
  <c r="BX83" i="13"/>
  <c r="CC83" i="13" s="1"/>
  <c r="BX208" i="13"/>
  <c r="CC208" i="13" s="1"/>
  <c r="BY79" i="13"/>
  <c r="BX160" i="13"/>
  <c r="CA160" i="13" s="1"/>
  <c r="BY164" i="13"/>
  <c r="BY208" i="13"/>
  <c r="BX164" i="13"/>
  <c r="CC164" i="13" s="1"/>
  <c r="BX95" i="13"/>
  <c r="BZ95" i="13" s="1"/>
  <c r="BY138" i="13"/>
  <c r="BX115" i="13"/>
  <c r="CC115" i="13" s="1"/>
  <c r="BX55" i="13"/>
  <c r="BZ55" i="13" s="1"/>
  <c r="CG55" i="13" s="1"/>
  <c r="BY115" i="13"/>
  <c r="BY86" i="13"/>
  <c r="BX211" i="13"/>
  <c r="BZ211" i="13" s="1"/>
  <c r="CG211" i="13" s="1"/>
  <c r="BY55" i="13"/>
  <c r="BX86" i="13"/>
  <c r="BZ86" i="13" s="1"/>
  <c r="BY160" i="13"/>
  <c r="BY83" i="13"/>
  <c r="BY95" i="13"/>
  <c r="BX138" i="13"/>
  <c r="BZ138" i="13" s="1"/>
  <c r="CG138" i="13" s="1"/>
  <c r="BX79" i="13"/>
  <c r="BZ79" i="13" s="1"/>
  <c r="BY211" i="13"/>
  <c r="BX207" i="13"/>
  <c r="BZ207" i="13" s="1"/>
  <c r="BX93" i="13"/>
  <c r="CC93" i="13" s="1"/>
  <c r="BX51" i="13"/>
  <c r="BZ51" i="13" s="1"/>
  <c r="CG51" i="13" s="1"/>
  <c r="BX200" i="13"/>
  <c r="CC200" i="13" s="1"/>
  <c r="BX113" i="13"/>
  <c r="BZ113" i="13" s="1"/>
  <c r="BX155" i="13"/>
  <c r="BZ155" i="13" s="1"/>
  <c r="BY56" i="13"/>
  <c r="BY93" i="13"/>
  <c r="BY207" i="13"/>
  <c r="BY26" i="13"/>
  <c r="BY82" i="13"/>
  <c r="BX100" i="13"/>
  <c r="CA100" i="13" s="1"/>
  <c r="BX134" i="13"/>
  <c r="BZ134" i="13" s="1"/>
  <c r="BY96" i="13"/>
  <c r="BY237" i="13"/>
  <c r="BY68" i="13"/>
  <c r="BY179" i="13"/>
  <c r="BX10" i="13"/>
  <c r="BZ10" i="13" s="1"/>
  <c r="BY65" i="13"/>
  <c r="BY63" i="13"/>
  <c r="BX204" i="13"/>
  <c r="BZ204" i="13" s="1"/>
  <c r="CG204" i="13" s="1"/>
  <c r="BX169" i="13"/>
  <c r="CA169" i="13" s="1"/>
  <c r="BX82" i="13"/>
  <c r="BZ82" i="13" s="1"/>
  <c r="BX96" i="13"/>
  <c r="BZ96" i="13" s="1"/>
  <c r="BY75" i="13"/>
  <c r="BY51" i="13"/>
  <c r="BY39" i="13"/>
  <c r="BY38" i="13"/>
  <c r="BX117" i="13"/>
  <c r="BZ117" i="13" s="1"/>
  <c r="CG117" i="13" s="1"/>
  <c r="BX63" i="13"/>
  <c r="CA63" i="13" s="1"/>
  <c r="BX75" i="13"/>
  <c r="BZ75" i="13" s="1"/>
  <c r="CG75" i="13" s="1"/>
  <c r="BX69" i="13"/>
  <c r="CA69" i="13" s="1"/>
  <c r="BY59" i="13"/>
  <c r="BY199" i="13"/>
  <c r="BY30" i="13"/>
  <c r="BY126" i="13"/>
  <c r="BY204" i="13"/>
  <c r="BY16" i="13"/>
  <c r="BY19" i="13"/>
  <c r="BX106" i="13"/>
  <c r="BZ106" i="13" s="1"/>
  <c r="BX65" i="13"/>
  <c r="CC65" i="13" s="1"/>
  <c r="BX126" i="13"/>
  <c r="BZ126" i="13" s="1"/>
  <c r="BX56" i="13"/>
  <c r="BZ56" i="13" s="1"/>
  <c r="BY252" i="13"/>
  <c r="BY236" i="13"/>
  <c r="BY112" i="13"/>
  <c r="BY171" i="13"/>
  <c r="BX39" i="13"/>
  <c r="BZ39" i="13" s="1"/>
  <c r="CG39" i="13" s="1"/>
  <c r="BX16" i="13"/>
  <c r="BZ16" i="13" s="1"/>
  <c r="BX171" i="13"/>
  <c r="CC171" i="13" s="1"/>
  <c r="BX59" i="13"/>
  <c r="BZ59" i="13" s="1"/>
  <c r="BX30" i="13"/>
  <c r="BZ30" i="13" s="1"/>
  <c r="BY69" i="13"/>
  <c r="BY183" i="13"/>
  <c r="BY117" i="13"/>
  <c r="BY100" i="13"/>
  <c r="BY155" i="13"/>
  <c r="BY200" i="13"/>
  <c r="BY10" i="13"/>
  <c r="BY107" i="13"/>
  <c r="BY125" i="13"/>
  <c r="BY169" i="13"/>
  <c r="BX107" i="13"/>
  <c r="BZ107" i="13" s="1"/>
  <c r="BX19" i="13"/>
  <c r="CA19" i="13" s="1"/>
  <c r="BX26" i="13"/>
  <c r="CA26" i="13" s="1"/>
  <c r="BX183" i="13"/>
  <c r="BZ183" i="13" s="1"/>
  <c r="BX179" i="13"/>
  <c r="CA179" i="13" s="1"/>
  <c r="BY106" i="13"/>
  <c r="BY134" i="13"/>
  <c r="BY113" i="13"/>
  <c r="BY46" i="13"/>
  <c r="BY99" i="13"/>
  <c r="BY154" i="13"/>
  <c r="BG126" i="13"/>
  <c r="BH126" i="13" s="1"/>
  <c r="Q118" i="5" s="1"/>
  <c r="R118" i="21" s="1"/>
  <c r="BJ126" i="13"/>
  <c r="BK126" i="13" s="1"/>
  <c r="X118" i="5" s="1"/>
  <c r="Y118" i="21" s="1"/>
  <c r="BX198" i="13"/>
  <c r="CA198" i="13" s="1"/>
  <c r="BY223" i="13"/>
  <c r="BY198" i="13"/>
  <c r="BY36" i="13"/>
  <c r="BY144" i="13"/>
  <c r="BY67" i="13"/>
  <c r="BY110" i="13"/>
  <c r="BX98" i="13"/>
  <c r="CA98" i="13" s="1"/>
  <c r="BY222" i="13"/>
  <c r="BY167" i="13"/>
  <c r="BY123" i="13"/>
  <c r="BY37" i="13"/>
  <c r="BY233" i="13"/>
  <c r="BY66" i="13"/>
  <c r="BY168" i="13"/>
  <c r="BY98" i="13"/>
  <c r="BY219" i="13"/>
  <c r="BY152" i="13"/>
  <c r="BY224" i="13"/>
  <c r="BY166" i="13"/>
  <c r="BY216" i="13"/>
  <c r="BY111" i="13"/>
  <c r="BY231" i="13"/>
  <c r="BX97" i="13"/>
  <c r="BZ97" i="13" s="1"/>
  <c r="BY35" i="13"/>
  <c r="BY221" i="13"/>
  <c r="BY220" i="13"/>
  <c r="BY153" i="13"/>
  <c r="BY197" i="13"/>
  <c r="BX144" i="13"/>
  <c r="BZ144" i="13" s="1"/>
  <c r="BY218" i="13"/>
  <c r="BY97" i="13"/>
  <c r="BY232" i="13"/>
  <c r="BY225" i="13"/>
  <c r="BY215" i="13"/>
  <c r="BY214" i="13"/>
  <c r="BY34" i="13"/>
  <c r="BY124" i="13"/>
  <c r="BY217" i="13"/>
  <c r="BD100" i="13"/>
  <c r="BX232" i="13"/>
  <c r="BX166" i="13"/>
  <c r="BZ187" i="13"/>
  <c r="CC187" i="13"/>
  <c r="CA187" i="13"/>
  <c r="BX34" i="13"/>
  <c r="BX66" i="13"/>
  <c r="BX219" i="13"/>
  <c r="BZ46" i="13"/>
  <c r="CG46" i="13" s="1"/>
  <c r="BX167" i="13"/>
  <c r="BX223" i="13"/>
  <c r="BX111" i="13"/>
  <c r="BX214" i="13"/>
  <c r="BX123" i="13"/>
  <c r="BX110" i="13"/>
  <c r="BX220" i="13"/>
  <c r="BX124" i="13"/>
  <c r="BX35" i="13"/>
  <c r="AB223" i="13"/>
  <c r="AJ223" i="13" s="1"/>
  <c r="BX152" i="13"/>
  <c r="BX153" i="13"/>
  <c r="BZ103" i="13"/>
  <c r="CC103" i="13"/>
  <c r="CA103" i="13"/>
  <c r="BX224" i="13"/>
  <c r="BX222" i="13"/>
  <c r="BX67" i="13"/>
  <c r="BX225" i="13"/>
  <c r="BX215" i="13"/>
  <c r="BX36" i="13"/>
  <c r="BX221" i="13"/>
  <c r="BX231" i="13"/>
  <c r="BX217" i="13"/>
  <c r="BX37" i="13"/>
  <c r="BX197" i="13"/>
  <c r="BX218" i="13"/>
  <c r="D87" i="16"/>
  <c r="AA204" i="13"/>
  <c r="BJ204" i="13"/>
  <c r="BK204" i="13" s="1"/>
  <c r="X200" i="5" s="1"/>
  <c r="BG204" i="13"/>
  <c r="BH204" i="13" s="1"/>
  <c r="Q200" i="5" s="1"/>
  <c r="AB220" i="13"/>
  <c r="AK220" i="13" s="1"/>
  <c r="BG100" i="13"/>
  <c r="BH100" i="13" s="1"/>
  <c r="Q95" i="5" s="1"/>
  <c r="R95" i="21" s="1"/>
  <c r="BD107" i="13"/>
  <c r="BE107" i="13" s="1"/>
  <c r="BG107" i="13"/>
  <c r="BH107" i="13" s="1"/>
  <c r="BJ107" i="13"/>
  <c r="BK107" i="13" s="1"/>
  <c r="BD115" i="13"/>
  <c r="BJ115" i="13"/>
  <c r="BK115" i="13" s="1"/>
  <c r="X107" i="5" s="1"/>
  <c r="Y107" i="21" s="1"/>
  <c r="BG115" i="13"/>
  <c r="BH115" i="13" s="1"/>
  <c r="Q107" i="5" s="1"/>
  <c r="R107" i="21" s="1"/>
  <c r="BD159" i="13"/>
  <c r="BE159" i="13" s="1"/>
  <c r="BJ159" i="13"/>
  <c r="BK159" i="13" s="1"/>
  <c r="BG159" i="13"/>
  <c r="BH159" i="13" s="1"/>
  <c r="BD169" i="13"/>
  <c r="BG169" i="13"/>
  <c r="BH169" i="13" s="1"/>
  <c r="Q163" i="5" s="1"/>
  <c r="R163" i="21" s="1"/>
  <c r="BJ169" i="13"/>
  <c r="BK169" i="13" s="1"/>
  <c r="X163" i="5" s="1"/>
  <c r="Y163" i="21" s="1"/>
  <c r="BD171" i="13"/>
  <c r="BG171" i="13"/>
  <c r="BH171" i="13" s="1"/>
  <c r="Q166" i="5" s="1"/>
  <c r="R166" i="21" s="1"/>
  <c r="BJ171" i="13"/>
  <c r="BK171" i="13" s="1"/>
  <c r="X166" i="5" s="1"/>
  <c r="Y166" i="21" s="1"/>
  <c r="BD109" i="13"/>
  <c r="BE109" i="13" s="1"/>
  <c r="BJ109" i="13"/>
  <c r="BK109" i="13" s="1"/>
  <c r="BG109" i="13"/>
  <c r="BH109" i="13" s="1"/>
  <c r="BD121" i="13"/>
  <c r="BG121" i="13"/>
  <c r="BH121" i="13" s="1"/>
  <c r="Q113" i="5" s="1"/>
  <c r="BD164" i="13"/>
  <c r="BG164" i="13"/>
  <c r="BH164" i="13" s="1"/>
  <c r="Q158" i="5" s="1"/>
  <c r="R158" i="21" s="1"/>
  <c r="BJ164" i="13"/>
  <c r="BK164" i="13" s="1"/>
  <c r="X158" i="5" s="1"/>
  <c r="Y158" i="21" s="1"/>
  <c r="BD200" i="13"/>
  <c r="BJ200" i="13"/>
  <c r="BK200" i="13" s="1"/>
  <c r="X195" i="5" s="1"/>
  <c r="BG200" i="13"/>
  <c r="BH200" i="13" s="1"/>
  <c r="Q195" i="5" s="1"/>
  <c r="D18" i="16"/>
  <c r="BD211" i="13"/>
  <c r="BG211" i="13"/>
  <c r="BH211" i="13" s="1"/>
  <c r="Q206" i="5" s="1"/>
  <c r="BJ211" i="13"/>
  <c r="BK211" i="13" s="1"/>
  <c r="X206" i="5" s="1"/>
  <c r="Y206" i="21" s="1"/>
  <c r="D8" i="16"/>
  <c r="D39" i="16"/>
  <c r="BD106" i="13"/>
  <c r="BE106" i="13" s="1"/>
  <c r="BG106" i="13"/>
  <c r="BH106" i="13" s="1"/>
  <c r="BJ106" i="13"/>
  <c r="BK106" i="13" s="1"/>
  <c r="AB218" i="13"/>
  <c r="AJ218" i="13" s="1"/>
  <c r="D19" i="16"/>
  <c r="D48" i="16"/>
  <c r="BD10" i="13"/>
  <c r="BJ10" i="13"/>
  <c r="BK10" i="13" s="1"/>
  <c r="X11" i="5" s="1"/>
  <c r="BG10" i="13"/>
  <c r="BH10" i="13" s="1"/>
  <c r="D78" i="16"/>
  <c r="D54" i="16"/>
  <c r="BD108" i="13"/>
  <c r="BE108" i="13" s="1"/>
  <c r="BJ108" i="13"/>
  <c r="BK108" i="13" s="1"/>
  <c r="BG108" i="13"/>
  <c r="BH108" i="13" s="1"/>
  <c r="D98" i="16"/>
  <c r="D46" i="16"/>
  <c r="D23" i="16"/>
  <c r="J98" i="5" l="1"/>
  <c r="K98" i="21" s="1"/>
  <c r="J96" i="5"/>
  <c r="K96" i="21" s="1"/>
  <c r="X98" i="5"/>
  <c r="AC98" i="21" s="1"/>
  <c r="X96" i="5"/>
  <c r="Q98" i="5"/>
  <c r="R98" i="21" s="1"/>
  <c r="Q96" i="5"/>
  <c r="R96" i="21" s="1"/>
  <c r="X95" i="5"/>
  <c r="Y95" i="21" s="1"/>
  <c r="Y200" i="21"/>
  <c r="K109" i="21"/>
  <c r="AD70" i="5"/>
  <c r="H70" i="21"/>
  <c r="Y40" i="21"/>
  <c r="AC40" i="21"/>
  <c r="Y109" i="21"/>
  <c r="R206" i="21"/>
  <c r="K200" i="21"/>
  <c r="Y178" i="21"/>
  <c r="AC178" i="21"/>
  <c r="R113" i="21"/>
  <c r="Y38" i="21"/>
  <c r="AC38" i="21"/>
  <c r="R38" i="21"/>
  <c r="K87" i="21"/>
  <c r="R109" i="21"/>
  <c r="R55" i="21"/>
  <c r="K55" i="21"/>
  <c r="R195" i="21"/>
  <c r="Y195" i="21"/>
  <c r="Y87" i="21"/>
  <c r="Y77" i="21"/>
  <c r="Y55" i="21"/>
  <c r="Y187" i="21"/>
  <c r="R187" i="21"/>
  <c r="AD149" i="5"/>
  <c r="H149" i="21"/>
  <c r="Y11" i="21"/>
  <c r="AD171" i="5"/>
  <c r="H171" i="21"/>
  <c r="R87" i="21"/>
  <c r="Y31" i="21"/>
  <c r="R20" i="21"/>
  <c r="K17" i="21"/>
  <c r="Y203" i="21"/>
  <c r="K38" i="21"/>
  <c r="Y159" i="21"/>
  <c r="AC159" i="21"/>
  <c r="R31" i="21"/>
  <c r="R17" i="21"/>
  <c r="K203" i="21"/>
  <c r="R200" i="21"/>
  <c r="Y114" i="21"/>
  <c r="AC114" i="21"/>
  <c r="Y17" i="21"/>
  <c r="R203" i="21"/>
  <c r="J59" i="11"/>
  <c r="M76" i="11"/>
  <c r="BK251" i="13"/>
  <c r="L76" i="11"/>
  <c r="BG251" i="13"/>
  <c r="BH251" i="13" s="1"/>
  <c r="BD251" i="13"/>
  <c r="BD158" i="13" s="1"/>
  <c r="AP49" i="13"/>
  <c r="BB49" i="13" s="1"/>
  <c r="AO49" i="13"/>
  <c r="BA49" i="13" s="1"/>
  <c r="AA212" i="13"/>
  <c r="AB212" i="13" s="1"/>
  <c r="AD40" i="5"/>
  <c r="G40" i="21"/>
  <c r="AG40" i="21" s="1"/>
  <c r="X40" i="21"/>
  <c r="J40" i="21"/>
  <c r="Q40" i="21"/>
  <c r="BS253" i="13"/>
  <c r="L62" i="11"/>
  <c r="BT253" i="13"/>
  <c r="M62" i="11"/>
  <c r="BR253" i="13"/>
  <c r="K62" i="11"/>
  <c r="BR251" i="13"/>
  <c r="K76" i="11"/>
  <c r="BT255" i="13"/>
  <c r="M75" i="11"/>
  <c r="BJ252" i="13"/>
  <c r="M79" i="11"/>
  <c r="BS255" i="13"/>
  <c r="L75" i="11"/>
  <c r="BR255" i="13"/>
  <c r="K75" i="11"/>
  <c r="BG252" i="13"/>
  <c r="L79" i="11"/>
  <c r="I19" i="3"/>
  <c r="C62" i="5"/>
  <c r="D62" i="21" s="1"/>
  <c r="D60" i="21"/>
  <c r="C91" i="5"/>
  <c r="D91" i="21" s="1"/>
  <c r="D89" i="21"/>
  <c r="C191" i="5"/>
  <c r="D191" i="21" s="1"/>
  <c r="D189" i="21"/>
  <c r="U202" i="13"/>
  <c r="AA89" i="13"/>
  <c r="AB89" i="13" s="1"/>
  <c r="U86" i="13"/>
  <c r="AA86" i="13" s="1"/>
  <c r="AA48" i="13"/>
  <c r="AB48" i="13" s="1"/>
  <c r="G48" i="5" s="1"/>
  <c r="U46" i="13"/>
  <c r="AA46" i="13" s="1"/>
  <c r="AA66" i="13" s="1"/>
  <c r="AA165" i="13"/>
  <c r="AB165" i="13" s="1"/>
  <c r="U164" i="13"/>
  <c r="AA164" i="13" s="1"/>
  <c r="AA166" i="13" s="1"/>
  <c r="AA145" i="13"/>
  <c r="AB145" i="13" s="1"/>
  <c r="U144" i="13"/>
  <c r="AA144" i="13" s="1"/>
  <c r="AA152" i="13" s="1"/>
  <c r="U90" i="13"/>
  <c r="AA90" i="13" s="1"/>
  <c r="I25" i="3"/>
  <c r="BR252" i="13"/>
  <c r="BD252" i="13"/>
  <c r="AQ49" i="13"/>
  <c r="BC49" i="13" s="1"/>
  <c r="AA114" i="13"/>
  <c r="AB114" i="13" s="1"/>
  <c r="AB254" i="13" s="1"/>
  <c r="AP114" i="13"/>
  <c r="AQ114" i="13"/>
  <c r="BI251" i="13"/>
  <c r="BS251" i="13"/>
  <c r="BL251" i="13"/>
  <c r="BT251" i="13"/>
  <c r="BF251" i="13"/>
  <c r="BG238" i="13"/>
  <c r="BH238" i="13" s="1"/>
  <c r="Q119" i="5" s="1"/>
  <c r="R119" i="21" s="1"/>
  <c r="BS238" i="13"/>
  <c r="BJ238" i="13"/>
  <c r="BK238" i="13" s="1"/>
  <c r="X119" i="5" s="1"/>
  <c r="Y119" i="21" s="1"/>
  <c r="BT238" i="13"/>
  <c r="BD238" i="13"/>
  <c r="BE238" i="13" s="1"/>
  <c r="J119" i="5" s="1"/>
  <c r="K119" i="21" s="1"/>
  <c r="BR238" i="13"/>
  <c r="AA94" i="13"/>
  <c r="AB94" i="13" s="1"/>
  <c r="AB93" i="13" s="1"/>
  <c r="I22" i="3"/>
  <c r="I21" i="3"/>
  <c r="AA84" i="13"/>
  <c r="AB84" i="13" s="1"/>
  <c r="AB83" i="13" s="1"/>
  <c r="AD188" i="5"/>
  <c r="AD132" i="5"/>
  <c r="AD153" i="5"/>
  <c r="AD185" i="5"/>
  <c r="AD197" i="5"/>
  <c r="AG194" i="21"/>
  <c r="AD39" i="5"/>
  <c r="G39" i="21"/>
  <c r="AG39" i="21" s="1"/>
  <c r="AD165" i="5"/>
  <c r="AG162" i="21"/>
  <c r="AD143" i="5"/>
  <c r="AD99" i="5"/>
  <c r="AD119" i="5"/>
  <c r="AC158" i="21"/>
  <c r="T65" i="21"/>
  <c r="AC11" i="21"/>
  <c r="AC106" i="21"/>
  <c r="AC177" i="21"/>
  <c r="Z65" i="21"/>
  <c r="S65" i="21"/>
  <c r="AD256" i="5"/>
  <c r="U77" i="13"/>
  <c r="AK105" i="13"/>
  <c r="AK224" i="13"/>
  <c r="AI224" i="13"/>
  <c r="AK228" i="13"/>
  <c r="AI237" i="13"/>
  <c r="AI58" i="13" s="1"/>
  <c r="AK237" i="13"/>
  <c r="AK58" i="13" s="1"/>
  <c r="AJ237" i="13"/>
  <c r="AJ58" i="13" s="1"/>
  <c r="AI127" i="13"/>
  <c r="AK127" i="13"/>
  <c r="AJ127" i="13"/>
  <c r="AI137" i="13"/>
  <c r="AK137" i="13"/>
  <c r="AJ137" i="13"/>
  <c r="AK157" i="13"/>
  <c r="AJ157" i="13"/>
  <c r="AI157" i="13"/>
  <c r="AK73" i="13"/>
  <c r="M63" i="11" s="1"/>
  <c r="AJ73" i="13"/>
  <c r="L63" i="11" s="1"/>
  <c r="AI73" i="13"/>
  <c r="K63" i="11" s="1"/>
  <c r="AJ190" i="13"/>
  <c r="AI190" i="13"/>
  <c r="AK190" i="13"/>
  <c r="AI85" i="13"/>
  <c r="AJ85" i="13"/>
  <c r="AK85" i="13"/>
  <c r="AJ53" i="13"/>
  <c r="AI53" i="13"/>
  <c r="AK53" i="13"/>
  <c r="AJ226" i="13"/>
  <c r="AJ228" i="13"/>
  <c r="AI105" i="13"/>
  <c r="AK139" i="13"/>
  <c r="AJ139" i="13"/>
  <c r="AI139" i="13"/>
  <c r="AI101" i="13"/>
  <c r="BR101" i="13" s="1"/>
  <c r="AK101" i="13"/>
  <c r="BT101" i="13" s="1"/>
  <c r="AJ101" i="13"/>
  <c r="BS101" i="13" s="1"/>
  <c r="AI14" i="13"/>
  <c r="AJ14" i="13"/>
  <c r="AK14" i="13"/>
  <c r="AK151" i="13"/>
  <c r="AI151" i="13"/>
  <c r="AJ151" i="13"/>
  <c r="AK136" i="13"/>
  <c r="AI136" i="13"/>
  <c r="AJ136" i="13"/>
  <c r="AJ74" i="13"/>
  <c r="AI74" i="13"/>
  <c r="AK74" i="13"/>
  <c r="AK52" i="13"/>
  <c r="AK70" i="13" s="1"/>
  <c r="AJ52" i="13"/>
  <c r="AJ70" i="13" s="1"/>
  <c r="AI52" i="13"/>
  <c r="AI220" i="13"/>
  <c r="AK223" i="13"/>
  <c r="AK218" i="13"/>
  <c r="AI240" i="13"/>
  <c r="BD240" i="13" s="1"/>
  <c r="AK240" i="13"/>
  <c r="BJ240" i="13" s="1"/>
  <c r="AJ240" i="13"/>
  <c r="BG240" i="13" s="1"/>
  <c r="AK18" i="13"/>
  <c r="AI18" i="13"/>
  <c r="AJ18" i="13"/>
  <c r="AJ135" i="13"/>
  <c r="AI135" i="13"/>
  <c r="AK135" i="13"/>
  <c r="AK188" i="13"/>
  <c r="AI188" i="13"/>
  <c r="AJ188" i="13"/>
  <c r="AI242" i="13"/>
  <c r="AK242" i="13"/>
  <c r="AJ242" i="13"/>
  <c r="AI193" i="13"/>
  <c r="AK193" i="13"/>
  <c r="AJ193" i="13"/>
  <c r="AJ122" i="13"/>
  <c r="AJ121" i="13" s="1"/>
  <c r="AK122" i="13"/>
  <c r="AK121" i="13" s="1"/>
  <c r="AI122" i="13"/>
  <c r="AI121" i="13" s="1"/>
  <c r="AK161" i="13"/>
  <c r="AK160" i="13" s="1"/>
  <c r="AI161" i="13"/>
  <c r="AI160" i="13" s="1"/>
  <c r="AJ161" i="13"/>
  <c r="AJ160" i="13" s="1"/>
  <c r="AK78" i="13"/>
  <c r="AJ78" i="13"/>
  <c r="AI78" i="13"/>
  <c r="AJ220" i="13"/>
  <c r="AK226" i="13"/>
  <c r="AK54" i="13"/>
  <c r="AI54" i="13"/>
  <c r="AJ54" i="13"/>
  <c r="AJ244" i="13"/>
  <c r="AI244" i="13"/>
  <c r="AK244" i="13"/>
  <c r="AJ129" i="13"/>
  <c r="BS129" i="13" s="1"/>
  <c r="AI129" i="13"/>
  <c r="BR129" i="13" s="1"/>
  <c r="AK129" i="13"/>
  <c r="BT129" i="13" s="1"/>
  <c r="AI12" i="13"/>
  <c r="K54" i="11" s="1"/>
  <c r="AK12" i="13"/>
  <c r="M54" i="11" s="1"/>
  <c r="AJ12" i="13"/>
  <c r="L54" i="11" s="1"/>
  <c r="AK17" i="13"/>
  <c r="AI17" i="13"/>
  <c r="AJ17" i="13"/>
  <c r="AK133" i="13"/>
  <c r="AJ133" i="13"/>
  <c r="AI133" i="13"/>
  <c r="AI72" i="13"/>
  <c r="AK72" i="13"/>
  <c r="AJ72" i="13"/>
  <c r="AK61" i="13"/>
  <c r="AI61" i="13"/>
  <c r="AJ61" i="13"/>
  <c r="AI223" i="13"/>
  <c r="AI191" i="13"/>
  <c r="AK194" i="13"/>
  <c r="AK196" i="13"/>
  <c r="AK195" i="13"/>
  <c r="AI245" i="13"/>
  <c r="AK245" i="13"/>
  <c r="AJ245" i="13"/>
  <c r="AK27" i="13"/>
  <c r="BJ27" i="13" s="1"/>
  <c r="AJ27" i="13"/>
  <c r="BG27" i="13" s="1"/>
  <c r="AI27" i="13"/>
  <c r="BD27" i="13" s="1"/>
  <c r="AI180" i="13"/>
  <c r="AK180" i="13"/>
  <c r="AJ180" i="13"/>
  <c r="AI11" i="13"/>
  <c r="AK11" i="13"/>
  <c r="AJ11" i="13"/>
  <c r="AJ57" i="13"/>
  <c r="AK57" i="13"/>
  <c r="AI57" i="13"/>
  <c r="AJ71" i="13"/>
  <c r="AK71" i="13"/>
  <c r="AI102" i="13"/>
  <c r="BR102" i="13" s="1"/>
  <c r="AJ102" i="13"/>
  <c r="BS102" i="13" s="1"/>
  <c r="AK102" i="13"/>
  <c r="BT102" i="13" s="1"/>
  <c r="AJ163" i="13"/>
  <c r="AI163" i="13"/>
  <c r="AK163" i="13"/>
  <c r="AK32" i="13"/>
  <c r="AJ32" i="13"/>
  <c r="AI32" i="13"/>
  <c r="AI119" i="13"/>
  <c r="AK119" i="13"/>
  <c r="AJ119" i="13"/>
  <c r="AJ76" i="13"/>
  <c r="AI76" i="13"/>
  <c r="AK76" i="13"/>
  <c r="AI230" i="13"/>
  <c r="AI218" i="13"/>
  <c r="AJ191" i="13"/>
  <c r="AI195" i="13"/>
  <c r="AI196" i="13"/>
  <c r="AI194" i="13"/>
  <c r="AI241" i="13"/>
  <c r="AI142" i="13" s="1"/>
  <c r="AK241" i="13"/>
  <c r="AK142" i="13" s="1"/>
  <c r="AJ241" i="13"/>
  <c r="AJ142" i="13" s="1"/>
  <c r="AI132" i="13"/>
  <c r="AK132" i="13"/>
  <c r="AJ132" i="13"/>
  <c r="AK147" i="13"/>
  <c r="BT147" i="13" s="1"/>
  <c r="AJ147" i="13"/>
  <c r="BS147" i="13" s="1"/>
  <c r="AI147" i="13"/>
  <c r="BR147" i="13" s="1"/>
  <c r="AJ20" i="13"/>
  <c r="AI20" i="13"/>
  <c r="AK20" i="13"/>
  <c r="AK22" i="13"/>
  <c r="M55" i="11" s="1"/>
  <c r="AJ22" i="13"/>
  <c r="L55" i="11" s="1"/>
  <c r="AI22" i="13"/>
  <c r="K55" i="11" s="1"/>
  <c r="AI128" i="13"/>
  <c r="BR128" i="13" s="1"/>
  <c r="AK128" i="13"/>
  <c r="BT128" i="13" s="1"/>
  <c r="AJ128" i="13"/>
  <c r="BS128" i="13" s="1"/>
  <c r="AI15" i="13"/>
  <c r="AK15" i="13"/>
  <c r="AJ15" i="13"/>
  <c r="AJ24" i="13"/>
  <c r="BS24" i="13" s="1"/>
  <c r="AK24" i="13"/>
  <c r="BT24" i="13" s="1"/>
  <c r="AI24" i="13"/>
  <c r="BR24" i="13" s="1"/>
  <c r="AK149" i="13"/>
  <c r="AJ149" i="13"/>
  <c r="AI149" i="13"/>
  <c r="AJ23" i="13"/>
  <c r="L56" i="11" s="1"/>
  <c r="AI23" i="13"/>
  <c r="K56" i="11" s="1"/>
  <c r="AK23" i="13"/>
  <c r="M56" i="11" s="1"/>
  <c r="AJ28" i="13"/>
  <c r="AI28" i="13"/>
  <c r="AK28" i="13"/>
  <c r="AJ230" i="13"/>
  <c r="AK191" i="13"/>
  <c r="AJ194" i="13"/>
  <c r="AJ196" i="13"/>
  <c r="AJ195" i="13"/>
  <c r="AJ60" i="13"/>
  <c r="AI60" i="13"/>
  <c r="AK60" i="13"/>
  <c r="AJ239" i="13"/>
  <c r="AI239" i="13"/>
  <c r="AK239" i="13"/>
  <c r="AK120" i="13"/>
  <c r="AJ120" i="13"/>
  <c r="AI120" i="13"/>
  <c r="AI25" i="13"/>
  <c r="BR25" i="13" s="1"/>
  <c r="AK25" i="13"/>
  <c r="BT25" i="13" s="1"/>
  <c r="AJ25" i="13"/>
  <c r="BS25" i="13" s="1"/>
  <c r="AJ131" i="13"/>
  <c r="AK131" i="13"/>
  <c r="AJ33" i="13"/>
  <c r="AI33" i="13"/>
  <c r="AK33" i="13"/>
  <c r="AI222" i="13"/>
  <c r="AK43" i="13"/>
  <c r="AK42" i="13"/>
  <c r="AK45" i="13"/>
  <c r="AK44" i="13"/>
  <c r="AI13" i="13"/>
  <c r="AK13" i="13"/>
  <c r="AJ13" i="13"/>
  <c r="AI172" i="13"/>
  <c r="AK172" i="13"/>
  <c r="AJ172" i="13"/>
  <c r="AI209" i="13"/>
  <c r="AK209" i="13"/>
  <c r="AJ209" i="13"/>
  <c r="AJ116" i="13"/>
  <c r="AJ115" i="13" s="1"/>
  <c r="AI116" i="13"/>
  <c r="AI115" i="13" s="1"/>
  <c r="AK116" i="13"/>
  <c r="AK115" i="13" s="1"/>
  <c r="AK31" i="13"/>
  <c r="AJ31" i="13"/>
  <c r="AI31" i="13"/>
  <c r="AJ222" i="13"/>
  <c r="AI43" i="13"/>
  <c r="AI44" i="13"/>
  <c r="AI42" i="13"/>
  <c r="AI45" i="13"/>
  <c r="AK29" i="13"/>
  <c r="AI29" i="13"/>
  <c r="AJ29" i="13"/>
  <c r="AJ158" i="13"/>
  <c r="BG158" i="13" s="1"/>
  <c r="AK158" i="13"/>
  <c r="BJ158" i="13" s="1"/>
  <c r="AI21" i="13"/>
  <c r="AK21" i="13"/>
  <c r="AJ21" i="13"/>
  <c r="AJ150" i="13"/>
  <c r="AI150" i="13"/>
  <c r="AK150" i="13"/>
  <c r="AK156" i="13"/>
  <c r="BT156" i="13" s="1"/>
  <c r="AJ156" i="13"/>
  <c r="BS156" i="13" s="1"/>
  <c r="AI156" i="13"/>
  <c r="BR156" i="13" s="1"/>
  <c r="AK146" i="13"/>
  <c r="BT146" i="13" s="1"/>
  <c r="AI146" i="13"/>
  <c r="BR146" i="13" s="1"/>
  <c r="AJ146" i="13"/>
  <c r="BS146" i="13" s="1"/>
  <c r="AJ64" i="13"/>
  <c r="AI64" i="13"/>
  <c r="AK64" i="13"/>
  <c r="AA202" i="13"/>
  <c r="AJ43" i="13"/>
  <c r="AJ42" i="13"/>
  <c r="AJ45" i="13"/>
  <c r="AJ44" i="13"/>
  <c r="AI88" i="13"/>
  <c r="AK88" i="13"/>
  <c r="AJ88" i="13"/>
  <c r="AJ87" i="13"/>
  <c r="AI87" i="13"/>
  <c r="AK87" i="13"/>
  <c r="AI118" i="13"/>
  <c r="AK118" i="13"/>
  <c r="AJ118" i="13"/>
  <c r="AK47" i="13"/>
  <c r="AJ47" i="13"/>
  <c r="AI47" i="13"/>
  <c r="AJ184" i="13"/>
  <c r="AI184" i="13"/>
  <c r="AK184" i="13"/>
  <c r="AJ105" i="13"/>
  <c r="AA205" i="13"/>
  <c r="AB205" i="13" s="1"/>
  <c r="AA213" i="13"/>
  <c r="AE40" i="13"/>
  <c r="G155" i="5"/>
  <c r="H155" i="21" s="1"/>
  <c r="BB163" i="13"/>
  <c r="G169" i="5"/>
  <c r="H169" i="21" s="1"/>
  <c r="G108" i="5"/>
  <c r="H108" i="21" s="1"/>
  <c r="AA203" i="13"/>
  <c r="G150" i="21"/>
  <c r="AG150" i="21" s="1"/>
  <c r="G110" i="5"/>
  <c r="H110" i="21" s="1"/>
  <c r="AA91" i="13"/>
  <c r="AB91" i="13" s="1"/>
  <c r="AA92" i="13"/>
  <c r="AB92" i="13" s="1"/>
  <c r="G89" i="5" s="1"/>
  <c r="H89" i="21" s="1"/>
  <c r="G189" i="5"/>
  <c r="G49" i="5"/>
  <c r="H49" i="21" s="1"/>
  <c r="G57" i="5"/>
  <c r="H57" i="21" s="1"/>
  <c r="CG95" i="13"/>
  <c r="AA80" i="13"/>
  <c r="AB80" i="13" s="1"/>
  <c r="G60" i="5"/>
  <c r="H60" i="21" s="1"/>
  <c r="G42" i="5"/>
  <c r="H42" i="21" s="1"/>
  <c r="G134" i="5"/>
  <c r="H134" i="21" s="1"/>
  <c r="AF40" i="13"/>
  <c r="G144" i="5"/>
  <c r="G67" i="5"/>
  <c r="H67" i="21" s="1"/>
  <c r="G177" i="5"/>
  <c r="H177" i="21" s="1"/>
  <c r="G56" i="5"/>
  <c r="H56" i="21" s="1"/>
  <c r="G167" i="5"/>
  <c r="H167" i="21" s="1"/>
  <c r="G135" i="5"/>
  <c r="H135" i="21" s="1"/>
  <c r="G139" i="5"/>
  <c r="H139" i="21" s="1"/>
  <c r="AQ32" i="13"/>
  <c r="BC32" i="13" s="1"/>
  <c r="AP32" i="13"/>
  <c r="BB32" i="13" s="1"/>
  <c r="G68" i="5"/>
  <c r="H68" i="21" s="1"/>
  <c r="G114" i="5"/>
  <c r="H114" i="21" s="1"/>
  <c r="G140" i="5"/>
  <c r="H140" i="21" s="1"/>
  <c r="G183" i="5"/>
  <c r="H183" i="21" s="1"/>
  <c r="G34" i="5"/>
  <c r="H34" i="21" s="1"/>
  <c r="BC181" i="13"/>
  <c r="AB63" i="13"/>
  <c r="BC157" i="13"/>
  <c r="G151" i="5"/>
  <c r="H151" i="21" s="1"/>
  <c r="G85" i="5"/>
  <c r="H85" i="21" s="1"/>
  <c r="G142" i="5"/>
  <c r="AB189" i="13"/>
  <c r="G186" i="5"/>
  <c r="Y219" i="13"/>
  <c r="G50" i="5"/>
  <c r="H50" i="21" s="1"/>
  <c r="AG40" i="13"/>
  <c r="AB103" i="13"/>
  <c r="AB162" i="13"/>
  <c r="F98" i="16"/>
  <c r="I98" i="16" s="1"/>
  <c r="G213" i="5"/>
  <c r="H213" i="21" s="1"/>
  <c r="G190" i="5"/>
  <c r="H190" i="21" s="1"/>
  <c r="AB56" i="13"/>
  <c r="Y201" i="13"/>
  <c r="AA201" i="13" s="1"/>
  <c r="G29" i="5"/>
  <c r="H29" i="21" s="1"/>
  <c r="G30" i="5"/>
  <c r="H30" i="21" s="1"/>
  <c r="G12" i="5"/>
  <c r="G19" i="5"/>
  <c r="H19" i="21" s="1"/>
  <c r="AB69" i="13"/>
  <c r="BC151" i="13"/>
  <c r="BB151" i="13"/>
  <c r="AB187" i="13"/>
  <c r="BC188" i="13"/>
  <c r="BB188" i="13"/>
  <c r="AB160" i="13"/>
  <c r="BC161" i="13"/>
  <c r="BB161" i="13"/>
  <c r="AB115" i="13"/>
  <c r="AB121" i="13"/>
  <c r="BC150" i="13"/>
  <c r="BB150" i="13"/>
  <c r="BC142" i="13"/>
  <c r="BB142" i="13"/>
  <c r="BB156" i="13"/>
  <c r="BA156" i="13"/>
  <c r="BC156" i="13"/>
  <c r="AB148" i="13"/>
  <c r="G125" i="5"/>
  <c r="H125" i="21" s="1"/>
  <c r="AB130" i="13"/>
  <c r="G122" i="5" s="1"/>
  <c r="H122" i="21" s="1"/>
  <c r="BC163" i="13"/>
  <c r="AB59" i="13"/>
  <c r="BC102" i="13"/>
  <c r="AB225" i="13"/>
  <c r="BB102" i="13"/>
  <c r="D104" i="16"/>
  <c r="F104" i="16" s="1"/>
  <c r="AB227" i="13"/>
  <c r="D106" i="16"/>
  <c r="F106" i="16" s="1"/>
  <c r="AB192" i="13"/>
  <c r="D86" i="16"/>
  <c r="D94" i="16"/>
  <c r="AB100" i="13"/>
  <c r="D52" i="16"/>
  <c r="D96" i="16"/>
  <c r="AB179" i="13"/>
  <c r="BC173" i="13"/>
  <c r="BB173" i="13"/>
  <c r="BA173" i="13"/>
  <c r="BS252" i="13"/>
  <c r="BT252" i="13"/>
  <c r="BE10" i="13"/>
  <c r="Q11" i="5" s="1"/>
  <c r="AB117" i="13"/>
  <c r="BG234" i="13"/>
  <c r="BD234" i="13"/>
  <c r="BK234" i="13"/>
  <c r="X39" i="5" s="1"/>
  <c r="AC39" i="21" s="1"/>
  <c r="G204" i="5"/>
  <c r="H204" i="21" s="1"/>
  <c r="BK246" i="13"/>
  <c r="X99" i="5" s="1"/>
  <c r="Y99" i="21" s="1"/>
  <c r="BH246" i="13"/>
  <c r="Q99" i="5" s="1"/>
  <c r="R99" i="21" s="1"/>
  <c r="BE246" i="13"/>
  <c r="J99" i="5" s="1"/>
  <c r="K99" i="21" s="1"/>
  <c r="BE248" i="13"/>
  <c r="J188" i="5" s="1"/>
  <c r="K188" i="21" s="1"/>
  <c r="BE247" i="13"/>
  <c r="J185" i="5" s="1"/>
  <c r="K185" i="21" s="1"/>
  <c r="BH248" i="13"/>
  <c r="Q188" i="5" s="1"/>
  <c r="R188" i="21" s="1"/>
  <c r="BH247" i="13"/>
  <c r="Q185" i="5" s="1"/>
  <c r="R185" i="21" s="1"/>
  <c r="BK248" i="13"/>
  <c r="X188" i="5" s="1"/>
  <c r="Y188" i="21" s="1"/>
  <c r="BK247" i="13"/>
  <c r="X185" i="5" s="1"/>
  <c r="Y185" i="21" s="1"/>
  <c r="AB138" i="13"/>
  <c r="AB134" i="13"/>
  <c r="AB183" i="13"/>
  <c r="AB30" i="13"/>
  <c r="AB175" i="13"/>
  <c r="AB171" i="13"/>
  <c r="AB155" i="13"/>
  <c r="AB126" i="13"/>
  <c r="AB51" i="13"/>
  <c r="AB10" i="13"/>
  <c r="AB26" i="13"/>
  <c r="AB19" i="13"/>
  <c r="AB16" i="13"/>
  <c r="AB206" i="13"/>
  <c r="AB170" i="13"/>
  <c r="BE249" i="13"/>
  <c r="J197" i="5" s="1"/>
  <c r="K197" i="21" s="1"/>
  <c r="BK249" i="13"/>
  <c r="X197" i="5" s="1"/>
  <c r="Y197" i="21" s="1"/>
  <c r="BH249" i="13"/>
  <c r="Q197" i="5" s="1"/>
  <c r="R197" i="21" s="1"/>
  <c r="AB41" i="13"/>
  <c r="AK41" i="13" s="1"/>
  <c r="G25" i="5"/>
  <c r="H25" i="21" s="1"/>
  <c r="BC158" i="13"/>
  <c r="BB158" i="13"/>
  <c r="BA128" i="13"/>
  <c r="BC128" i="13"/>
  <c r="BB128" i="13"/>
  <c r="BG15" i="13"/>
  <c r="BJ15" i="13"/>
  <c r="G16" i="5"/>
  <c r="H16" i="21" s="1"/>
  <c r="BD15" i="13"/>
  <c r="G24" i="5"/>
  <c r="H24" i="21" s="1"/>
  <c r="AA123" i="13"/>
  <c r="G13" i="5"/>
  <c r="H13" i="21" s="1"/>
  <c r="G21" i="5"/>
  <c r="H21" i="21" s="1"/>
  <c r="G22" i="5"/>
  <c r="H22" i="21" s="1"/>
  <c r="G23" i="5"/>
  <c r="H23" i="21" s="1"/>
  <c r="G14" i="5"/>
  <c r="H14" i="21" s="1"/>
  <c r="G28" i="5"/>
  <c r="H28" i="21" s="1"/>
  <c r="G181" i="5"/>
  <c r="H181" i="21" s="1"/>
  <c r="G112" i="5"/>
  <c r="H112" i="21" s="1"/>
  <c r="G76" i="5"/>
  <c r="H76" i="21" s="1"/>
  <c r="G96" i="5"/>
  <c r="H96" i="21" s="1"/>
  <c r="G54" i="5"/>
  <c r="H54" i="21" s="1"/>
  <c r="G44" i="5"/>
  <c r="H44" i="21" s="1"/>
  <c r="D43" i="16"/>
  <c r="G152" i="5"/>
  <c r="H152" i="21" s="1"/>
  <c r="G53" i="5"/>
  <c r="H53" i="21" s="1"/>
  <c r="AA36" i="13"/>
  <c r="G59" i="5"/>
  <c r="H59" i="21" s="1"/>
  <c r="G172" i="5"/>
  <c r="G133" i="5"/>
  <c r="G180" i="5"/>
  <c r="H180" i="21" s="1"/>
  <c r="G168" i="5"/>
  <c r="H168" i="21" s="1"/>
  <c r="D68" i="16"/>
  <c r="G173" i="5"/>
  <c r="H173" i="21" s="1"/>
  <c r="G43" i="5"/>
  <c r="H43" i="21" s="1"/>
  <c r="G45" i="5"/>
  <c r="H45" i="21" s="1"/>
  <c r="G121" i="5"/>
  <c r="H121" i="21" s="1"/>
  <c r="G129" i="5"/>
  <c r="H129" i="21" s="1"/>
  <c r="D75" i="16"/>
  <c r="G191" i="5"/>
  <c r="H191" i="21" s="1"/>
  <c r="G111" i="5"/>
  <c r="H111" i="21" s="1"/>
  <c r="G225" i="5"/>
  <c r="H225" i="21" s="1"/>
  <c r="G120" i="5"/>
  <c r="H120" i="21" s="1"/>
  <c r="BE200" i="13"/>
  <c r="J195" i="5" s="1"/>
  <c r="BE211" i="13"/>
  <c r="J206" i="5" s="1"/>
  <c r="BE192" i="13"/>
  <c r="J187" i="5" s="1"/>
  <c r="BE171" i="13"/>
  <c r="J166" i="5" s="1"/>
  <c r="K166" i="21" s="1"/>
  <c r="BE169" i="13"/>
  <c r="J163" i="5" s="1"/>
  <c r="K163" i="21" s="1"/>
  <c r="BE164" i="13"/>
  <c r="J158" i="5" s="1"/>
  <c r="K158" i="21" s="1"/>
  <c r="J141" i="5"/>
  <c r="K141" i="21" s="1"/>
  <c r="BE130" i="13"/>
  <c r="J122" i="5" s="1"/>
  <c r="K122" i="21" s="1"/>
  <c r="BE115" i="13"/>
  <c r="J107" i="5" s="1"/>
  <c r="K107" i="21" s="1"/>
  <c r="BE121" i="13"/>
  <c r="J113" i="5" s="1"/>
  <c r="BE100" i="13"/>
  <c r="J95" i="5" s="1"/>
  <c r="K95" i="21" s="1"/>
  <c r="G255" i="5"/>
  <c r="AD255" i="5" s="1"/>
  <c r="G246" i="5"/>
  <c r="G127" i="5"/>
  <c r="H127" i="21" s="1"/>
  <c r="G247" i="5"/>
  <c r="AD247" i="5" s="1"/>
  <c r="G131" i="5"/>
  <c r="H131" i="21" s="1"/>
  <c r="G248" i="5"/>
  <c r="G254" i="5"/>
  <c r="G175" i="5"/>
  <c r="H175" i="21" s="1"/>
  <c r="G257" i="5"/>
  <c r="AD257" i="5" s="1"/>
  <c r="G179" i="5"/>
  <c r="H179" i="21" s="1"/>
  <c r="G251" i="5"/>
  <c r="G123" i="5"/>
  <c r="H123" i="21" s="1"/>
  <c r="G252" i="5"/>
  <c r="BD220" i="13"/>
  <c r="BJ226" i="13"/>
  <c r="BK226" i="13" s="1"/>
  <c r="X221" i="5" s="1"/>
  <c r="Y221" i="21" s="1"/>
  <c r="BG228" i="13"/>
  <c r="BH228" i="13" s="1"/>
  <c r="Q223" i="5" s="1"/>
  <c r="R223" i="21" s="1"/>
  <c r="BD223" i="13"/>
  <c r="AA110" i="13"/>
  <c r="J58" i="5"/>
  <c r="K58" i="21" s="1"/>
  <c r="J51" i="5"/>
  <c r="BD69" i="13"/>
  <c r="AB229" i="13"/>
  <c r="AB34" i="13"/>
  <c r="D102" i="16"/>
  <c r="F102" i="16" s="1"/>
  <c r="I102" i="16" s="1"/>
  <c r="AB217" i="13"/>
  <c r="G223" i="5"/>
  <c r="H223" i="21" s="1"/>
  <c r="G221" i="5"/>
  <c r="H221" i="21" s="1"/>
  <c r="BZ90" i="13"/>
  <c r="CC51" i="13"/>
  <c r="BZ83" i="13"/>
  <c r="CG83" i="13" s="1"/>
  <c r="CC121" i="13"/>
  <c r="BZ121" i="13"/>
  <c r="CC169" i="13"/>
  <c r="CC179" i="13"/>
  <c r="BZ179" i="13"/>
  <c r="BZ169" i="13"/>
  <c r="CC69" i="13"/>
  <c r="BZ69" i="13"/>
  <c r="CC79" i="13"/>
  <c r="CC55" i="13"/>
  <c r="CA134" i="13"/>
  <c r="CC108" i="13"/>
  <c r="BZ108" i="13"/>
  <c r="CA90" i="13"/>
  <c r="CC39" i="13"/>
  <c r="CA30" i="13"/>
  <c r="CA159" i="13"/>
  <c r="CA106" i="13"/>
  <c r="CA107" i="13"/>
  <c r="CA62" i="13"/>
  <c r="CC62" i="13"/>
  <c r="BZ171" i="13"/>
  <c r="F97" i="16"/>
  <c r="I97" i="16" s="1"/>
  <c r="CC107" i="13"/>
  <c r="CA171" i="13"/>
  <c r="CA109" i="13"/>
  <c r="CA56" i="13"/>
  <c r="BZ19" i="13"/>
  <c r="CA65" i="13"/>
  <c r="BZ100" i="13"/>
  <c r="CA16" i="13"/>
  <c r="BZ200" i="13"/>
  <c r="CG200" i="13" s="1"/>
  <c r="CC56" i="13"/>
  <c r="CC204" i="13"/>
  <c r="CC109" i="13"/>
  <c r="CA113" i="13"/>
  <c r="CC160" i="13"/>
  <c r="CC26" i="13"/>
  <c r="CC138" i="13"/>
  <c r="CC59" i="13"/>
  <c r="CA126" i="13"/>
  <c r="BZ160" i="13"/>
  <c r="BZ26" i="13"/>
  <c r="CA155" i="13"/>
  <c r="CA59" i="13"/>
  <c r="CC183" i="13"/>
  <c r="CA183" i="13"/>
  <c r="CC82" i="13"/>
  <c r="CA82" i="13"/>
  <c r="BZ208" i="13"/>
  <c r="CG208" i="13" s="1"/>
  <c r="BZ65" i="13"/>
  <c r="CC19" i="13"/>
  <c r="CC100" i="13"/>
  <c r="BZ115" i="13"/>
  <c r="CG115" i="13" s="1"/>
  <c r="CC16" i="13"/>
  <c r="CC95" i="13"/>
  <c r="CC10" i="13"/>
  <c r="CA10" i="13"/>
  <c r="CC75" i="13"/>
  <c r="CC86" i="13"/>
  <c r="BZ93" i="13"/>
  <c r="CG93" i="13" s="1"/>
  <c r="CA86" i="13"/>
  <c r="CA96" i="13"/>
  <c r="CA207" i="13"/>
  <c r="BZ164" i="13"/>
  <c r="BZ63" i="13"/>
  <c r="CC207" i="13"/>
  <c r="CC96" i="13"/>
  <c r="CC211" i="13"/>
  <c r="CA164" i="13"/>
  <c r="CC63" i="13"/>
  <c r="CC117" i="13"/>
  <c r="F45" i="16"/>
  <c r="I45" i="16" s="1"/>
  <c r="BG65" i="13"/>
  <c r="BH65" i="13" s="1"/>
  <c r="BJ65" i="13"/>
  <c r="BK65" i="13" s="1"/>
  <c r="F25" i="16"/>
  <c r="I25" i="16" s="1"/>
  <c r="BZ98" i="13"/>
  <c r="CC98" i="13"/>
  <c r="CA97" i="13"/>
  <c r="CC97" i="13"/>
  <c r="F100" i="16"/>
  <c r="I100" i="16" s="1"/>
  <c r="G218" i="5"/>
  <c r="H218" i="21" s="1"/>
  <c r="G215" i="5"/>
  <c r="H215" i="21" s="1"/>
  <c r="BZ198" i="13"/>
  <c r="CC198" i="13"/>
  <c r="CG79" i="13"/>
  <c r="CA144" i="13"/>
  <c r="CC144" i="13"/>
  <c r="F32" i="16"/>
  <c r="I32" i="16" s="1"/>
  <c r="BZ35" i="13"/>
  <c r="CC35" i="13"/>
  <c r="CA35" i="13"/>
  <c r="BZ167" i="13"/>
  <c r="CC167" i="13"/>
  <c r="CA167" i="13"/>
  <c r="BZ153" i="13"/>
  <c r="CC153" i="13"/>
  <c r="CA153" i="13"/>
  <c r="BZ124" i="13"/>
  <c r="CA124" i="13"/>
  <c r="CC124" i="13"/>
  <c r="BZ214" i="13"/>
  <c r="CA214" i="13"/>
  <c r="CC214" i="13"/>
  <c r="BZ217" i="13"/>
  <c r="CC217" i="13"/>
  <c r="CA217" i="13"/>
  <c r="BZ123" i="13"/>
  <c r="CA123" i="13"/>
  <c r="CC123" i="13"/>
  <c r="BZ221" i="13"/>
  <c r="CA221" i="13"/>
  <c r="CC221" i="13"/>
  <c r="BZ67" i="13"/>
  <c r="CC67" i="13"/>
  <c r="CA67" i="13"/>
  <c r="BZ152" i="13"/>
  <c r="CC152" i="13"/>
  <c r="CA152" i="13"/>
  <c r="BZ166" i="13"/>
  <c r="CA166" i="13"/>
  <c r="CC166" i="13"/>
  <c r="BZ222" i="13"/>
  <c r="CA222" i="13"/>
  <c r="CC222" i="13"/>
  <c r="BZ110" i="13"/>
  <c r="CA110" i="13"/>
  <c r="CC110" i="13"/>
  <c r="CA232" i="13"/>
  <c r="BZ232" i="13"/>
  <c r="CC232" i="13"/>
  <c r="BZ224" i="13"/>
  <c r="CA224" i="13"/>
  <c r="CC224" i="13"/>
  <c r="BZ218" i="13"/>
  <c r="CA218" i="13"/>
  <c r="CC218" i="13"/>
  <c r="BZ231" i="13"/>
  <c r="CA231" i="13"/>
  <c r="CC231" i="13"/>
  <c r="BZ225" i="13"/>
  <c r="CC225" i="13"/>
  <c r="CA225" i="13"/>
  <c r="CA219" i="13"/>
  <c r="BZ219" i="13"/>
  <c r="CC219" i="13"/>
  <c r="BZ34" i="13"/>
  <c r="CC34" i="13"/>
  <c r="CA34" i="13"/>
  <c r="BZ215" i="13"/>
  <c r="CA215" i="13"/>
  <c r="CC215" i="13"/>
  <c r="BZ197" i="13"/>
  <c r="CA197" i="13"/>
  <c r="CC197" i="13"/>
  <c r="BZ220" i="13"/>
  <c r="CA220" i="13"/>
  <c r="CC220" i="13"/>
  <c r="BZ111" i="13"/>
  <c r="CC111" i="13"/>
  <c r="CA111" i="13"/>
  <c r="CC66" i="13"/>
  <c r="BZ66" i="13"/>
  <c r="CA66" i="13"/>
  <c r="BZ37" i="13"/>
  <c r="CA37" i="13"/>
  <c r="CC37" i="13"/>
  <c r="BZ36" i="13"/>
  <c r="CC36" i="13"/>
  <c r="CA36" i="13"/>
  <c r="CA223" i="13"/>
  <c r="CC223" i="13"/>
  <c r="BZ223" i="13"/>
  <c r="G216" i="5"/>
  <c r="H216" i="21" s="1"/>
  <c r="F95" i="16"/>
  <c r="I95" i="16" s="1"/>
  <c r="F20" i="16"/>
  <c r="I20" i="16" s="1"/>
  <c r="F47" i="16"/>
  <c r="I47" i="16" s="1"/>
  <c r="G219" i="5"/>
  <c r="H219" i="21" s="1"/>
  <c r="F101" i="16"/>
  <c r="I101" i="16" s="1"/>
  <c r="F48" i="16"/>
  <c r="I48" i="16" s="1"/>
  <c r="F13" i="16"/>
  <c r="I13" i="16" s="1"/>
  <c r="F88" i="16"/>
  <c r="I88" i="16" s="1"/>
  <c r="BJ96" i="13"/>
  <c r="BK96" i="13" s="1"/>
  <c r="BG96" i="13"/>
  <c r="BH96" i="13" s="1"/>
  <c r="F39" i="16"/>
  <c r="I39" i="16" s="1"/>
  <c r="F38" i="16"/>
  <c r="I38" i="16" s="1"/>
  <c r="F99" i="16"/>
  <c r="I99" i="16" s="1"/>
  <c r="G217" i="5"/>
  <c r="H217" i="21" s="1"/>
  <c r="F23" i="16"/>
  <c r="I23" i="16" s="1"/>
  <c r="F46" i="16"/>
  <c r="I46" i="16" s="1"/>
  <c r="BD155" i="13"/>
  <c r="BE155" i="13" s="1"/>
  <c r="F69" i="16"/>
  <c r="I69" i="16" s="1"/>
  <c r="Y98" i="21" l="1"/>
  <c r="Y96" i="21"/>
  <c r="AC96" i="21"/>
  <c r="AC99" i="21"/>
  <c r="G189" i="21"/>
  <c r="H189" i="21"/>
  <c r="K187" i="21"/>
  <c r="K113" i="21"/>
  <c r="K206" i="21"/>
  <c r="G172" i="21"/>
  <c r="AG172" i="21" s="1"/>
  <c r="H172" i="21"/>
  <c r="R11" i="21"/>
  <c r="G186" i="21"/>
  <c r="AG186" i="21" s="1"/>
  <c r="H186" i="21"/>
  <c r="K195" i="21"/>
  <c r="AD48" i="5"/>
  <c r="H48" i="21"/>
  <c r="G143" i="21"/>
  <c r="H142" i="21"/>
  <c r="K51" i="21"/>
  <c r="AD12" i="5"/>
  <c r="H12" i="21"/>
  <c r="G133" i="21"/>
  <c r="AG133" i="21" s="1"/>
  <c r="H133" i="21"/>
  <c r="X39" i="21"/>
  <c r="Y39" i="21"/>
  <c r="G144" i="21"/>
  <c r="AG144" i="21" s="1"/>
  <c r="H144" i="21"/>
  <c r="J66" i="11"/>
  <c r="AB46" i="13"/>
  <c r="U219" i="13" s="1"/>
  <c r="AA219" i="13" s="1"/>
  <c r="AB219" i="13" s="1"/>
  <c r="AI70" i="13"/>
  <c r="BB145" i="13"/>
  <c r="J70" i="11"/>
  <c r="G106" i="5"/>
  <c r="AJ114" i="13"/>
  <c r="BS114" i="13" s="1"/>
  <c r="AK114" i="13"/>
  <c r="BT114" i="13" s="1"/>
  <c r="AI114" i="13"/>
  <c r="BR114" i="13" s="1"/>
  <c r="AB113" i="13"/>
  <c r="AB123" i="13" s="1"/>
  <c r="BS242" i="13"/>
  <c r="BT242" i="13"/>
  <c r="BR242" i="13"/>
  <c r="BT150" i="13"/>
  <c r="M71" i="11"/>
  <c r="BR150" i="13"/>
  <c r="K71" i="11"/>
  <c r="BS150" i="13"/>
  <c r="L71" i="11"/>
  <c r="BT239" i="13"/>
  <c r="M69" i="11"/>
  <c r="AJ187" i="13"/>
  <c r="BG187" i="13" s="1"/>
  <c r="BH187" i="13" s="1"/>
  <c r="Q182" i="5" s="1"/>
  <c r="L81" i="11"/>
  <c r="BS151" i="13"/>
  <c r="L72" i="11"/>
  <c r="BR239" i="13"/>
  <c r="K69" i="11"/>
  <c r="AI187" i="13"/>
  <c r="BD187" i="13" s="1"/>
  <c r="BE187" i="13" s="1"/>
  <c r="J182" i="5" s="1"/>
  <c r="K182" i="21" s="1"/>
  <c r="K81" i="11"/>
  <c r="BR151" i="13"/>
  <c r="K72" i="11"/>
  <c r="BS239" i="13"/>
  <c r="L69" i="11"/>
  <c r="AK187" i="13"/>
  <c r="BJ187" i="13" s="1"/>
  <c r="BK187" i="13" s="1"/>
  <c r="X182" i="5" s="1"/>
  <c r="M81" i="11"/>
  <c r="BT151" i="13"/>
  <c r="M72" i="11"/>
  <c r="G151" i="21"/>
  <c r="G190" i="21"/>
  <c r="AG190" i="21" s="1"/>
  <c r="G191" i="21"/>
  <c r="AG191" i="21" s="1"/>
  <c r="X188" i="21"/>
  <c r="G152" i="21"/>
  <c r="AG152" i="21" s="1"/>
  <c r="Q185" i="21"/>
  <c r="X185" i="21"/>
  <c r="Q188" i="21"/>
  <c r="J185" i="21"/>
  <c r="J188" i="21"/>
  <c r="G153" i="21"/>
  <c r="AK145" i="13"/>
  <c r="AI145" i="13"/>
  <c r="AJ145" i="13"/>
  <c r="G138" i="5"/>
  <c r="AB144" i="13"/>
  <c r="I26" i="3" s="1"/>
  <c r="AB250" i="13"/>
  <c r="G137" i="5" s="1"/>
  <c r="BC114" i="13"/>
  <c r="BC145" i="13"/>
  <c r="G91" i="5"/>
  <c r="AZ145" i="13"/>
  <c r="BA145" i="13"/>
  <c r="AA77" i="13"/>
  <c r="AB77" i="13" s="1"/>
  <c r="AI77" i="13" s="1"/>
  <c r="U75" i="13"/>
  <c r="AA75" i="13" s="1"/>
  <c r="BJ23" i="13"/>
  <c r="BK23" i="13" s="1"/>
  <c r="X24" i="5" s="1"/>
  <c r="BT23" i="13"/>
  <c r="BD23" i="13"/>
  <c r="BE23" i="13" s="1"/>
  <c r="BR23" i="13"/>
  <c r="BG23" i="13"/>
  <c r="BH23" i="13" s="1"/>
  <c r="Q24" i="5" s="1"/>
  <c r="BS23" i="13"/>
  <c r="AB236" i="13"/>
  <c r="G105" i="5"/>
  <c r="AI254" i="13"/>
  <c r="K66" i="11" s="1"/>
  <c r="AJ254" i="13"/>
  <c r="BS254" i="13" s="1"/>
  <c r="AK254" i="13"/>
  <c r="BT254" i="13" s="1"/>
  <c r="BB114" i="13"/>
  <c r="J197" i="21"/>
  <c r="Q197" i="21"/>
  <c r="J99" i="21"/>
  <c r="Q99" i="21"/>
  <c r="X99" i="21"/>
  <c r="AJ94" i="13"/>
  <c r="AJ93" i="13" s="1"/>
  <c r="AK94" i="13"/>
  <c r="AK93" i="13" s="1"/>
  <c r="G81" i="5"/>
  <c r="AI94" i="13"/>
  <c r="AI93" i="13" s="1"/>
  <c r="AK84" i="13"/>
  <c r="AK83" i="13" s="1"/>
  <c r="AI84" i="13"/>
  <c r="AI83" i="13" s="1"/>
  <c r="AJ84" i="13"/>
  <c r="AJ83" i="13" s="1"/>
  <c r="BG72" i="13"/>
  <c r="BH72" i="13" s="1"/>
  <c r="Q69" i="5" s="1"/>
  <c r="BS72" i="13"/>
  <c r="BJ72" i="13"/>
  <c r="BK72" i="13" s="1"/>
  <c r="X69" i="5" s="1"/>
  <c r="BT72" i="13"/>
  <c r="BD72" i="13"/>
  <c r="BE72" i="13" s="1"/>
  <c r="J69" i="5" s="1"/>
  <c r="BR72" i="13"/>
  <c r="G12" i="21"/>
  <c r="AG12" i="21" s="1"/>
  <c r="AD85" i="5"/>
  <c r="AD68" i="5"/>
  <c r="G68" i="21"/>
  <c r="AG68" i="21" s="1"/>
  <c r="AD167" i="5"/>
  <c r="AD57" i="5"/>
  <c r="G57" i="21"/>
  <c r="AG57" i="21" s="1"/>
  <c r="AD173" i="5"/>
  <c r="G169" i="21"/>
  <c r="AG169" i="21" s="1"/>
  <c r="AD54" i="5"/>
  <c r="G54" i="21"/>
  <c r="AG54" i="21" s="1"/>
  <c r="AD24" i="5"/>
  <c r="G24" i="21"/>
  <c r="AG24" i="21" s="1"/>
  <c r="AD190" i="5"/>
  <c r="AD151" i="5"/>
  <c r="AD56" i="5"/>
  <c r="AD49" i="5"/>
  <c r="G49" i="21"/>
  <c r="AG49" i="21" s="1"/>
  <c r="AD44" i="5"/>
  <c r="G44" i="21"/>
  <c r="AG44" i="21" s="1"/>
  <c r="AD120" i="5"/>
  <c r="AD168" i="5"/>
  <c r="AD96" i="5"/>
  <c r="AD213" i="5"/>
  <c r="AD177" i="5"/>
  <c r="AD189" i="5"/>
  <c r="AD123" i="5"/>
  <c r="AD76" i="5"/>
  <c r="AD16" i="5"/>
  <c r="G16" i="21"/>
  <c r="AG16" i="21" s="1"/>
  <c r="AD67" i="5"/>
  <c r="AD89" i="5"/>
  <c r="AD131" i="5"/>
  <c r="AD127" i="5"/>
  <c r="AD225" i="5"/>
  <c r="AD180" i="5"/>
  <c r="AD112" i="5"/>
  <c r="G111" i="21"/>
  <c r="AG111" i="21" s="1"/>
  <c r="AD144" i="5"/>
  <c r="AD179" i="5"/>
  <c r="AD111" i="5"/>
  <c r="AD133" i="5"/>
  <c r="G132" i="21"/>
  <c r="AG132" i="21" s="1"/>
  <c r="AD181" i="5"/>
  <c r="AD110" i="5"/>
  <c r="AD191" i="5"/>
  <c r="AD172" i="5"/>
  <c r="G168" i="21"/>
  <c r="AG168" i="21" s="1"/>
  <c r="AD28" i="5"/>
  <c r="G28" i="21"/>
  <c r="AG28" i="21" s="1"/>
  <c r="AD125" i="5"/>
  <c r="AD134" i="5"/>
  <c r="AD150" i="5"/>
  <c r="AG147" i="21"/>
  <c r="AD215" i="5"/>
  <c r="AD219" i="5"/>
  <c r="G216" i="21"/>
  <c r="AG216" i="21" s="1"/>
  <c r="AD218" i="5"/>
  <c r="AD175" i="5"/>
  <c r="AD59" i="5"/>
  <c r="AD14" i="5"/>
  <c r="G14" i="21"/>
  <c r="AG14" i="21" s="1"/>
  <c r="AD19" i="5"/>
  <c r="G19" i="21"/>
  <c r="AG19" i="21" s="1"/>
  <c r="AD50" i="5"/>
  <c r="G50" i="21"/>
  <c r="AG50" i="21" s="1"/>
  <c r="AD34" i="5"/>
  <c r="G34" i="21"/>
  <c r="AG34" i="21" s="1"/>
  <c r="AD139" i="5"/>
  <c r="AD42" i="5"/>
  <c r="AD129" i="5"/>
  <c r="AD23" i="5"/>
  <c r="G23" i="21"/>
  <c r="AG23" i="21" s="1"/>
  <c r="AD204" i="5"/>
  <c r="AD135" i="5"/>
  <c r="G134" i="21"/>
  <c r="AG134" i="21" s="1"/>
  <c r="AD60" i="5"/>
  <c r="G60" i="21"/>
  <c r="AG60" i="21" s="1"/>
  <c r="AD108" i="5"/>
  <c r="AD221" i="5"/>
  <c r="G218" i="21"/>
  <c r="AG218" i="21" s="1"/>
  <c r="AD121" i="5"/>
  <c r="G120" i="21"/>
  <c r="AG120" i="21" s="1"/>
  <c r="AD53" i="5"/>
  <c r="AD22" i="5"/>
  <c r="G22" i="21"/>
  <c r="AG22" i="21" s="1"/>
  <c r="AD30" i="5"/>
  <c r="G30" i="21"/>
  <c r="AG30" i="21" s="1"/>
  <c r="AD186" i="5"/>
  <c r="AD183" i="5"/>
  <c r="G180" i="21"/>
  <c r="AG180" i="21" s="1"/>
  <c r="AD169" i="5"/>
  <c r="AD45" i="5"/>
  <c r="G45" i="21"/>
  <c r="AG45" i="21" s="1"/>
  <c r="AD152" i="5"/>
  <c r="AD21" i="5"/>
  <c r="G21" i="21"/>
  <c r="AG21" i="21" s="1"/>
  <c r="AD29" i="5"/>
  <c r="G29" i="21"/>
  <c r="AG29" i="21" s="1"/>
  <c r="AD140" i="5"/>
  <c r="AD223" i="5"/>
  <c r="AD43" i="5"/>
  <c r="G43" i="21"/>
  <c r="AG43" i="21" s="1"/>
  <c r="AD13" i="5"/>
  <c r="G13" i="21"/>
  <c r="AG13" i="21" s="1"/>
  <c r="AD25" i="5"/>
  <c r="G25" i="21"/>
  <c r="AG25" i="21" s="1"/>
  <c r="AD142" i="5"/>
  <c r="G140" i="21"/>
  <c r="AG140" i="21" s="1"/>
  <c r="AD114" i="5"/>
  <c r="AD155" i="5"/>
  <c r="AI41" i="13"/>
  <c r="AJ205" i="13"/>
  <c r="AI205" i="13"/>
  <c r="AK205" i="13"/>
  <c r="AI89" i="13"/>
  <c r="AK89" i="13"/>
  <c r="AJ89" i="13"/>
  <c r="AJ140" i="13"/>
  <c r="AJ143" i="13"/>
  <c r="BG142" i="13"/>
  <c r="BH142" i="13" s="1"/>
  <c r="Q134" i="5" s="1"/>
  <c r="AJ141" i="13"/>
  <c r="AK140" i="13"/>
  <c r="AK143" i="13"/>
  <c r="BJ142" i="13"/>
  <c r="BK142" i="13" s="1"/>
  <c r="X134" i="5" s="1"/>
  <c r="AK141" i="13"/>
  <c r="AK225" i="13"/>
  <c r="BT225" i="13" s="1"/>
  <c r="AJ225" i="13"/>
  <c r="BS225" i="13" s="1"/>
  <c r="AI225" i="13"/>
  <c r="BR225" i="13" s="1"/>
  <c r="AI141" i="13"/>
  <c r="AI140" i="13"/>
  <c r="AI143" i="13"/>
  <c r="BD142" i="13"/>
  <c r="BE142" i="13" s="1"/>
  <c r="J134" i="5" s="1"/>
  <c r="AJ227" i="13"/>
  <c r="AK227" i="13"/>
  <c r="AI227" i="13"/>
  <c r="AK217" i="13"/>
  <c r="AI217" i="13"/>
  <c r="AJ217" i="13"/>
  <c r="AJ80" i="13"/>
  <c r="AI80" i="13"/>
  <c r="AK80" i="13"/>
  <c r="AJ186" i="13"/>
  <c r="AJ185" i="13"/>
  <c r="AI229" i="13"/>
  <c r="AJ229" i="13"/>
  <c r="AK229" i="13"/>
  <c r="AI212" i="13"/>
  <c r="AK212" i="13"/>
  <c r="AJ212" i="13"/>
  <c r="AK186" i="13"/>
  <c r="AK185" i="13"/>
  <c r="AI170" i="13"/>
  <c r="AK170" i="13"/>
  <c r="AJ170" i="13"/>
  <c r="AJ165" i="13"/>
  <c r="AJ164" i="13" s="1"/>
  <c r="AK165" i="13"/>
  <c r="AK164" i="13" s="1"/>
  <c r="AI165" i="13"/>
  <c r="AI164" i="13" s="1"/>
  <c r="AI186" i="13"/>
  <c r="AI185" i="13"/>
  <c r="AK182" i="13"/>
  <c r="AK181" i="13"/>
  <c r="AI182" i="13"/>
  <c r="AI181" i="13"/>
  <c r="AJ174" i="13"/>
  <c r="AJ173" i="13"/>
  <c r="L80" i="11" s="1"/>
  <c r="AJ206" i="13"/>
  <c r="AI206" i="13"/>
  <c r="AK206" i="13"/>
  <c r="AJ181" i="13"/>
  <c r="AJ182" i="13"/>
  <c r="AK174" i="13"/>
  <c r="AK173" i="13"/>
  <c r="M80" i="11" s="1"/>
  <c r="AJ41" i="13"/>
  <c r="AI174" i="13"/>
  <c r="AI173" i="13"/>
  <c r="K80" i="11" s="1"/>
  <c r="AJ91" i="13"/>
  <c r="AI91" i="13"/>
  <c r="AK91" i="13"/>
  <c r="AI92" i="13"/>
  <c r="AJ92" i="13"/>
  <c r="AK92" i="13"/>
  <c r="J259" i="5"/>
  <c r="BK310" i="13"/>
  <c r="F64" i="16"/>
  <c r="I64" i="16" s="1"/>
  <c r="G98" i="5"/>
  <c r="G61" i="5"/>
  <c r="H61" i="21" s="1"/>
  <c r="G86" i="5"/>
  <c r="H86" i="21" s="1"/>
  <c r="F81" i="16"/>
  <c r="I81" i="16" s="1"/>
  <c r="K22" i="3"/>
  <c r="F21" i="16"/>
  <c r="I21" i="16" s="1"/>
  <c r="G159" i="5"/>
  <c r="H159" i="21" s="1"/>
  <c r="F82" i="16"/>
  <c r="I82" i="16" s="1"/>
  <c r="F80" i="16"/>
  <c r="I80" i="16" s="1"/>
  <c r="G156" i="5"/>
  <c r="AM91" i="13"/>
  <c r="AY91" i="13" s="1"/>
  <c r="AB90" i="13"/>
  <c r="K21" i="3"/>
  <c r="BI310" i="13"/>
  <c r="BK303" i="13"/>
  <c r="BT299" i="13" s="1"/>
  <c r="BJ310" i="13"/>
  <c r="G32" i="5"/>
  <c r="H32" i="21" s="1"/>
  <c r="F44" i="16"/>
  <c r="I44" i="16" s="1"/>
  <c r="F24" i="16"/>
  <c r="I24" i="16" s="1"/>
  <c r="AI189" i="13"/>
  <c r="AK189" i="13"/>
  <c r="AJ189" i="13"/>
  <c r="G62" i="5"/>
  <c r="H62" i="21" s="1"/>
  <c r="AK63" i="13"/>
  <c r="AJ63" i="13"/>
  <c r="AI63" i="13"/>
  <c r="G88" i="5"/>
  <c r="G33" i="5"/>
  <c r="H33" i="21" s="1"/>
  <c r="BJ32" i="13"/>
  <c r="BG32" i="13"/>
  <c r="BD32" i="13"/>
  <c r="G26" i="5"/>
  <c r="H26" i="21" s="1"/>
  <c r="BJ25" i="13"/>
  <c r="BG25" i="13"/>
  <c r="BD25" i="13"/>
  <c r="AJ192" i="13"/>
  <c r="G124" i="5"/>
  <c r="AK130" i="13"/>
  <c r="AJ130" i="13"/>
  <c r="BT149" i="13"/>
  <c r="BS149" i="13"/>
  <c r="BR149" i="13"/>
  <c r="G74" i="5"/>
  <c r="H74" i="21" s="1"/>
  <c r="G72" i="5"/>
  <c r="H72" i="21" s="1"/>
  <c r="BJ11" i="13"/>
  <c r="BK11" i="13" s="1"/>
  <c r="X12" i="5" s="1"/>
  <c r="BG11" i="13"/>
  <c r="BH11" i="13" s="1"/>
  <c r="Q12" i="5" s="1"/>
  <c r="G84" i="5"/>
  <c r="G128" i="5"/>
  <c r="AI134" i="13"/>
  <c r="AK134" i="13"/>
  <c r="AJ134" i="13"/>
  <c r="G52" i="5"/>
  <c r="G18" i="5"/>
  <c r="H18" i="21" s="1"/>
  <c r="AI16" i="13"/>
  <c r="BJ157" i="13"/>
  <c r="BK157" i="13" s="1"/>
  <c r="X151" i="5" s="1"/>
  <c r="Y151" i="21" s="1"/>
  <c r="BG157" i="13"/>
  <c r="BH157" i="13" s="1"/>
  <c r="Q151" i="5" s="1"/>
  <c r="R151" i="21" s="1"/>
  <c r="BD157" i="13"/>
  <c r="BE157" i="13" s="1"/>
  <c r="J151" i="5" s="1"/>
  <c r="K151" i="21" s="1"/>
  <c r="AK56" i="13"/>
  <c r="AJ56" i="13"/>
  <c r="AI56" i="13"/>
  <c r="G15" i="5"/>
  <c r="H15" i="21" s="1"/>
  <c r="BJ29" i="13"/>
  <c r="BK29" i="13" s="1"/>
  <c r="X30" i="5" s="1"/>
  <c r="BG29" i="13"/>
  <c r="BD29" i="13"/>
  <c r="BE29" i="13" s="1"/>
  <c r="J30" i="5" s="1"/>
  <c r="G97" i="5"/>
  <c r="H97" i="21" s="1"/>
  <c r="BD102" i="13"/>
  <c r="BE102" i="13" s="1"/>
  <c r="J97" i="5" s="1"/>
  <c r="K97" i="21" s="1"/>
  <c r="BJ102" i="13"/>
  <c r="BK102" i="13" s="1"/>
  <c r="X97" i="5" s="1"/>
  <c r="Y97" i="21" s="1"/>
  <c r="BG102" i="13"/>
  <c r="BH102" i="13" s="1"/>
  <c r="Q97" i="5" s="1"/>
  <c r="R97" i="21" s="1"/>
  <c r="G69" i="5"/>
  <c r="H69" i="21" s="1"/>
  <c r="G176" i="5"/>
  <c r="G157" i="5"/>
  <c r="H157" i="21" s="1"/>
  <c r="AK162" i="13"/>
  <c r="AJ162" i="13"/>
  <c r="AI162" i="13"/>
  <c r="G71" i="5"/>
  <c r="BD73" i="13"/>
  <c r="BT73" i="13"/>
  <c r="BG73" i="13"/>
  <c r="G100" i="5"/>
  <c r="H100" i="21" s="1"/>
  <c r="AK103" i="13"/>
  <c r="AJ103" i="13"/>
  <c r="AI103" i="13"/>
  <c r="G82" i="5"/>
  <c r="H82" i="21" s="1"/>
  <c r="BE234" i="13"/>
  <c r="J39" i="5" s="1"/>
  <c r="BH234" i="13"/>
  <c r="Q39" i="5" s="1"/>
  <c r="BK252" i="13"/>
  <c r="X165" i="5" s="1"/>
  <c r="Y165" i="21" s="1"/>
  <c r="BH252" i="13"/>
  <c r="Q165" i="5" s="1"/>
  <c r="R165" i="21" s="1"/>
  <c r="G107" i="5"/>
  <c r="BE252" i="13"/>
  <c r="J165" i="5" s="1"/>
  <c r="K165" i="21" s="1"/>
  <c r="F53" i="16"/>
  <c r="I53" i="16" s="1"/>
  <c r="BJ163" i="13"/>
  <c r="BK163" i="13" s="1"/>
  <c r="X157" i="5" s="1"/>
  <c r="BG151" i="13"/>
  <c r="BH151" i="13" s="1"/>
  <c r="Q144" i="5" s="1"/>
  <c r="R144" i="21" s="1"/>
  <c r="G174" i="5"/>
  <c r="G66" i="5"/>
  <c r="F29" i="16"/>
  <c r="I29" i="16" s="1"/>
  <c r="F78" i="16"/>
  <c r="I78" i="16" s="1"/>
  <c r="G58" i="5"/>
  <c r="F22" i="16"/>
  <c r="I22" i="16" s="1"/>
  <c r="BJ150" i="13"/>
  <c r="BK150" i="13" s="1"/>
  <c r="X143" i="5" s="1"/>
  <c r="BD150" i="13"/>
  <c r="BE150" i="13" s="1"/>
  <c r="J143" i="5" s="1"/>
  <c r="K143" i="21" s="1"/>
  <c r="BD151" i="13"/>
  <c r="BE151" i="13" s="1"/>
  <c r="J144" i="5" s="1"/>
  <c r="K144" i="21" s="1"/>
  <c r="BD163" i="13"/>
  <c r="G126" i="5"/>
  <c r="G122" i="21"/>
  <c r="AG122" i="21" s="1"/>
  <c r="G41" i="5"/>
  <c r="G130" i="5"/>
  <c r="G222" i="5"/>
  <c r="G182" i="5"/>
  <c r="G184" i="5"/>
  <c r="F19" i="16"/>
  <c r="I19" i="16" s="1"/>
  <c r="G51" i="5"/>
  <c r="H51" i="21" s="1"/>
  <c r="G55" i="5"/>
  <c r="F76" i="16"/>
  <c r="I76" i="16" s="1"/>
  <c r="G166" i="5"/>
  <c r="G109" i="5"/>
  <c r="G187" i="5"/>
  <c r="G170" i="5"/>
  <c r="G141" i="5"/>
  <c r="BT188" i="13"/>
  <c r="F12" i="16"/>
  <c r="I12" i="16" s="1"/>
  <c r="BR188" i="13"/>
  <c r="F54" i="16"/>
  <c r="I54" i="16" s="1"/>
  <c r="AI130" i="13"/>
  <c r="BJ156" i="13"/>
  <c r="BK156" i="13" s="1"/>
  <c r="F9" i="16"/>
  <c r="I9" i="16" s="1"/>
  <c r="G20" i="5"/>
  <c r="H20" i="21" s="1"/>
  <c r="G11" i="5"/>
  <c r="BG150" i="13"/>
  <c r="BH150" i="13" s="1"/>
  <c r="Q143" i="5" s="1"/>
  <c r="R143" i="21" s="1"/>
  <c r="BD156" i="13"/>
  <c r="BE156" i="13" s="1"/>
  <c r="G17" i="5"/>
  <c r="H17" i="21" s="1"/>
  <c r="BJ151" i="13"/>
  <c r="F11" i="16"/>
  <c r="I11" i="16" s="1"/>
  <c r="G31" i="5"/>
  <c r="H31" i="21" s="1"/>
  <c r="J11" i="5"/>
  <c r="BD161" i="13"/>
  <c r="BE161" i="13" s="1"/>
  <c r="J155" i="5" s="1"/>
  <c r="K155" i="21" s="1"/>
  <c r="BD188" i="13"/>
  <c r="BE188" i="13" s="1"/>
  <c r="J183" i="5" s="1"/>
  <c r="AB86" i="13"/>
  <c r="AB164" i="13"/>
  <c r="G220" i="5"/>
  <c r="F60" i="16"/>
  <c r="I60" i="16" s="1"/>
  <c r="BJ188" i="13"/>
  <c r="BK188" i="13" s="1"/>
  <c r="X183" i="5" s="1"/>
  <c r="BG188" i="13"/>
  <c r="BH188" i="13" s="1"/>
  <c r="Q183" i="5" s="1"/>
  <c r="BJ161" i="13"/>
  <c r="BK161" i="13" s="1"/>
  <c r="X155" i="5" s="1"/>
  <c r="Y155" i="21" s="1"/>
  <c r="BG161" i="13"/>
  <c r="BH161" i="13" s="1"/>
  <c r="Q155" i="5" s="1"/>
  <c r="R155" i="21" s="1"/>
  <c r="AI59" i="13"/>
  <c r="BS188" i="13"/>
  <c r="BG156" i="13"/>
  <c r="BT158" i="13"/>
  <c r="BS158" i="13"/>
  <c r="J258" i="5" a="1"/>
  <c r="J258" i="5" s="1"/>
  <c r="BR158" i="13"/>
  <c r="BJ22" i="13"/>
  <c r="BT22" i="13"/>
  <c r="BG22" i="13"/>
  <c r="BS22" i="13"/>
  <c r="BJ12" i="13"/>
  <c r="BT12" i="13"/>
  <c r="BD12" i="13"/>
  <c r="BR12" i="13"/>
  <c r="BG12" i="13"/>
  <c r="BS12" i="13"/>
  <c r="BG239" i="13"/>
  <c r="BH239" i="13" s="1"/>
  <c r="Q123" i="5" s="1"/>
  <c r="BD239" i="13"/>
  <c r="BE239" i="13" s="1"/>
  <c r="J123" i="5" s="1"/>
  <c r="BJ239" i="13"/>
  <c r="BK239" i="13" s="1"/>
  <c r="X123" i="5" s="1"/>
  <c r="BD22" i="13"/>
  <c r="BR22" i="13"/>
  <c r="F61" i="16"/>
  <c r="I61" i="16" s="1"/>
  <c r="AB210" i="13"/>
  <c r="Z204" i="13"/>
  <c r="AA81" i="13"/>
  <c r="AB81" i="13" s="1"/>
  <c r="F77" i="16"/>
  <c r="AI192" i="13"/>
  <c r="AK192" i="13"/>
  <c r="J245" i="5"/>
  <c r="BE240" i="13"/>
  <c r="J246" i="5" s="1"/>
  <c r="BH240" i="13"/>
  <c r="Q127" i="5" s="1"/>
  <c r="BK240" i="13"/>
  <c r="X127" i="5" s="1"/>
  <c r="F62" i="16"/>
  <c r="I62" i="16" s="1"/>
  <c r="BE245" i="13"/>
  <c r="J179" i="5" s="1"/>
  <c r="K179" i="21" s="1"/>
  <c r="BE244" i="13"/>
  <c r="BE243" i="13"/>
  <c r="BE242" i="13"/>
  <c r="J167" i="5" s="1"/>
  <c r="K167" i="21" s="1"/>
  <c r="BH245" i="13"/>
  <c r="Q179" i="5" s="1"/>
  <c r="R179" i="21" s="1"/>
  <c r="BH244" i="13"/>
  <c r="Q175" i="5" s="1"/>
  <c r="R175" i="21" s="1"/>
  <c r="BH242" i="13"/>
  <c r="Q167" i="5" s="1"/>
  <c r="R167" i="21" s="1"/>
  <c r="BK245" i="13"/>
  <c r="X179" i="5" s="1"/>
  <c r="BK244" i="13"/>
  <c r="X175" i="5" s="1"/>
  <c r="Y175" i="21" s="1"/>
  <c r="BK242" i="13"/>
  <c r="X167" i="5" s="1"/>
  <c r="Y167" i="21" s="1"/>
  <c r="BK241" i="13"/>
  <c r="X131" i="5" s="1"/>
  <c r="BH241" i="13"/>
  <c r="Q131" i="5" s="1"/>
  <c r="BE241" i="13"/>
  <c r="J131" i="5" s="1"/>
  <c r="BK237" i="13"/>
  <c r="X56" i="5" s="1"/>
  <c r="Y56" i="21" s="1"/>
  <c r="BH237" i="13"/>
  <c r="Q56" i="5" s="1"/>
  <c r="R56" i="21" s="1"/>
  <c r="BE237" i="13"/>
  <c r="J56" i="5" s="1"/>
  <c r="K56" i="21" s="1"/>
  <c r="AB204" i="13"/>
  <c r="G164" i="5"/>
  <c r="H164" i="21" s="1"/>
  <c r="AB169" i="13"/>
  <c r="F8" i="16"/>
  <c r="I8" i="16" s="1"/>
  <c r="AB39" i="13"/>
  <c r="G201" i="5"/>
  <c r="H201" i="21" s="1"/>
  <c r="G202" i="5"/>
  <c r="H202" i="21" s="1"/>
  <c r="BH15" i="13"/>
  <c r="BH27" i="13"/>
  <c r="Q28" i="5" s="1"/>
  <c r="BK27" i="13"/>
  <c r="X28" i="5" s="1"/>
  <c r="BE27" i="13"/>
  <c r="J28" i="5" s="1"/>
  <c r="BK15" i="13"/>
  <c r="X16" i="5" s="1"/>
  <c r="Y16" i="21" s="1"/>
  <c r="G207" i="5"/>
  <c r="H207" i="21" s="1"/>
  <c r="AB201" i="13"/>
  <c r="G78" i="5"/>
  <c r="H78" i="21" s="1"/>
  <c r="BD128" i="13"/>
  <c r="BG128" i="13"/>
  <c r="BJ128" i="13"/>
  <c r="BE15" i="13"/>
  <c r="J16" i="5" s="1"/>
  <c r="AI19" i="13"/>
  <c r="AI155" i="13"/>
  <c r="AK155" i="13"/>
  <c r="AJ19" i="13"/>
  <c r="AI117" i="13"/>
  <c r="F7" i="16"/>
  <c r="I7" i="16" s="1"/>
  <c r="AB36" i="13"/>
  <c r="C36" i="11" s="1"/>
  <c r="AI126" i="13"/>
  <c r="F10" i="16"/>
  <c r="I10" i="16" s="1"/>
  <c r="AA197" i="13"/>
  <c r="AA214" i="13"/>
  <c r="AK117" i="13"/>
  <c r="AJ126" i="13"/>
  <c r="AJ117" i="13"/>
  <c r="AK126" i="13"/>
  <c r="BE223" i="13"/>
  <c r="J218" i="5" s="1"/>
  <c r="K218" i="21" s="1"/>
  <c r="BE220" i="13"/>
  <c r="J215" i="5" s="1"/>
  <c r="K215" i="21" s="1"/>
  <c r="BE69" i="13"/>
  <c r="J66" i="5" s="1"/>
  <c r="K66" i="21" s="1"/>
  <c r="BG222" i="13"/>
  <c r="BH222" i="13" s="1"/>
  <c r="Q217" i="5" s="1"/>
  <c r="R217" i="21" s="1"/>
  <c r="BD221" i="13"/>
  <c r="BG220" i="13"/>
  <c r="BH220" i="13" s="1"/>
  <c r="Q215" i="5" s="1"/>
  <c r="R215" i="21" s="1"/>
  <c r="BG226" i="13"/>
  <c r="BH226" i="13" s="1"/>
  <c r="Q221" i="5" s="1"/>
  <c r="R221" i="21" s="1"/>
  <c r="BD226" i="13"/>
  <c r="BJ222" i="13"/>
  <c r="BK222" i="13" s="1"/>
  <c r="X217" i="5" s="1"/>
  <c r="Y217" i="21" s="1"/>
  <c r="BG218" i="13"/>
  <c r="BH218" i="13" s="1"/>
  <c r="Q213" i="5" s="1"/>
  <c r="R213" i="21" s="1"/>
  <c r="BJ229" i="13"/>
  <c r="BK229" i="13" s="1"/>
  <c r="X224" i="5" s="1"/>
  <c r="Y224" i="21" s="1"/>
  <c r="BJ218" i="13"/>
  <c r="BK218" i="13" s="1"/>
  <c r="X213" i="5" s="1"/>
  <c r="Y213" i="21" s="1"/>
  <c r="BJ223" i="13"/>
  <c r="BK223" i="13" s="1"/>
  <c r="X218" i="5" s="1"/>
  <c r="BG221" i="13"/>
  <c r="BH221" i="13" s="1"/>
  <c r="Q216" i="5" s="1"/>
  <c r="R216" i="21" s="1"/>
  <c r="BJ221" i="13"/>
  <c r="BK221" i="13" s="1"/>
  <c r="X216" i="5" s="1"/>
  <c r="Y216" i="21" s="1"/>
  <c r="BD218" i="13"/>
  <c r="BD225" i="13"/>
  <c r="BD224" i="13"/>
  <c r="BJ220" i="13"/>
  <c r="BK220" i="13" s="1"/>
  <c r="X215" i="5" s="1"/>
  <c r="Y215" i="21" s="1"/>
  <c r="BG223" i="13"/>
  <c r="BH223" i="13" s="1"/>
  <c r="Q218" i="5" s="1"/>
  <c r="R218" i="21" s="1"/>
  <c r="BJ228" i="13"/>
  <c r="BK228" i="13" s="1"/>
  <c r="X223" i="5" s="1"/>
  <c r="BD228" i="13"/>
  <c r="BJ224" i="13"/>
  <c r="BK224" i="13" s="1"/>
  <c r="X219" i="5" s="1"/>
  <c r="Y219" i="21" s="1"/>
  <c r="BJ225" i="13"/>
  <c r="BK225" i="13" s="1"/>
  <c r="X220" i="5" s="1"/>
  <c r="BG224" i="13"/>
  <c r="BH224" i="13" s="1"/>
  <c r="Q219" i="5" s="1"/>
  <c r="R219" i="21" s="1"/>
  <c r="BG225" i="13"/>
  <c r="BH225" i="13" s="1"/>
  <c r="Q220" i="5" s="1"/>
  <c r="R220" i="21" s="1"/>
  <c r="BD222" i="13"/>
  <c r="G224" i="5"/>
  <c r="AD216" i="5"/>
  <c r="AD217" i="5"/>
  <c r="G118" i="5"/>
  <c r="H118" i="21" s="1"/>
  <c r="G178" i="5"/>
  <c r="BJ75" i="13"/>
  <c r="BK75" i="13" s="1"/>
  <c r="X73" i="5" s="1"/>
  <c r="Y73" i="21" s="1"/>
  <c r="BG75" i="13"/>
  <c r="BH75" i="13" s="1"/>
  <c r="Q73" i="5" s="1"/>
  <c r="R73" i="21" s="1"/>
  <c r="BD75" i="13"/>
  <c r="BE75" i="13" s="1"/>
  <c r="BJ46" i="13"/>
  <c r="BK46" i="13" s="1"/>
  <c r="X46" i="5" s="1"/>
  <c r="BD46" i="13"/>
  <c r="BD113" i="13"/>
  <c r="BJ113" i="13"/>
  <c r="BG113" i="13"/>
  <c r="BJ69" i="13"/>
  <c r="BK69" i="13" s="1"/>
  <c r="X66" i="5" s="1"/>
  <c r="BG69" i="13"/>
  <c r="BH69" i="13" s="1"/>
  <c r="Q66" i="5" s="1"/>
  <c r="R66" i="21" s="1"/>
  <c r="G27" i="5"/>
  <c r="H27" i="21" s="1"/>
  <c r="J31" i="5"/>
  <c r="K31" i="21" s="1"/>
  <c r="J20" i="5"/>
  <c r="F79" i="16"/>
  <c r="I79" i="16" s="1"/>
  <c r="F59" i="16"/>
  <c r="I59" i="16" s="1"/>
  <c r="BD65" i="13"/>
  <c r="BD96" i="13"/>
  <c r="BE96" i="13" s="1"/>
  <c r="BG46" i="13"/>
  <c r="BH46" i="13" s="1"/>
  <c r="Q46" i="5" s="1"/>
  <c r="G212" i="5"/>
  <c r="F94" i="16"/>
  <c r="J148" i="5"/>
  <c r="K148" i="21" s="1"/>
  <c r="K28" i="21" l="1"/>
  <c r="G171" i="21"/>
  <c r="AG171" i="21" s="1"/>
  <c r="H170" i="21"/>
  <c r="G174" i="21"/>
  <c r="AG174" i="21" s="1"/>
  <c r="H174" i="21"/>
  <c r="Y12" i="21"/>
  <c r="AC12" i="21"/>
  <c r="Y182" i="21"/>
  <c r="K20" i="21"/>
  <c r="Y66" i="21"/>
  <c r="AC66" i="21"/>
  <c r="X131" i="21"/>
  <c r="Y131" i="21"/>
  <c r="G178" i="21"/>
  <c r="AG178" i="21" s="1"/>
  <c r="H178" i="21"/>
  <c r="Y220" i="21"/>
  <c r="AC220" i="21"/>
  <c r="Y28" i="21"/>
  <c r="X123" i="21"/>
  <c r="Y123" i="21"/>
  <c r="G188" i="21"/>
  <c r="H187" i="21"/>
  <c r="G182" i="21"/>
  <c r="AG182" i="21" s="1"/>
  <c r="H182" i="21"/>
  <c r="J39" i="21"/>
  <c r="K39" i="21"/>
  <c r="G53" i="21"/>
  <c r="AG53" i="21" s="1"/>
  <c r="H52" i="21"/>
  <c r="K134" i="21"/>
  <c r="Y134" i="21"/>
  <c r="Y223" i="21"/>
  <c r="AC223" i="21"/>
  <c r="Y183" i="21"/>
  <c r="Q39" i="21"/>
  <c r="R39" i="21"/>
  <c r="J123" i="21"/>
  <c r="K123" i="21"/>
  <c r="G220" i="21"/>
  <c r="AG220" i="21" s="1"/>
  <c r="H220" i="21"/>
  <c r="G110" i="21"/>
  <c r="AG110" i="21" s="1"/>
  <c r="H109" i="21"/>
  <c r="G222" i="21"/>
  <c r="AG222" i="21" s="1"/>
  <c r="H222" i="21"/>
  <c r="Y143" i="21"/>
  <c r="AC143" i="21"/>
  <c r="Y157" i="21"/>
  <c r="AC157" i="21"/>
  <c r="G71" i="21"/>
  <c r="H71" i="21"/>
  <c r="G89" i="21"/>
  <c r="AG89" i="21" s="1"/>
  <c r="H88" i="21"/>
  <c r="Y24" i="21"/>
  <c r="AD137" i="5"/>
  <c r="H137" i="21"/>
  <c r="Y218" i="21"/>
  <c r="AC218" i="21"/>
  <c r="K16" i="21"/>
  <c r="G185" i="21"/>
  <c r="AG185" i="21" s="1"/>
  <c r="H184" i="21"/>
  <c r="G124" i="21"/>
  <c r="AG124" i="21" s="1"/>
  <c r="H124" i="21"/>
  <c r="R28" i="21"/>
  <c r="Y179" i="21"/>
  <c r="AC179" i="21"/>
  <c r="Q123" i="21"/>
  <c r="R123" i="21"/>
  <c r="G166" i="21"/>
  <c r="AG166" i="21" s="1"/>
  <c r="H166" i="21"/>
  <c r="G131" i="21"/>
  <c r="AG131" i="21" s="1"/>
  <c r="H130" i="21"/>
  <c r="G156" i="21"/>
  <c r="AG156" i="21" s="1"/>
  <c r="H156" i="21"/>
  <c r="K69" i="21"/>
  <c r="X127" i="21"/>
  <c r="Y127" i="21"/>
  <c r="G42" i="21"/>
  <c r="AG42" i="21" s="1"/>
  <c r="H41" i="21"/>
  <c r="G59" i="21"/>
  <c r="AG59" i="21" s="1"/>
  <c r="H58" i="21"/>
  <c r="G99" i="21"/>
  <c r="AG99" i="21" s="1"/>
  <c r="H98" i="21"/>
  <c r="AD81" i="5"/>
  <c r="H81" i="21"/>
  <c r="AD138" i="5"/>
  <c r="H138" i="21"/>
  <c r="R182" i="21"/>
  <c r="AD106" i="5"/>
  <c r="H106" i="21"/>
  <c r="Q127" i="21"/>
  <c r="R127" i="21"/>
  <c r="K183" i="21"/>
  <c r="G56" i="21"/>
  <c r="AG56" i="21" s="1"/>
  <c r="H55" i="21"/>
  <c r="G107" i="21"/>
  <c r="AG107" i="21" s="1"/>
  <c r="H107" i="21"/>
  <c r="K30" i="21"/>
  <c r="G128" i="21"/>
  <c r="AG128" i="21" s="1"/>
  <c r="H128" i="21"/>
  <c r="R134" i="21"/>
  <c r="Y69" i="21"/>
  <c r="Y46" i="21"/>
  <c r="G224" i="21"/>
  <c r="H224" i="21"/>
  <c r="J131" i="21"/>
  <c r="K131" i="21"/>
  <c r="AD11" i="5"/>
  <c r="AD245" i="5" s="1"/>
  <c r="H11" i="21"/>
  <c r="G126" i="21"/>
  <c r="AG126" i="21" s="1"/>
  <c r="H126" i="21"/>
  <c r="G85" i="21"/>
  <c r="AG85" i="21" s="1"/>
  <c r="H84" i="21"/>
  <c r="R24" i="21"/>
  <c r="G212" i="21"/>
  <c r="AG212" i="21" s="1"/>
  <c r="H212" i="21"/>
  <c r="R46" i="21"/>
  <c r="Q131" i="21"/>
  <c r="R131" i="21"/>
  <c r="R183" i="21"/>
  <c r="G141" i="21"/>
  <c r="AG141" i="21" s="1"/>
  <c r="H141" i="21"/>
  <c r="G67" i="21"/>
  <c r="AG67" i="21" s="1"/>
  <c r="H66" i="21"/>
  <c r="G176" i="21"/>
  <c r="AG176" i="21" s="1"/>
  <c r="H176" i="21"/>
  <c r="Y30" i="21"/>
  <c r="R12" i="21"/>
  <c r="AC219" i="21"/>
  <c r="R69" i="21"/>
  <c r="AD105" i="5"/>
  <c r="H105" i="21"/>
  <c r="AD91" i="5"/>
  <c r="H91" i="21"/>
  <c r="L66" i="11"/>
  <c r="M66" i="11"/>
  <c r="BT257" i="13"/>
  <c r="G104" i="5"/>
  <c r="H104" i="21" s="1"/>
  <c r="F52" i="16"/>
  <c r="I52" i="16" s="1"/>
  <c r="G138" i="21"/>
  <c r="AG138" i="21" s="1"/>
  <c r="G136" i="5"/>
  <c r="F63" i="16"/>
  <c r="I63" i="16" s="1"/>
  <c r="AB152" i="13"/>
  <c r="BR254" i="13"/>
  <c r="J252" i="5"/>
  <c r="J171" i="5"/>
  <c r="K171" i="21" s="1"/>
  <c r="J254" i="5"/>
  <c r="J175" i="5"/>
  <c r="K175" i="21" s="1"/>
  <c r="G137" i="21"/>
  <c r="AG137" i="21" s="1"/>
  <c r="AI250" i="13"/>
  <c r="BR250" i="13" s="1"/>
  <c r="AJ250" i="13"/>
  <c r="AK250" i="13"/>
  <c r="BT174" i="13"/>
  <c r="BS174" i="13"/>
  <c r="BR174" i="13"/>
  <c r="J149" i="5"/>
  <c r="K149" i="21" s="1"/>
  <c r="X149" i="5"/>
  <c r="Y149" i="21" s="1"/>
  <c r="AK144" i="13"/>
  <c r="AJ144" i="13"/>
  <c r="AI144" i="13"/>
  <c r="G225" i="21"/>
  <c r="G223" i="21"/>
  <c r="J56" i="21"/>
  <c r="Q56" i="21"/>
  <c r="X56" i="21"/>
  <c r="G157" i="21"/>
  <c r="BK298" i="13"/>
  <c r="G75" i="5"/>
  <c r="AD75" i="5" s="1"/>
  <c r="AB75" i="13"/>
  <c r="AJ77" i="13"/>
  <c r="AJ75" i="13" s="1"/>
  <c r="AK77" i="13"/>
  <c r="AK75" i="13" s="1"/>
  <c r="BJ298" i="13"/>
  <c r="BI298" i="13"/>
  <c r="AB231" i="13"/>
  <c r="AD223" i="13" s="1"/>
  <c r="G214" i="5"/>
  <c r="G105" i="21"/>
  <c r="AG105" i="21" s="1"/>
  <c r="AI236" i="13"/>
  <c r="AI50" i="13" s="1"/>
  <c r="AK236" i="13"/>
  <c r="G236" i="5"/>
  <c r="AJ236" i="13"/>
  <c r="G47" i="5"/>
  <c r="G109" i="21"/>
  <c r="AG109" i="21" s="1"/>
  <c r="G184" i="21"/>
  <c r="AG184" i="21" s="1"/>
  <c r="G130" i="21"/>
  <c r="AG130" i="21" s="1"/>
  <c r="G187" i="21"/>
  <c r="AG187" i="21" s="1"/>
  <c r="G119" i="21"/>
  <c r="AG119" i="21" s="1"/>
  <c r="G118" i="21"/>
  <c r="AG118" i="21" s="1"/>
  <c r="G183" i="21"/>
  <c r="AG183" i="21" s="1"/>
  <c r="G215" i="21"/>
  <c r="AG215" i="21" s="1"/>
  <c r="G213" i="21"/>
  <c r="AG213" i="21" s="1"/>
  <c r="G142" i="21"/>
  <c r="AG142" i="21" s="1"/>
  <c r="AG188" i="21"/>
  <c r="G165" i="21"/>
  <c r="AG165" i="21" s="1"/>
  <c r="G177" i="21"/>
  <c r="AG177" i="21" s="1"/>
  <c r="J179" i="21"/>
  <c r="J167" i="21"/>
  <c r="X167" i="21"/>
  <c r="Q179" i="21"/>
  <c r="X175" i="21"/>
  <c r="Q167" i="21"/>
  <c r="Q175" i="21"/>
  <c r="X179" i="21"/>
  <c r="AA231" i="13"/>
  <c r="AK219" i="13"/>
  <c r="AJ219" i="13"/>
  <c r="AI219" i="13"/>
  <c r="F96" i="16"/>
  <c r="I96" i="16" s="1"/>
  <c r="AJ169" i="13"/>
  <c r="BS170" i="13"/>
  <c r="AK169" i="13"/>
  <c r="BT170" i="13"/>
  <c r="AI169" i="13"/>
  <c r="BR170" i="13"/>
  <c r="BD173" i="13"/>
  <c r="BE173" i="13" s="1"/>
  <c r="J168" i="5" s="1"/>
  <c r="AI243" i="13"/>
  <c r="I171" i="5" s="1"/>
  <c r="G11" i="21"/>
  <c r="AG11" i="21" s="1"/>
  <c r="AD212" i="5"/>
  <c r="AD17" i="5"/>
  <c r="G17" i="21"/>
  <c r="AG17" i="21" s="1"/>
  <c r="AD55" i="5"/>
  <c r="G55" i="21"/>
  <c r="AG55" i="21" s="1"/>
  <c r="AD157" i="5"/>
  <c r="AD84" i="5"/>
  <c r="AD61" i="5"/>
  <c r="G61" i="21"/>
  <c r="AG61" i="21" s="1"/>
  <c r="AD178" i="5"/>
  <c r="G175" i="21"/>
  <c r="AG175" i="21" s="1"/>
  <c r="G104" i="21"/>
  <c r="AG104" i="21" s="1"/>
  <c r="AD220" i="5"/>
  <c r="G217" i="21"/>
  <c r="AG217" i="21" s="1"/>
  <c r="AD51" i="5"/>
  <c r="G51" i="21"/>
  <c r="AG51" i="21" s="1"/>
  <c r="AD107" i="5"/>
  <c r="G106" i="21"/>
  <c r="AG106" i="21" s="1"/>
  <c r="AD100" i="5"/>
  <c r="G100" i="21"/>
  <c r="AG100" i="21" s="1"/>
  <c r="AD176" i="5"/>
  <c r="G173" i="21"/>
  <c r="AG173" i="21" s="1"/>
  <c r="AD62" i="5"/>
  <c r="G62" i="21"/>
  <c r="AG62" i="21" s="1"/>
  <c r="AD98" i="5"/>
  <c r="G98" i="21"/>
  <c r="AG98" i="21" s="1"/>
  <c r="AD118" i="5"/>
  <c r="AD254" i="5" s="1"/>
  <c r="AD69" i="5"/>
  <c r="G69" i="21"/>
  <c r="AG69" i="21" s="1"/>
  <c r="AD184" i="5"/>
  <c r="G181" i="21"/>
  <c r="AG181" i="21" s="1"/>
  <c r="AD72" i="5"/>
  <c r="G72" i="21"/>
  <c r="AG72" i="21" s="1"/>
  <c r="AD26" i="5"/>
  <c r="G26" i="21"/>
  <c r="AG26" i="21" s="1"/>
  <c r="AD20" i="5"/>
  <c r="AD246" i="5" s="1"/>
  <c r="G20" i="21"/>
  <c r="AG20" i="21" s="1"/>
  <c r="AD58" i="5"/>
  <c r="G58" i="21"/>
  <c r="AG58" i="21" s="1"/>
  <c r="AD74" i="5"/>
  <c r="AD156" i="5"/>
  <c r="AG153" i="21"/>
  <c r="AD224" i="5"/>
  <c r="G221" i="21"/>
  <c r="AG221" i="21" s="1"/>
  <c r="AD201" i="5"/>
  <c r="AD182" i="5"/>
  <c r="G179" i="21"/>
  <c r="AG179" i="21" s="1"/>
  <c r="AD71" i="5"/>
  <c r="G70" i="21"/>
  <c r="AG70" i="21" s="1"/>
  <c r="L65" i="21"/>
  <c r="AD27" i="5"/>
  <c r="G27" i="21"/>
  <c r="AG27" i="21" s="1"/>
  <c r="G135" i="21"/>
  <c r="AG135" i="21" s="1"/>
  <c r="AD141" i="5"/>
  <c r="G139" i="21"/>
  <c r="AG139" i="21" s="1"/>
  <c r="AD222" i="5"/>
  <c r="G219" i="21"/>
  <c r="AG219" i="21" s="1"/>
  <c r="AD97" i="5"/>
  <c r="G97" i="21"/>
  <c r="AG97" i="21" s="1"/>
  <c r="AD18" i="5"/>
  <c r="G18" i="21"/>
  <c r="AG18" i="21" s="1"/>
  <c r="AD202" i="5"/>
  <c r="AG211" i="21"/>
  <c r="AD170" i="5"/>
  <c r="G167" i="21"/>
  <c r="AG167" i="21" s="1"/>
  <c r="AD130" i="5"/>
  <c r="G129" i="21"/>
  <c r="AG129" i="21" s="1"/>
  <c r="AD66" i="5"/>
  <c r="AD251" i="5" s="1"/>
  <c r="G66" i="21"/>
  <c r="AG66" i="21" s="1"/>
  <c r="AD52" i="5"/>
  <c r="G52" i="21"/>
  <c r="AG52" i="21" s="1"/>
  <c r="AD33" i="5"/>
  <c r="G33" i="21"/>
  <c r="AG33" i="21" s="1"/>
  <c r="AD159" i="5"/>
  <c r="AD78" i="5"/>
  <c r="AD187" i="5"/>
  <c r="AD41" i="5"/>
  <c r="G41" i="21"/>
  <c r="AG41" i="21" s="1"/>
  <c r="AD174" i="5"/>
  <c r="G170" i="21"/>
  <c r="AG170" i="21" s="1"/>
  <c r="AD164" i="5"/>
  <c r="AD31" i="5"/>
  <c r="AD248" i="5" s="1"/>
  <c r="G31" i="21"/>
  <c r="AG31" i="21" s="1"/>
  <c r="AD109" i="5"/>
  <c r="G108" i="21"/>
  <c r="AG108" i="21" s="1"/>
  <c r="AD122" i="5"/>
  <c r="G121" i="21"/>
  <c r="AG121" i="21" s="1"/>
  <c r="AD82" i="5"/>
  <c r="G82" i="21"/>
  <c r="AG82" i="21" s="1"/>
  <c r="AD88" i="5"/>
  <c r="AD32" i="5"/>
  <c r="G32" i="21"/>
  <c r="AG32" i="21" s="1"/>
  <c r="G75" i="21"/>
  <c r="AG75" i="21" s="1"/>
  <c r="AD207" i="5"/>
  <c r="AD166" i="5"/>
  <c r="AD126" i="5"/>
  <c r="G125" i="21"/>
  <c r="AG125" i="21" s="1"/>
  <c r="AD15" i="5"/>
  <c r="G15" i="21"/>
  <c r="AG15" i="21" s="1"/>
  <c r="AD124" i="5"/>
  <c r="G123" i="21"/>
  <c r="AG123" i="21" s="1"/>
  <c r="AD128" i="5"/>
  <c r="G127" i="21"/>
  <c r="AG127" i="21" s="1"/>
  <c r="AD86" i="5"/>
  <c r="G86" i="21"/>
  <c r="AG86" i="21" s="1"/>
  <c r="AC211" i="21"/>
  <c r="AC95" i="21"/>
  <c r="AI183" i="13"/>
  <c r="AK183" i="13"/>
  <c r="AJ183" i="13"/>
  <c r="AJ201" i="13"/>
  <c r="AI201" i="13"/>
  <c r="AK201" i="13"/>
  <c r="AJ81" i="13"/>
  <c r="AI81" i="13"/>
  <c r="AK81" i="13"/>
  <c r="AJ210" i="13"/>
  <c r="AK210" i="13"/>
  <c r="AI210" i="13"/>
  <c r="BJ313" i="13"/>
  <c r="BS307" i="13" s="1"/>
  <c r="AD49" i="11" s="1"/>
  <c r="BI303" i="13"/>
  <c r="BR299" i="13" s="1"/>
  <c r="AK59" i="13"/>
  <c r="BD11" i="13"/>
  <c r="BE11" i="13" s="1"/>
  <c r="J12" i="5" s="1"/>
  <c r="BK300" i="13"/>
  <c r="BJ324" i="13"/>
  <c r="BS313" i="13" s="1"/>
  <c r="AD55" i="11" s="1"/>
  <c r="BK313" i="13"/>
  <c r="BT307" i="13" s="1"/>
  <c r="AE49" i="11" s="1"/>
  <c r="BK324" i="13"/>
  <c r="BT313" i="13" s="1"/>
  <c r="AE55" i="11" s="1"/>
  <c r="AJ59" i="13"/>
  <c r="J248" i="5"/>
  <c r="BI313" i="13"/>
  <c r="BR307" i="13" s="1"/>
  <c r="AC49" i="11" s="1"/>
  <c r="BI300" i="13"/>
  <c r="BJ303" i="13"/>
  <c r="BS299" i="13" s="1"/>
  <c r="BJ300" i="13"/>
  <c r="AK90" i="13"/>
  <c r="BI324" i="13"/>
  <c r="BR313" i="13" s="1"/>
  <c r="AC55" i="11" s="1"/>
  <c r="AP91" i="13"/>
  <c r="BB91" i="13" s="1"/>
  <c r="AO91" i="13"/>
  <c r="BA91" i="13" s="1"/>
  <c r="AN91" i="13"/>
  <c r="AZ91" i="13" s="1"/>
  <c r="AQ91" i="13"/>
  <c r="BC91" i="13" s="1"/>
  <c r="AK16" i="13"/>
  <c r="BH29" i="13"/>
  <c r="Q30" i="5" s="1"/>
  <c r="BH32" i="13"/>
  <c r="Q33" i="5" s="1"/>
  <c r="AI75" i="13"/>
  <c r="AJ30" i="13"/>
  <c r="AK51" i="13"/>
  <c r="BJ114" i="13"/>
  <c r="BK114" i="13" s="1"/>
  <c r="BK295" i="13"/>
  <c r="AK113" i="13"/>
  <c r="AK123" i="13" s="1"/>
  <c r="X115" i="5" s="1"/>
  <c r="BD114" i="13"/>
  <c r="AJ26" i="13"/>
  <c r="AK10" i="13"/>
  <c r="AK26" i="13"/>
  <c r="AK100" i="13"/>
  <c r="AK110" i="13" s="1"/>
  <c r="X101" i="5" s="1"/>
  <c r="BJ317" i="13"/>
  <c r="BK319" i="13"/>
  <c r="AJ51" i="13"/>
  <c r="AJ10" i="13"/>
  <c r="BI319" i="13"/>
  <c r="AD143" i="13"/>
  <c r="AG143" i="13" s="1"/>
  <c r="C41" i="11"/>
  <c r="AD114" i="13"/>
  <c r="AE114" i="13" s="1"/>
  <c r="I105" i="5" s="1"/>
  <c r="C40" i="11"/>
  <c r="BJ295" i="13"/>
  <c r="AK148" i="13"/>
  <c r="AI51" i="13"/>
  <c r="AI10" i="13"/>
  <c r="AJ148" i="13"/>
  <c r="AJ100" i="13"/>
  <c r="AJ110" i="13" s="1"/>
  <c r="F39" i="11" s="1"/>
  <c r="BE73" i="13"/>
  <c r="J71" i="5" s="1"/>
  <c r="AI100" i="13"/>
  <c r="AI110" i="13" s="1"/>
  <c r="D39" i="11" s="1"/>
  <c r="AK19" i="13"/>
  <c r="AI113" i="13"/>
  <c r="AI123" i="13" s="1"/>
  <c r="AJ90" i="13"/>
  <c r="BJ319" i="13"/>
  <c r="AJ86" i="13"/>
  <c r="AJ155" i="13"/>
  <c r="AJ166" i="13" s="1"/>
  <c r="Q160" i="5" s="1"/>
  <c r="AJ16" i="13"/>
  <c r="BG163" i="13"/>
  <c r="BR73" i="13"/>
  <c r="BK301" i="13"/>
  <c r="AI69" i="13"/>
  <c r="BH73" i="13"/>
  <c r="Q71" i="5" s="1"/>
  <c r="AI148" i="13"/>
  <c r="AK86" i="13"/>
  <c r="AK69" i="13"/>
  <c r="AI86" i="13"/>
  <c r="AJ69" i="13"/>
  <c r="AI90" i="13"/>
  <c r="AK30" i="13"/>
  <c r="BK32" i="13"/>
  <c r="X33" i="5" s="1"/>
  <c r="Y33" i="21" s="1"/>
  <c r="BE163" i="13"/>
  <c r="J157" i="5" s="1"/>
  <c r="K157" i="21" s="1"/>
  <c r="BI317" i="13"/>
  <c r="BJ73" i="13"/>
  <c r="BE32" i="13"/>
  <c r="J33" i="5" s="1"/>
  <c r="AJ113" i="13"/>
  <c r="AJ123" i="13" s="1"/>
  <c r="Q115" i="5" s="1"/>
  <c r="AI30" i="13"/>
  <c r="AI26" i="13"/>
  <c r="BI301" i="13"/>
  <c r="BG114" i="13"/>
  <c r="BH114" i="13" s="1"/>
  <c r="BS73" i="13"/>
  <c r="AK39" i="13"/>
  <c r="AJ39" i="13"/>
  <c r="AI39" i="13"/>
  <c r="J256" i="5"/>
  <c r="BK323" i="13"/>
  <c r="BI316" i="13"/>
  <c r="BK308" i="13"/>
  <c r="BT303" i="13" s="1"/>
  <c r="AE45" i="11" s="1"/>
  <c r="BE12" i="13"/>
  <c r="J13" i="5" s="1"/>
  <c r="K13" i="21" s="1"/>
  <c r="BH12" i="13"/>
  <c r="Q13" i="5" s="1"/>
  <c r="BK12" i="13"/>
  <c r="X13" i="5" s="1"/>
  <c r="AD115" i="13"/>
  <c r="BK316" i="13"/>
  <c r="BJ308" i="13"/>
  <c r="BS303" i="13" s="1"/>
  <c r="AD45" i="11" s="1"/>
  <c r="AB166" i="13"/>
  <c r="AB208" i="13"/>
  <c r="AK138" i="13"/>
  <c r="AJ138" i="13"/>
  <c r="AI138" i="13"/>
  <c r="BI308" i="13"/>
  <c r="BR303" i="13" s="1"/>
  <c r="AC45" i="11" s="1"/>
  <c r="AD122" i="13"/>
  <c r="AF122" i="13" s="1"/>
  <c r="J257" i="5"/>
  <c r="AD118" i="13"/>
  <c r="AE118" i="13" s="1"/>
  <c r="AD116" i="13"/>
  <c r="AF116" i="13" s="1"/>
  <c r="AD119" i="13"/>
  <c r="AG119" i="13" s="1"/>
  <c r="AD113" i="13"/>
  <c r="AD117" i="13"/>
  <c r="AD121" i="13"/>
  <c r="AD120" i="13"/>
  <c r="AG120" i="13" s="1"/>
  <c r="BI322" i="13"/>
  <c r="BI318" i="13"/>
  <c r="F87" i="16"/>
  <c r="I87" i="16" s="1"/>
  <c r="G200" i="5"/>
  <c r="G38" i="5"/>
  <c r="H38" i="21" s="1"/>
  <c r="AB79" i="13"/>
  <c r="G79" i="5"/>
  <c r="H79" i="21" s="1"/>
  <c r="AB197" i="13"/>
  <c r="Z208" i="13"/>
  <c r="BI327" i="13"/>
  <c r="BR316" i="13" s="1"/>
  <c r="AC58" i="11" s="1"/>
  <c r="BJ327" i="13"/>
  <c r="BS316" i="13" s="1"/>
  <c r="AD58" i="11" s="1"/>
  <c r="AI166" i="13"/>
  <c r="BK318" i="13"/>
  <c r="BK327" i="13"/>
  <c r="BT316" i="13" s="1"/>
  <c r="AE58" i="11" s="1"/>
  <c r="BK151" i="13"/>
  <c r="X144" i="5" s="1"/>
  <c r="BH156" i="13"/>
  <c r="BJ322" i="13"/>
  <c r="BJ316" i="13"/>
  <c r="BK322" i="13"/>
  <c r="AK166" i="13"/>
  <c r="X160" i="5" s="1"/>
  <c r="AK179" i="13"/>
  <c r="BJ181" i="13"/>
  <c r="AI179" i="13"/>
  <c r="BD181" i="13"/>
  <c r="AJ179" i="13"/>
  <c r="BG181" i="13"/>
  <c r="BS173" i="13"/>
  <c r="BG173" i="13"/>
  <c r="BT173" i="13"/>
  <c r="BJ173" i="13"/>
  <c r="BK312" i="13"/>
  <c r="BT306" i="13" s="1"/>
  <c r="AE48" i="11" s="1"/>
  <c r="BE22" i="13"/>
  <c r="J23" i="5" s="1"/>
  <c r="BK22" i="13"/>
  <c r="X23" i="5" s="1"/>
  <c r="Y23" i="21" s="1"/>
  <c r="BH22" i="13"/>
  <c r="Q23" i="5" s="1"/>
  <c r="J255" i="5"/>
  <c r="BJ312" i="13"/>
  <c r="BS306" i="13" s="1"/>
  <c r="AD48" i="11" s="1"/>
  <c r="BI312" i="13"/>
  <c r="BR306" i="13" s="1"/>
  <c r="AC48" i="11" s="1"/>
  <c r="AI171" i="13"/>
  <c r="BR173" i="13"/>
  <c r="J247" i="5"/>
  <c r="AB213" i="13"/>
  <c r="J127" i="5"/>
  <c r="G145" i="5"/>
  <c r="AD131" i="13"/>
  <c r="AD144" i="13"/>
  <c r="AD142" i="13"/>
  <c r="AF142" i="13" s="1"/>
  <c r="AD141" i="13"/>
  <c r="AG141" i="13" s="1"/>
  <c r="AB66" i="13"/>
  <c r="C37" i="11" s="1"/>
  <c r="AD126" i="13"/>
  <c r="AD150" i="13"/>
  <c r="AE150" i="13" s="1"/>
  <c r="I143" i="5" s="1"/>
  <c r="J143" i="21" s="1"/>
  <c r="AD128" i="13"/>
  <c r="AF128" i="13" s="1"/>
  <c r="AD133" i="13"/>
  <c r="AF133" i="13" s="1"/>
  <c r="AD134" i="13"/>
  <c r="AD135" i="13"/>
  <c r="AD129" i="13"/>
  <c r="AG129" i="13" s="1"/>
  <c r="AD138" i="13"/>
  <c r="AD151" i="13"/>
  <c r="AG151" i="13" s="1"/>
  <c r="AD140" i="13"/>
  <c r="AG140" i="13" s="1"/>
  <c r="AD130" i="13"/>
  <c r="AD136" i="13"/>
  <c r="AF136" i="13" s="1"/>
  <c r="AD127" i="13"/>
  <c r="AD139" i="13"/>
  <c r="AD148" i="13"/>
  <c r="AD147" i="13"/>
  <c r="AF147" i="13" s="1"/>
  <c r="AD145" i="13"/>
  <c r="AE145" i="13" s="1"/>
  <c r="AD149" i="13"/>
  <c r="AE149" i="13" s="1"/>
  <c r="AD137" i="13"/>
  <c r="AG137" i="13" s="1"/>
  <c r="AD132" i="13"/>
  <c r="AG132" i="13" s="1"/>
  <c r="AD146" i="13"/>
  <c r="AF146" i="13" s="1"/>
  <c r="F17" i="16"/>
  <c r="I17" i="16" s="1"/>
  <c r="Q16" i="5"/>
  <c r="J251" i="5"/>
  <c r="AK243" i="13"/>
  <c r="W171" i="5" s="1"/>
  <c r="G163" i="5"/>
  <c r="F75" i="16"/>
  <c r="I75" i="16" s="1"/>
  <c r="AJ243" i="13"/>
  <c r="P171" i="5" s="1"/>
  <c r="AJ171" i="13"/>
  <c r="AK171" i="13"/>
  <c r="BI314" i="13"/>
  <c r="BR308" i="13" s="1"/>
  <c r="AC50" i="11" s="1"/>
  <c r="BJ314" i="13"/>
  <c r="BS308" i="13" s="1"/>
  <c r="AD50" i="11" s="1"/>
  <c r="BK314" i="13"/>
  <c r="BT308" i="13" s="1"/>
  <c r="AE50" i="11" s="1"/>
  <c r="AI204" i="13"/>
  <c r="AJ204" i="13"/>
  <c r="G46" i="5"/>
  <c r="H46" i="21" s="1"/>
  <c r="F18" i="16"/>
  <c r="I18" i="16" s="1"/>
  <c r="AK204" i="13"/>
  <c r="BH128" i="13"/>
  <c r="Q120" i="5" s="1"/>
  <c r="BG24" i="13"/>
  <c r="BH24" i="13" s="1"/>
  <c r="Q25" i="5" s="1"/>
  <c r="BJ24" i="13"/>
  <c r="BK24" i="13" s="1"/>
  <c r="X25" i="5" s="1"/>
  <c r="BE128" i="13"/>
  <c r="J120" i="5" s="1"/>
  <c r="J173" i="5"/>
  <c r="K173" i="21" s="1"/>
  <c r="BH158" i="13"/>
  <c r="BJ320" i="13" s="1"/>
  <c r="BK158" i="13"/>
  <c r="BK320" i="13"/>
  <c r="BK113" i="13"/>
  <c r="X104" i="5" s="1"/>
  <c r="BK128" i="13"/>
  <c r="X120" i="5" s="1"/>
  <c r="BD24" i="13"/>
  <c r="BH25" i="13"/>
  <c r="Q26" i="5" s="1"/>
  <c r="BK25" i="13"/>
  <c r="X26" i="5" s="1"/>
  <c r="BE25" i="13"/>
  <c r="J26" i="5" s="1"/>
  <c r="G196" i="5"/>
  <c r="H196" i="21" s="1"/>
  <c r="AD13" i="13"/>
  <c r="AG13" i="13" s="1"/>
  <c r="AD23" i="13"/>
  <c r="AD24" i="13"/>
  <c r="J24" i="5"/>
  <c r="AE139" i="13"/>
  <c r="AG139" i="13"/>
  <c r="AF139" i="13"/>
  <c r="AE131" i="13"/>
  <c r="AG131" i="13"/>
  <c r="AF131" i="13"/>
  <c r="AG135" i="13"/>
  <c r="AE135" i="13"/>
  <c r="AF135" i="13"/>
  <c r="AE127" i="13"/>
  <c r="AG127" i="13"/>
  <c r="AF127" i="13"/>
  <c r="J172" i="5"/>
  <c r="AG193" i="13"/>
  <c r="AF193" i="13"/>
  <c r="AE193" i="13"/>
  <c r="AE176" i="13"/>
  <c r="AG176" i="13"/>
  <c r="AE172" i="13"/>
  <c r="AF172" i="13"/>
  <c r="AG172" i="13"/>
  <c r="AG180" i="13"/>
  <c r="AE180" i="13"/>
  <c r="AF180" i="13"/>
  <c r="AG184" i="13"/>
  <c r="AE184" i="13"/>
  <c r="AF184" i="13"/>
  <c r="AE190" i="13"/>
  <c r="AF190" i="13"/>
  <c r="AG190" i="13"/>
  <c r="AD22" i="13"/>
  <c r="AE22" i="13" s="1"/>
  <c r="I23" i="5" s="1"/>
  <c r="I23" i="21" s="1"/>
  <c r="F14" i="16"/>
  <c r="I14" i="16" s="1"/>
  <c r="F68" i="16"/>
  <c r="I68" i="16" s="1"/>
  <c r="G148" i="5"/>
  <c r="H148" i="21" s="1"/>
  <c r="AD31" i="13"/>
  <c r="AF31" i="13" s="1"/>
  <c r="AD11" i="13"/>
  <c r="AF11" i="13" s="1"/>
  <c r="AD30" i="13"/>
  <c r="AD25" i="13"/>
  <c r="AE25" i="13" s="1"/>
  <c r="AD17" i="13"/>
  <c r="AE17" i="13" s="1"/>
  <c r="I18" i="5" s="1"/>
  <c r="J18" i="21" s="1"/>
  <c r="AD21" i="13"/>
  <c r="AE21" i="13" s="1"/>
  <c r="I22" i="5" s="1"/>
  <c r="AD16" i="13"/>
  <c r="AD26" i="13"/>
  <c r="AD10" i="13"/>
  <c r="AD20" i="13"/>
  <c r="AF20" i="13" s="1"/>
  <c r="AD29" i="13"/>
  <c r="AE29" i="13" s="1"/>
  <c r="I30" i="5" s="1"/>
  <c r="I30" i="21" s="1"/>
  <c r="AD33" i="13"/>
  <c r="AE33" i="13" s="1"/>
  <c r="I34" i="5" s="1"/>
  <c r="AD15" i="13"/>
  <c r="AE15" i="13" s="1"/>
  <c r="I16" i="5" s="1"/>
  <c r="I16" i="21" s="1"/>
  <c r="AD19" i="13"/>
  <c r="AD28" i="13"/>
  <c r="AG28" i="13" s="1"/>
  <c r="AD12" i="13"/>
  <c r="AE12" i="13" s="1"/>
  <c r="I13" i="5" s="1"/>
  <c r="I13" i="21" s="1"/>
  <c r="AD14" i="13"/>
  <c r="AE14" i="13" s="1"/>
  <c r="I15" i="5" s="1"/>
  <c r="G35" i="5"/>
  <c r="H35" i="21" s="1"/>
  <c r="AD32" i="13"/>
  <c r="AE32" i="13" s="1"/>
  <c r="I33" i="5" s="1"/>
  <c r="I33" i="21" s="1"/>
  <c r="AD27" i="13"/>
  <c r="AG27" i="13" s="1"/>
  <c r="AD18" i="13"/>
  <c r="AF18" i="13" s="1"/>
  <c r="G95" i="5"/>
  <c r="AB110" i="13"/>
  <c r="C39" i="11" s="1"/>
  <c r="F43" i="16"/>
  <c r="BE65" i="13"/>
  <c r="BH113" i="13"/>
  <c r="Q104" i="5" s="1"/>
  <c r="BE226" i="13"/>
  <c r="J221" i="5" s="1"/>
  <c r="K221" i="21" s="1"/>
  <c r="BE225" i="13"/>
  <c r="J220" i="5" s="1"/>
  <c r="K220" i="21" s="1"/>
  <c r="BE221" i="13"/>
  <c r="J216" i="5" s="1"/>
  <c r="K216" i="21" s="1"/>
  <c r="BE218" i="13"/>
  <c r="J213" i="5" s="1"/>
  <c r="K213" i="21" s="1"/>
  <c r="BE224" i="13"/>
  <c r="J219" i="5" s="1"/>
  <c r="K219" i="21" s="1"/>
  <c r="BE222" i="13"/>
  <c r="J217" i="5" s="1"/>
  <c r="K217" i="21" s="1"/>
  <c r="BE228" i="13"/>
  <c r="J223" i="5" s="1"/>
  <c r="K223" i="21" s="1"/>
  <c r="BE113" i="13"/>
  <c r="J104" i="5" s="1"/>
  <c r="BE46" i="13"/>
  <c r="J46" i="5" s="1"/>
  <c r="BG227" i="13"/>
  <c r="BH227" i="13" s="1"/>
  <c r="Q222" i="5" s="1"/>
  <c r="BG229" i="13"/>
  <c r="BH229" i="13" s="1"/>
  <c r="Q224" i="5" s="1"/>
  <c r="BD229" i="13"/>
  <c r="BG219" i="13"/>
  <c r="BH219" i="13" s="1"/>
  <c r="Q214" i="5" s="1"/>
  <c r="R214" i="21" s="1"/>
  <c r="BJ227" i="13"/>
  <c r="BK227" i="13" s="1"/>
  <c r="X222" i="5" s="1"/>
  <c r="BD219" i="13"/>
  <c r="BJ219" i="13"/>
  <c r="BK219" i="13" s="1"/>
  <c r="X214" i="5" s="1"/>
  <c r="Y214" i="21" s="1"/>
  <c r="BD227" i="13"/>
  <c r="BJ217" i="13"/>
  <c r="BK217" i="13" s="1"/>
  <c r="X212" i="5" s="1"/>
  <c r="BG217" i="13"/>
  <c r="BH217" i="13" s="1"/>
  <c r="Q212" i="5" s="1"/>
  <c r="BD217" i="13"/>
  <c r="J154" i="5"/>
  <c r="K154" i="21" s="1"/>
  <c r="J73" i="5"/>
  <c r="K73" i="21" s="1"/>
  <c r="J61" i="5"/>
  <c r="K61" i="21" s="1"/>
  <c r="BG155" i="13"/>
  <c r="BH155" i="13" s="1"/>
  <c r="Q148" i="5" s="1"/>
  <c r="R148" i="21" s="1"/>
  <c r="BJ155" i="13"/>
  <c r="BK155" i="13" s="1"/>
  <c r="X148" i="5" s="1"/>
  <c r="Y148" i="21" s="1"/>
  <c r="J27" i="5"/>
  <c r="F65" i="16"/>
  <c r="I65" i="16" s="1"/>
  <c r="I94" i="16"/>
  <c r="AD104" i="5" l="1"/>
  <c r="J30" i="21"/>
  <c r="G201" i="21"/>
  <c r="AG201" i="21" s="1"/>
  <c r="H200" i="21"/>
  <c r="R160" i="21"/>
  <c r="Y222" i="21"/>
  <c r="AC222" i="21"/>
  <c r="R26" i="21"/>
  <c r="Y212" i="21"/>
  <c r="K46" i="21"/>
  <c r="K172" i="21"/>
  <c r="Y13" i="21"/>
  <c r="AC13" i="21"/>
  <c r="J33" i="21"/>
  <c r="K33" i="21"/>
  <c r="K104" i="21"/>
  <c r="R104" i="21"/>
  <c r="R13" i="21"/>
  <c r="K71" i="21"/>
  <c r="Y101" i="21"/>
  <c r="AC101" i="21"/>
  <c r="G48" i="21"/>
  <c r="AG48" i="21" s="1"/>
  <c r="H47" i="21"/>
  <c r="G145" i="21"/>
  <c r="AG145" i="21" s="1"/>
  <c r="H145" i="21"/>
  <c r="J165" i="21"/>
  <c r="K168" i="21"/>
  <c r="I15" i="21"/>
  <c r="J15" i="21"/>
  <c r="K120" i="21"/>
  <c r="G163" i="21"/>
  <c r="AG163" i="21" s="1"/>
  <c r="H163" i="21"/>
  <c r="J127" i="21"/>
  <c r="K127" i="21"/>
  <c r="R23" i="21"/>
  <c r="R71" i="21"/>
  <c r="R33" i="21"/>
  <c r="R30" i="21"/>
  <c r="AD136" i="5"/>
  <c r="H136" i="21"/>
  <c r="Y26" i="21"/>
  <c r="G96" i="21"/>
  <c r="AG96" i="21" s="1"/>
  <c r="H95" i="21"/>
  <c r="K24" i="21"/>
  <c r="Y25" i="21"/>
  <c r="R212" i="21"/>
  <c r="R224" i="21"/>
  <c r="Y120" i="21"/>
  <c r="R25" i="21"/>
  <c r="J23" i="21"/>
  <c r="K23" i="21"/>
  <c r="Y115" i="21"/>
  <c r="G76" i="21"/>
  <c r="AG76" i="21" s="1"/>
  <c r="H75" i="21"/>
  <c r="J16" i="21"/>
  <c r="K26" i="21"/>
  <c r="Y160" i="21"/>
  <c r="AC160" i="21"/>
  <c r="I22" i="21"/>
  <c r="J22" i="21"/>
  <c r="K27" i="21"/>
  <c r="R222" i="21"/>
  <c r="I34" i="21"/>
  <c r="J34" i="21"/>
  <c r="Y104" i="21"/>
  <c r="R120" i="21"/>
  <c r="R16" i="21"/>
  <c r="Y144" i="21"/>
  <c r="AC144" i="21"/>
  <c r="R115" i="21"/>
  <c r="K12" i="21"/>
  <c r="AC104" i="21"/>
  <c r="G214" i="21"/>
  <c r="AG214" i="21" s="1"/>
  <c r="H214" i="21"/>
  <c r="G136" i="21"/>
  <c r="AG136" i="21" s="1"/>
  <c r="BT250" i="13"/>
  <c r="M70" i="11"/>
  <c r="BS250" i="13"/>
  <c r="L70" i="11"/>
  <c r="K70" i="11"/>
  <c r="BJ145" i="13"/>
  <c r="BG145" i="13"/>
  <c r="BD145" i="13"/>
  <c r="BD250" i="13" s="1"/>
  <c r="BE250" i="13" s="1"/>
  <c r="AJ50" i="13"/>
  <c r="AJ48" i="13"/>
  <c r="AK49" i="13"/>
  <c r="AK50" i="13"/>
  <c r="BJ236" i="13"/>
  <c r="AK48" i="13"/>
  <c r="AJ49" i="13"/>
  <c r="L59" i="11" s="1"/>
  <c r="AI48" i="13"/>
  <c r="AI49" i="13"/>
  <c r="BG236" i="13"/>
  <c r="BH236" i="13" s="1"/>
  <c r="Q47" i="5" s="1"/>
  <c r="R47" i="21" s="1"/>
  <c r="BD236" i="13"/>
  <c r="AI177" i="13"/>
  <c r="AD217" i="13"/>
  <c r="AF217" i="13" s="1"/>
  <c r="AD225" i="13"/>
  <c r="AG225" i="13" s="1"/>
  <c r="AD222" i="13"/>
  <c r="AG222" i="13" s="1"/>
  <c r="AD218" i="13"/>
  <c r="AF218" i="13" s="1"/>
  <c r="AD221" i="13"/>
  <c r="AD220" i="13"/>
  <c r="AE220" i="13" s="1"/>
  <c r="I215" i="5" s="1"/>
  <c r="AD230" i="13"/>
  <c r="AF230" i="13" s="1"/>
  <c r="AD227" i="13"/>
  <c r="AE227" i="13" s="1"/>
  <c r="I222" i="5" s="1"/>
  <c r="AD224" i="13"/>
  <c r="AG224" i="13" s="1"/>
  <c r="AD226" i="13"/>
  <c r="AE226" i="13" s="1"/>
  <c r="I221" i="5" s="1"/>
  <c r="AD219" i="13"/>
  <c r="AE219" i="13" s="1"/>
  <c r="I214" i="5" s="1"/>
  <c r="AD228" i="13"/>
  <c r="AF228" i="13" s="1"/>
  <c r="C45" i="11"/>
  <c r="AD229" i="13"/>
  <c r="AF229" i="13" s="1"/>
  <c r="G226" i="5"/>
  <c r="Q105" i="5"/>
  <c r="X105" i="5"/>
  <c r="Q149" i="5"/>
  <c r="R149" i="21" s="1"/>
  <c r="AJ221" i="13"/>
  <c r="AJ231" i="13" s="1"/>
  <c r="Q226" i="5" s="1"/>
  <c r="AI221" i="13"/>
  <c r="AK221" i="13"/>
  <c r="AD214" i="5"/>
  <c r="F107" i="16"/>
  <c r="I107" i="16" s="1"/>
  <c r="AD47" i="5"/>
  <c r="G47" i="21"/>
  <c r="AG47" i="21" s="1"/>
  <c r="AG223" i="21"/>
  <c r="G148" i="21"/>
  <c r="AG148" i="21" s="1"/>
  <c r="G149" i="21"/>
  <c r="AG149" i="21" s="1"/>
  <c r="G164" i="21"/>
  <c r="AG164" i="21" s="1"/>
  <c r="Q70" i="21"/>
  <c r="J70" i="21"/>
  <c r="J119" i="21"/>
  <c r="Q119" i="21"/>
  <c r="X119" i="21"/>
  <c r="J171" i="21"/>
  <c r="J175" i="21"/>
  <c r="AG114" i="13"/>
  <c r="AF114" i="13"/>
  <c r="AD196" i="5"/>
  <c r="AC43" i="21"/>
  <c r="AD95" i="5"/>
  <c r="AD252" i="5" s="1"/>
  <c r="G95" i="21"/>
  <c r="AG95" i="21" s="1"/>
  <c r="AD35" i="5"/>
  <c r="G35" i="21"/>
  <c r="AG35" i="21" s="1"/>
  <c r="K37" i="21"/>
  <c r="I18" i="21"/>
  <c r="AC67" i="21"/>
  <c r="AD79" i="5"/>
  <c r="G79" i="21"/>
  <c r="AG79" i="21" s="1"/>
  <c r="AD145" i="5"/>
  <c r="AG143" i="21"/>
  <c r="AD38" i="5"/>
  <c r="G38" i="21"/>
  <c r="AG38" i="21" s="1"/>
  <c r="AD148" i="5"/>
  <c r="AD259" i="5" s="1"/>
  <c r="AG146" i="21"/>
  <c r="AD200" i="5"/>
  <c r="G197" i="21"/>
  <c r="AG197" i="21" s="1"/>
  <c r="AD46" i="5"/>
  <c r="AD236" i="5" s="1"/>
  <c r="G46" i="21"/>
  <c r="AG46" i="21" s="1"/>
  <c r="J13" i="21"/>
  <c r="AD163" i="5"/>
  <c r="AC221" i="21"/>
  <c r="BS310" i="13"/>
  <c r="AD52" i="11" s="1"/>
  <c r="I18" i="3"/>
  <c r="AE119" i="13"/>
  <c r="I111" i="5" s="1"/>
  <c r="J111" i="21" s="1"/>
  <c r="BT297" i="13"/>
  <c r="AE39" i="11" s="1"/>
  <c r="BI295" i="13"/>
  <c r="AF120" i="13"/>
  <c r="AE120" i="13"/>
  <c r="I112" i="5" s="1"/>
  <c r="J112" i="21" s="1"/>
  <c r="BJ91" i="13"/>
  <c r="BK91" i="13" s="1"/>
  <c r="X88" i="5" s="1"/>
  <c r="Y88" i="21" s="1"/>
  <c r="AJ213" i="13"/>
  <c r="AI213" i="13"/>
  <c r="AK213" i="13"/>
  <c r="AK178" i="13"/>
  <c r="AK177" i="13"/>
  <c r="AI178" i="13"/>
  <c r="BR177" i="13"/>
  <c r="AJ178" i="13"/>
  <c r="AJ177" i="13"/>
  <c r="BR297" i="13"/>
  <c r="AC39" i="11" s="1"/>
  <c r="AE11" i="13"/>
  <c r="I12" i="5" s="1"/>
  <c r="I12" i="21" s="1"/>
  <c r="BK311" i="13"/>
  <c r="BT305" i="13" s="1"/>
  <c r="AE47" i="11" s="1"/>
  <c r="BI299" i="13"/>
  <c r="BK309" i="13"/>
  <c r="BT304" i="13" s="1"/>
  <c r="AE46" i="11" s="1"/>
  <c r="BK299" i="13"/>
  <c r="T265" i="13"/>
  <c r="BI311" i="13"/>
  <c r="BR305" i="13" s="1"/>
  <c r="AC47" i="11" s="1"/>
  <c r="BK302" i="13"/>
  <c r="BT298" i="13" s="1"/>
  <c r="AE40" i="11" s="1"/>
  <c r="BK297" i="13"/>
  <c r="BJ306" i="13"/>
  <c r="BS301" i="13" s="1"/>
  <c r="AD43" i="11" s="1"/>
  <c r="BJ302" i="13"/>
  <c r="BS298" i="13" s="1"/>
  <c r="AD40" i="11" s="1"/>
  <c r="BK296" i="13"/>
  <c r="BT295" i="13" s="1"/>
  <c r="AE37" i="11" s="1"/>
  <c r="BI323" i="13"/>
  <c r="BR312" i="13" s="1"/>
  <c r="AC54" i="11" s="1"/>
  <c r="BJ301" i="13"/>
  <c r="BS297" i="13" s="1"/>
  <c r="AD39" i="11" s="1"/>
  <c r="BI297" i="13"/>
  <c r="BJ296" i="13"/>
  <c r="BS295" i="13" s="1"/>
  <c r="AD37" i="11" s="1"/>
  <c r="BJ318" i="13"/>
  <c r="BD91" i="13"/>
  <c r="BE91" i="13" s="1"/>
  <c r="BI302" i="13"/>
  <c r="BR298" i="13" s="1"/>
  <c r="AC40" i="11" s="1"/>
  <c r="BI296" i="13"/>
  <c r="BK317" i="13"/>
  <c r="BT310" i="13" s="1"/>
  <c r="AE52" i="11" s="1"/>
  <c r="BJ297" i="13"/>
  <c r="BJ299" i="13"/>
  <c r="BJ311" i="13"/>
  <c r="BS305" i="13" s="1"/>
  <c r="AD47" i="11" s="1"/>
  <c r="BI325" i="13"/>
  <c r="BR314" i="13" s="1"/>
  <c r="AC56" i="11" s="1"/>
  <c r="BI306" i="13"/>
  <c r="BR301" i="13" s="1"/>
  <c r="AC43" i="11" s="1"/>
  <c r="BG91" i="13"/>
  <c r="BH91" i="13" s="1"/>
  <c r="BE114" i="13"/>
  <c r="AF143" i="13"/>
  <c r="P135" i="5" s="1"/>
  <c r="Q135" i="21" s="1"/>
  <c r="AJ36" i="13"/>
  <c r="Q35" i="5" s="1"/>
  <c r="AE143" i="13"/>
  <c r="I135" i="5" s="1"/>
  <c r="J135" i="21" s="1"/>
  <c r="J101" i="5"/>
  <c r="AK152" i="13"/>
  <c r="H41" i="11" s="1"/>
  <c r="I41" i="11" s="1"/>
  <c r="M41" i="11" s="1"/>
  <c r="AF28" i="11" s="1"/>
  <c r="AI36" i="13"/>
  <c r="D36" i="11" s="1"/>
  <c r="E36" i="11" s="1"/>
  <c r="K36" i="11" s="1"/>
  <c r="AD23" i="11" s="1"/>
  <c r="AJ152" i="13"/>
  <c r="F41" i="11" s="1"/>
  <c r="G41" i="11" s="1"/>
  <c r="L41" i="11" s="1"/>
  <c r="AE28" i="11" s="1"/>
  <c r="AD161" i="13"/>
  <c r="AE161" i="13" s="1"/>
  <c r="C42" i="11"/>
  <c r="AD195" i="13"/>
  <c r="AF195" i="13" s="1"/>
  <c r="C43" i="11"/>
  <c r="AG118" i="13"/>
  <c r="AG117" i="13" s="1"/>
  <c r="AI152" i="13"/>
  <c r="J145" i="5" s="1"/>
  <c r="AK36" i="13"/>
  <c r="X35" i="5" s="1"/>
  <c r="AE116" i="13"/>
  <c r="AE115" i="13" s="1"/>
  <c r="AG116" i="13"/>
  <c r="AG115" i="13" s="1"/>
  <c r="AD157" i="13"/>
  <c r="AE157" i="13" s="1"/>
  <c r="I151" i="5" s="1"/>
  <c r="J151" i="21" s="1"/>
  <c r="AD164" i="13"/>
  <c r="AD158" i="13"/>
  <c r="AE158" i="13" s="1"/>
  <c r="I152" i="5" s="1"/>
  <c r="G192" i="5"/>
  <c r="H192" i="21" s="1"/>
  <c r="AD165" i="13"/>
  <c r="AE165" i="13" s="1"/>
  <c r="AD163" i="13"/>
  <c r="AE163" i="13" s="1"/>
  <c r="AD194" i="13"/>
  <c r="AF194" i="13" s="1"/>
  <c r="AD159" i="13"/>
  <c r="AD160" i="13"/>
  <c r="AD155" i="13"/>
  <c r="AD162" i="13"/>
  <c r="AD187" i="13"/>
  <c r="AD181" i="13"/>
  <c r="AF181" i="13" s="1"/>
  <c r="AD193" i="13"/>
  <c r="AD156" i="13"/>
  <c r="AG156" i="13" s="1"/>
  <c r="W149" i="5" s="1"/>
  <c r="BH163" i="13"/>
  <c r="Q157" i="5" s="1"/>
  <c r="R157" i="21" s="1"/>
  <c r="BR310" i="13"/>
  <c r="AC52" i="11" s="1"/>
  <c r="BK73" i="13"/>
  <c r="X71" i="5" s="1"/>
  <c r="BT312" i="13"/>
  <c r="AE54" i="11" s="1"/>
  <c r="BJ309" i="13"/>
  <c r="BS304" i="13" s="1"/>
  <c r="AD46" i="11" s="1"/>
  <c r="Q101" i="5"/>
  <c r="G205" i="5"/>
  <c r="AJ208" i="13"/>
  <c r="AI208" i="13"/>
  <c r="AK208" i="13"/>
  <c r="AG122" i="13"/>
  <c r="AG121" i="13" s="1"/>
  <c r="AE122" i="13"/>
  <c r="AE121" i="13" s="1"/>
  <c r="BK173" i="13"/>
  <c r="X168" i="5" s="1"/>
  <c r="BH173" i="13"/>
  <c r="Q168" i="5" s="1"/>
  <c r="BH181" i="13"/>
  <c r="Q176" i="5" s="1"/>
  <c r="BE181" i="13"/>
  <c r="J176" i="5" s="1"/>
  <c r="BI326" i="13"/>
  <c r="BR315" i="13" s="1"/>
  <c r="AC57" i="11" s="1"/>
  <c r="BK181" i="13"/>
  <c r="X176" i="5" s="1"/>
  <c r="BK326" i="13"/>
  <c r="BT315" i="13" s="1"/>
  <c r="AE57" i="11" s="1"/>
  <c r="AF118" i="13"/>
  <c r="P110" i="5" s="1"/>
  <c r="Q110" i="21" s="1"/>
  <c r="G203" i="5"/>
  <c r="AF141" i="13"/>
  <c r="F89" i="16"/>
  <c r="I89" i="16" s="1"/>
  <c r="AF119" i="13"/>
  <c r="W111" i="5" s="1"/>
  <c r="X111" i="21" s="1"/>
  <c r="AD123" i="13"/>
  <c r="AD190" i="13"/>
  <c r="AD183" i="13"/>
  <c r="AD170" i="13"/>
  <c r="AF170" i="13" s="1"/>
  <c r="AF169" i="13" s="1"/>
  <c r="AD169" i="13"/>
  <c r="AD171" i="13"/>
  <c r="AD186" i="13"/>
  <c r="AF186" i="13" s="1"/>
  <c r="AD174" i="13"/>
  <c r="AF174" i="13" s="1"/>
  <c r="AD192" i="13"/>
  <c r="AD180" i="13"/>
  <c r="AD184" i="13"/>
  <c r="AD176" i="13"/>
  <c r="AF176" i="13" s="1"/>
  <c r="AD179" i="13"/>
  <c r="AD175" i="13"/>
  <c r="AD173" i="13"/>
  <c r="AG173" i="13" s="1"/>
  <c r="AD177" i="13"/>
  <c r="AD172" i="13"/>
  <c r="AD188" i="13"/>
  <c r="AF188" i="13" s="1"/>
  <c r="AF187" i="13" s="1"/>
  <c r="AD196" i="13"/>
  <c r="AF196" i="13" s="1"/>
  <c r="AD191" i="13"/>
  <c r="AG191" i="13" s="1"/>
  <c r="AG189" i="13" s="1"/>
  <c r="AD182" i="13"/>
  <c r="AE182" i="13" s="1"/>
  <c r="I177" i="5" s="1"/>
  <c r="AD189" i="13"/>
  <c r="AD178" i="13"/>
  <c r="AD185" i="13"/>
  <c r="AG185" i="13" s="1"/>
  <c r="AB211" i="13"/>
  <c r="I16" i="3" s="1"/>
  <c r="AE142" i="13"/>
  <c r="I134" i="5" s="1"/>
  <c r="J134" i="21" s="1"/>
  <c r="AG142" i="13"/>
  <c r="W134" i="5" s="1"/>
  <c r="X134" i="21" s="1"/>
  <c r="W133" i="5"/>
  <c r="X133" i="21" s="1"/>
  <c r="W112" i="5"/>
  <c r="X112" i="21" s="1"/>
  <c r="W135" i="5"/>
  <c r="X135" i="21" s="1"/>
  <c r="X152" i="5"/>
  <c r="Q152" i="5"/>
  <c r="AE141" i="13"/>
  <c r="I133" i="5" s="1"/>
  <c r="J133" i="21" s="1"/>
  <c r="BE24" i="13"/>
  <c r="J25" i="5" s="1"/>
  <c r="G208" i="5"/>
  <c r="AE147" i="13"/>
  <c r="I140" i="5" s="1"/>
  <c r="J140" i="21" s="1"/>
  <c r="AG147" i="13"/>
  <c r="W140" i="5" s="1"/>
  <c r="X140" i="21" s="1"/>
  <c r="AE137" i="13"/>
  <c r="I129" i="5" s="1"/>
  <c r="J129" i="21" s="1"/>
  <c r="AF137" i="13"/>
  <c r="AF145" i="13"/>
  <c r="AF144" i="13" s="1"/>
  <c r="AG145" i="13"/>
  <c r="AE136" i="13"/>
  <c r="I128" i="5" s="1"/>
  <c r="J128" i="21" s="1"/>
  <c r="AG136" i="13"/>
  <c r="W128" i="5" s="1"/>
  <c r="X128" i="21" s="1"/>
  <c r="AD45" i="13"/>
  <c r="AG45" i="13" s="1"/>
  <c r="AD40" i="13"/>
  <c r="Z211" i="13"/>
  <c r="F83" i="16"/>
  <c r="I83" i="16" s="1"/>
  <c r="AD39" i="13"/>
  <c r="AD46" i="13"/>
  <c r="AD44" i="13"/>
  <c r="AG44" i="13" s="1"/>
  <c r="AD42" i="13"/>
  <c r="AF42" i="13" s="1"/>
  <c r="G63" i="5"/>
  <c r="AD55" i="13"/>
  <c r="AD53" i="13"/>
  <c r="AG53" i="13" s="1"/>
  <c r="AD50" i="13"/>
  <c r="AD51" i="13"/>
  <c r="AD54" i="13"/>
  <c r="AF54" i="13" s="1"/>
  <c r="AD62" i="13"/>
  <c r="AD59" i="13"/>
  <c r="AD64" i="13"/>
  <c r="AG64" i="13" s="1"/>
  <c r="AD56" i="13"/>
  <c r="AD48" i="13"/>
  <c r="AD58" i="13"/>
  <c r="AE58" i="13" s="1"/>
  <c r="I57" i="5" s="1"/>
  <c r="AD63" i="13"/>
  <c r="AD49" i="13"/>
  <c r="AD43" i="13"/>
  <c r="AG43" i="13" s="1"/>
  <c r="AD60" i="13"/>
  <c r="AE60" i="13" s="1"/>
  <c r="I59" i="5" s="1"/>
  <c r="J59" i="21" s="1"/>
  <c r="AB203" i="13"/>
  <c r="AD152" i="13"/>
  <c r="AD41" i="13"/>
  <c r="AG41" i="13" s="1"/>
  <c r="AD57" i="13"/>
  <c r="AB202" i="13"/>
  <c r="AD61" i="13"/>
  <c r="AE61" i="13" s="1"/>
  <c r="I60" i="5" s="1"/>
  <c r="J60" i="21" s="1"/>
  <c r="AD65" i="13"/>
  <c r="AD47" i="13"/>
  <c r="AD52" i="13"/>
  <c r="AE52" i="13" s="1"/>
  <c r="I52" i="5" s="1"/>
  <c r="J52" i="21" s="1"/>
  <c r="AG150" i="13"/>
  <c r="AF150" i="13"/>
  <c r="AE133" i="13"/>
  <c r="I125" i="5" s="1"/>
  <c r="J125" i="21" s="1"/>
  <c r="AG133" i="13"/>
  <c r="W125" i="5" s="1"/>
  <c r="X125" i="21" s="1"/>
  <c r="AG128" i="13"/>
  <c r="W120" i="5" s="1"/>
  <c r="X120" i="21" s="1"/>
  <c r="AE128" i="13"/>
  <c r="I120" i="5" s="1"/>
  <c r="J120" i="21" s="1"/>
  <c r="AE129" i="13"/>
  <c r="I121" i="5" s="1"/>
  <c r="J121" i="21" s="1"/>
  <c r="AF129" i="13"/>
  <c r="AG149" i="13"/>
  <c r="AF149" i="13"/>
  <c r="AG146" i="13"/>
  <c r="W139" i="5" s="1"/>
  <c r="AE146" i="13"/>
  <c r="I139" i="5" s="1"/>
  <c r="AF140" i="13"/>
  <c r="AE140" i="13"/>
  <c r="AF132" i="13"/>
  <c r="W124" i="5" s="1"/>
  <c r="X124" i="21" s="1"/>
  <c r="AE132" i="13"/>
  <c r="I124" i="5" s="1"/>
  <c r="J124" i="21" s="1"/>
  <c r="AE151" i="13"/>
  <c r="I144" i="5" s="1"/>
  <c r="AF151" i="13"/>
  <c r="BK243" i="13"/>
  <c r="X171" i="5" s="1"/>
  <c r="BH243" i="13"/>
  <c r="Q171" i="5" s="1"/>
  <c r="F26" i="16"/>
  <c r="I26" i="16" s="1"/>
  <c r="AE13" i="13"/>
  <c r="I14" i="5" s="1"/>
  <c r="AF13" i="13"/>
  <c r="AG11" i="13"/>
  <c r="W12" i="5" s="1"/>
  <c r="AF25" i="13"/>
  <c r="AG24" i="13"/>
  <c r="AE24" i="13"/>
  <c r="I25" i="5" s="1"/>
  <c r="I25" i="21" s="1"/>
  <c r="AF24" i="13"/>
  <c r="AE23" i="13"/>
  <c r="I24" i="5" s="1"/>
  <c r="I24" i="21" s="1"/>
  <c r="AF23" i="13"/>
  <c r="AG23" i="13"/>
  <c r="I26" i="5"/>
  <c r="I26" i="21" s="1"/>
  <c r="AE28" i="13"/>
  <c r="I29" i="5" s="1"/>
  <c r="AG230" i="13"/>
  <c r="W225" i="5" s="1"/>
  <c r="X225" i="21" s="1"/>
  <c r="AF57" i="13"/>
  <c r="AE57" i="13"/>
  <c r="AG57" i="13"/>
  <c r="AG47" i="13"/>
  <c r="AE47" i="13"/>
  <c r="AF47" i="13"/>
  <c r="AG21" i="13"/>
  <c r="AF14" i="13"/>
  <c r="AG14" i="13"/>
  <c r="AF21" i="13"/>
  <c r="AF32" i="13"/>
  <c r="AG32" i="13"/>
  <c r="AE20" i="13"/>
  <c r="I21" i="5" s="1"/>
  <c r="AG31" i="13"/>
  <c r="W32" i="5" s="1"/>
  <c r="AE31" i="13"/>
  <c r="I32" i="5" s="1"/>
  <c r="AG15" i="13"/>
  <c r="AG22" i="13"/>
  <c r="AF15" i="13"/>
  <c r="AF22" i="13"/>
  <c r="P23" i="5" s="1"/>
  <c r="P23" i="21" s="1"/>
  <c r="AG33" i="13"/>
  <c r="AF33" i="13"/>
  <c r="AG25" i="13"/>
  <c r="AF28" i="13"/>
  <c r="AF17" i="13"/>
  <c r="AG12" i="13"/>
  <c r="AG17" i="13"/>
  <c r="AG18" i="13"/>
  <c r="W19" i="5" s="1"/>
  <c r="AE18" i="13"/>
  <c r="I19" i="5" s="1"/>
  <c r="AG20" i="13"/>
  <c r="W21" i="5" s="1"/>
  <c r="AF12" i="13"/>
  <c r="AF27" i="13"/>
  <c r="W28" i="5" s="1"/>
  <c r="AE27" i="13"/>
  <c r="I28" i="5" s="1"/>
  <c r="AG29" i="13"/>
  <c r="AF29" i="13"/>
  <c r="AD36" i="13"/>
  <c r="AF115" i="13"/>
  <c r="I110" i="5"/>
  <c r="J110" i="21" s="1"/>
  <c r="AF121" i="13"/>
  <c r="W132" i="5"/>
  <c r="X132" i="21" s="1"/>
  <c r="P128" i="5"/>
  <c r="Q128" i="21" s="1"/>
  <c r="I142" i="5"/>
  <c r="I43" i="16"/>
  <c r="F49" i="16"/>
  <c r="I49" i="16" s="1"/>
  <c r="I138" i="5"/>
  <c r="AD105" i="13"/>
  <c r="AD100" i="13"/>
  <c r="AD109" i="13"/>
  <c r="AD107" i="13"/>
  <c r="AD106" i="13"/>
  <c r="AD108" i="13"/>
  <c r="AD104" i="13"/>
  <c r="AD103" i="13"/>
  <c r="AD102" i="13"/>
  <c r="AD101" i="13"/>
  <c r="G101" i="5"/>
  <c r="H101" i="21" s="1"/>
  <c r="G39" i="11"/>
  <c r="L39" i="11" s="1"/>
  <c r="AE26" i="11" s="1"/>
  <c r="H39" i="11"/>
  <c r="AE113" i="13"/>
  <c r="BE219" i="13"/>
  <c r="J214" i="5" s="1"/>
  <c r="K214" i="21" s="1"/>
  <c r="BE217" i="13"/>
  <c r="J212" i="5" s="1"/>
  <c r="BE229" i="13"/>
  <c r="J224" i="5" s="1"/>
  <c r="BE227" i="13"/>
  <c r="J222" i="5" s="1"/>
  <c r="AE218" i="13"/>
  <c r="I213" i="5" s="1"/>
  <c r="AE223" i="13"/>
  <c r="I218" i="5" s="1"/>
  <c r="J218" i="21" s="1"/>
  <c r="AG223" i="13"/>
  <c r="AF223" i="13"/>
  <c r="AE222" i="13"/>
  <c r="I217" i="5" s="1"/>
  <c r="J217" i="21" s="1"/>
  <c r="AF222" i="13"/>
  <c r="P12" i="5"/>
  <c r="L11" i="21"/>
  <c r="AE217" i="13" l="1"/>
  <c r="AG217" i="13"/>
  <c r="W212" i="5" s="1"/>
  <c r="X212" i="21" s="1"/>
  <c r="AE230" i="13"/>
  <c r="I225" i="5" s="1"/>
  <c r="J225" i="21" s="1"/>
  <c r="I21" i="21"/>
  <c r="J21" i="21"/>
  <c r="W12" i="21"/>
  <c r="X12" i="21"/>
  <c r="I19" i="21"/>
  <c r="J19" i="21"/>
  <c r="Q106" i="21"/>
  <c r="R105" i="21"/>
  <c r="J26" i="21"/>
  <c r="W19" i="21"/>
  <c r="X19" i="21"/>
  <c r="I14" i="21"/>
  <c r="J14" i="21"/>
  <c r="J25" i="21"/>
  <c r="K25" i="21"/>
  <c r="Y176" i="21"/>
  <c r="G226" i="21"/>
  <c r="H226" i="21"/>
  <c r="J12" i="21"/>
  <c r="Q23" i="21"/>
  <c r="W21" i="21"/>
  <c r="X21" i="21"/>
  <c r="G63" i="21"/>
  <c r="AG63" i="21" s="1"/>
  <c r="H63" i="21"/>
  <c r="J213" i="21"/>
  <c r="K212" i="21"/>
  <c r="G208" i="21"/>
  <c r="AG208" i="21" s="1"/>
  <c r="H208" i="21"/>
  <c r="Y71" i="21"/>
  <c r="R35" i="21"/>
  <c r="R152" i="21"/>
  <c r="J177" i="21"/>
  <c r="K176" i="21"/>
  <c r="R226" i="21"/>
  <c r="J24" i="21"/>
  <c r="Q171" i="21"/>
  <c r="R171" i="21"/>
  <c r="I28" i="21"/>
  <c r="J28" i="21"/>
  <c r="I57" i="21"/>
  <c r="J57" i="21"/>
  <c r="Y152" i="21"/>
  <c r="R176" i="21"/>
  <c r="G205" i="21"/>
  <c r="AG205" i="21" s="1"/>
  <c r="H205" i="21"/>
  <c r="Y35" i="21"/>
  <c r="AC35" i="21"/>
  <c r="X171" i="21"/>
  <c r="Y171" i="21"/>
  <c r="P12" i="21"/>
  <c r="Q12" i="21"/>
  <c r="W28" i="21"/>
  <c r="X28" i="21"/>
  <c r="I32" i="21"/>
  <c r="J32" i="21"/>
  <c r="R168" i="21"/>
  <c r="R101" i="21"/>
  <c r="K145" i="21"/>
  <c r="K224" i="21"/>
  <c r="I143" i="21"/>
  <c r="J142" i="21"/>
  <c r="K222" i="21"/>
  <c r="W32" i="21"/>
  <c r="X32" i="21"/>
  <c r="I29" i="21"/>
  <c r="J29" i="21"/>
  <c r="I144" i="21"/>
  <c r="J144" i="21"/>
  <c r="G204" i="21"/>
  <c r="AG204" i="21" s="1"/>
  <c r="H203" i="21"/>
  <c r="Y168" i="21"/>
  <c r="K101" i="21"/>
  <c r="Y105" i="21"/>
  <c r="AC105" i="21"/>
  <c r="AF225" i="13"/>
  <c r="P220" i="5" s="1"/>
  <c r="Q220" i="21" s="1"/>
  <c r="AE225" i="13"/>
  <c r="I220" i="5" s="1"/>
  <c r="J220" i="21" s="1"/>
  <c r="AG229" i="13"/>
  <c r="W224" i="5" s="1"/>
  <c r="X224" i="21" s="1"/>
  <c r="AE229" i="13"/>
  <c r="I224" i="5" s="1"/>
  <c r="J224" i="21" s="1"/>
  <c r="BT49" i="13"/>
  <c r="M59" i="11"/>
  <c r="AD226" i="5"/>
  <c r="AG218" i="13"/>
  <c r="W213" i="5" s="1"/>
  <c r="X213" i="21" s="1"/>
  <c r="AG220" i="13"/>
  <c r="W215" i="5" s="1"/>
  <c r="X215" i="21" s="1"/>
  <c r="AF220" i="13"/>
  <c r="P215" i="5" s="1"/>
  <c r="Q215" i="21" s="1"/>
  <c r="AE221" i="13"/>
  <c r="I216" i="5" s="1"/>
  <c r="AG221" i="13"/>
  <c r="W216" i="5" s="1"/>
  <c r="X216" i="21" s="1"/>
  <c r="K59" i="11"/>
  <c r="BR49" i="13"/>
  <c r="BS49" i="13"/>
  <c r="AF227" i="13"/>
  <c r="P222" i="5" s="1"/>
  <c r="Q222" i="21" s="1"/>
  <c r="AG227" i="13"/>
  <c r="W222" i="5" s="1"/>
  <c r="X222" i="21" s="1"/>
  <c r="AG226" i="13"/>
  <c r="W221" i="5" s="1"/>
  <c r="X221" i="21" s="1"/>
  <c r="AF221" i="13"/>
  <c r="P216" i="5" s="1"/>
  <c r="Q216" i="21" s="1"/>
  <c r="AF226" i="13"/>
  <c r="P221" i="5" s="1"/>
  <c r="Q221" i="21" s="1"/>
  <c r="AI231" i="13"/>
  <c r="D45" i="11" s="1"/>
  <c r="E45" i="11" s="1"/>
  <c r="K45" i="11" s="1"/>
  <c r="AD32" i="11" s="1"/>
  <c r="AG219" i="13"/>
  <c r="W214" i="5" s="1"/>
  <c r="X214" i="21" s="1"/>
  <c r="AK231" i="13"/>
  <c r="X226" i="5" s="1"/>
  <c r="AF219" i="13"/>
  <c r="P214" i="5" s="1"/>
  <c r="Q214" i="21" s="1"/>
  <c r="AE224" i="13"/>
  <c r="I219" i="5" s="1"/>
  <c r="I219" i="21" s="1"/>
  <c r="AF224" i="13"/>
  <c r="W219" i="5" s="1"/>
  <c r="X219" i="21" s="1"/>
  <c r="AD231" i="13"/>
  <c r="AE228" i="13"/>
  <c r="I223" i="5" s="1"/>
  <c r="I223" i="21" s="1"/>
  <c r="AG228" i="13"/>
  <c r="BT177" i="13"/>
  <c r="BS177" i="13"/>
  <c r="BR178" i="13"/>
  <c r="I60" i="21"/>
  <c r="J105" i="5"/>
  <c r="P105" i="5"/>
  <c r="Q105" i="21" s="1"/>
  <c r="AG113" i="13"/>
  <c r="W104" i="5" s="1"/>
  <c r="W105" i="5"/>
  <c r="X105" i="21" s="1"/>
  <c r="X106" i="21"/>
  <c r="W225" i="21"/>
  <c r="I225" i="21"/>
  <c r="Q47" i="21"/>
  <c r="I152" i="21"/>
  <c r="I153" i="21"/>
  <c r="AF165" i="13"/>
  <c r="AF164" i="13" s="1"/>
  <c r="BJ304" i="13"/>
  <c r="AD41" i="11"/>
  <c r="AG48" i="13"/>
  <c r="W13" i="5"/>
  <c r="P112" i="5"/>
  <c r="Q112" i="21" s="1"/>
  <c r="AG165" i="13"/>
  <c r="AG164" i="13" s="1"/>
  <c r="AG50" i="13"/>
  <c r="AG49" i="13"/>
  <c r="W132" i="21"/>
  <c r="AI46" i="13"/>
  <c r="AI66" i="13" s="1"/>
  <c r="J63" i="5" s="1"/>
  <c r="BE236" i="13"/>
  <c r="BI304" i="13"/>
  <c r="BJ49" i="13"/>
  <c r="BK49" i="13" s="1"/>
  <c r="X49" i="5" s="1"/>
  <c r="Y49" i="21" s="1"/>
  <c r="BK236" i="13"/>
  <c r="X47" i="5" s="1"/>
  <c r="Y47" i="21" s="1"/>
  <c r="BK304" i="13"/>
  <c r="AK46" i="13"/>
  <c r="AK66" i="13" s="1"/>
  <c r="H37" i="11" s="1"/>
  <c r="I37" i="11" s="1"/>
  <c r="M37" i="11" s="1"/>
  <c r="AF24" i="11" s="1"/>
  <c r="BG49" i="13"/>
  <c r="AJ46" i="13"/>
  <c r="AJ66" i="13" s="1"/>
  <c r="Q63" i="5" s="1"/>
  <c r="BD49" i="13"/>
  <c r="AG189" i="21"/>
  <c r="G192" i="21"/>
  <c r="J221" i="21"/>
  <c r="I215" i="21"/>
  <c r="AF113" i="13"/>
  <c r="P104" i="5" s="1"/>
  <c r="AG193" i="21"/>
  <c r="J215" i="21"/>
  <c r="I217" i="21"/>
  <c r="W212" i="21"/>
  <c r="I218" i="21"/>
  <c r="I214" i="21"/>
  <c r="X165" i="21"/>
  <c r="I124" i="21"/>
  <c r="I111" i="21"/>
  <c r="I222" i="21"/>
  <c r="Q165" i="21"/>
  <c r="J222" i="21"/>
  <c r="X70" i="21"/>
  <c r="J214" i="21"/>
  <c r="I140" i="21"/>
  <c r="I128" i="21"/>
  <c r="X149" i="21"/>
  <c r="I134" i="21"/>
  <c r="I120" i="21"/>
  <c r="I138" i="21"/>
  <c r="W134" i="21"/>
  <c r="I221" i="21"/>
  <c r="W133" i="21"/>
  <c r="W124" i="21"/>
  <c r="AE117" i="13"/>
  <c r="BR295" i="13"/>
  <c r="AC37" i="11" s="1"/>
  <c r="AD203" i="5"/>
  <c r="AD208" i="5"/>
  <c r="AD205" i="5"/>
  <c r="G202" i="21"/>
  <c r="AG202" i="21" s="1"/>
  <c r="AD101" i="5"/>
  <c r="G101" i="21"/>
  <c r="AG101" i="21" s="1"/>
  <c r="BK307" i="13"/>
  <c r="BT302" i="13" s="1"/>
  <c r="AC193" i="21"/>
  <c r="AC97" i="21"/>
  <c r="AF64" i="13"/>
  <c r="AF63" i="13" s="1"/>
  <c r="BR296" i="13"/>
  <c r="AC38" i="11" s="1"/>
  <c r="J35" i="5"/>
  <c r="AG161" i="13"/>
  <c r="W155" i="5" s="1"/>
  <c r="X155" i="21" s="1"/>
  <c r="I27" i="3"/>
  <c r="AE156" i="13"/>
  <c r="AF158" i="13"/>
  <c r="P152" i="5" s="1"/>
  <c r="Q152" i="21" s="1"/>
  <c r="AG158" i="13"/>
  <c r="W152" i="5" s="1"/>
  <c r="X152" i="21" s="1"/>
  <c r="AF163" i="13"/>
  <c r="AF162" i="13" s="1"/>
  <c r="AE64" i="13"/>
  <c r="AE63" i="13" s="1"/>
  <c r="AG163" i="13"/>
  <c r="AG162" i="13" s="1"/>
  <c r="F36" i="11"/>
  <c r="G36" i="11" s="1"/>
  <c r="L36" i="11" s="1"/>
  <c r="AE23" i="11" s="1"/>
  <c r="AD192" i="5"/>
  <c r="AF156" i="13"/>
  <c r="AF161" i="13"/>
  <c r="AF160" i="13" s="1"/>
  <c r="AG194" i="13"/>
  <c r="W189" i="5" s="1"/>
  <c r="Q145" i="5"/>
  <c r="AJ202" i="13"/>
  <c r="AI202" i="13"/>
  <c r="AK202" i="13"/>
  <c r="BK325" i="13"/>
  <c r="BT314" i="13" s="1"/>
  <c r="AE56" i="11" s="1"/>
  <c r="AK203" i="13"/>
  <c r="AJ203" i="13"/>
  <c r="AI203" i="13"/>
  <c r="BT296" i="13"/>
  <c r="AE38" i="11" s="1"/>
  <c r="BJ323" i="13"/>
  <c r="BS312" i="13" s="1"/>
  <c r="AD54" i="11" s="1"/>
  <c r="P34" i="5"/>
  <c r="P212" i="5"/>
  <c r="Q212" i="21" s="1"/>
  <c r="P142" i="5"/>
  <c r="Q142" i="21" s="1"/>
  <c r="P114" i="5"/>
  <c r="Q114" i="21" s="1"/>
  <c r="BJ325" i="13"/>
  <c r="BS314" i="13" s="1"/>
  <c r="AD56" i="11" s="1"/>
  <c r="P33" i="5"/>
  <c r="P22" i="5"/>
  <c r="AE194" i="13"/>
  <c r="I189" i="5" s="1"/>
  <c r="BS296" i="13"/>
  <c r="AD38" i="11" s="1"/>
  <c r="P26" i="5"/>
  <c r="P189" i="5"/>
  <c r="P18" i="5"/>
  <c r="BJ326" i="13"/>
  <c r="BS315" i="13" s="1"/>
  <c r="AD57" i="11" s="1"/>
  <c r="BK306" i="13"/>
  <c r="BT301" i="13" s="1"/>
  <c r="AE43" i="11" s="1"/>
  <c r="P30" i="5"/>
  <c r="P143" i="5"/>
  <c r="Q143" i="21" s="1"/>
  <c r="BI309" i="13"/>
  <c r="BR304" i="13" s="1"/>
  <c r="AC46" i="11" s="1"/>
  <c r="P13" i="5"/>
  <c r="P16" i="5"/>
  <c r="P15" i="5"/>
  <c r="Q88" i="5"/>
  <c r="R88" i="21" s="1"/>
  <c r="BJ307" i="13"/>
  <c r="BS302" i="13" s="1"/>
  <c r="J88" i="5"/>
  <c r="K88" i="21" s="1"/>
  <c r="BI307" i="13"/>
  <c r="BR302" i="13" s="1"/>
  <c r="AF44" i="11" s="1"/>
  <c r="I108" i="5"/>
  <c r="J108" i="21" s="1"/>
  <c r="AE181" i="13"/>
  <c r="I176" i="5" s="1"/>
  <c r="J176" i="21" s="1"/>
  <c r="AG157" i="13"/>
  <c r="X145" i="5"/>
  <c r="AF192" i="13"/>
  <c r="AG195" i="13"/>
  <c r="W190" i="5" s="1"/>
  <c r="X190" i="21" s="1"/>
  <c r="AE195" i="13"/>
  <c r="I190" i="5" s="1"/>
  <c r="J190" i="21" s="1"/>
  <c r="F45" i="11"/>
  <c r="G45" i="11" s="1"/>
  <c r="L45" i="11" s="1"/>
  <c r="AE32" i="11" s="1"/>
  <c r="P111" i="5"/>
  <c r="W110" i="5"/>
  <c r="D41" i="11"/>
  <c r="E41" i="11" s="1"/>
  <c r="K41" i="11" s="1"/>
  <c r="AD28" i="11" s="1"/>
  <c r="H36" i="11"/>
  <c r="I36" i="11" s="1"/>
  <c r="M36" i="11" s="1"/>
  <c r="AF23" i="11" s="1"/>
  <c r="P25" i="5"/>
  <c r="W142" i="5"/>
  <c r="P224" i="5"/>
  <c r="Q224" i="21" s="1"/>
  <c r="P134" i="5"/>
  <c r="Q134" i="21" s="1"/>
  <c r="AD166" i="13"/>
  <c r="P108" i="5"/>
  <c r="Q108" i="21" s="1"/>
  <c r="P124" i="5"/>
  <c r="Q124" i="21" s="1"/>
  <c r="W217" i="5"/>
  <c r="X217" i="21" s="1"/>
  <c r="P21" i="5"/>
  <c r="P144" i="5"/>
  <c r="Q144" i="21" s="1"/>
  <c r="P129" i="5"/>
  <c r="Q129" i="21" s="1"/>
  <c r="W108" i="5"/>
  <c r="X108" i="21" s="1"/>
  <c r="AF157" i="13"/>
  <c r="P151" i="5" s="1"/>
  <c r="Q151" i="21" s="1"/>
  <c r="AG181" i="13"/>
  <c r="W176" i="5" s="1"/>
  <c r="X176" i="21" s="1"/>
  <c r="AG188" i="13"/>
  <c r="W183" i="5" s="1"/>
  <c r="X183" i="21" s="1"/>
  <c r="AE188" i="13"/>
  <c r="AE187" i="13" s="1"/>
  <c r="I182" i="5" s="1"/>
  <c r="J182" i="21" s="1"/>
  <c r="AF185" i="13"/>
  <c r="W180" i="5" s="1"/>
  <c r="X180" i="21" s="1"/>
  <c r="AE185" i="13"/>
  <c r="I180" i="5" s="1"/>
  <c r="J180" i="21" s="1"/>
  <c r="AG186" i="13"/>
  <c r="W181" i="5" s="1"/>
  <c r="X181" i="21" s="1"/>
  <c r="AE186" i="13"/>
  <c r="I181" i="5" s="1"/>
  <c r="J181" i="21" s="1"/>
  <c r="AG196" i="13"/>
  <c r="W191" i="5" s="1"/>
  <c r="X191" i="21" s="1"/>
  <c r="AE196" i="13"/>
  <c r="I191" i="5" s="1"/>
  <c r="J191" i="21" s="1"/>
  <c r="W114" i="5"/>
  <c r="X114" i="21" s="1"/>
  <c r="AE178" i="13"/>
  <c r="I173" i="5" s="1"/>
  <c r="J173" i="21" s="1"/>
  <c r="AF182" i="13"/>
  <c r="AF179" i="13" s="1"/>
  <c r="AK211" i="13"/>
  <c r="AJ211" i="13"/>
  <c r="AI211" i="13"/>
  <c r="AG182" i="13"/>
  <c r="W177" i="5" s="1"/>
  <c r="X177" i="21" s="1"/>
  <c r="I114" i="5"/>
  <c r="J114" i="21" s="1"/>
  <c r="AG177" i="13"/>
  <c r="AE174" i="13"/>
  <c r="I169" i="5" s="1"/>
  <c r="J169" i="21" s="1"/>
  <c r="AF191" i="13"/>
  <c r="AF189" i="13" s="1"/>
  <c r="AG138" i="13"/>
  <c r="W130" i="5" s="1"/>
  <c r="X130" i="21" s="1"/>
  <c r="AG174" i="13"/>
  <c r="W169" i="5" s="1"/>
  <c r="X169" i="21" s="1"/>
  <c r="AF138" i="13"/>
  <c r="AF117" i="13"/>
  <c r="P109" i="5" s="1"/>
  <c r="Q109" i="21" s="1"/>
  <c r="BK321" i="13"/>
  <c r="BT311" i="13" s="1"/>
  <c r="AE53" i="11" s="1"/>
  <c r="BJ321" i="13"/>
  <c r="BS311" i="13" s="1"/>
  <c r="AD53" i="11" s="1"/>
  <c r="AE170" i="13"/>
  <c r="AE169" i="13" s="1"/>
  <c r="I163" i="5" s="1"/>
  <c r="J163" i="21" s="1"/>
  <c r="F90" i="16"/>
  <c r="I90" i="16" s="1"/>
  <c r="G206" i="5"/>
  <c r="H206" i="21" s="1"/>
  <c r="AE173" i="13"/>
  <c r="I168" i="5" s="1"/>
  <c r="J168" i="21" s="1"/>
  <c r="AG170" i="13"/>
  <c r="W164" i="5" s="1"/>
  <c r="X164" i="21" s="1"/>
  <c r="AF173" i="13"/>
  <c r="AE191" i="13"/>
  <c r="AE189" i="13" s="1"/>
  <c r="I184" i="5" s="1"/>
  <c r="J184" i="21" s="1"/>
  <c r="AD197" i="13"/>
  <c r="G198" i="5"/>
  <c r="H198" i="21" s="1"/>
  <c r="P218" i="5"/>
  <c r="Q218" i="21" s="1"/>
  <c r="W109" i="5"/>
  <c r="X109" i="21" s="1"/>
  <c r="W138" i="5"/>
  <c r="W107" i="5"/>
  <c r="X107" i="21" s="1"/>
  <c r="W34" i="5"/>
  <c r="P223" i="5"/>
  <c r="Q223" i="21" s="1"/>
  <c r="P176" i="5"/>
  <c r="Q176" i="21" s="1"/>
  <c r="AF44" i="13"/>
  <c r="W44" i="5" s="1"/>
  <c r="X44" i="21" s="1"/>
  <c r="P32" i="5"/>
  <c r="P213" i="5"/>
  <c r="Q213" i="21" s="1"/>
  <c r="W220" i="5"/>
  <c r="X220" i="21" s="1"/>
  <c r="W25" i="5"/>
  <c r="W30" i="5"/>
  <c r="P125" i="5"/>
  <c r="Q125" i="21" s="1"/>
  <c r="W143" i="5"/>
  <c r="X143" i="21" s="1"/>
  <c r="W23" i="5"/>
  <c r="W22" i="5"/>
  <c r="P24" i="5"/>
  <c r="P121" i="5"/>
  <c r="Q121" i="21" s="1"/>
  <c r="W18" i="5"/>
  <c r="X18" i="21" s="1"/>
  <c r="W129" i="5"/>
  <c r="X129" i="21" s="1"/>
  <c r="W218" i="5"/>
  <c r="X218" i="21" s="1"/>
  <c r="W16" i="5"/>
  <c r="W168" i="5"/>
  <c r="X168" i="21" s="1"/>
  <c r="P19" i="5"/>
  <c r="W144" i="5"/>
  <c r="X144" i="21" s="1"/>
  <c r="P140" i="5"/>
  <c r="Q140" i="21" s="1"/>
  <c r="P29" i="5"/>
  <c r="P225" i="5"/>
  <c r="Q225" i="21" s="1"/>
  <c r="AG42" i="13"/>
  <c r="W42" i="5" s="1"/>
  <c r="X42" i="21" s="1"/>
  <c r="AF48" i="13"/>
  <c r="P139" i="5"/>
  <c r="P107" i="5"/>
  <c r="P28" i="5"/>
  <c r="AE48" i="13"/>
  <c r="I48" i="5" s="1"/>
  <c r="I48" i="21" s="1"/>
  <c r="P120" i="5"/>
  <c r="Q120" i="21" s="1"/>
  <c r="W121" i="5"/>
  <c r="X121" i="21" s="1"/>
  <c r="P133" i="5"/>
  <c r="Q133" i="21" s="1"/>
  <c r="P217" i="5"/>
  <c r="Q217" i="21" s="1"/>
  <c r="W33" i="5"/>
  <c r="P14" i="5"/>
  <c r="P191" i="5"/>
  <c r="Q191" i="21" s="1"/>
  <c r="W14" i="5"/>
  <c r="W29" i="5"/>
  <c r="AE138" i="13"/>
  <c r="I130" i="5" s="1"/>
  <c r="AF134" i="13"/>
  <c r="AG134" i="13"/>
  <c r="P138" i="5"/>
  <c r="AG178" i="13"/>
  <c r="BT178" i="13"/>
  <c r="AF178" i="13"/>
  <c r="BS178" i="13"/>
  <c r="AE53" i="13"/>
  <c r="I53" i="5" s="1"/>
  <c r="AF49" i="13"/>
  <c r="AF53" i="13"/>
  <c r="AE49" i="13"/>
  <c r="I49" i="5" s="1"/>
  <c r="AF52" i="13"/>
  <c r="AE44" i="13"/>
  <c r="I44" i="5" s="1"/>
  <c r="J44" i="21" s="1"/>
  <c r="AE134" i="13"/>
  <c r="I126" i="5" s="1"/>
  <c r="AE45" i="13"/>
  <c r="I45" i="5" s="1"/>
  <c r="J45" i="21" s="1"/>
  <c r="AF45" i="13"/>
  <c r="AE50" i="13"/>
  <c r="I50" i="5" s="1"/>
  <c r="G199" i="5"/>
  <c r="H199" i="21" s="1"/>
  <c r="AD66" i="13"/>
  <c r="AG60" i="13"/>
  <c r="AF60" i="13"/>
  <c r="AE41" i="13"/>
  <c r="I41" i="5" s="1"/>
  <c r="AF41" i="13"/>
  <c r="AB200" i="13"/>
  <c r="AE42" i="13"/>
  <c r="I42" i="5" s="1"/>
  <c r="J42" i="21" s="1"/>
  <c r="AG130" i="13"/>
  <c r="W122" i="5" s="1"/>
  <c r="X122" i="21" s="1"/>
  <c r="AE130" i="13"/>
  <c r="AF130" i="13"/>
  <c r="P122" i="5" s="1"/>
  <c r="Q122" i="21" s="1"/>
  <c r="AD63" i="5"/>
  <c r="AF61" i="13"/>
  <c r="P60" i="5" s="1"/>
  <c r="Q60" i="21" s="1"/>
  <c r="AE126" i="13"/>
  <c r="I118" i="5" s="1"/>
  <c r="AE56" i="13"/>
  <c r="AG58" i="13"/>
  <c r="AF58" i="13"/>
  <c r="AG61" i="13"/>
  <c r="AE54" i="13"/>
  <c r="I54" i="5" s="1"/>
  <c r="J54" i="21" s="1"/>
  <c r="AG54" i="13"/>
  <c r="W54" i="5" s="1"/>
  <c r="X54" i="21" s="1"/>
  <c r="AG52" i="13"/>
  <c r="AF50" i="13"/>
  <c r="AE43" i="13"/>
  <c r="I43" i="5" s="1"/>
  <c r="J43" i="21" s="1"/>
  <c r="AF43" i="13"/>
  <c r="AE59" i="13"/>
  <c r="AG144" i="13"/>
  <c r="W136" i="5" s="1"/>
  <c r="AG126" i="13"/>
  <c r="Z200" i="13"/>
  <c r="AF126" i="13"/>
  <c r="AF148" i="13"/>
  <c r="AG148" i="13"/>
  <c r="AE144" i="13"/>
  <c r="I136" i="5" s="1"/>
  <c r="I132" i="5"/>
  <c r="P132" i="5"/>
  <c r="Q132" i="21" s="1"/>
  <c r="AE148" i="13"/>
  <c r="I141" i="5" s="1"/>
  <c r="AK175" i="13"/>
  <c r="AK197" i="13" s="1"/>
  <c r="AE177" i="13"/>
  <c r="I172" i="5" s="1"/>
  <c r="AI175" i="13"/>
  <c r="AI197" i="13" s="1"/>
  <c r="AJ175" i="13"/>
  <c r="AJ197" i="13" s="1"/>
  <c r="AF177" i="13"/>
  <c r="W15" i="5"/>
  <c r="AE10" i="13"/>
  <c r="I11" i="5" s="1"/>
  <c r="J11" i="21" s="1"/>
  <c r="W24" i="5"/>
  <c r="W26" i="5"/>
  <c r="AE162" i="13"/>
  <c r="I157" i="5"/>
  <c r="J157" i="21" s="1"/>
  <c r="AF104" i="13"/>
  <c r="AG104" i="13"/>
  <c r="AE104" i="13"/>
  <c r="AF16" i="13"/>
  <c r="AE30" i="13"/>
  <c r="I31" i="5" s="1"/>
  <c r="AG63" i="13"/>
  <c r="W62" i="5"/>
  <c r="X62" i="21" s="1"/>
  <c r="AE19" i="13"/>
  <c r="I20" i="5" s="1"/>
  <c r="AG30" i="13"/>
  <c r="AG10" i="13"/>
  <c r="AE26" i="13"/>
  <c r="I27" i="5" s="1"/>
  <c r="AF19" i="13"/>
  <c r="AG16" i="13"/>
  <c r="AE16" i="13"/>
  <c r="I17" i="5" s="1"/>
  <c r="AG26" i="13"/>
  <c r="AF30" i="13"/>
  <c r="AG19" i="13"/>
  <c r="AF10" i="13"/>
  <c r="AF26" i="13"/>
  <c r="I39" i="11"/>
  <c r="M39" i="11" s="1"/>
  <c r="AF26" i="11" s="1"/>
  <c r="E39" i="11"/>
  <c r="K39" i="11" s="1"/>
  <c r="AD26" i="11" s="1"/>
  <c r="AD110" i="13"/>
  <c r="AE164" i="13"/>
  <c r="I159" i="5"/>
  <c r="J159" i="21" s="1"/>
  <c r="AE160" i="13"/>
  <c r="I155" i="5"/>
  <c r="J155" i="21" s="1"/>
  <c r="AE105" i="13"/>
  <c r="AF105" i="13"/>
  <c r="AG105" i="13"/>
  <c r="AF101" i="13"/>
  <c r="AE101" i="13"/>
  <c r="AG101" i="13"/>
  <c r="AE102" i="13"/>
  <c r="AG102" i="13"/>
  <c r="AF102" i="13"/>
  <c r="W197" i="5"/>
  <c r="X197" i="21" s="1"/>
  <c r="I212" i="5"/>
  <c r="I213" i="21" s="1"/>
  <c r="J219" i="21" l="1"/>
  <c r="P25" i="21"/>
  <c r="Q25" i="21"/>
  <c r="W33" i="21"/>
  <c r="X33" i="21"/>
  <c r="W23" i="21"/>
  <c r="X23" i="21"/>
  <c r="Y145" i="21"/>
  <c r="P15" i="21"/>
  <c r="Q15" i="21"/>
  <c r="P18" i="21"/>
  <c r="Q18" i="21"/>
  <c r="AC145" i="21"/>
  <c r="W104" i="21"/>
  <c r="X104" i="21"/>
  <c r="P106" i="21"/>
  <c r="Q107" i="21"/>
  <c r="W22" i="21"/>
  <c r="X22" i="21"/>
  <c r="W189" i="21"/>
  <c r="X189" i="21"/>
  <c r="I133" i="21"/>
  <c r="J132" i="21"/>
  <c r="W16" i="21"/>
  <c r="X16" i="21"/>
  <c r="P16" i="21"/>
  <c r="Q16" i="21"/>
  <c r="P189" i="21"/>
  <c r="Q189" i="21"/>
  <c r="W13" i="21"/>
  <c r="X13" i="21"/>
  <c r="I31" i="21"/>
  <c r="J31" i="21"/>
  <c r="W111" i="21"/>
  <c r="X110" i="21"/>
  <c r="P13" i="21"/>
  <c r="Q13" i="21"/>
  <c r="P26" i="21"/>
  <c r="Q26" i="21"/>
  <c r="J106" i="21"/>
  <c r="K105" i="21"/>
  <c r="I216" i="21"/>
  <c r="J216" i="21"/>
  <c r="W24" i="21"/>
  <c r="X24" i="21"/>
  <c r="W135" i="21"/>
  <c r="X136" i="21"/>
  <c r="I135" i="21"/>
  <c r="J136" i="21"/>
  <c r="I53" i="21"/>
  <c r="J53" i="21"/>
  <c r="I129" i="21"/>
  <c r="J130" i="21"/>
  <c r="W30" i="21"/>
  <c r="X30" i="21"/>
  <c r="W34" i="21"/>
  <c r="X34" i="21"/>
  <c r="P111" i="21"/>
  <c r="Q111" i="21"/>
  <c r="J212" i="21"/>
  <c r="R63" i="21"/>
  <c r="K63" i="21"/>
  <c r="I142" i="21"/>
  <c r="J141" i="21"/>
  <c r="P14" i="21"/>
  <c r="Q14" i="21"/>
  <c r="P19" i="21"/>
  <c r="Q19" i="21"/>
  <c r="W15" i="21"/>
  <c r="X15" i="21"/>
  <c r="I20" i="21"/>
  <c r="J20" i="21"/>
  <c r="I118" i="21"/>
  <c r="J118" i="21"/>
  <c r="W29" i="21"/>
  <c r="X29" i="21"/>
  <c r="P29" i="21"/>
  <c r="Q29" i="21"/>
  <c r="W25" i="21"/>
  <c r="X25" i="21"/>
  <c r="I189" i="21"/>
  <c r="J189" i="21"/>
  <c r="P34" i="21"/>
  <c r="Q34" i="21"/>
  <c r="K35" i="21"/>
  <c r="P104" i="21"/>
  <c r="Q104" i="21"/>
  <c r="P32" i="21"/>
  <c r="Q32" i="21"/>
  <c r="P21" i="21"/>
  <c r="Q21" i="21"/>
  <c r="I27" i="21"/>
  <c r="J27" i="21"/>
  <c r="I172" i="21"/>
  <c r="J172" i="21"/>
  <c r="I41" i="21"/>
  <c r="J41" i="21"/>
  <c r="W14" i="21"/>
  <c r="X14" i="21"/>
  <c r="P30" i="21"/>
  <c r="Q30" i="21"/>
  <c r="P22" i="21"/>
  <c r="Q22" i="21"/>
  <c r="J223" i="21"/>
  <c r="I125" i="21"/>
  <c r="J126" i="21"/>
  <c r="I17" i="21"/>
  <c r="J17" i="21"/>
  <c r="W26" i="21"/>
  <c r="X26" i="21"/>
  <c r="P28" i="21"/>
  <c r="Q28" i="21"/>
  <c r="P24" i="21"/>
  <c r="Q24" i="21"/>
  <c r="W140" i="21"/>
  <c r="X142" i="21"/>
  <c r="P33" i="21"/>
  <c r="Q33" i="21"/>
  <c r="R145" i="21"/>
  <c r="Y226" i="21"/>
  <c r="H45" i="11"/>
  <c r="I45" i="11" s="1"/>
  <c r="M45" i="11" s="1"/>
  <c r="AF32" i="11" s="1"/>
  <c r="BS257" i="13"/>
  <c r="BS258" i="13" s="1"/>
  <c r="BR257" i="13"/>
  <c r="BR258" i="13" s="1"/>
  <c r="M7" i="5" s="1"/>
  <c r="K7" i="21" s="1"/>
  <c r="J226" i="5"/>
  <c r="I220" i="21"/>
  <c r="I224" i="21"/>
  <c r="AF231" i="13"/>
  <c r="P226" i="5" s="1"/>
  <c r="P219" i="5"/>
  <c r="AG231" i="13"/>
  <c r="W226" i="5" s="1"/>
  <c r="W226" i="21" s="1"/>
  <c r="W223" i="5"/>
  <c r="AE231" i="13"/>
  <c r="I226" i="5" s="1"/>
  <c r="I226" i="21" s="1"/>
  <c r="W159" i="5"/>
  <c r="X159" i="21" s="1"/>
  <c r="J105" i="21"/>
  <c r="W190" i="21"/>
  <c r="W50" i="5"/>
  <c r="X50" i="21" s="1"/>
  <c r="I43" i="21"/>
  <c r="I45" i="21"/>
  <c r="I121" i="21"/>
  <c r="I122" i="5"/>
  <c r="P143" i="21"/>
  <c r="AE155" i="13"/>
  <c r="I149" i="5"/>
  <c r="J149" i="21" s="1"/>
  <c r="P151" i="21"/>
  <c r="P149" i="5"/>
  <c r="P224" i="21"/>
  <c r="I49" i="21"/>
  <c r="P225" i="21"/>
  <c r="P159" i="5"/>
  <c r="Q159" i="21" s="1"/>
  <c r="W191" i="21"/>
  <c r="I191" i="21"/>
  <c r="I50" i="21"/>
  <c r="W144" i="21"/>
  <c r="W153" i="21"/>
  <c r="P152" i="21"/>
  <c r="P153" i="21"/>
  <c r="I185" i="21"/>
  <c r="P144" i="21"/>
  <c r="I42" i="21"/>
  <c r="I44" i="21"/>
  <c r="I54" i="21"/>
  <c r="P223" i="21"/>
  <c r="G206" i="21"/>
  <c r="G207" i="21"/>
  <c r="AG207" i="21" s="1"/>
  <c r="W143" i="21"/>
  <c r="X47" i="21"/>
  <c r="I190" i="21"/>
  <c r="W224" i="21"/>
  <c r="D37" i="11"/>
  <c r="E37" i="11" s="1"/>
  <c r="K37" i="11" s="1"/>
  <c r="AD24" i="11" s="1"/>
  <c r="AC41" i="11"/>
  <c r="AE41" i="11"/>
  <c r="W106" i="21"/>
  <c r="BK305" i="13"/>
  <c r="AG46" i="13"/>
  <c r="W151" i="5"/>
  <c r="X63" i="5"/>
  <c r="F37" i="11"/>
  <c r="G37" i="11" s="1"/>
  <c r="L37" i="11" s="1"/>
  <c r="AE24" i="11" s="1"/>
  <c r="BE49" i="13"/>
  <c r="J49" i="5" s="1"/>
  <c r="K49" i="21" s="1"/>
  <c r="BI305" i="13"/>
  <c r="BH49" i="13"/>
  <c r="Q49" i="5" s="1"/>
  <c r="R49" i="21" s="1"/>
  <c r="BJ305" i="13"/>
  <c r="J47" i="5"/>
  <c r="K47" i="21" s="1"/>
  <c r="J236" i="5"/>
  <c r="P132" i="21"/>
  <c r="I130" i="21"/>
  <c r="I126" i="21"/>
  <c r="W129" i="21"/>
  <c r="I136" i="21"/>
  <c r="W136" i="21"/>
  <c r="I132" i="21"/>
  <c r="P107" i="21"/>
  <c r="W107" i="21"/>
  <c r="P216" i="21"/>
  <c r="G199" i="21"/>
  <c r="AG199" i="21" s="1"/>
  <c r="G198" i="21"/>
  <c r="AG198" i="21" s="1"/>
  <c r="AD198" i="5"/>
  <c r="G200" i="21"/>
  <c r="AG200" i="21" s="1"/>
  <c r="W215" i="21"/>
  <c r="W165" i="21"/>
  <c r="I177" i="21"/>
  <c r="W219" i="21"/>
  <c r="P220" i="21"/>
  <c r="P221" i="21"/>
  <c r="AG160" i="13"/>
  <c r="P222" i="21"/>
  <c r="W220" i="21"/>
  <c r="P212" i="21"/>
  <c r="BT258" i="13"/>
  <c r="W213" i="21"/>
  <c r="W108" i="21"/>
  <c r="P110" i="21"/>
  <c r="W138" i="21"/>
  <c r="W128" i="21"/>
  <c r="W130" i="21"/>
  <c r="P215" i="21"/>
  <c r="I182" i="21"/>
  <c r="I168" i="21"/>
  <c r="I139" i="21"/>
  <c r="I141" i="21"/>
  <c r="P214" i="21"/>
  <c r="W217" i="21"/>
  <c r="J150" i="21"/>
  <c r="W180" i="21"/>
  <c r="I131" i="21"/>
  <c r="P108" i="21"/>
  <c r="W176" i="21"/>
  <c r="P133" i="21"/>
  <c r="W120" i="21"/>
  <c r="I169" i="21"/>
  <c r="I119" i="21"/>
  <c r="P138" i="21"/>
  <c r="P120" i="21"/>
  <c r="I181" i="21"/>
  <c r="P134" i="21"/>
  <c r="P213" i="21"/>
  <c r="W137" i="21"/>
  <c r="P218" i="21"/>
  <c r="P176" i="21"/>
  <c r="P128" i="21"/>
  <c r="W218" i="21"/>
  <c r="W222" i="21"/>
  <c r="W105" i="21"/>
  <c r="I212" i="21"/>
  <c r="P105" i="21"/>
  <c r="I173" i="21"/>
  <c r="I176" i="21"/>
  <c r="P140" i="21"/>
  <c r="W221" i="21"/>
  <c r="W150" i="21"/>
  <c r="P124" i="21"/>
  <c r="P217" i="21"/>
  <c r="W110" i="21"/>
  <c r="I127" i="21"/>
  <c r="W177" i="21"/>
  <c r="W214" i="21"/>
  <c r="W109" i="21"/>
  <c r="P109" i="21"/>
  <c r="W216" i="21"/>
  <c r="I137" i="21"/>
  <c r="W131" i="21"/>
  <c r="I151" i="21"/>
  <c r="AG155" i="13"/>
  <c r="W148" i="5" s="1"/>
  <c r="X148" i="21" s="1"/>
  <c r="AD206" i="5"/>
  <c r="G203" i="21"/>
  <c r="AG203" i="21" s="1"/>
  <c r="AD199" i="5"/>
  <c r="AA37" i="21"/>
  <c r="W18" i="21"/>
  <c r="I62" i="5"/>
  <c r="J62" i="21" s="1"/>
  <c r="P62" i="5"/>
  <c r="Q62" i="21" s="1"/>
  <c r="K11" i="21"/>
  <c r="I11" i="21"/>
  <c r="AG183" i="13"/>
  <c r="W172" i="5"/>
  <c r="AE179" i="13"/>
  <c r="I174" i="5" s="1"/>
  <c r="J174" i="21" s="1"/>
  <c r="P157" i="5"/>
  <c r="Q157" i="21" s="1"/>
  <c r="W157" i="5"/>
  <c r="X157" i="21" s="1"/>
  <c r="P155" i="5"/>
  <c r="Q155" i="21" s="1"/>
  <c r="I24" i="3"/>
  <c r="P186" i="5"/>
  <c r="AF155" i="13"/>
  <c r="P148" i="5" s="1"/>
  <c r="Q148" i="21" s="1"/>
  <c r="AE192" i="13"/>
  <c r="I187" i="5" s="1"/>
  <c r="J187" i="21" s="1"/>
  <c r="I186" i="5"/>
  <c r="P52" i="5"/>
  <c r="Q52" i="21" s="1"/>
  <c r="P57" i="5"/>
  <c r="AG192" i="13"/>
  <c r="W187" i="5" s="1"/>
  <c r="X187" i="21" s="1"/>
  <c r="P173" i="5"/>
  <c r="Q173" i="21" s="1"/>
  <c r="AB44" i="11"/>
  <c r="AC44" i="11"/>
  <c r="AD44" i="11"/>
  <c r="AE44" i="11"/>
  <c r="P190" i="5"/>
  <c r="P59" i="5"/>
  <c r="P177" i="5"/>
  <c r="Q177" i="21" s="1"/>
  <c r="I183" i="5"/>
  <c r="AG179" i="13"/>
  <c r="W174" i="5" s="1"/>
  <c r="X174" i="21" s="1"/>
  <c r="AF183" i="13"/>
  <c r="AE171" i="13"/>
  <c r="I166" i="5" s="1"/>
  <c r="AE183" i="13"/>
  <c r="I178" i="5" s="1"/>
  <c r="J178" i="21" s="1"/>
  <c r="AG187" i="13"/>
  <c r="W182" i="5" s="1"/>
  <c r="X182" i="21" s="1"/>
  <c r="P168" i="5"/>
  <c r="Q168" i="21" s="1"/>
  <c r="P183" i="5"/>
  <c r="Q183" i="21" s="1"/>
  <c r="P182" i="5"/>
  <c r="Q182" i="21" s="1"/>
  <c r="W126" i="5"/>
  <c r="W186" i="5"/>
  <c r="Q153" i="5"/>
  <c r="R153" i="21" s="1"/>
  <c r="X153" i="5"/>
  <c r="Y153" i="21" s="1"/>
  <c r="P49" i="5"/>
  <c r="P180" i="5"/>
  <c r="Q180" i="21" s="1"/>
  <c r="P43" i="5"/>
  <c r="Q43" i="21" s="1"/>
  <c r="P184" i="5"/>
  <c r="Q184" i="21" s="1"/>
  <c r="P121" i="21"/>
  <c r="P181" i="5"/>
  <c r="Q181" i="21" s="1"/>
  <c r="P164" i="5"/>
  <c r="Q164" i="21" s="1"/>
  <c r="P169" i="5"/>
  <c r="Q169" i="21" s="1"/>
  <c r="P118" i="5"/>
  <c r="W184" i="5"/>
  <c r="X184" i="21" s="1"/>
  <c r="W27" i="5"/>
  <c r="P45" i="5"/>
  <c r="Q45" i="21" s="1"/>
  <c r="P126" i="5"/>
  <c r="P130" i="5"/>
  <c r="AF171" i="13"/>
  <c r="P166" i="5" s="1"/>
  <c r="Q166" i="21" s="1"/>
  <c r="AG171" i="13"/>
  <c r="W166" i="5" s="1"/>
  <c r="X166" i="21" s="1"/>
  <c r="AG169" i="13"/>
  <c r="W163" i="5" s="1"/>
  <c r="I164" i="5"/>
  <c r="AB214" i="13"/>
  <c r="AD206" i="13" s="1"/>
  <c r="G195" i="5"/>
  <c r="P20" i="5"/>
  <c r="W141" i="5"/>
  <c r="W52" i="5"/>
  <c r="X52" i="21" s="1"/>
  <c r="W173" i="5"/>
  <c r="AG39" i="13"/>
  <c r="W31" i="5"/>
  <c r="P141" i="5"/>
  <c r="P174" i="5"/>
  <c r="Q174" i="21" s="1"/>
  <c r="W17" i="5"/>
  <c r="P27" i="5"/>
  <c r="W43" i="5"/>
  <c r="P54" i="5"/>
  <c r="Q54" i="21" s="1"/>
  <c r="W20" i="5"/>
  <c r="P187" i="5"/>
  <c r="Q187" i="21" s="1"/>
  <c r="P31" i="5"/>
  <c r="W60" i="5"/>
  <c r="X60" i="21" s="1"/>
  <c r="W122" i="21"/>
  <c r="W59" i="5"/>
  <c r="X59" i="21" s="1"/>
  <c r="W118" i="5"/>
  <c r="W57" i="5"/>
  <c r="P53" i="5"/>
  <c r="Q53" i="21" s="1"/>
  <c r="P17" i="5"/>
  <c r="P44" i="5"/>
  <c r="Q44" i="21" s="1"/>
  <c r="W45" i="5"/>
  <c r="P48" i="5"/>
  <c r="W48" i="5"/>
  <c r="W48" i="21" s="1"/>
  <c r="W53" i="5"/>
  <c r="X53" i="21" s="1"/>
  <c r="W11" i="5"/>
  <c r="P50" i="5"/>
  <c r="P50" i="21" s="1"/>
  <c r="P41" i="5"/>
  <c r="P136" i="5"/>
  <c r="W41" i="5"/>
  <c r="W49" i="5"/>
  <c r="X49" i="21" s="1"/>
  <c r="AF51" i="13"/>
  <c r="AG175" i="13"/>
  <c r="AE46" i="13"/>
  <c r="AF46" i="13"/>
  <c r="F86" i="16"/>
  <c r="I86" i="16" s="1"/>
  <c r="AE39" i="13"/>
  <c r="I38" i="5" s="1"/>
  <c r="AF39" i="13"/>
  <c r="AF59" i="13"/>
  <c r="AG56" i="13"/>
  <c r="AF56" i="13"/>
  <c r="AE51" i="13"/>
  <c r="AG59" i="13"/>
  <c r="AG51" i="13"/>
  <c r="P42" i="5"/>
  <c r="Q42" i="21" s="1"/>
  <c r="AG152" i="13"/>
  <c r="AF152" i="13"/>
  <c r="AE152" i="13"/>
  <c r="I145" i="5" s="1"/>
  <c r="H43" i="11"/>
  <c r="I43" i="11" s="1"/>
  <c r="M43" i="11" s="1"/>
  <c r="AF30" i="11" s="1"/>
  <c r="X192" i="5"/>
  <c r="F43" i="11"/>
  <c r="G43" i="11" s="1"/>
  <c r="L43" i="11" s="1"/>
  <c r="AE30" i="11" s="1"/>
  <c r="Q192" i="5"/>
  <c r="AE175" i="13"/>
  <c r="J192" i="5"/>
  <c r="D43" i="11"/>
  <c r="E43" i="11" s="1"/>
  <c r="K43" i="11" s="1"/>
  <c r="AD30" i="11" s="1"/>
  <c r="P172" i="5"/>
  <c r="AF175" i="13"/>
  <c r="K65" i="21"/>
  <c r="AG36" i="13"/>
  <c r="W35" i="5" s="1"/>
  <c r="X35" i="21" s="1"/>
  <c r="AE36" i="13"/>
  <c r="I35" i="5" s="1"/>
  <c r="I35" i="21" s="1"/>
  <c r="AF36" i="13"/>
  <c r="P35" i="5" s="1"/>
  <c r="P11" i="5"/>
  <c r="W100" i="5"/>
  <c r="AG103" i="13"/>
  <c r="W96" i="5" s="1"/>
  <c r="X96" i="21" s="1"/>
  <c r="AG100" i="13"/>
  <c r="P100" i="5"/>
  <c r="AF103" i="13"/>
  <c r="P97" i="5" s="1"/>
  <c r="Q97" i="21" s="1"/>
  <c r="I96" i="5"/>
  <c r="J96" i="21" s="1"/>
  <c r="AE100" i="13"/>
  <c r="I100" i="5"/>
  <c r="AE103" i="13"/>
  <c r="I98" i="5" s="1"/>
  <c r="J98" i="21" s="1"/>
  <c r="AF100" i="13"/>
  <c r="W97" i="5" l="1"/>
  <c r="X97" i="21" s="1"/>
  <c r="P96" i="5"/>
  <c r="Q96" i="21" s="1"/>
  <c r="I97" i="5"/>
  <c r="J97" i="21" s="1"/>
  <c r="W31" i="21"/>
  <c r="X31" i="21"/>
  <c r="P60" i="21"/>
  <c r="Q59" i="21"/>
  <c r="W164" i="21"/>
  <c r="X163" i="21"/>
  <c r="P118" i="21"/>
  <c r="Q118" i="21"/>
  <c r="P190" i="21"/>
  <c r="Q190" i="21"/>
  <c r="W151" i="21"/>
  <c r="X151" i="21"/>
  <c r="W223" i="21"/>
  <c r="X223" i="21"/>
  <c r="J35" i="21"/>
  <c r="W118" i="21"/>
  <c r="X118" i="21"/>
  <c r="W169" i="21"/>
  <c r="X173" i="21"/>
  <c r="I186" i="21"/>
  <c r="J186" i="21"/>
  <c r="W57" i="21"/>
  <c r="X57" i="21"/>
  <c r="I123" i="21"/>
  <c r="J122" i="21"/>
  <c r="P172" i="21"/>
  <c r="Q172" i="21"/>
  <c r="I100" i="21"/>
  <c r="J100" i="21"/>
  <c r="I163" i="21"/>
  <c r="J166" i="21"/>
  <c r="W172" i="21"/>
  <c r="X172" i="21"/>
  <c r="P150" i="21"/>
  <c r="Q149" i="21"/>
  <c r="P219" i="21"/>
  <c r="Q219" i="21"/>
  <c r="Y192" i="21"/>
  <c r="AC192" i="21"/>
  <c r="P57" i="21"/>
  <c r="Q57" i="21"/>
  <c r="I145" i="21"/>
  <c r="J145" i="21"/>
  <c r="W43" i="21"/>
  <c r="X43" i="21"/>
  <c r="W100" i="21"/>
  <c r="X100" i="21"/>
  <c r="P48" i="21"/>
  <c r="Q48" i="21"/>
  <c r="P27" i="21"/>
  <c r="Q27" i="21"/>
  <c r="P11" i="21"/>
  <c r="Q11" i="21"/>
  <c r="K192" i="21"/>
  <c r="W41" i="21"/>
  <c r="X41" i="21"/>
  <c r="W45" i="21"/>
  <c r="X45" i="21"/>
  <c r="W17" i="21"/>
  <c r="X17" i="21"/>
  <c r="W139" i="21"/>
  <c r="X141" i="21"/>
  <c r="P129" i="21"/>
  <c r="Q130" i="21"/>
  <c r="W186" i="21"/>
  <c r="X186" i="21"/>
  <c r="P226" i="21"/>
  <c r="Q226" i="21"/>
  <c r="X226" i="21"/>
  <c r="W11" i="21"/>
  <c r="X11" i="21"/>
  <c r="Y63" i="21"/>
  <c r="AC63" i="21"/>
  <c r="I38" i="21"/>
  <c r="J38" i="21"/>
  <c r="P135" i="21"/>
  <c r="Q136" i="21"/>
  <c r="P20" i="21"/>
  <c r="Q20" i="21"/>
  <c r="P126" i="21"/>
  <c r="Q126" i="21"/>
  <c r="W126" i="21"/>
  <c r="X126" i="21"/>
  <c r="P186" i="21"/>
  <c r="Q186" i="21"/>
  <c r="X48" i="21"/>
  <c r="I165" i="21"/>
  <c r="J164" i="21"/>
  <c r="R192" i="21"/>
  <c r="P41" i="21"/>
  <c r="Q41" i="21"/>
  <c r="P17" i="21"/>
  <c r="Q17" i="21"/>
  <c r="P31" i="21"/>
  <c r="Q31" i="21"/>
  <c r="G195" i="21"/>
  <c r="AG195" i="21" s="1"/>
  <c r="H195" i="21"/>
  <c r="I180" i="21"/>
  <c r="J183" i="21"/>
  <c r="W20" i="21"/>
  <c r="X20" i="21"/>
  <c r="P100" i="21"/>
  <c r="Q100" i="21"/>
  <c r="P139" i="21"/>
  <c r="Q141" i="21"/>
  <c r="W27" i="21"/>
  <c r="X27" i="21"/>
  <c r="J226" i="21"/>
  <c r="K226" i="21"/>
  <c r="P149" i="21"/>
  <c r="I122" i="21"/>
  <c r="W53" i="21"/>
  <c r="P54" i="21"/>
  <c r="W49" i="21"/>
  <c r="P53" i="21"/>
  <c r="I175" i="21"/>
  <c r="P44" i="21"/>
  <c r="P42" i="21"/>
  <c r="J49" i="21"/>
  <c r="J50" i="21"/>
  <c r="W187" i="21"/>
  <c r="W188" i="21"/>
  <c r="W44" i="21"/>
  <c r="P43" i="21"/>
  <c r="P187" i="21"/>
  <c r="P188" i="21"/>
  <c r="P49" i="21"/>
  <c r="P184" i="21"/>
  <c r="P185" i="21"/>
  <c r="W60" i="21"/>
  <c r="P45" i="21"/>
  <c r="X153" i="21"/>
  <c r="W42" i="21"/>
  <c r="Q153" i="21"/>
  <c r="I187" i="21"/>
  <c r="I188" i="21"/>
  <c r="W50" i="21"/>
  <c r="W184" i="21"/>
  <c r="W185" i="21"/>
  <c r="P191" i="21"/>
  <c r="I184" i="21"/>
  <c r="J47" i="21"/>
  <c r="J48" i="21"/>
  <c r="Q49" i="21"/>
  <c r="Q50" i="21"/>
  <c r="W54" i="21"/>
  <c r="W152" i="21"/>
  <c r="D13" i="11"/>
  <c r="K49" i="11" s="1"/>
  <c r="BS300" i="13"/>
  <c r="AD42" i="11" s="1"/>
  <c r="BT300" i="13"/>
  <c r="AE42" i="11" s="1"/>
  <c r="BR300" i="13"/>
  <c r="AC42" i="11" s="1"/>
  <c r="P178" i="5"/>
  <c r="W178" i="5"/>
  <c r="P122" i="21"/>
  <c r="P130" i="21"/>
  <c r="P136" i="21"/>
  <c r="W183" i="21"/>
  <c r="G196" i="21"/>
  <c r="AG196" i="21" s="1"/>
  <c r="I179" i="21"/>
  <c r="W142" i="21"/>
  <c r="P165" i="21"/>
  <c r="P175" i="21"/>
  <c r="W175" i="21"/>
  <c r="P142" i="21"/>
  <c r="W181" i="21"/>
  <c r="W149" i="21"/>
  <c r="P181" i="21"/>
  <c r="AA7" i="5"/>
  <c r="AA7" i="21" s="1"/>
  <c r="H13" i="11"/>
  <c r="M49" i="11" s="1"/>
  <c r="T7" i="5"/>
  <c r="T7" i="21" s="1"/>
  <c r="F13" i="11"/>
  <c r="L49" i="11" s="1"/>
  <c r="P180" i="21"/>
  <c r="W163" i="21"/>
  <c r="W97" i="21"/>
  <c r="P168" i="21"/>
  <c r="W125" i="21"/>
  <c r="W127" i="21"/>
  <c r="P183" i="21"/>
  <c r="W166" i="21"/>
  <c r="I164" i="21"/>
  <c r="P166" i="21"/>
  <c r="P182" i="21"/>
  <c r="W141" i="21"/>
  <c r="I97" i="21"/>
  <c r="P137" i="21"/>
  <c r="W173" i="21"/>
  <c r="W182" i="21"/>
  <c r="P119" i="21"/>
  <c r="P169" i="21"/>
  <c r="I174" i="21"/>
  <c r="W148" i="21"/>
  <c r="P173" i="21"/>
  <c r="P131" i="21"/>
  <c r="W168" i="21"/>
  <c r="I178" i="21"/>
  <c r="P97" i="21"/>
  <c r="P177" i="21"/>
  <c r="P123" i="21"/>
  <c r="I166" i="21"/>
  <c r="I98" i="21"/>
  <c r="I99" i="21"/>
  <c r="P125" i="21"/>
  <c r="P127" i="21"/>
  <c r="W174" i="21"/>
  <c r="P148" i="21"/>
  <c r="W119" i="21"/>
  <c r="W121" i="21"/>
  <c r="W123" i="21"/>
  <c r="X150" i="21"/>
  <c r="I183" i="21"/>
  <c r="Q150" i="21"/>
  <c r="P174" i="21"/>
  <c r="I150" i="21"/>
  <c r="P141" i="21"/>
  <c r="AD195" i="5"/>
  <c r="AG192" i="21"/>
  <c r="P163" i="5"/>
  <c r="W145" i="5"/>
  <c r="P98" i="5"/>
  <c r="Q98" i="21" s="1"/>
  <c r="AD205" i="13"/>
  <c r="AF205" i="13" s="1"/>
  <c r="G209" i="5"/>
  <c r="AD207" i="13"/>
  <c r="C44" i="11"/>
  <c r="AI200" i="13"/>
  <c r="AI214" i="13" s="1"/>
  <c r="J209" i="5" s="1"/>
  <c r="AG197" i="13"/>
  <c r="AJ200" i="13"/>
  <c r="AJ214" i="13" s="1"/>
  <c r="Q209" i="5" s="1"/>
  <c r="AD209" i="13"/>
  <c r="AF209" i="13" s="1"/>
  <c r="AD204" i="13"/>
  <c r="AK200" i="13"/>
  <c r="AK214" i="13" s="1"/>
  <c r="X209" i="5" s="1"/>
  <c r="AD200" i="13"/>
  <c r="AD201" i="13"/>
  <c r="AF201" i="13" s="1"/>
  <c r="AD213" i="13"/>
  <c r="AG213" i="13" s="1"/>
  <c r="AD211" i="13"/>
  <c r="AD210" i="13"/>
  <c r="AF210" i="13" s="1"/>
  <c r="AD212" i="13"/>
  <c r="AE212" i="13" s="1"/>
  <c r="I207" i="5" s="1"/>
  <c r="J207" i="21" s="1"/>
  <c r="AD208" i="13"/>
  <c r="AD203" i="13"/>
  <c r="AG203" i="13" s="1"/>
  <c r="AD202" i="13"/>
  <c r="AE202" i="13" s="1"/>
  <c r="AA65" i="21"/>
  <c r="W170" i="5"/>
  <c r="W98" i="5"/>
  <c r="X98" i="21" s="1"/>
  <c r="F91" i="16"/>
  <c r="I91" i="16" s="1"/>
  <c r="P38" i="5"/>
  <c r="W35" i="21"/>
  <c r="W38" i="5"/>
  <c r="P145" i="5"/>
  <c r="AG206" i="13"/>
  <c r="W202" i="5" s="1"/>
  <c r="X202" i="21" s="1"/>
  <c r="AE206" i="13"/>
  <c r="I202" i="5" s="1"/>
  <c r="J202" i="21" s="1"/>
  <c r="AF206" i="13"/>
  <c r="I170" i="5"/>
  <c r="J170" i="21" s="1"/>
  <c r="AE197" i="13"/>
  <c r="I192" i="5" s="1"/>
  <c r="I192" i="21" s="1"/>
  <c r="P170" i="5"/>
  <c r="AF197" i="13"/>
  <c r="P192" i="5" s="1"/>
  <c r="P192" i="21" s="1"/>
  <c r="AF110" i="13"/>
  <c r="P95" i="5"/>
  <c r="AE110" i="13"/>
  <c r="I101" i="5" s="1"/>
  <c r="I95" i="5"/>
  <c r="AG110" i="13"/>
  <c r="W95" i="5"/>
  <c r="D30" i="16"/>
  <c r="P38" i="21" l="1"/>
  <c r="Q38" i="21"/>
  <c r="I95" i="21"/>
  <c r="J95" i="21"/>
  <c r="R209" i="21"/>
  <c r="W145" i="21"/>
  <c r="X145" i="21"/>
  <c r="P164" i="21"/>
  <c r="Q163" i="21"/>
  <c r="W178" i="21"/>
  <c r="X178" i="21"/>
  <c r="J192" i="21"/>
  <c r="P35" i="21"/>
  <c r="Q35" i="21"/>
  <c r="I101" i="21"/>
  <c r="J101" i="21"/>
  <c r="P95" i="21"/>
  <c r="Q95" i="21"/>
  <c r="K209" i="21"/>
  <c r="P145" i="21"/>
  <c r="Q145" i="21"/>
  <c r="Q192" i="21"/>
  <c r="P167" i="21"/>
  <c r="Q170" i="21"/>
  <c r="W38" i="21"/>
  <c r="X38" i="21"/>
  <c r="Y209" i="21"/>
  <c r="AC209" i="21"/>
  <c r="AD209" i="5"/>
  <c r="H209" i="21"/>
  <c r="P178" i="21"/>
  <c r="Q178" i="21"/>
  <c r="W95" i="21"/>
  <c r="X95" i="21"/>
  <c r="W167" i="21"/>
  <c r="X170" i="21"/>
  <c r="W179" i="21"/>
  <c r="P179" i="21"/>
  <c r="AG210" i="21"/>
  <c r="G209" i="21"/>
  <c r="AG209" i="21" s="1"/>
  <c r="W171" i="21"/>
  <c r="P171" i="21"/>
  <c r="I167" i="21"/>
  <c r="I171" i="21"/>
  <c r="W96" i="21"/>
  <c r="AG206" i="21"/>
  <c r="P98" i="21"/>
  <c r="P99" i="21"/>
  <c r="W170" i="21"/>
  <c r="W98" i="21"/>
  <c r="W99" i="21"/>
  <c r="P96" i="21"/>
  <c r="P163" i="21"/>
  <c r="I96" i="21"/>
  <c r="P170" i="21"/>
  <c r="I170" i="21"/>
  <c r="AE213" i="13"/>
  <c r="I208" i="5" s="1"/>
  <c r="AF213" i="13"/>
  <c r="AG201" i="13"/>
  <c r="W196" i="5" s="1"/>
  <c r="X196" i="21" s="1"/>
  <c r="AG205" i="13"/>
  <c r="AG204" i="13" s="1"/>
  <c r="W200" i="5" s="1"/>
  <c r="X200" i="21" s="1"/>
  <c r="AE205" i="13"/>
  <c r="AE204" i="13" s="1"/>
  <c r="I200" i="5" s="1"/>
  <c r="J200" i="21" s="1"/>
  <c r="AG202" i="13"/>
  <c r="W198" i="5" s="1"/>
  <c r="X198" i="21" s="1"/>
  <c r="AF202" i="13"/>
  <c r="P198" i="5" s="1"/>
  <c r="Q198" i="21" s="1"/>
  <c r="AF203" i="13"/>
  <c r="P199" i="5" s="1"/>
  <c r="Q199" i="21" s="1"/>
  <c r="AE203" i="13"/>
  <c r="I199" i="5" s="1"/>
  <c r="J199" i="21" s="1"/>
  <c r="P205" i="5"/>
  <c r="Q205" i="21" s="1"/>
  <c r="AG210" i="13"/>
  <c r="W205" i="5" s="1"/>
  <c r="X205" i="21" s="1"/>
  <c r="AE210" i="13"/>
  <c r="I205" i="5" s="1"/>
  <c r="J205" i="21" s="1"/>
  <c r="AG209" i="13"/>
  <c r="AE209" i="13"/>
  <c r="I204" i="5" s="1"/>
  <c r="J204" i="21" s="1"/>
  <c r="W199" i="5"/>
  <c r="X199" i="21" s="1"/>
  <c r="P196" i="5"/>
  <c r="Q196" i="21" s="1"/>
  <c r="AD214" i="13"/>
  <c r="AE201" i="13"/>
  <c r="I196" i="5" s="1"/>
  <c r="J196" i="21" s="1"/>
  <c r="AF212" i="13"/>
  <c r="AG212" i="13"/>
  <c r="W207" i="5" s="1"/>
  <c r="X207" i="21" s="1"/>
  <c r="P202" i="5"/>
  <c r="Q202" i="21" s="1"/>
  <c r="W192" i="5"/>
  <c r="P101" i="5"/>
  <c r="W101" i="5"/>
  <c r="AF208" i="13"/>
  <c r="P204" i="5"/>
  <c r="Q204" i="21" s="1"/>
  <c r="I198" i="5"/>
  <c r="J198" i="21" s="1"/>
  <c r="P208" i="5"/>
  <c r="Q208" i="21" s="1"/>
  <c r="P201" i="5"/>
  <c r="Q201" i="21" s="1"/>
  <c r="AF204" i="13"/>
  <c r="P200" i="5" s="1"/>
  <c r="Q200" i="21" s="1"/>
  <c r="W208" i="5"/>
  <c r="X208" i="21" s="1"/>
  <c r="F30" i="16"/>
  <c r="G73" i="5"/>
  <c r="H73" i="21" s="1"/>
  <c r="W192" i="21" l="1"/>
  <c r="X192" i="21"/>
  <c r="I208" i="21"/>
  <c r="J208" i="21"/>
  <c r="W101" i="21"/>
  <c r="X101" i="21"/>
  <c r="P101" i="21"/>
  <c r="Q101" i="21"/>
  <c r="W208" i="21"/>
  <c r="I205" i="21"/>
  <c r="P197" i="21"/>
  <c r="P205" i="21"/>
  <c r="I197" i="21"/>
  <c r="W197" i="21"/>
  <c r="P201" i="21"/>
  <c r="P198" i="21"/>
  <c r="W199" i="21"/>
  <c r="P202" i="21"/>
  <c r="P199" i="21"/>
  <c r="I199" i="21"/>
  <c r="AE211" i="13"/>
  <c r="G73" i="21"/>
  <c r="AG73" i="21" s="1"/>
  <c r="G74" i="21"/>
  <c r="AG74" i="21" s="1"/>
  <c r="I201" i="5"/>
  <c r="W201" i="5"/>
  <c r="AF211" i="13"/>
  <c r="AG200" i="13"/>
  <c r="AE200" i="13"/>
  <c r="I195" i="5" s="1"/>
  <c r="J195" i="21" s="1"/>
  <c r="AF200" i="13"/>
  <c r="P195" i="5" s="1"/>
  <c r="Q195" i="21" s="1"/>
  <c r="AE208" i="13"/>
  <c r="AG208" i="13"/>
  <c r="W204" i="5"/>
  <c r="AG211" i="13"/>
  <c r="P207" i="5"/>
  <c r="W195" i="5"/>
  <c r="X195" i="21" s="1"/>
  <c r="AD73" i="5"/>
  <c r="I30" i="16"/>
  <c r="D31" i="16"/>
  <c r="W205" i="21" l="1"/>
  <c r="X204" i="21"/>
  <c r="I198" i="21"/>
  <c r="J201" i="21"/>
  <c r="P208" i="21"/>
  <c r="Q207" i="21"/>
  <c r="W198" i="21"/>
  <c r="X201" i="21"/>
  <c r="P196" i="21"/>
  <c r="W196" i="21"/>
  <c r="I202" i="21"/>
  <c r="I196" i="21"/>
  <c r="W202" i="21"/>
  <c r="W201" i="21"/>
  <c r="W195" i="21"/>
  <c r="I195" i="21"/>
  <c r="P195" i="21"/>
  <c r="I201" i="21"/>
  <c r="AF214" i="13"/>
  <c r="AG214" i="13"/>
  <c r="W209" i="5" s="1"/>
  <c r="D33" i="16"/>
  <c r="W209" i="21" l="1"/>
  <c r="X209" i="21"/>
  <c r="F33" i="16"/>
  <c r="G80" i="5"/>
  <c r="H80" i="21" s="1"/>
  <c r="G80" i="21" l="1"/>
  <c r="AG80" i="21" s="1"/>
  <c r="G81" i="21"/>
  <c r="AG81" i="21" s="1"/>
  <c r="AD80" i="5"/>
  <c r="I33" i="16"/>
  <c r="D34" i="16"/>
  <c r="F34" i="16" l="1"/>
  <c r="G83" i="5"/>
  <c r="H83" i="21" s="1"/>
  <c r="G83" i="21" l="1"/>
  <c r="AG83" i="21" s="1"/>
  <c r="G84" i="21"/>
  <c r="AG84" i="21" s="1"/>
  <c r="AD83" i="5"/>
  <c r="I34" i="16"/>
  <c r="D35" i="16"/>
  <c r="AA97" i="13" l="1"/>
  <c r="AA259" i="13" s="1"/>
  <c r="G87" i="5"/>
  <c r="H87" i="21" s="1"/>
  <c r="G87" i="21" l="1"/>
  <c r="AG87" i="21" s="1"/>
  <c r="G88" i="21"/>
  <c r="AG88" i="21" s="1"/>
  <c r="F35" i="16"/>
  <c r="I35" i="16" s="1"/>
  <c r="AD87" i="5"/>
  <c r="T97" i="13"/>
  <c r="D40" i="16" s="1"/>
  <c r="D36" i="16" l="1"/>
  <c r="F36" i="16" l="1"/>
  <c r="G90" i="5"/>
  <c r="H90" i="21" s="1"/>
  <c r="G90" i="21" l="1"/>
  <c r="AG90" i="21" s="1"/>
  <c r="G91" i="21"/>
  <c r="AG91" i="21" s="1"/>
  <c r="AD90" i="5"/>
  <c r="I36" i="16"/>
  <c r="T123" i="13" l="1"/>
  <c r="D55" i="16"/>
  <c r="D56" i="16" l="1"/>
  <c r="G113" i="5"/>
  <c r="H113" i="21" s="1"/>
  <c r="G113" i="21" l="1"/>
  <c r="AG113" i="21" s="1"/>
  <c r="G114" i="21"/>
  <c r="AD113" i="5"/>
  <c r="G112" i="21"/>
  <c r="AG112" i="21" s="1"/>
  <c r="F55" i="16"/>
  <c r="I55" i="16" s="1"/>
  <c r="H40" i="11"/>
  <c r="I107" i="5"/>
  <c r="J107" i="21" s="1"/>
  <c r="I109" i="5"/>
  <c r="G115" i="5"/>
  <c r="F40" i="11"/>
  <c r="I109" i="21" l="1"/>
  <c r="J109" i="21"/>
  <c r="G115" i="21"/>
  <c r="AG115" i="21" s="1"/>
  <c r="H115" i="21"/>
  <c r="I106" i="21"/>
  <c r="I107" i="21"/>
  <c r="I108" i="21"/>
  <c r="I110" i="21"/>
  <c r="AD115" i="5"/>
  <c r="AG114" i="21"/>
  <c r="F56" i="16"/>
  <c r="I56" i="16" s="1"/>
  <c r="G40" i="11"/>
  <c r="L40" i="11" s="1"/>
  <c r="D40" i="11"/>
  <c r="J115" i="5"/>
  <c r="I40" i="11"/>
  <c r="M40" i="11" s="1"/>
  <c r="K115" i="21" l="1"/>
  <c r="AE27" i="11"/>
  <c r="AF27" i="11"/>
  <c r="I104" i="5"/>
  <c r="J104" i="21" s="1"/>
  <c r="E40" i="11"/>
  <c r="K40" i="11" s="1"/>
  <c r="I104" i="21" l="1"/>
  <c r="I105" i="21"/>
  <c r="AD27" i="11"/>
  <c r="D70" i="16" l="1"/>
  <c r="G154" i="5" l="1"/>
  <c r="F70" i="16"/>
  <c r="G155" i="21" l="1"/>
  <c r="H154" i="21"/>
  <c r="G154" i="21"/>
  <c r="AG154" i="21" s="1"/>
  <c r="AD154" i="5"/>
  <c r="AG151" i="21"/>
  <c r="I70" i="16"/>
  <c r="D71" i="16"/>
  <c r="T258" i="13" l="1"/>
  <c r="F30" i="3" s="1"/>
  <c r="D72" i="16"/>
  <c r="G158" i="5" l="1"/>
  <c r="H158" i="21" s="1"/>
  <c r="F71" i="16"/>
  <c r="G158" i="21" l="1"/>
  <c r="AG158" i="21" s="1"/>
  <c r="G159" i="21"/>
  <c r="AG159" i="21" s="1"/>
  <c r="AD158" i="5"/>
  <c r="AG155" i="21"/>
  <c r="F42" i="11"/>
  <c r="I71" i="16"/>
  <c r="F72" i="16"/>
  <c r="I72" i="16" s="1"/>
  <c r="H42" i="11"/>
  <c r="G160" i="5"/>
  <c r="G160" i="21" l="1"/>
  <c r="AG160" i="21" s="1"/>
  <c r="H160" i="21"/>
  <c r="AG161" i="21"/>
  <c r="AD160" i="5"/>
  <c r="AG157" i="21"/>
  <c r="I42" i="11"/>
  <c r="M42" i="11" s="1"/>
  <c r="D42" i="11"/>
  <c r="J160" i="5"/>
  <c r="G42" i="11"/>
  <c r="L42" i="11" s="1"/>
  <c r="K160" i="21" l="1"/>
  <c r="AE29" i="11"/>
  <c r="AF29" i="11"/>
  <c r="I148" i="5"/>
  <c r="E42" i="11"/>
  <c r="K42" i="11" s="1"/>
  <c r="I149" i="21" l="1"/>
  <c r="J148" i="21"/>
  <c r="I148" i="21"/>
  <c r="AD29" i="11"/>
  <c r="F258" i="13"/>
  <c r="I46" i="5" l="1"/>
  <c r="J46" i="21" s="1"/>
  <c r="P46" i="5"/>
  <c r="Q46" i="21" s="1"/>
  <c r="W46" i="5"/>
  <c r="X46" i="21" s="1"/>
  <c r="I51" i="5"/>
  <c r="J51" i="21" s="1"/>
  <c r="W51" i="5"/>
  <c r="X51" i="21" s="1"/>
  <c r="P51" i="5"/>
  <c r="Q51" i="21" s="1"/>
  <c r="I55" i="5"/>
  <c r="J55" i="21" s="1"/>
  <c r="P55" i="5"/>
  <c r="Q55" i="21" s="1"/>
  <c r="W55" i="5"/>
  <c r="X55" i="21" s="1"/>
  <c r="I58" i="5"/>
  <c r="J58" i="21" s="1"/>
  <c r="W58" i="5"/>
  <c r="X58" i="21" s="1"/>
  <c r="P58" i="5"/>
  <c r="Q58" i="21" s="1"/>
  <c r="AE66" i="13"/>
  <c r="I61" i="5"/>
  <c r="J61" i="21" s="1"/>
  <c r="P58" i="21" l="1"/>
  <c r="P59" i="21"/>
  <c r="W58" i="21"/>
  <c r="W59" i="21"/>
  <c r="I58" i="21"/>
  <c r="I59" i="21"/>
  <c r="W55" i="21"/>
  <c r="W56" i="21"/>
  <c r="P55" i="21"/>
  <c r="P56" i="21"/>
  <c r="I55" i="21"/>
  <c r="I56" i="21"/>
  <c r="P51" i="21"/>
  <c r="P52" i="21"/>
  <c r="W51" i="21"/>
  <c r="W52" i="21"/>
  <c r="I51" i="21"/>
  <c r="I52" i="21"/>
  <c r="W46" i="21"/>
  <c r="W47" i="21"/>
  <c r="P46" i="21"/>
  <c r="P47" i="21"/>
  <c r="I61" i="21"/>
  <c r="I62" i="21"/>
  <c r="I46" i="21"/>
  <c r="I47" i="21"/>
  <c r="R65" i="21"/>
  <c r="Y65" i="21"/>
  <c r="I63" i="5"/>
  <c r="AG66" i="13"/>
  <c r="W61" i="5"/>
  <c r="X61" i="21" s="1"/>
  <c r="AF66" i="13"/>
  <c r="P61" i="5"/>
  <c r="Q61" i="21" s="1"/>
  <c r="I63" i="21" l="1"/>
  <c r="J63" i="21"/>
  <c r="P61" i="21"/>
  <c r="P62" i="21"/>
  <c r="W61" i="21"/>
  <c r="W62" i="21"/>
  <c r="W63" i="5"/>
  <c r="P63" i="5"/>
  <c r="AE123" i="13"/>
  <c r="I115" i="5" s="1"/>
  <c r="I113" i="5"/>
  <c r="W63" i="21" l="1"/>
  <c r="X63" i="21"/>
  <c r="P63" i="21"/>
  <c r="Q63" i="21"/>
  <c r="I114" i="21"/>
  <c r="J113" i="21"/>
  <c r="I115" i="21"/>
  <c r="J115" i="21"/>
  <c r="I112" i="21"/>
  <c r="I113" i="21"/>
  <c r="AF123" i="13"/>
  <c r="P115" i="5" s="1"/>
  <c r="P113" i="5"/>
  <c r="AG123" i="13"/>
  <c r="W115" i="5" s="1"/>
  <c r="W113" i="5"/>
  <c r="I154" i="5"/>
  <c r="J154" i="21" s="1"/>
  <c r="I156" i="5"/>
  <c r="J156" i="21" s="1"/>
  <c r="AE166" i="13"/>
  <c r="I160" i="5" s="1"/>
  <c r="I158" i="5"/>
  <c r="J158" i="21" s="1"/>
  <c r="W115" i="21" l="1"/>
  <c r="X115" i="21"/>
  <c r="W114" i="21"/>
  <c r="X113" i="21"/>
  <c r="P114" i="21"/>
  <c r="Q113" i="21"/>
  <c r="P115" i="21"/>
  <c r="Q115" i="21"/>
  <c r="I160" i="21"/>
  <c r="J160" i="21"/>
  <c r="I158" i="21"/>
  <c r="I159" i="21"/>
  <c r="I156" i="21"/>
  <c r="I157" i="21"/>
  <c r="I154" i="21"/>
  <c r="I155" i="21"/>
  <c r="W112" i="21"/>
  <c r="W113" i="21"/>
  <c r="P112" i="21"/>
  <c r="P113" i="21"/>
  <c r="P154" i="5"/>
  <c r="Q154" i="21" s="1"/>
  <c r="W154" i="5"/>
  <c r="X154" i="21" s="1"/>
  <c r="W156" i="5"/>
  <c r="X156" i="21" s="1"/>
  <c r="P156" i="5"/>
  <c r="Q156" i="21" s="1"/>
  <c r="AF166" i="13"/>
  <c r="P160" i="5" s="1"/>
  <c r="P158" i="5"/>
  <c r="Q158" i="21" s="1"/>
  <c r="AG166" i="13"/>
  <c r="W160" i="5" s="1"/>
  <c r="W158" i="5"/>
  <c r="X158" i="21" s="1"/>
  <c r="P203" i="5"/>
  <c r="Q203" i="21" s="1"/>
  <c r="W203" i="5"/>
  <c r="X203" i="21" s="1"/>
  <c r="W160" i="21" l="1"/>
  <c r="X160" i="21"/>
  <c r="P160" i="21"/>
  <c r="Q160" i="21"/>
  <c r="W154" i="21"/>
  <c r="W155" i="21"/>
  <c r="P154" i="21"/>
  <c r="P155" i="21"/>
  <c r="W158" i="21"/>
  <c r="W159" i="21"/>
  <c r="P158" i="21"/>
  <c r="P159" i="21"/>
  <c r="P156" i="21"/>
  <c r="P157" i="21"/>
  <c r="W156" i="21"/>
  <c r="W157" i="21"/>
  <c r="W200" i="21"/>
  <c r="W204" i="21"/>
  <c r="P200" i="21"/>
  <c r="P204" i="21"/>
  <c r="D44" i="11"/>
  <c r="E44" i="11" s="1"/>
  <c r="K44" i="11" s="1"/>
  <c r="AD31" i="11" l="1"/>
  <c r="F44" i="11" l="1"/>
  <c r="P206" i="5"/>
  <c r="P207" i="21" l="1"/>
  <c r="Q206" i="21"/>
  <c r="P203" i="21"/>
  <c r="P206" i="21"/>
  <c r="G44" i="11"/>
  <c r="L44" i="11" s="1"/>
  <c r="AE31" i="11" l="1"/>
  <c r="W206" i="5" l="1"/>
  <c r="X206" i="21" s="1"/>
  <c r="H44" i="11"/>
  <c r="W206" i="21" l="1"/>
  <c r="W207" i="21"/>
  <c r="W203" i="21"/>
  <c r="I44" i="11"/>
  <c r="M44" i="11" s="1"/>
  <c r="AF31" i="11" l="1"/>
  <c r="I203" i="5" l="1"/>
  <c r="J203" i="21" s="1"/>
  <c r="I206" i="5"/>
  <c r="J206" i="21" s="1"/>
  <c r="AE214" i="13"/>
  <c r="I206" i="21" l="1"/>
  <c r="I207" i="21"/>
  <c r="I200" i="21"/>
  <c r="I204" i="21"/>
  <c r="I203" i="21"/>
  <c r="I209" i="5"/>
  <c r="P209" i="5"/>
  <c r="G77" i="5"/>
  <c r="F31" i="16"/>
  <c r="I209" i="21" l="1"/>
  <c r="J209" i="21"/>
  <c r="G78" i="21"/>
  <c r="AG78" i="21" s="1"/>
  <c r="H77" i="21"/>
  <c r="P209" i="21"/>
  <c r="Q209" i="21"/>
  <c r="AD77" i="5"/>
  <c r="G77" i="21"/>
  <c r="AG77" i="21" s="1"/>
  <c r="AJ79" i="13"/>
  <c r="AJ97" i="13" s="1"/>
  <c r="AB97" i="13"/>
  <c r="AI79" i="13"/>
  <c r="AI97" i="13" s="1"/>
  <c r="AK79" i="13"/>
  <c r="AK97" i="13" s="1"/>
  <c r="F40" i="16"/>
  <c r="I40" i="16" s="1"/>
  <c r="I31" i="16"/>
  <c r="AD72" i="13" l="1"/>
  <c r="C38" i="11"/>
  <c r="F38" i="11"/>
  <c r="F46" i="11" s="1"/>
  <c r="BG261" i="13" s="1"/>
  <c r="Q92" i="5"/>
  <c r="H38" i="11"/>
  <c r="H46" i="11" s="1"/>
  <c r="BJ261" i="13" s="1"/>
  <c r="X92" i="5"/>
  <c r="D38" i="11"/>
  <c r="D46" i="11" s="1"/>
  <c r="BD261" i="13" s="1"/>
  <c r="J92" i="5"/>
  <c r="AD92" i="13"/>
  <c r="AE92" i="13" s="1"/>
  <c r="I89" i="5" s="1"/>
  <c r="J89" i="21" s="1"/>
  <c r="AD90" i="13"/>
  <c r="AD70" i="13"/>
  <c r="AG70" i="13" s="1"/>
  <c r="AD73" i="13"/>
  <c r="AG73" i="13" s="1"/>
  <c r="AB258" i="13"/>
  <c r="AD96" i="13"/>
  <c r="AD74" i="13"/>
  <c r="AF74" i="13" s="1"/>
  <c r="AD86" i="13"/>
  <c r="AD77" i="13"/>
  <c r="AE77" i="13" s="1"/>
  <c r="I75" i="5" s="1"/>
  <c r="J75" i="21" s="1"/>
  <c r="AD95" i="13"/>
  <c r="AD78" i="13"/>
  <c r="AG78" i="13" s="1"/>
  <c r="G92" i="5"/>
  <c r="AD76" i="13"/>
  <c r="AF76" i="13" s="1"/>
  <c r="AD87" i="13"/>
  <c r="AE87" i="13" s="1"/>
  <c r="AD91" i="13"/>
  <c r="AG91" i="13" s="1"/>
  <c r="AD79" i="13"/>
  <c r="AD84" i="13"/>
  <c r="AG84" i="13" s="1"/>
  <c r="BD260" i="13"/>
  <c r="C46" i="11"/>
  <c r="AD83" i="13"/>
  <c r="AD82" i="13"/>
  <c r="AD85" i="13"/>
  <c r="AG85" i="13" s="1"/>
  <c r="AD89" i="13"/>
  <c r="AF89" i="13" s="1"/>
  <c r="AD93" i="13"/>
  <c r="BG260" i="13"/>
  <c r="AD71" i="13"/>
  <c r="AG71" i="13" s="1"/>
  <c r="AD88" i="13"/>
  <c r="AD80" i="13"/>
  <c r="AE80" i="13" s="1"/>
  <c r="AD69" i="13"/>
  <c r="AD81" i="13"/>
  <c r="AD94" i="13"/>
  <c r="BJ260" i="13"/>
  <c r="AD75" i="13"/>
  <c r="AF72" i="13"/>
  <c r="P69" i="5" s="1"/>
  <c r="Q69" i="21" s="1"/>
  <c r="AG72" i="13"/>
  <c r="W69" i="5" s="1"/>
  <c r="X69" i="21" s="1"/>
  <c r="AE72" i="13"/>
  <c r="I69" i="5" s="1"/>
  <c r="J69" i="21" s="1"/>
  <c r="K92" i="21" l="1"/>
  <c r="Y92" i="21"/>
  <c r="AC92" i="21"/>
  <c r="G92" i="21"/>
  <c r="AG92" i="21" s="1"/>
  <c r="H92" i="21"/>
  <c r="R92" i="21"/>
  <c r="F32" i="3"/>
  <c r="AA258" i="13"/>
  <c r="F31" i="3" s="1"/>
  <c r="AF92" i="13"/>
  <c r="P89" i="5" s="1"/>
  <c r="Q89" i="21" s="1"/>
  <c r="AG92" i="13"/>
  <c r="W89" i="5" s="1"/>
  <c r="X89" i="21" s="1"/>
  <c r="AC206" i="21"/>
  <c r="AF78" i="13"/>
  <c r="P76" i="5" s="1"/>
  <c r="Q76" i="21" s="1"/>
  <c r="AE89" i="13"/>
  <c r="I86" i="5" s="1"/>
  <c r="J86" i="21" s="1"/>
  <c r="AG89" i="13"/>
  <c r="W86" i="5" s="1"/>
  <c r="X86" i="21" s="1"/>
  <c r="AE78" i="13"/>
  <c r="I76" i="5" s="1"/>
  <c r="W76" i="5"/>
  <c r="X76" i="21" s="1"/>
  <c r="P86" i="5"/>
  <c r="Q86" i="21" s="1"/>
  <c r="AG77" i="13"/>
  <c r="W75" i="5" s="1"/>
  <c r="X75" i="21" s="1"/>
  <c r="AF77" i="13"/>
  <c r="P75" i="5" s="1"/>
  <c r="Q75" i="21" s="1"/>
  <c r="AG76" i="13"/>
  <c r="W74" i="5" s="1"/>
  <c r="X74" i="21" s="1"/>
  <c r="AE76" i="13"/>
  <c r="AE91" i="13"/>
  <c r="I88" i="5" s="1"/>
  <c r="J88" i="21" s="1"/>
  <c r="AF91" i="13"/>
  <c r="W88" i="5" s="1"/>
  <c r="X88" i="21" s="1"/>
  <c r="AE73" i="13"/>
  <c r="I71" i="5" s="1"/>
  <c r="J71" i="21" s="1"/>
  <c r="AG87" i="13"/>
  <c r="W84" i="5" s="1"/>
  <c r="X84" i="21" s="1"/>
  <c r="AF85" i="13"/>
  <c r="P82" i="5" s="1"/>
  <c r="Q82" i="21" s="1"/>
  <c r="AE85" i="13"/>
  <c r="I82" i="5" s="1"/>
  <c r="J82" i="21" s="1"/>
  <c r="AF73" i="13"/>
  <c r="AF70" i="13"/>
  <c r="AF84" i="13"/>
  <c r="P81" i="5" s="1"/>
  <c r="Q81" i="21" s="1"/>
  <c r="AE84" i="13"/>
  <c r="I81" i="5" s="1"/>
  <c r="J81" i="21" s="1"/>
  <c r="AE70" i="13"/>
  <c r="I67" i="5" s="1"/>
  <c r="J67" i="21" s="1"/>
  <c r="I38" i="11"/>
  <c r="M38" i="11" s="1"/>
  <c r="M46" i="11" s="1"/>
  <c r="E38" i="11"/>
  <c r="K38" i="11" s="1"/>
  <c r="AD25" i="11" s="1"/>
  <c r="AD92" i="5"/>
  <c r="G38" i="11"/>
  <c r="L38" i="11" s="1"/>
  <c r="L46" i="11" s="1"/>
  <c r="T5" i="5" s="1"/>
  <c r="T5" i="21" s="1"/>
  <c r="AE71" i="13"/>
  <c r="I68" i="5" s="1"/>
  <c r="J68" i="21" s="1"/>
  <c r="AF71" i="13"/>
  <c r="P68" i="5" s="1"/>
  <c r="Q68" i="21" s="1"/>
  <c r="AG74" i="13"/>
  <c r="W72" i="5" s="1"/>
  <c r="X72" i="21" s="1"/>
  <c r="AE74" i="13"/>
  <c r="I72" i="5" s="1"/>
  <c r="J72" i="21" s="1"/>
  <c r="AF87" i="13"/>
  <c r="P84" i="5" s="1"/>
  <c r="Q84" i="21" s="1"/>
  <c r="AG80" i="13"/>
  <c r="W78" i="5" s="1"/>
  <c r="X78" i="21" s="1"/>
  <c r="AF80" i="13"/>
  <c r="P78" i="5" s="1"/>
  <c r="Q78" i="21" s="1"/>
  <c r="AG88" i="13"/>
  <c r="W85" i="5" s="1"/>
  <c r="X85" i="21" s="1"/>
  <c r="AE88" i="13"/>
  <c r="I85" i="5" s="1"/>
  <c r="J85" i="21" s="1"/>
  <c r="AF88" i="13"/>
  <c r="P85" i="5" s="1"/>
  <c r="Q85" i="21" s="1"/>
  <c r="AE81" i="13"/>
  <c r="I79" i="5" s="1"/>
  <c r="J79" i="21" s="1"/>
  <c r="AG81" i="13"/>
  <c r="W79" i="5" s="1"/>
  <c r="X79" i="21" s="1"/>
  <c r="AF81" i="13"/>
  <c r="P79" i="5" s="1"/>
  <c r="Q79" i="21" s="1"/>
  <c r="AD97" i="13"/>
  <c r="AG94" i="13"/>
  <c r="AE94" i="13"/>
  <c r="AF94" i="13"/>
  <c r="I78" i="5"/>
  <c r="J78" i="21" s="1"/>
  <c r="I84" i="5"/>
  <c r="J84" i="21" s="1"/>
  <c r="AG83" i="13"/>
  <c r="P74" i="5"/>
  <c r="Q74" i="21" s="1"/>
  <c r="W67" i="5"/>
  <c r="X67" i="21" s="1"/>
  <c r="I76" i="21" l="1"/>
  <c r="J76" i="21"/>
  <c r="I68" i="21"/>
  <c r="I69" i="21"/>
  <c r="P69" i="21"/>
  <c r="AG90" i="13"/>
  <c r="W87" i="5" s="1"/>
  <c r="I70" i="21"/>
  <c r="I71" i="21"/>
  <c r="W85" i="21"/>
  <c r="I72" i="21"/>
  <c r="P82" i="21"/>
  <c r="W79" i="21"/>
  <c r="W76" i="21"/>
  <c r="P86" i="21"/>
  <c r="I82" i="21"/>
  <c r="P76" i="21"/>
  <c r="P79" i="21"/>
  <c r="W86" i="21"/>
  <c r="I86" i="21"/>
  <c r="I79" i="21"/>
  <c r="P85" i="21"/>
  <c r="I85" i="21"/>
  <c r="W89" i="21"/>
  <c r="P75" i="21"/>
  <c r="W75" i="21"/>
  <c r="I89" i="21"/>
  <c r="AF75" i="13"/>
  <c r="P73" i="5" s="1"/>
  <c r="Q73" i="21" s="1"/>
  <c r="AE75" i="13"/>
  <c r="I73" i="5" s="1"/>
  <c r="I74" i="5"/>
  <c r="J74" i="21" s="1"/>
  <c r="W81" i="5"/>
  <c r="X81" i="21" s="1"/>
  <c r="P67" i="5"/>
  <c r="Q67" i="21" s="1"/>
  <c r="BJ262" i="13"/>
  <c r="BK262" i="13" s="1"/>
  <c r="BL262" i="13" s="1"/>
  <c r="AA5" i="5"/>
  <c r="AA5" i="21" s="1"/>
  <c r="AF90" i="13"/>
  <c r="P87" i="5" s="1"/>
  <c r="P71" i="5"/>
  <c r="Q71" i="21" s="1"/>
  <c r="W82" i="5"/>
  <c r="X82" i="21" s="1"/>
  <c r="P88" i="5"/>
  <c r="Q88" i="21" s="1"/>
  <c r="P72" i="5"/>
  <c r="Q72" i="21" s="1"/>
  <c r="W68" i="5"/>
  <c r="X68" i="21" s="1"/>
  <c r="W71" i="5"/>
  <c r="X71" i="21" s="1"/>
  <c r="AE90" i="13"/>
  <c r="I87" i="5" s="1"/>
  <c r="AG75" i="13"/>
  <c r="W73" i="5" s="1"/>
  <c r="AF83" i="13"/>
  <c r="P80" i="5" s="1"/>
  <c r="K46" i="11"/>
  <c r="BD262" i="13" s="1"/>
  <c r="BE262" i="13" s="1"/>
  <c r="BF262" i="13" s="1"/>
  <c r="AE83" i="13"/>
  <c r="I80" i="5" s="1"/>
  <c r="AF25" i="11"/>
  <c r="AF69" i="13"/>
  <c r="AE25" i="11"/>
  <c r="AE69" i="13"/>
  <c r="I66" i="5" s="1"/>
  <c r="AG69" i="13"/>
  <c r="AE86" i="13"/>
  <c r="I83" i="5" s="1"/>
  <c r="AG86" i="13"/>
  <c r="W83" i="5" s="1"/>
  <c r="X83" i="21" s="1"/>
  <c r="AF86" i="13"/>
  <c r="P83" i="5" s="1"/>
  <c r="AF79" i="13"/>
  <c r="AE79" i="13"/>
  <c r="I77" i="5" s="1"/>
  <c r="AG79" i="13"/>
  <c r="AF93" i="13"/>
  <c r="P90" i="5" s="1"/>
  <c r="P91" i="5"/>
  <c r="Q91" i="21" s="1"/>
  <c r="I91" i="5"/>
  <c r="J91" i="21" s="1"/>
  <c r="AE93" i="13"/>
  <c r="I90" i="5" s="1"/>
  <c r="AG93" i="13"/>
  <c r="W90" i="5" s="1"/>
  <c r="W91" i="5"/>
  <c r="X91" i="21" s="1"/>
  <c r="BG262" i="13"/>
  <c r="W87" i="21" l="1"/>
  <c r="X87" i="21"/>
  <c r="I80" i="21"/>
  <c r="J80" i="21"/>
  <c r="I90" i="21"/>
  <c r="J90" i="21"/>
  <c r="I73" i="21"/>
  <c r="J73" i="21"/>
  <c r="I77" i="21"/>
  <c r="J77" i="21"/>
  <c r="I83" i="21"/>
  <c r="J83" i="21"/>
  <c r="P80" i="21"/>
  <c r="Q80" i="21"/>
  <c r="P83" i="21"/>
  <c r="Q83" i="21"/>
  <c r="W73" i="21"/>
  <c r="X73" i="21"/>
  <c r="P87" i="21"/>
  <c r="Q87" i="21"/>
  <c r="W90" i="21"/>
  <c r="X90" i="21"/>
  <c r="P90" i="21"/>
  <c r="Q90" i="21"/>
  <c r="I66" i="21"/>
  <c r="J66" i="21"/>
  <c r="I87" i="21"/>
  <c r="J87" i="21"/>
  <c r="W68" i="21"/>
  <c r="W69" i="21"/>
  <c r="I67" i="21"/>
  <c r="P68" i="21"/>
  <c r="W70" i="21"/>
  <c r="W71" i="21"/>
  <c r="P70" i="21"/>
  <c r="P71" i="21"/>
  <c r="P72" i="21"/>
  <c r="W83" i="21"/>
  <c r="W82" i="21"/>
  <c r="P73" i="21"/>
  <c r="P74" i="21"/>
  <c r="W91" i="21"/>
  <c r="I91" i="21"/>
  <c r="P91" i="21"/>
  <c r="I88" i="21"/>
  <c r="P81" i="21"/>
  <c r="W88" i="21"/>
  <c r="I78" i="21"/>
  <c r="P88" i="21"/>
  <c r="P84" i="21"/>
  <c r="I81" i="21"/>
  <c r="W84" i="21"/>
  <c r="I74" i="21"/>
  <c r="I75" i="21"/>
  <c r="P89" i="21"/>
  <c r="W74" i="21"/>
  <c r="W72" i="21"/>
  <c r="I84" i="21"/>
  <c r="H11" i="11"/>
  <c r="P66" i="5"/>
  <c r="P77" i="5"/>
  <c r="Q77" i="21" s="1"/>
  <c r="W80" i="5"/>
  <c r="W77" i="5"/>
  <c r="X77" i="21" s="1"/>
  <c r="W66" i="5"/>
  <c r="X66" i="21" s="1"/>
  <c r="D11" i="11"/>
  <c r="M5" i="5"/>
  <c r="K5" i="21" s="1"/>
  <c r="AF97" i="13"/>
  <c r="AE97" i="13"/>
  <c r="AE260" i="13" s="1"/>
  <c r="AG97" i="13"/>
  <c r="F11" i="11"/>
  <c r="BH262" i="13"/>
  <c r="BI262" i="13" s="1"/>
  <c r="W80" i="21" l="1"/>
  <c r="X80" i="21"/>
  <c r="P66" i="21"/>
  <c r="Q66" i="21"/>
  <c r="W66" i="21"/>
  <c r="W67" i="21"/>
  <c r="P67" i="21"/>
  <c r="P77" i="21"/>
  <c r="P78" i="21"/>
  <c r="W77" i="21"/>
  <c r="W78" i="21"/>
  <c r="W81" i="21"/>
  <c r="W92" i="5"/>
  <c r="P92" i="5"/>
  <c r="I92" i="5"/>
  <c r="BJ315" i="13"/>
  <c r="BS309" i="13" s="1"/>
  <c r="AD51" i="11" s="1"/>
  <c r="BG250" i="13"/>
  <c r="BH250" i="13" s="1"/>
  <c r="Q137" i="5" s="1"/>
  <c r="R137" i="21" s="1"/>
  <c r="AY145" i="13"/>
  <c r="I92" i="21" l="1"/>
  <c r="J92" i="21"/>
  <c r="W92" i="21"/>
  <c r="X92" i="21"/>
  <c r="P92" i="21"/>
  <c r="Q92" i="21"/>
  <c r="Q137" i="21"/>
  <c r="BH145" i="13"/>
  <c r="Q138" i="5" s="1"/>
  <c r="BG259" i="13"/>
  <c r="BI315" i="13"/>
  <c r="BR309" i="13" s="1"/>
  <c r="AC51" i="11" s="1"/>
  <c r="BE145" i="13"/>
  <c r="Q139" i="21" l="1"/>
  <c r="R138" i="21"/>
  <c r="BH259" i="13"/>
  <c r="BI259" i="13" s="1"/>
  <c r="BI264" i="13" s="1"/>
  <c r="BH264" i="13" s="1"/>
  <c r="BH258" i="13"/>
  <c r="Q138" i="21"/>
  <c r="BK145" i="13"/>
  <c r="X138" i="5" s="1"/>
  <c r="BJ250" i="13"/>
  <c r="BK250" i="13" s="1"/>
  <c r="X137" i="5" s="1"/>
  <c r="Y137" i="21" s="1"/>
  <c r="J138" i="5"/>
  <c r="J137" i="5"/>
  <c r="K137" i="21" s="1"/>
  <c r="BK315" i="13"/>
  <c r="BT309" i="13" s="1"/>
  <c r="AE51" i="11" s="1"/>
  <c r="BJ259" i="13" l="1"/>
  <c r="BK258" i="13" s="1"/>
  <c r="X139" i="21"/>
  <c r="Y138" i="21"/>
  <c r="J139" i="21"/>
  <c r="K138" i="21"/>
  <c r="F12" i="11"/>
  <c r="L48" i="11" s="1"/>
  <c r="T6" i="5"/>
  <c r="T6" i="21" s="1"/>
  <c r="BH267" i="13"/>
  <c r="J138" i="21"/>
  <c r="J137" i="21"/>
  <c r="X138" i="21"/>
  <c r="X137" i="21"/>
  <c r="F10" i="11"/>
  <c r="L47" i="11" s="1"/>
  <c r="T4" i="5"/>
  <c r="T4" i="21" s="1"/>
  <c r="BK259" i="13" l="1"/>
  <c r="BL259" i="13" s="1"/>
  <c r="BL264" i="13" s="1"/>
  <c r="BK264" i="13" s="1"/>
  <c r="H12" i="11"/>
  <c r="M48" i="11" s="1"/>
  <c r="AA6" i="5"/>
  <c r="AA6" i="21" s="1"/>
  <c r="BK267" i="13" l="1"/>
  <c r="AA4" i="5"/>
  <c r="AA4" i="21" s="1"/>
  <c r="H10" i="11"/>
  <c r="M47" i="11" s="1"/>
  <c r="BI320" i="13" l="1"/>
  <c r="BE158" i="13"/>
  <c r="J152" i="5" s="1"/>
  <c r="BD259" i="13"/>
  <c r="BE258" i="13" s="1"/>
  <c r="BE251" i="13"/>
  <c r="J153" i="5" s="1"/>
  <c r="BI321" i="13"/>
  <c r="J153" i="21" l="1"/>
  <c r="K153" i="21"/>
  <c r="J152" i="21"/>
  <c r="K152" i="21"/>
  <c r="M6" i="5"/>
  <c r="D12" i="11"/>
  <c r="K48" i="11" s="1"/>
  <c r="BE259" i="13"/>
  <c r="BR311" i="13"/>
  <c r="AC53" i="11" s="1"/>
  <c r="K6" i="21" l="1"/>
  <c r="BF259" i="13"/>
  <c r="BF264" i="13" s="1"/>
  <c r="BE267" i="13" s="1"/>
  <c r="BE264" i="13" l="1"/>
  <c r="M4" i="5" s="1"/>
  <c r="K4" i="21" s="1"/>
  <c r="K10" i="11"/>
  <c r="F8" i="5"/>
  <c r="F8" i="21" s="1"/>
  <c r="D10" i="11" l="1"/>
  <c r="K4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I9" authorId="0" shapeId="0" xr:uid="{30D6E5A2-4011-4BE2-B4D8-525E7394EDE5}">
      <text>
        <r>
          <rPr>
            <sz val="9"/>
            <color indexed="81"/>
            <rFont val="Tahoma"/>
            <family val="2"/>
          </rPr>
          <t>Contribution to score. 
0 c. 0% means number of credits achieved and contribution to score.</t>
        </r>
      </text>
    </comment>
    <comment ref="J9" authorId="0" shapeId="0" xr:uid="{F425A9A2-18E4-414B-9BBC-F48CC9B81F78}">
      <text>
        <r>
          <rPr>
            <sz val="9"/>
            <color indexed="81"/>
            <rFont val="Tahoma"/>
            <family val="2"/>
          </rPr>
          <t>Minimum standards level achieved</t>
        </r>
      </text>
    </comment>
    <comment ref="L9" authorId="0" shapeId="0" xr:uid="{F323149C-5FF4-4108-94F4-B5AE26B4E30F}">
      <text>
        <r>
          <rPr>
            <sz val="9"/>
            <color indexed="81"/>
            <rFont val="Tahoma"/>
            <family val="2"/>
          </rPr>
          <t>(</t>
        </r>
        <r>
          <rPr>
            <b/>
            <sz val="9"/>
            <color indexed="81"/>
            <rFont val="Tahoma"/>
            <family val="2"/>
          </rPr>
          <t>G) -</t>
        </r>
        <r>
          <rPr>
            <sz val="9"/>
            <color indexed="81"/>
            <rFont val="Tahoma"/>
            <family val="2"/>
          </rPr>
          <t xml:space="preserve"> Green - OK
</t>
        </r>
        <r>
          <rPr>
            <b/>
            <sz val="9"/>
            <color indexed="81"/>
            <rFont val="Tahoma"/>
            <family val="2"/>
          </rPr>
          <t xml:space="preserve">(Y) </t>
        </r>
        <r>
          <rPr>
            <sz val="9"/>
            <color indexed="81"/>
            <rFont val="Tahoma"/>
            <family val="2"/>
          </rPr>
          <t xml:space="preserve">- Yellow - Unsure
</t>
        </r>
        <r>
          <rPr>
            <b/>
            <sz val="9"/>
            <color indexed="81"/>
            <rFont val="Tahoma"/>
            <family val="2"/>
          </rPr>
          <t>(R) -</t>
        </r>
        <r>
          <rPr>
            <sz val="9"/>
            <color indexed="81"/>
            <rFont val="Tahoma"/>
            <family val="2"/>
          </rPr>
          <t xml:space="preserve"> Red - Not OK</t>
        </r>
        <r>
          <rPr>
            <b/>
            <sz val="9"/>
            <color indexed="81"/>
            <rFont val="Tahoma"/>
            <family val="2"/>
          </rPr>
          <t xml:space="preserve">
</t>
        </r>
        <r>
          <rPr>
            <sz val="9"/>
            <color indexed="81"/>
            <rFont val="Tahoma"/>
            <family val="2"/>
          </rPr>
          <t xml:space="preserve">
</t>
        </r>
      </text>
    </comment>
    <comment ref="P9" authorId="0" shapeId="0" xr:uid="{72353AB7-E94E-4018-A4F4-32381BCFBE23}">
      <text>
        <r>
          <rPr>
            <sz val="9"/>
            <color indexed="81"/>
            <rFont val="Tahoma"/>
            <family val="2"/>
          </rPr>
          <t>0 c. 0% means number of credits achieved and contribution to score.</t>
        </r>
        <r>
          <rPr>
            <sz val="9"/>
            <color indexed="81"/>
            <rFont val="Tahoma"/>
            <family val="2"/>
          </rPr>
          <t xml:space="preserve">
</t>
        </r>
      </text>
    </comment>
    <comment ref="W9" authorId="0" shapeId="0" xr:uid="{58D8B135-5C11-4997-A3D7-5AE08EB87F00}">
      <text>
        <r>
          <rPr>
            <sz val="9"/>
            <color indexed="81"/>
            <rFont val="Tahoma"/>
            <family val="2"/>
          </rPr>
          <t>0 c. 0% means number of credits achieved and contribution to score.</t>
        </r>
      </text>
    </comment>
    <comment ref="F47" authorId="0" shapeId="0" xr:uid="{253B3D45-5FEB-4C4D-B97C-1EE64C83FD38}">
      <text>
        <r>
          <rPr>
            <sz val="9"/>
            <color indexed="81"/>
            <rFont val="Tahoma"/>
            <family val="2"/>
          </rPr>
          <t>Requirement: Compliance with</t>
        </r>
        <r>
          <rPr>
            <b/>
            <sz val="9"/>
            <color indexed="81"/>
            <rFont val="Tahoma"/>
            <family val="2"/>
          </rPr>
          <t xml:space="preserve"> Mat 05</t>
        </r>
        <r>
          <rPr>
            <sz val="9"/>
            <color indexed="81"/>
            <rFont val="Tahoma"/>
            <family val="2"/>
          </rPr>
          <t xml:space="preserve"> </t>
        </r>
        <r>
          <rPr>
            <b/>
            <sz val="9"/>
            <color indexed="81"/>
            <rFont val="Tahoma"/>
            <family val="2"/>
          </rPr>
          <t xml:space="preserve">criteria 6–8 </t>
        </r>
        <r>
          <rPr>
            <sz val="9"/>
            <color indexed="81"/>
            <rFont val="Tahoma"/>
            <family val="2"/>
          </rPr>
          <t>Control plan and moisture measurements.</t>
        </r>
      </text>
    </comment>
    <comment ref="F52" authorId="0" shapeId="0" xr:uid="{261D583D-125A-40C7-893D-8B7B4082601C}">
      <text>
        <r>
          <rPr>
            <sz val="9"/>
            <color indexed="81"/>
            <rFont val="Tahoma"/>
            <family val="2"/>
          </rPr>
          <t>Requirement for</t>
        </r>
        <r>
          <rPr>
            <b/>
            <sz val="9"/>
            <color indexed="81"/>
            <rFont val="Tahoma"/>
            <family val="2"/>
          </rPr>
          <t xml:space="preserve"> Ene 01 Passive design</t>
        </r>
        <r>
          <rPr>
            <sz val="9"/>
            <color indexed="81"/>
            <rFont val="Tahoma"/>
            <family val="2"/>
          </rPr>
          <t>: The assessment will achieve the first credit in Hea 03 Thermal comfort: Thermal modelling</t>
        </r>
      </text>
    </comment>
    <comment ref="F67" authorId="0" shapeId="0" xr:uid="{18C746A1-0AE3-45F3-9838-043A6EA2652A}">
      <text>
        <r>
          <rPr>
            <sz val="9"/>
            <color indexed="81"/>
            <rFont val="Tahoma"/>
            <family val="2"/>
          </rPr>
          <t>Requirement: Hea 03 Thermal comfort: Thermal modelling (N/A for shell only. N/A for industrial building without an office area)</t>
        </r>
      </text>
    </comment>
    <comment ref="F134" authorId="0" shapeId="0" xr:uid="{787C9B7F-FF07-4CA5-B5ED-FC86A40CD8F7}">
      <text>
        <r>
          <rPr>
            <sz val="9"/>
            <color indexed="81"/>
            <rFont val="Tahoma"/>
            <family val="2"/>
          </rPr>
          <t xml:space="preserve">Requirement for </t>
        </r>
        <r>
          <rPr>
            <b/>
            <sz val="9"/>
            <color indexed="81"/>
            <rFont val="Tahoma"/>
            <family val="2"/>
          </rPr>
          <t xml:space="preserve">Hea 02 </t>
        </r>
        <r>
          <rPr>
            <sz val="9"/>
            <color indexed="81"/>
            <rFont val="Tahoma"/>
            <family val="2"/>
          </rPr>
          <t>Pre-requisite: A site-specific indoor air quality plan has been produced</t>
        </r>
      </text>
    </comment>
    <comment ref="F171" authorId="0" shapeId="0" xr:uid="{726317CC-8A2E-4A13-A0CB-B6320E89BAEF}">
      <text>
        <r>
          <rPr>
            <sz val="9"/>
            <color indexed="81"/>
            <rFont val="Tahoma"/>
            <family val="2"/>
          </rPr>
          <t>Requirement for LE 03 :Criteria 2–6 in LE 02 must have been achieved</t>
        </r>
      </text>
    </comment>
    <comment ref="F216" authorId="0" shapeId="0" xr:uid="{E5C9B72E-1444-4753-8B9F-4041CAE9350A}">
      <text>
        <r>
          <rPr>
            <b/>
            <sz val="9"/>
            <color indexed="81"/>
            <rFont val="Tahoma"/>
            <family val="2"/>
          </rPr>
          <t>Requirement:</t>
        </r>
        <r>
          <rPr>
            <sz val="9"/>
            <color indexed="81"/>
            <rFont val="Tahoma"/>
            <family val="2"/>
          </rPr>
          <t xml:space="preserve">
Ene 01: Prediction of operational energy consumption 
Ene 02: Energy monitoring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Oddbjørn Dahlstrøm</author>
    <author>Oddbjørn Dahlstrøm Andvik</author>
  </authors>
  <commentList>
    <comment ref="AB62" authorId="0" shapeId="0" xr:uid="{00000000-0006-0000-0300-000001000000}">
      <text>
        <r>
          <rPr>
            <sz val="9"/>
            <color indexed="81"/>
            <rFont val="Tahoma"/>
            <family val="2"/>
          </rPr>
          <t>Må være slik for å få manuell filtrering ved Bespokt til å fungere</t>
        </r>
      </text>
    </comment>
    <comment ref="F79" authorId="1" shapeId="0" xr:uid="{443B899F-3E52-4437-A113-E2063BB823B0}">
      <text>
        <r>
          <rPr>
            <b/>
            <sz val="9"/>
            <color indexed="81"/>
            <rFont val="Tahoma"/>
            <family val="2"/>
          </rPr>
          <t>Skal være 1</t>
        </r>
        <r>
          <rPr>
            <sz val="9"/>
            <color indexed="81"/>
            <rFont val="Tahoma"/>
            <family val="2"/>
          </rPr>
          <t xml:space="preserve">
</t>
        </r>
      </text>
    </comment>
    <comment ref="G79" authorId="1" shapeId="0" xr:uid="{5CF6CBF8-C714-4294-B802-308024A0E07F}">
      <text>
        <r>
          <rPr>
            <b/>
            <sz val="9"/>
            <color indexed="81"/>
            <rFont val="Tahoma"/>
            <family val="2"/>
          </rPr>
          <t>Skal være 1</t>
        </r>
        <r>
          <rPr>
            <sz val="9"/>
            <color indexed="81"/>
            <rFont val="Tahoma"/>
            <family val="2"/>
          </rPr>
          <t xml:space="preserve">
</t>
        </r>
      </text>
    </comment>
    <comment ref="H79" authorId="1" shapeId="0" xr:uid="{A7A24F0F-9C85-4CD8-9F37-A4CA70F9C766}">
      <text>
        <r>
          <rPr>
            <b/>
            <sz val="9"/>
            <color indexed="81"/>
            <rFont val="Tahoma"/>
            <family val="2"/>
          </rPr>
          <t>Skal være 1</t>
        </r>
        <r>
          <rPr>
            <sz val="9"/>
            <color indexed="81"/>
            <rFont val="Tahoma"/>
            <family val="2"/>
          </rPr>
          <t xml:space="preserve">
</t>
        </r>
      </text>
    </comment>
    <comment ref="I79" authorId="1" shapeId="0" xr:uid="{5A397767-B974-492E-BE9E-979C7004A2BC}">
      <text>
        <r>
          <rPr>
            <b/>
            <sz val="9"/>
            <color indexed="81"/>
            <rFont val="Tahoma"/>
            <family val="2"/>
          </rPr>
          <t>Skal være 1</t>
        </r>
        <r>
          <rPr>
            <sz val="9"/>
            <color indexed="81"/>
            <rFont val="Tahoma"/>
            <family val="2"/>
          </rPr>
          <t xml:space="preserve">
</t>
        </r>
      </text>
    </comment>
    <comment ref="J79" authorId="1" shapeId="0" xr:uid="{99A478BC-B705-4717-904C-B484569AD718}">
      <text>
        <r>
          <rPr>
            <b/>
            <sz val="9"/>
            <color indexed="81"/>
            <rFont val="Tahoma"/>
            <family val="2"/>
          </rPr>
          <t>Skal være 1</t>
        </r>
        <r>
          <rPr>
            <sz val="9"/>
            <color indexed="81"/>
            <rFont val="Tahoma"/>
            <family val="2"/>
          </rPr>
          <t xml:space="preserve">
</t>
        </r>
      </text>
    </comment>
    <comment ref="K79" authorId="1" shapeId="0" xr:uid="{33F3245B-923B-4646-AE09-696883125E15}">
      <text>
        <r>
          <rPr>
            <b/>
            <sz val="9"/>
            <color indexed="81"/>
            <rFont val="Tahoma"/>
            <family val="2"/>
          </rPr>
          <t>Skal være 1</t>
        </r>
        <r>
          <rPr>
            <sz val="9"/>
            <color indexed="81"/>
            <rFont val="Tahoma"/>
            <family val="2"/>
          </rPr>
          <t xml:space="preserve">
</t>
        </r>
      </text>
    </comment>
    <comment ref="L79" authorId="1" shapeId="0" xr:uid="{F8A6BD9A-25BD-4749-BAB0-7E28E7D6BC89}">
      <text>
        <r>
          <rPr>
            <b/>
            <sz val="9"/>
            <color indexed="81"/>
            <rFont val="Tahoma"/>
            <family val="2"/>
          </rPr>
          <t>Skal være 1</t>
        </r>
        <r>
          <rPr>
            <sz val="9"/>
            <color indexed="81"/>
            <rFont val="Tahoma"/>
            <family val="2"/>
          </rPr>
          <t xml:space="preserve">
</t>
        </r>
      </text>
    </comment>
    <comment ref="M79" authorId="1" shapeId="0" xr:uid="{60F5FF42-633E-4D84-BB49-9704BF9ED20C}">
      <text>
        <r>
          <rPr>
            <b/>
            <sz val="9"/>
            <color indexed="81"/>
            <rFont val="Tahoma"/>
            <family val="2"/>
          </rPr>
          <t>Skal være 1</t>
        </r>
        <r>
          <rPr>
            <sz val="9"/>
            <color indexed="81"/>
            <rFont val="Tahoma"/>
            <family val="2"/>
          </rPr>
          <t xml:space="preserve">
</t>
        </r>
      </text>
    </comment>
    <comment ref="N79" authorId="1" shapeId="0" xr:uid="{D9769830-0832-49ED-A0B4-571B9B17A365}">
      <text>
        <r>
          <rPr>
            <b/>
            <sz val="9"/>
            <color indexed="81"/>
            <rFont val="Tahoma"/>
            <family val="2"/>
          </rPr>
          <t>Skal være 1</t>
        </r>
        <r>
          <rPr>
            <sz val="9"/>
            <color indexed="81"/>
            <rFont val="Tahoma"/>
            <family val="2"/>
          </rPr>
          <t xml:space="preserve">
</t>
        </r>
      </text>
    </comment>
    <comment ref="O79" authorId="1" shapeId="0" xr:uid="{7E448815-A28D-4AE5-8953-13D2BD3643E0}">
      <text>
        <r>
          <rPr>
            <b/>
            <sz val="9"/>
            <color indexed="81"/>
            <rFont val="Tahoma"/>
            <family val="2"/>
          </rPr>
          <t>Skal være 1</t>
        </r>
        <r>
          <rPr>
            <sz val="9"/>
            <color indexed="81"/>
            <rFont val="Tahoma"/>
            <family val="2"/>
          </rPr>
          <t xml:space="preserve">
</t>
        </r>
      </text>
    </comment>
    <comment ref="P79" authorId="1" shapeId="0" xr:uid="{032BE33F-1AEF-4F1B-B478-7D777E336E32}">
      <text>
        <r>
          <rPr>
            <b/>
            <sz val="9"/>
            <color indexed="81"/>
            <rFont val="Tahoma"/>
            <family val="2"/>
          </rPr>
          <t>Skal være 1</t>
        </r>
        <r>
          <rPr>
            <sz val="9"/>
            <color indexed="81"/>
            <rFont val="Tahoma"/>
            <family val="2"/>
          </rPr>
          <t xml:space="preserve">
</t>
        </r>
      </text>
    </comment>
    <comment ref="Q79" authorId="1" shapeId="0" xr:uid="{BF3967F9-09C2-4604-BB49-7A0551D9B0EE}">
      <text>
        <r>
          <rPr>
            <b/>
            <sz val="9"/>
            <color indexed="81"/>
            <rFont val="Tahoma"/>
            <family val="2"/>
          </rPr>
          <t>Skal være 1</t>
        </r>
        <r>
          <rPr>
            <sz val="9"/>
            <color indexed="81"/>
            <rFont val="Tahoma"/>
            <family val="2"/>
          </rPr>
          <t xml:space="preserve">
</t>
        </r>
      </text>
    </comment>
    <comment ref="R79" authorId="1" shapeId="0" xr:uid="{BB8D662A-8A58-4001-94F7-FEDE9B68BCD7}">
      <text>
        <r>
          <rPr>
            <b/>
            <sz val="9"/>
            <color indexed="81"/>
            <rFont val="Tahoma"/>
            <family val="2"/>
          </rPr>
          <t>Skal være 1</t>
        </r>
        <r>
          <rPr>
            <sz val="9"/>
            <color indexed="81"/>
            <rFont val="Tahoma"/>
            <family val="2"/>
          </rPr>
          <t xml:space="preserve">
</t>
        </r>
      </text>
    </comment>
    <comment ref="U101" authorId="1" shapeId="0" xr:uid="{7A97D175-62DB-4838-A19C-59B6F0991062}">
      <text>
        <r>
          <rPr>
            <sz val="9"/>
            <color indexed="81"/>
            <rFont val="Tahoma"/>
            <family val="2"/>
          </rPr>
          <t>filter kan nok slettes (08.11.21)</t>
        </r>
      </text>
    </comment>
    <comment ref="BP114" authorId="1" shapeId="0" xr:uid="{D613F3BC-1803-4D88-82A8-5D57FEECF737}">
      <text>
        <r>
          <rPr>
            <b/>
            <sz val="9"/>
            <color indexed="81"/>
            <rFont val="Tahoma"/>
            <family val="2"/>
          </rPr>
          <t>Oddbjørn Dahlstrøm Andvik:</t>
        </r>
        <r>
          <rPr>
            <sz val="9"/>
            <color indexed="81"/>
            <rFont val="Tahoma"/>
            <family val="2"/>
          </rPr>
          <t xml:space="preserve">
setter til 0</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<sst xmlns="http://schemas.openxmlformats.org/spreadsheetml/2006/main" count="4586" uniqueCount="1212">
  <si>
    <t xml:space="preserve"> </t>
  </si>
  <si>
    <t>Construction</t>
  </si>
  <si>
    <t>Current Version</t>
  </si>
  <si>
    <t>Mat01</t>
  </si>
  <si>
    <t>Version</t>
  </si>
  <si>
    <t>Release Date</t>
  </si>
  <si>
    <t>Copyright</t>
  </si>
  <si>
    <t>Date</t>
  </si>
  <si>
    <t>Residential</t>
  </si>
  <si>
    <t>Building contains multiple tenants/departments/function areas</t>
  </si>
  <si>
    <t>MANAGEMENT</t>
  </si>
  <si>
    <t>Yes</t>
  </si>
  <si>
    <t>No</t>
  </si>
  <si>
    <t>N/A</t>
  </si>
  <si>
    <t>No. of BREEAM credits available</t>
  </si>
  <si>
    <t>BRE Assessment reference no.</t>
  </si>
  <si>
    <t>Client name</t>
  </si>
  <si>
    <t>Building end user/occupier</t>
  </si>
  <si>
    <t>Assessor name</t>
  </si>
  <si>
    <t>Building details</t>
  </si>
  <si>
    <t>Building name</t>
  </si>
  <si>
    <t>Building address</t>
  </si>
  <si>
    <t>Building type (sub-group)</t>
  </si>
  <si>
    <t>Project type</t>
  </si>
  <si>
    <t>Assessment stage</t>
  </si>
  <si>
    <t>Project team details</t>
  </si>
  <si>
    <t>Developer</t>
  </si>
  <si>
    <t>Principal contractor</t>
  </si>
  <si>
    <t>Project management</t>
  </si>
  <si>
    <t>Office</t>
  </si>
  <si>
    <t>Industrial</t>
  </si>
  <si>
    <t>Retail</t>
  </si>
  <si>
    <t>Education</t>
  </si>
  <si>
    <t>Post Construction (Final, as-built)</t>
  </si>
  <si>
    <t>New Construction (fully fitted)</t>
  </si>
  <si>
    <t>Major Refurbishment (fully fitted)</t>
  </si>
  <si>
    <t>No laboratory</t>
  </si>
  <si>
    <t>Cat Level 2</t>
  </si>
  <si>
    <t>Cat Level 3</t>
  </si>
  <si>
    <t>Cat Level 1 only</t>
  </si>
  <si>
    <t>Assessor organisation</t>
  </si>
  <si>
    <t>New Construction</t>
  </si>
  <si>
    <t>Credits</t>
  </si>
  <si>
    <t>ENERGY</t>
  </si>
  <si>
    <t>HEALTH &amp; WELLBEING</t>
  </si>
  <si>
    <t>Option not applicable to building type</t>
  </si>
  <si>
    <t>General information</t>
  </si>
  <si>
    <t>BREEAM assessor declaration of assessment accuracy and quality</t>
  </si>
  <si>
    <t>Minimum standards level achieved</t>
  </si>
  <si>
    <t>Please select:</t>
  </si>
  <si>
    <t>Minimum standard(s) level</t>
  </si>
  <si>
    <t>Building type (main description)</t>
  </si>
  <si>
    <t>TRANSPORT</t>
  </si>
  <si>
    <t>WATER</t>
  </si>
  <si>
    <t>MATERIALS</t>
  </si>
  <si>
    <t>WASTE</t>
  </si>
  <si>
    <t>LAND USE &amp; ECOLOGY</t>
  </si>
  <si>
    <t>POLLUTION</t>
  </si>
  <si>
    <t>Water</t>
  </si>
  <si>
    <t>Overall Building Performance</t>
  </si>
  <si>
    <t>Building Performance by Environment Section</t>
  </si>
  <si>
    <t>Management</t>
  </si>
  <si>
    <t>% credits achieved</t>
  </si>
  <si>
    <t>No. credits available</t>
  </si>
  <si>
    <t>Health &amp; Wellbeing</t>
  </si>
  <si>
    <t>Energy</t>
  </si>
  <si>
    <t>Transport</t>
  </si>
  <si>
    <t>Materials</t>
  </si>
  <si>
    <t>Waste</t>
  </si>
  <si>
    <t>Land Use &amp; Ecology</t>
  </si>
  <si>
    <t>Pollution</t>
  </si>
  <si>
    <t>Innovation</t>
  </si>
  <si>
    <t>Unclassified</t>
  </si>
  <si>
    <t>Environmental Section</t>
  </si>
  <si>
    <t>Pass</t>
  </si>
  <si>
    <t>Good</t>
  </si>
  <si>
    <t>Very Good</t>
  </si>
  <si>
    <t>Excellent</t>
  </si>
  <si>
    <t>Outstanding</t>
  </si>
  <si>
    <t>Min. standards level achieved</t>
  </si>
  <si>
    <t>Available contribution to overall score</t>
  </si>
  <si>
    <t>Total contribution to overall building score</t>
  </si>
  <si>
    <t>Pre-assessment</t>
  </si>
  <si>
    <t>Total indicative environmental section performance</t>
  </si>
  <si>
    <t>Indicative total score</t>
  </si>
  <si>
    <t>Navn</t>
  </si>
  <si>
    <t>Issues in BREEAM-NOR v. 1.1</t>
  </si>
  <si>
    <t>P</t>
  </si>
  <si>
    <t>G</t>
  </si>
  <si>
    <t>VG</t>
  </si>
  <si>
    <t>O</t>
  </si>
  <si>
    <t>Man 01</t>
  </si>
  <si>
    <t>Man 02</t>
  </si>
  <si>
    <t>Man 03</t>
  </si>
  <si>
    <t>Man 04</t>
  </si>
  <si>
    <t>Man 05</t>
  </si>
  <si>
    <t>Man 06</t>
  </si>
  <si>
    <t>Man 07</t>
  </si>
  <si>
    <t>Kode</t>
  </si>
  <si>
    <t>Valgt bygg</t>
  </si>
  <si>
    <t>Available credits</t>
  </si>
  <si>
    <t>Contribution to score</t>
  </si>
  <si>
    <t>Total performance management</t>
  </si>
  <si>
    <t>Total performance health &amp; wellbeing</t>
  </si>
  <si>
    <t>Total performance energy</t>
  </si>
  <si>
    <t>Total performance transport</t>
  </si>
  <si>
    <t>Total performance water</t>
  </si>
  <si>
    <t>Total performance materials</t>
  </si>
  <si>
    <t>Total performance waste</t>
  </si>
  <si>
    <t>Total performance land use and ecology</t>
  </si>
  <si>
    <t>Total performance pollution</t>
  </si>
  <si>
    <t>Hea 02 Indoor air quality</t>
  </si>
  <si>
    <t>Hea 03 Thermal comfort</t>
  </si>
  <si>
    <t>Hea 06 Safe access</t>
  </si>
  <si>
    <t>Hea 01 Visual comfort</t>
  </si>
  <si>
    <t>Hea 08 Private space</t>
  </si>
  <si>
    <t>Hea 01</t>
  </si>
  <si>
    <t>Hea 02</t>
  </si>
  <si>
    <t>Hea 03</t>
  </si>
  <si>
    <t>Hea 04</t>
  </si>
  <si>
    <t>Hea 05</t>
  </si>
  <si>
    <t>Hea 06</t>
  </si>
  <si>
    <t>Hea 07</t>
  </si>
  <si>
    <t>Hea 08</t>
  </si>
  <si>
    <t>Hea 09</t>
  </si>
  <si>
    <t>Hea</t>
  </si>
  <si>
    <t>Hea 05 Acoustic performance</t>
  </si>
  <si>
    <t>Ene 01 Energy efficiency</t>
  </si>
  <si>
    <t>Ene 03 External lighting</t>
  </si>
  <si>
    <t>Ene 05 Energy efficient cold storage</t>
  </si>
  <si>
    <t>Ene 06 Energy efficient transportation systems</t>
  </si>
  <si>
    <t>Ene 07 Energy Efficient Laboratory Systems</t>
  </si>
  <si>
    <t>Ene 08 Energy efficient equipment</t>
  </si>
  <si>
    <t>Ene 02 Energy monitoring</t>
  </si>
  <si>
    <t>Ene 01</t>
  </si>
  <si>
    <t>Ene 02</t>
  </si>
  <si>
    <t>Ene 03</t>
  </si>
  <si>
    <t>Ene 04</t>
  </si>
  <si>
    <t>Ene 05</t>
  </si>
  <si>
    <t>Ene 06</t>
  </si>
  <si>
    <t>Ene 07</t>
  </si>
  <si>
    <t>Ene 08</t>
  </si>
  <si>
    <t>Ene 09</t>
  </si>
  <si>
    <t>Ene 23</t>
  </si>
  <si>
    <t>Tra 01 Public transport accessibility</t>
  </si>
  <si>
    <t>Tra 02 Proximity to amenities</t>
  </si>
  <si>
    <t>Tra 01</t>
  </si>
  <si>
    <t>Tra 02</t>
  </si>
  <si>
    <t>Tra 03</t>
  </si>
  <si>
    <t>Tra 04</t>
  </si>
  <si>
    <t>Tra 05</t>
  </si>
  <si>
    <t>Wat 01 Water consumption</t>
  </si>
  <si>
    <t>Wat 02 Water monitoring</t>
  </si>
  <si>
    <t>Wat 03 Water leak detection and prevention</t>
  </si>
  <si>
    <t>Wat 04 Water efficient equipment</t>
  </si>
  <si>
    <t>Mat 01 Life cycle impacts</t>
  </si>
  <si>
    <t>Mat 03 Responsible sourcing of materials</t>
  </si>
  <si>
    <t>Mat 05 Designing for robustness</t>
  </si>
  <si>
    <t>Wst 01 Construction waste management</t>
  </si>
  <si>
    <t>LE 01 Site selection</t>
  </si>
  <si>
    <t>LE 02 Ecological value of site and protection of ecological features</t>
  </si>
  <si>
    <t>LE 04 Enhancing site ecology</t>
  </si>
  <si>
    <t>LE 05 Long term impact on biodiversity</t>
  </si>
  <si>
    <t>POL 01 Impacts of refrigerants</t>
  </si>
  <si>
    <t>POL 04 Reduction of night time light pollution</t>
  </si>
  <si>
    <t>Wst 03 Operational waste</t>
  </si>
  <si>
    <t>LE 06 Building footprint</t>
  </si>
  <si>
    <t>POL 05 Noise attenuation</t>
  </si>
  <si>
    <t>Wat 01</t>
  </si>
  <si>
    <t>Wat 02</t>
  </si>
  <si>
    <t>Wat 03</t>
  </si>
  <si>
    <t>Wat 04</t>
  </si>
  <si>
    <t>Mat 01</t>
  </si>
  <si>
    <t>Mat 03</t>
  </si>
  <si>
    <t>Mat 05</t>
  </si>
  <si>
    <t>Mat 06</t>
  </si>
  <si>
    <t>Wst 01</t>
  </si>
  <si>
    <t>Wst 02</t>
  </si>
  <si>
    <t>Wst 04</t>
  </si>
  <si>
    <t>LE 01</t>
  </si>
  <si>
    <t>LE 02</t>
  </si>
  <si>
    <t>LE 04</t>
  </si>
  <si>
    <t>LE 05</t>
  </si>
  <si>
    <t>LE 06</t>
  </si>
  <si>
    <t>POL 01</t>
  </si>
  <si>
    <t>POL 02</t>
  </si>
  <si>
    <t>POL 03</t>
  </si>
  <si>
    <t>POL 04</t>
  </si>
  <si>
    <t>POL 05</t>
  </si>
  <si>
    <t>Inn 01</t>
  </si>
  <si>
    <t>Inn 02</t>
  </si>
  <si>
    <t>Inn 03</t>
  </si>
  <si>
    <t>Inn 04</t>
  </si>
  <si>
    <t>Inn 05</t>
  </si>
  <si>
    <t>Inn 06</t>
  </si>
  <si>
    <t>Inn 07</t>
  </si>
  <si>
    <t>Assessor registration number</t>
  </si>
  <si>
    <t>Date for Pre-Assessment Estimation</t>
  </si>
  <si>
    <t>Date for design phase</t>
  </si>
  <si>
    <t>Completion Date</t>
  </si>
  <si>
    <t>Disclaimer</t>
  </si>
  <si>
    <t>Credits Achieved</t>
  </si>
  <si>
    <t>Weighting</t>
  </si>
  <si>
    <t>Man</t>
  </si>
  <si>
    <t>Ene</t>
  </si>
  <si>
    <t>Tra</t>
  </si>
  <si>
    <t>Wat</t>
  </si>
  <si>
    <t>Mat</t>
  </si>
  <si>
    <t>Wst</t>
  </si>
  <si>
    <t>LE</t>
  </si>
  <si>
    <t>Pol</t>
  </si>
  <si>
    <t>Inn</t>
  </si>
  <si>
    <t>Section score available</t>
  </si>
  <si>
    <t>Sum</t>
  </si>
  <si>
    <t>Wst 04 Speculative floor and ceiling finishes</t>
  </si>
  <si>
    <t>Initial target setting</t>
  </si>
  <si>
    <t>Exemplary Level (Innovation)</t>
  </si>
  <si>
    <t>N</t>
  </si>
  <si>
    <t>I</t>
  </si>
  <si>
    <t>OK</t>
  </si>
  <si>
    <t>Design phase progression</t>
  </si>
  <si>
    <t>Construction phase progression</t>
  </si>
  <si>
    <t>General comments</t>
  </si>
  <si>
    <t>Inn 08</t>
  </si>
  <si>
    <t>Land &amp; Ecology</t>
  </si>
  <si>
    <t>BREEAM innovation credits</t>
  </si>
  <si>
    <t>Emner med innovation credits</t>
  </si>
  <si>
    <t xml:space="preserve">Original no. of BREEAM credits available </t>
  </si>
  <si>
    <t>Div filter</t>
  </si>
  <si>
    <t>User credits - INITIAL</t>
  </si>
  <si>
    <t>User credits - DESIGN</t>
  </si>
  <si>
    <t>User credits - CONSTRUCTION</t>
  </si>
  <si>
    <t>Spesialtilfeller</t>
  </si>
  <si>
    <t>Yes/No</t>
  </si>
  <si>
    <t>-</t>
  </si>
  <si>
    <t>E</t>
  </si>
  <si>
    <t>Non residential</t>
  </si>
  <si>
    <t>Level</t>
  </si>
  <si>
    <t>Samlet minimumstandard</t>
  </si>
  <si>
    <t>Samlet sum tilgjengelig</t>
  </si>
  <si>
    <t>Samlet sum oppnådd</t>
  </si>
  <si>
    <t>&gt;=</t>
  </si>
  <si>
    <t>&lt;</t>
  </si>
  <si>
    <t>Samlet prosent</t>
  </si>
  <si>
    <t>Skal minimumstandard styre?</t>
  </si>
  <si>
    <t>1=ja, 0=nei</t>
  </si>
  <si>
    <t>The rating has been limited to the min. standards level achieved</t>
  </si>
  <si>
    <t>Tilgjengelig poeng</t>
  </si>
  <si>
    <t>Inn 05 - Mat 01 Life cycle impacts</t>
  </si>
  <si>
    <t>Inn 06 - Mat 03 Responsible sourcing of materials</t>
  </si>
  <si>
    <t>Hvor mange poeng skal bort?</t>
  </si>
  <si>
    <t>Felter merket mørk grønn omfattes av filtreringen</t>
  </si>
  <si>
    <t>Ene 02a</t>
  </si>
  <si>
    <t>Inn 09</t>
  </si>
  <si>
    <t>EXEMPLARY LEVEL AND INNOVATION (max 10 credits)</t>
  </si>
  <si>
    <t>Velge farge på status</t>
  </si>
  <si>
    <t>IT</t>
  </si>
  <si>
    <t>DP</t>
  </si>
  <si>
    <t>CP</t>
  </si>
  <si>
    <t>Stat.</t>
  </si>
  <si>
    <t>Comments</t>
  </si>
  <si>
    <t>Hea 01 Visual comfort - Criteria 1</t>
  </si>
  <si>
    <t>Mat 01 Life cycle impacts  - Criteria 1</t>
  </si>
  <si>
    <t>ikke noe å si for poengfordeling.  Ikke gjør noe med denne</t>
  </si>
  <si>
    <t>Architect (ARK)</t>
  </si>
  <si>
    <t>Samlet poeng</t>
  </si>
  <si>
    <t xml:space="preserve">Pol 1 poeng går ut hvis det er industri som hverkan har treated operational area OG kontor. Dvs det må være nei på BEGGE spørsmål får å ta ut Pol 1 poeng. </t>
  </si>
  <si>
    <t>Pol 1 poeng går ut hvis det er industri som hverkan har treated operational area OG kontor. Dvs det må være nei på BEGGE spørsmål får å ta ut Pol 1 poeng. Hea 03 går ut hvis industri ikke har kontor</t>
  </si>
  <si>
    <t>UTGÅR</t>
  </si>
  <si>
    <t>OK. non residential only.</t>
  </si>
  <si>
    <t>2: Bespoke. Staff plus reasonably constant stream of visitors</t>
  </si>
  <si>
    <t>6: Residential</t>
  </si>
  <si>
    <t>1: Office &amp; Industrial. Staff &amp; occasional business visitors</t>
  </si>
  <si>
    <t>3: Retail and education. Staff with large numbers of visitors</t>
  </si>
  <si>
    <t>4: Bespoke. Rural building with few visitors</t>
  </si>
  <si>
    <t>5: Bespoke. Rural building with large numbers of visitors</t>
  </si>
  <si>
    <t>7: Bespoke. Transport Hub</t>
  </si>
  <si>
    <t>OK. type 3 retail and education, type 6 ta bort dwellings TA UT BESPOKE? Ta ut denne, da poeng er bestemt av bygningstype</t>
  </si>
  <si>
    <t>This information will determine, in part, the number of credits available for BREEAM issue Hea02 when the criteria have been finalised for laboratory facilities.</t>
  </si>
  <si>
    <t>The fields marked with a * are mandatory and must be completed/defined prior to beginning the pre-assessment to ensure an accurate indicative score and BREEAM rating. Note: without this information the pre-assessment tool cannot determine the applicable BREEAM issues and number of credits and data entry will not be possible for the building assessment.</t>
  </si>
  <si>
    <t>Initial</t>
  </si>
  <si>
    <t>Design</t>
  </si>
  <si>
    <t>Søke navn</t>
  </si>
  <si>
    <t>Design phase</t>
  </si>
  <si>
    <t>Construction phase</t>
  </si>
  <si>
    <t>Score</t>
  </si>
  <si>
    <t>No. credits available original</t>
  </si>
  <si>
    <t>No. Credits not available (filter)</t>
  </si>
  <si>
    <t>Fume cupboard(s) and/or other containment devices (Ene 07, Hea 02,? )</t>
  </si>
  <si>
    <t>What is the building type category (for the purpose of the Transport  section)? (Tra 1)</t>
  </si>
  <si>
    <t>Laboratory present: &lt;10% of building's BRA</t>
  </si>
  <si>
    <t>Laboratory present: ≥10% - &lt;25% of building's BRA</t>
  </si>
  <si>
    <t>Laboratory present: ≥25% of building's BRA</t>
  </si>
  <si>
    <t>(G)</t>
  </si>
  <si>
    <t>(Y)</t>
  </si>
  <si>
    <t>(R)</t>
  </si>
  <si>
    <t>(G) - Green - OK</t>
  </si>
  <si>
    <t>(Y) - Yellow - Unsure</t>
  </si>
  <si>
    <t>(R) - Red - Not OK</t>
  </si>
  <si>
    <t>Respon-sible</t>
  </si>
  <si>
    <t>Show results</t>
  </si>
  <si>
    <t>Available</t>
  </si>
  <si>
    <r>
      <t>Gross floor area, BTA - m</t>
    </r>
    <r>
      <rPr>
        <vertAlign val="superscript"/>
        <sz val="11"/>
        <color indexed="9"/>
        <rFont val="Calibri"/>
        <family val="2"/>
      </rPr>
      <t>2</t>
    </r>
  </si>
  <si>
    <r>
      <t>Usable floor area, BRA - m</t>
    </r>
    <r>
      <rPr>
        <vertAlign val="superscript"/>
        <sz val="11"/>
        <color indexed="9"/>
        <rFont val="Calibri"/>
        <family val="2"/>
      </rPr>
      <t>2</t>
    </r>
  </si>
  <si>
    <r>
      <t>Saleable usable floor area, BRAs - m</t>
    </r>
    <r>
      <rPr>
        <vertAlign val="superscript"/>
        <sz val="11"/>
        <color indexed="9"/>
        <rFont val="Calibri"/>
        <family val="2"/>
      </rPr>
      <t>2</t>
    </r>
  </si>
  <si>
    <t>Man 01 Project brief and design</t>
  </si>
  <si>
    <t>Man 02 Life cycle cost and service life planning</t>
  </si>
  <si>
    <t>Man 03 Responsible construction practices</t>
  </si>
  <si>
    <t>Man 05 Aftercare</t>
  </si>
  <si>
    <t>Mat 03 Responsible sourcing of mat.  - Crit 1.</t>
  </si>
  <si>
    <t xml:space="preserve">Copyright exists on the BREEAM logo and this may not be used or reproduced for any purpose without the prior written consent of the NGBC/BRE Global Ltd.
</t>
  </si>
  <si>
    <t>BREEAM-NOR Assessor Signature</t>
  </si>
  <si>
    <t>Indicative BREEAM-NOR rating</t>
  </si>
  <si>
    <t>Tra 06</t>
  </si>
  <si>
    <t xml:space="preserve">Approved innovation credits </t>
  </si>
  <si>
    <t>Consulting engineer Engineering (RIB)</t>
  </si>
  <si>
    <t>Consulting engineer Environment (RIM)</t>
  </si>
  <si>
    <t>Consulting engineer Electrical (RIE)</t>
  </si>
  <si>
    <t>Consulting engineer HVAC (RIV)</t>
  </si>
  <si>
    <t>BREEAM-NOR Accredited Professional</t>
  </si>
  <si>
    <t>BREEAM-NOR scheme</t>
  </si>
  <si>
    <t>BREEAM-NOR version</t>
  </si>
  <si>
    <t>Showroom</t>
  </si>
  <si>
    <t>Apartment Blocks</t>
  </si>
  <si>
    <t>Individual dwelling</t>
  </si>
  <si>
    <t>Collection of individual dwellings/dwelling types</t>
  </si>
  <si>
    <t>Hot food takeaway</t>
  </si>
  <si>
    <t>No, confirmed by appropriate person</t>
  </si>
  <si>
    <t>Unknown</t>
  </si>
  <si>
    <t>Does the building require the use of refrigerants within its installed plant/systems? (Pol 01)</t>
  </si>
  <si>
    <t>Others, project team</t>
  </si>
  <si>
    <t>Use this sheet if you need to copy the Pre-Assessment Estimator to new Excel Workbook</t>
  </si>
  <si>
    <t>For assessment details, HEA 07</t>
  </si>
  <si>
    <t>Please select</t>
  </si>
  <si>
    <t>Bespoke</t>
  </si>
  <si>
    <t>Inn 01 - Man 05 Aftercare</t>
  </si>
  <si>
    <t>Inn 02 - Hea 02 Indoor air quality</t>
  </si>
  <si>
    <t>Inn 03 - Tra 03 Alternative modes of transport</t>
  </si>
  <si>
    <t>Inn 04 - Wat 01 Water consumption</t>
  </si>
  <si>
    <t>Inn 07 - Wst 01 Construction site waste man.</t>
  </si>
  <si>
    <t xml:space="preserve">Inn 09 - Approved innovation credits </t>
  </si>
  <si>
    <t>BREEAM REFERANSE</t>
  </si>
  <si>
    <t>BREEAM-Topic EMNE</t>
  </si>
  <si>
    <t>Available credits TILGJENGELIGE POENG</t>
  </si>
  <si>
    <t>Is credits relevant for the project? Yes/No POENG AKTUELLE FOR PROSJEKTET? JA/NEI</t>
  </si>
  <si>
    <t>Ledelse:</t>
  </si>
  <si>
    <t>YES</t>
  </si>
  <si>
    <t>Responsible construction practices</t>
  </si>
  <si>
    <t>Commissioning and handover</t>
  </si>
  <si>
    <t>Aftercare</t>
  </si>
  <si>
    <t>Helse og innemiljø:</t>
  </si>
  <si>
    <t>NO</t>
  </si>
  <si>
    <t>Private space</t>
  </si>
  <si>
    <t>Energi:</t>
  </si>
  <si>
    <t>Ene 02b</t>
  </si>
  <si>
    <t>External Lighting</t>
  </si>
  <si>
    <t>Energy efficient cold storage</t>
  </si>
  <si>
    <t>Energy efficient transportation systems</t>
  </si>
  <si>
    <t>Energy efficient laboratory systems</t>
  </si>
  <si>
    <t>Energy efficient equipment</t>
  </si>
  <si>
    <t>Transport:</t>
  </si>
  <si>
    <t>Tra 03a</t>
  </si>
  <si>
    <t>Tra 03b</t>
  </si>
  <si>
    <t>Vann:</t>
  </si>
  <si>
    <t>Water consumption</t>
  </si>
  <si>
    <t>Water monitoring</t>
  </si>
  <si>
    <t>Water leak detection and prevention</t>
  </si>
  <si>
    <t>Water efficient equipment</t>
  </si>
  <si>
    <t>Materialer:</t>
  </si>
  <si>
    <t>Designing for robustness</t>
  </si>
  <si>
    <t>Avfall:</t>
  </si>
  <si>
    <t>Construction waste management</t>
  </si>
  <si>
    <t>Wst 03a</t>
  </si>
  <si>
    <t>Operational waste</t>
  </si>
  <si>
    <t>Wst 03b</t>
  </si>
  <si>
    <t>Speculative floor &amp; ceiling finishes</t>
  </si>
  <si>
    <t>Arealbruk og økologi:</t>
  </si>
  <si>
    <t>Site selection</t>
  </si>
  <si>
    <t>Long term impact on biodiversity</t>
  </si>
  <si>
    <t>Forurensning:</t>
  </si>
  <si>
    <t>Pol 01</t>
  </si>
  <si>
    <t>Impact of refrigerants</t>
  </si>
  <si>
    <t>Pol 02</t>
  </si>
  <si>
    <t>Pol 03</t>
  </si>
  <si>
    <t>Pol 04</t>
  </si>
  <si>
    <t xml:space="preserve">Reduction of Night Time Light Pollution </t>
  </si>
  <si>
    <t>Pol 05</t>
  </si>
  <si>
    <t>Reduction of noise pollution</t>
  </si>
  <si>
    <t>Innovasjon:</t>
  </si>
  <si>
    <t>BESPOKE</t>
  </si>
  <si>
    <t>TEST</t>
  </si>
  <si>
    <t>Lim inn her</t>
  </si>
  <si>
    <t>Building name:</t>
  </si>
  <si>
    <t>Land use &amp; Ecology</t>
  </si>
  <si>
    <t>Exemplary level and innovation (max 10 credits)</t>
  </si>
  <si>
    <t>Man 04 Commissioning and handover</t>
  </si>
  <si>
    <t>POL 02 NOx emissions</t>
  </si>
  <si>
    <t>Building description</t>
  </si>
  <si>
    <t>Comment</t>
  </si>
  <si>
    <t>Pre-Assessment Estimator, version:</t>
  </si>
  <si>
    <t>The BREEAM and BREEAM-NOR name and logo are registered trademarks of the Building Research Establishment Limited.</t>
  </si>
  <si>
    <t>Inn 08 - Wst 02 Recycled aggregates</t>
  </si>
  <si>
    <t>Shell and core</t>
  </si>
  <si>
    <t>Ja</t>
  </si>
  <si>
    <t>Nei</t>
  </si>
  <si>
    <t>Option 1</t>
  </si>
  <si>
    <t>Option 2</t>
  </si>
  <si>
    <t>Option 3</t>
  </si>
  <si>
    <t>Næringsbygg</t>
  </si>
  <si>
    <t>Option 2:  -50% credit</t>
  </si>
  <si>
    <t xml:space="preserve">Naturally ventilated </t>
  </si>
  <si>
    <t>Shell core</t>
  </si>
  <si>
    <t>HEA 01</t>
  </si>
  <si>
    <t>HEA 02</t>
  </si>
  <si>
    <t>ENE 02a</t>
  </si>
  <si>
    <t>WAT 03</t>
  </si>
  <si>
    <t>ledig</t>
  </si>
  <si>
    <t>Faktor</t>
  </si>
  <si>
    <t>minus</t>
  </si>
  <si>
    <t>Hva</t>
  </si>
  <si>
    <t>Maks</t>
  </si>
  <si>
    <t>gange</t>
  </si>
  <si>
    <t>S/C</t>
  </si>
  <si>
    <t>Shell/core</t>
  </si>
  <si>
    <t>Endring</t>
  </si>
  <si>
    <t>Shell Core</t>
  </si>
  <si>
    <t>Påvirker poeng</t>
  </si>
  <si>
    <t>Juster endring</t>
  </si>
  <si>
    <t>Minus</t>
  </si>
  <si>
    <t>INN</t>
  </si>
  <si>
    <t>Gange</t>
  </si>
  <si>
    <t>Ny maksverdi ved nei</t>
  </si>
  <si>
    <t>Hvis ikke S/C</t>
  </si>
  <si>
    <t>Innovasjon</t>
  </si>
  <si>
    <t>Minus elelr gange</t>
  </si>
  <si>
    <t>S/C bare næring. Ja = bare næring. Nei = kun bolig</t>
  </si>
  <si>
    <t>Alle</t>
  </si>
  <si>
    <t>VOC N/A</t>
  </si>
  <si>
    <t>Sub-metering N/A</t>
  </si>
  <si>
    <t>Flow control N/A</t>
  </si>
  <si>
    <t>O2: Glare control (-0,5 c)</t>
  </si>
  <si>
    <t>O2: Artificial lighting (-0,5 c)</t>
  </si>
  <si>
    <t>O1: Glare ctrl/artificial light</t>
  </si>
  <si>
    <t>O1: VOC</t>
  </si>
  <si>
    <t>O2: VOC (AC 6-7: -0,5 c)</t>
  </si>
  <si>
    <t>O2: VOC (AC 8-9: -1,0 c)</t>
  </si>
  <si>
    <t>O3: VOC</t>
  </si>
  <si>
    <t>O2: Flow control (-0,5 c)</t>
  </si>
  <si>
    <t>O1: Flow control</t>
  </si>
  <si>
    <t xml:space="preserve">O3: Flow control </t>
  </si>
  <si>
    <t>O1: Sub-metering</t>
  </si>
  <si>
    <t>O2: Sub-met. (AC 1-3: -0,5 c)</t>
  </si>
  <si>
    <t>O2: Sub-met. (AC 4-7: -1,0 c)</t>
  </si>
  <si>
    <t>O3: Sub-metering</t>
  </si>
  <si>
    <t>O3: Glare ctrl/artif lighting</t>
  </si>
  <si>
    <t>O2: Glare ctrl &amp; artif light (-1,0 c)</t>
  </si>
  <si>
    <t>Glare ctrl/artif lighting N/A</t>
  </si>
  <si>
    <t>Påvirker minimumspoeng</t>
  </si>
  <si>
    <t>shell core</t>
  </si>
  <si>
    <t>Option 2: Where relevant, 50% of achieved credit is subtracted from score.</t>
  </si>
  <si>
    <t>Tra 01 Transport assessment and travel plan</t>
  </si>
  <si>
    <t>Tra 02 Sustainable transport measures</t>
  </si>
  <si>
    <t>Mat 01 Environmental impacts from construction products - Building life cycle assessment (LCA)</t>
  </si>
  <si>
    <t>Mat 02 Environmental impacts from construction products - Environmental Product Declarations (EPD)</t>
  </si>
  <si>
    <t>Mat 03 Responsible sourcing of construction products</t>
  </si>
  <si>
    <t>Mat 05 Designing for durability and resilience</t>
  </si>
  <si>
    <t>Mat 06 Material efficiency</t>
  </si>
  <si>
    <t>Mat 07 Endringsdyktighet og ombrukbarhet</t>
  </si>
  <si>
    <t>LE 02 Ecological risks and opportunities</t>
  </si>
  <si>
    <t>LE 03 Managing impacts on ecology</t>
  </si>
  <si>
    <t>LE 04 Ecological change and enhancement</t>
  </si>
  <si>
    <t>LE 05 Long term ecology management and maintenance</t>
  </si>
  <si>
    <t>POL 02 Local air quality</t>
  </si>
  <si>
    <t>Inn 10</t>
  </si>
  <si>
    <t>Inn 11</t>
  </si>
  <si>
    <t>Inn 12</t>
  </si>
  <si>
    <t>Inn 13</t>
  </si>
  <si>
    <t>Mat 02</t>
  </si>
  <si>
    <t>Mat 07</t>
  </si>
  <si>
    <t>LE 03</t>
  </si>
  <si>
    <t>LE 07</t>
  </si>
  <si>
    <t>LE 08</t>
  </si>
  <si>
    <t>Healthcare</t>
  </si>
  <si>
    <t>Prison</t>
  </si>
  <si>
    <t>Law Court</t>
  </si>
  <si>
    <t>Residential institution (long term stay)</t>
  </si>
  <si>
    <t>Residential institution (short term stay)</t>
  </si>
  <si>
    <t>Non-residential institution</t>
  </si>
  <si>
    <t>Assembly and leisure</t>
  </si>
  <si>
    <t>General office buildings</t>
  </si>
  <si>
    <t>Offices with research and development areas (i.e. category 1 labs only)</t>
  </si>
  <si>
    <t>Warehouse, storage or distribution</t>
  </si>
  <si>
    <t>Process, manufacturing or vehicle servicing</t>
  </si>
  <si>
    <t>Shop or shopping centre</t>
  </si>
  <si>
    <t>Retail park or warehouse</t>
  </si>
  <si>
    <t>‘Over the counter’ service provider, e.g. financial, estate and employment agencies and betting offices</t>
  </si>
  <si>
    <t>Restaurant, café and drinking establishment</t>
  </si>
  <si>
    <t>Preschool</t>
  </si>
  <si>
    <t xml:space="preserve">Primary School </t>
  </si>
  <si>
    <t>Schools and sixth form colleges</t>
  </si>
  <si>
    <t>Higher education institutions</t>
  </si>
  <si>
    <t>Teaching or specialist hospitals</t>
  </si>
  <si>
    <t>General acute hospitals</t>
  </si>
  <si>
    <t>Community and mental health hospitals</t>
  </si>
  <si>
    <t>GP surgeries</t>
  </si>
  <si>
    <t>Health centres and clinics</t>
  </si>
  <si>
    <t>High security prison</t>
  </si>
  <si>
    <t>Standard secured prison</t>
  </si>
  <si>
    <t>Young offender institution and juvenile prisons</t>
  </si>
  <si>
    <t>Local prison</t>
  </si>
  <si>
    <t>Holding centre</t>
  </si>
  <si>
    <t>Law courts</t>
  </si>
  <si>
    <t>Crown and criminal courts</t>
  </si>
  <si>
    <t>County courts</t>
  </si>
  <si>
    <t>Magistrates' courts</t>
  </si>
  <si>
    <t>Civil justice centres</t>
  </si>
  <si>
    <t>Family courts</t>
  </si>
  <si>
    <t>Youth courts</t>
  </si>
  <si>
    <t>Combined courts</t>
  </si>
  <si>
    <t>Residential care home</t>
  </si>
  <si>
    <t>Sheltered accommodation</t>
  </si>
  <si>
    <t>Residential college or school (halls of residence)</t>
  </si>
  <si>
    <t>Local authority secure residential accommodation</t>
  </si>
  <si>
    <t>Key worker accommodation</t>
  </si>
  <si>
    <t>Military barracks</t>
  </si>
  <si>
    <t>Hotel, hostel, boarding and guest house</t>
  </si>
  <si>
    <t>Secure training centre</t>
  </si>
  <si>
    <t>Residential training centre</t>
  </si>
  <si>
    <t>Art gallery, museum</t>
  </si>
  <si>
    <t>Library</t>
  </si>
  <si>
    <t>Day centre, hall, civic or community centre</t>
  </si>
  <si>
    <t>Place of worship</t>
  </si>
  <si>
    <t>Cinema</t>
  </si>
  <si>
    <t>Theatre, music or concert hall</t>
  </si>
  <si>
    <t>Exhibition or conference hall</t>
  </si>
  <si>
    <t>Indoor or outdoor sports, fitness and recreation centre (with or without pool)</t>
  </si>
  <si>
    <t>Upper Secondary School</t>
  </si>
  <si>
    <t>Total credits available BREEAM-NOR 2021</t>
  </si>
  <si>
    <t>BREEAM-NOR 2021</t>
  </si>
  <si>
    <t>Mat 02 Checklist A20 - Criteria 1</t>
  </si>
  <si>
    <t>Ene 01 Kriterium 9-10</t>
  </si>
  <si>
    <t>Hea02</t>
  </si>
  <si>
    <t>Hea 02 Emisjoner fra byggeprodukter - Criteria 3-4</t>
  </si>
  <si>
    <t>Crit. 3</t>
  </si>
  <si>
    <t>Crit. 4</t>
  </si>
  <si>
    <t>Man01</t>
  </si>
  <si>
    <t>Man 01 Criteria 11</t>
  </si>
  <si>
    <t>Man03</t>
  </si>
  <si>
    <t>Man04</t>
  </si>
  <si>
    <t>Tra01</t>
  </si>
  <si>
    <t>Mat06</t>
  </si>
  <si>
    <t>Mat07</t>
  </si>
  <si>
    <t>Wst01</t>
  </si>
  <si>
    <t>Crit. 5-6</t>
  </si>
  <si>
    <t>Crit. 5-9</t>
  </si>
  <si>
    <t>Crit. 5-13</t>
  </si>
  <si>
    <t>Man 03 Criteria 5-13</t>
  </si>
  <si>
    <t>Man05</t>
  </si>
  <si>
    <t>Man 05 Criteria 3</t>
  </si>
  <si>
    <t>Tra 01 Mobilitetsplan Criteria 6</t>
  </si>
  <si>
    <t>Crit. 5</t>
  </si>
  <si>
    <t>Crit. 1, 5</t>
  </si>
  <si>
    <t>Crit. 1, 4, 5</t>
  </si>
  <si>
    <t>Wst 01 Criteria 1, 4, 5</t>
  </si>
  <si>
    <t>Pol 1 UT. Pol02 og Pol 5 OK</t>
  </si>
  <si>
    <t>Pol 1 UT. Pol 2, Hea 02, Hea 03 OK</t>
  </si>
  <si>
    <t>Crit. 1-2</t>
  </si>
  <si>
    <t>Crit. 1-2, 3 (1 cre.)</t>
  </si>
  <si>
    <t>Mat 01 Criteria 1 - 3</t>
  </si>
  <si>
    <t>Mat 06 Materialeffektivitet Criteria 1</t>
  </si>
  <si>
    <t>Mat 07 Criteria 2-6</t>
  </si>
  <si>
    <t>Man 05: Non residential</t>
  </si>
  <si>
    <t>Ene01</t>
  </si>
  <si>
    <t>Boliger og boliginstitusjoner: 4</t>
  </si>
  <si>
    <t>Boliger og omsorgsboliger kan oppnå 2p for Inkluderende design. Alle andre kan oppnå 1p</t>
  </si>
  <si>
    <t>Tidligere navn:</t>
  </si>
  <si>
    <t>Crit. 1-8</t>
  </si>
  <si>
    <t>Crit. 1-4</t>
  </si>
  <si>
    <t>Mat 02 - Checklist A20 - Criteria 1</t>
  </si>
  <si>
    <t>Man 01 - Criteria 11</t>
  </si>
  <si>
    <t>Ene 01 - Kriterium 9-10</t>
  </si>
  <si>
    <t>Tra 01 - Mobilitetsplan Criteria 6</t>
  </si>
  <si>
    <t>Mat 06 - Materialeffektivitet Criteria 1</t>
  </si>
  <si>
    <t>Mat 07 - Criteria 2-6</t>
  </si>
  <si>
    <t>Man 05 - Criteria 3</t>
  </si>
  <si>
    <t>Third party stakeholder consultation</t>
  </si>
  <si>
    <t>BREEAM-NOR AP (stage 2 and 3)</t>
  </si>
  <si>
    <t>BREEAM-NOR AP (stage 4)</t>
  </si>
  <si>
    <t xml:space="preserve">Climate gas calculation for whole building life cycle </t>
  </si>
  <si>
    <t>Planning project delivery</t>
  </si>
  <si>
    <t>Elemental life cycle cost (LCC) and capital cost reporting</t>
  </si>
  <si>
    <t>Component level life option appraisal</t>
  </si>
  <si>
    <t>Environmental managment</t>
  </si>
  <si>
    <t>BREEAM-NOR AP and classification level (stage 5 and 6)</t>
  </si>
  <si>
    <t>Considerate construction managment</t>
  </si>
  <si>
    <t xml:space="preserve">Reduction of climate gas emissions from activites assosiated with the construction site </t>
  </si>
  <si>
    <t xml:space="preserve">Commissioning - testing schedule and responsibilities </t>
  </si>
  <si>
    <t>Commissioning - design, preperation and implementation</t>
  </si>
  <si>
    <t>Prepare for good handover</t>
  </si>
  <si>
    <t>Aftercare support</t>
  </si>
  <si>
    <t>Sesonal commisioning</t>
  </si>
  <si>
    <t>Post-occypancy evaluation</t>
  </si>
  <si>
    <t>Daylighting</t>
  </si>
  <si>
    <t xml:space="preserve">Control of glare from sunlight </t>
  </si>
  <si>
    <t xml:space="preserve">View out </t>
  </si>
  <si>
    <t xml:space="preserve">Sunlight </t>
  </si>
  <si>
    <t xml:space="preserve">Internal and external lighting levels, zoning and control </t>
  </si>
  <si>
    <t xml:space="preserve">Pre-requisite: indoor air quality </t>
  </si>
  <si>
    <t>Ventilation</t>
  </si>
  <si>
    <t xml:space="preserve">Emissions from construction products </t>
  </si>
  <si>
    <t xml:space="preserve">Post-construction indoor air quality measurement </t>
  </si>
  <si>
    <t xml:space="preserve">Thermal modelling </t>
  </si>
  <si>
    <t xml:space="preserve">Design for future thermal comfort </t>
  </si>
  <si>
    <t xml:space="preserve">Thermal zoning and controls </t>
  </si>
  <si>
    <t xml:space="preserve">Pre-requisite: suitably qualified acoustician </t>
  </si>
  <si>
    <t xml:space="preserve">Sound class requirements </t>
  </si>
  <si>
    <t xml:space="preserve">Inclusive design </t>
  </si>
  <si>
    <t xml:space="preserve">Biofilik design </t>
  </si>
  <si>
    <t xml:space="preserve">Private outdoor spaces </t>
  </si>
  <si>
    <t xml:space="preserve">Passive design </t>
  </si>
  <si>
    <t xml:space="preserve">Low and zero carbon technologies </t>
  </si>
  <si>
    <t xml:space="preserve">Energy performance </t>
  </si>
  <si>
    <t xml:space="preserve">Adaptation to EU taxonomy </t>
  </si>
  <si>
    <t xml:space="preserve">Prediction of operational energy consumption </t>
  </si>
  <si>
    <t xml:space="preserve">Sub-metering of end-use categories </t>
  </si>
  <si>
    <t xml:space="preserve">Sub-metering of high energy load and tenancy areas </t>
  </si>
  <si>
    <t xml:space="preserve">Sub-metering of energy consumption in residential buildings </t>
  </si>
  <si>
    <t>No external lighting within the construction zone</t>
  </si>
  <si>
    <t>External lighting within the construction zone</t>
  </si>
  <si>
    <t xml:space="preserve">Design of energy efficient refrigeration- and freezing room </t>
  </si>
  <si>
    <t xml:space="preserve">Indirect greenhouse gas emissions </t>
  </si>
  <si>
    <t xml:space="preserve">Energy consumption </t>
  </si>
  <si>
    <t xml:space="preserve">Energy efficient features </t>
  </si>
  <si>
    <t xml:space="preserve">Design specification </t>
  </si>
  <si>
    <t xml:space="preserve">Best practice energy efficient measures </t>
  </si>
  <si>
    <t xml:space="preserve">Reduction of the building's significant unregulated energy consumption </t>
  </si>
  <si>
    <t xml:space="preserve">Transport assessment and travel plan </t>
  </si>
  <si>
    <t xml:space="preserve">Travel plan emissions evaluation </t>
  </si>
  <si>
    <t>Prerequisite: Transport assessment and travel plan</t>
  </si>
  <si>
    <t xml:space="preserve">Transport options implementation </t>
  </si>
  <si>
    <t>Water efficient components</t>
  </si>
  <si>
    <t>Water meter</t>
  </si>
  <si>
    <t>Leak detection system</t>
  </si>
  <si>
    <t>Flow control devices (all buildings except residential)</t>
  </si>
  <si>
    <t>Leak isolation</t>
  </si>
  <si>
    <t>Pre-requisite: early stage greenhouse gas calculation</t>
  </si>
  <si>
    <t>Reduction of greenhouse gas emissions</t>
  </si>
  <si>
    <t>Life cycle assessment of the building</t>
  </si>
  <si>
    <t>Minimum req -  Absence of environmental toxins</t>
  </si>
  <si>
    <t xml:space="preserve">EPD for construction products </t>
  </si>
  <si>
    <t xml:space="preserve">Performance requirements for construction products </t>
  </si>
  <si>
    <t>Minimum req -  legal and sustainable timber</t>
  </si>
  <si>
    <t>Enabling sustainable procurement</t>
  </si>
  <si>
    <t>Responsible sourcing of relevant materials</t>
  </si>
  <si>
    <t>Pre-requisite: risk analysis</t>
  </si>
  <si>
    <t>Protect vulnerable parts of the building from damage</t>
  </si>
  <si>
    <t xml:space="preserve">Protecting exposed parts of the building from material degradation </t>
  </si>
  <si>
    <t>Moisture protecion on site</t>
  </si>
  <si>
    <t>Mapping for component reuse and implementation</t>
  </si>
  <si>
    <t>Material efficency</t>
  </si>
  <si>
    <t>Reuse of extern building components</t>
  </si>
  <si>
    <t>Material bank</t>
  </si>
  <si>
    <t xml:space="preserve">Design for disassembly and functional adaptability - recommendations </t>
  </si>
  <si>
    <t xml:space="preserve">Disassembly and functional adaptability - implementation </t>
  </si>
  <si>
    <t>Resource managment plan</t>
  </si>
  <si>
    <t>Amount of construction waste</t>
  </si>
  <si>
    <t>Waste sorting, reuse and recycling</t>
  </si>
  <si>
    <t>Sorting of waste</t>
  </si>
  <si>
    <t xml:space="preserve">User involvement surface finishes </t>
  </si>
  <si>
    <t>Wst 04 User involvement surface finishes</t>
  </si>
  <si>
    <t>Previously occupied land</t>
  </si>
  <si>
    <t>Pre-requisite: statutory obligations</t>
  </si>
  <si>
    <t>Survey and evaluation</t>
  </si>
  <si>
    <t>Determin ecological possibilities</t>
  </si>
  <si>
    <t>Pre-requisite: ecological risks and opportunities</t>
  </si>
  <si>
    <t>Planning and measures on site</t>
  </si>
  <si>
    <t>Managing negative impacts</t>
  </si>
  <si>
    <t>Pre-requisite: Managing negative impacts on ecology</t>
  </si>
  <si>
    <t>Ecological enhancement</t>
  </si>
  <si>
    <t>Calculation of change in biodiversity</t>
  </si>
  <si>
    <t>Pre-requisite: statutory obligations, planning and site implementation</t>
  </si>
  <si>
    <t>Management and maintenance throughout the project</t>
  </si>
  <si>
    <t>Landscape and ecology management plan</t>
  </si>
  <si>
    <t>Risk assessment</t>
  </si>
  <si>
    <t>Pre-requisite: Flood risk assessment</t>
  </si>
  <si>
    <t>Resilience against flood and storm surge</t>
  </si>
  <si>
    <t>Pre-requisite risk assessment and the "three- step strategy"</t>
  </si>
  <si>
    <t>Maximum run-off</t>
  </si>
  <si>
    <t>Measures for surface-based water management</t>
  </si>
  <si>
    <t>LE 06 Climate adaption</t>
  </si>
  <si>
    <t>LE 07 Flooding and storm surge</t>
  </si>
  <si>
    <t>LE 08 Local surface water handling</t>
  </si>
  <si>
    <t>a</t>
  </si>
  <si>
    <t>e</t>
  </si>
  <si>
    <t>d</t>
  </si>
  <si>
    <t>b</t>
  </si>
  <si>
    <t>c</t>
  </si>
  <si>
    <t>Inn 14</t>
  </si>
  <si>
    <t xml:space="preserve">Man 03: Reduction of direct emissions from construction sites </t>
  </si>
  <si>
    <t xml:space="preserve">Ene 01: Post-occupancy stage </t>
  </si>
  <si>
    <t>Wat 01: Highly water efficient components</t>
  </si>
  <si>
    <t xml:space="preserve">Mat 01: 60% reduction of greenhouse gas emission </t>
  </si>
  <si>
    <t>Mat 06: FutureBuilt criteria set for circular buildings, point 2.3 reuse of building components</t>
  </si>
  <si>
    <t xml:space="preserve">Wst 01: Especially low amount of construction waste </t>
  </si>
  <si>
    <t>LE 02: Wider sustainability for the site</t>
  </si>
  <si>
    <t>LE 04: Significant net gain of biodiversity</t>
  </si>
  <si>
    <t>LE 06: Responding to climate change</t>
  </si>
  <si>
    <t>LE 08: Wider approach to surface water management</t>
  </si>
  <si>
    <t xml:space="preserve">Hea 01: View out, high level </t>
  </si>
  <si>
    <t xml:space="preserve">Ene 01: Plus house </t>
  </si>
  <si>
    <t>Man 01a</t>
  </si>
  <si>
    <t>Man 01b</t>
  </si>
  <si>
    <t>Man 01c</t>
  </si>
  <si>
    <t>Man 01d</t>
  </si>
  <si>
    <t>Man 01e</t>
  </si>
  <si>
    <t>Man 02a</t>
  </si>
  <si>
    <t>Man 02b</t>
  </si>
  <si>
    <t>Man 03a</t>
  </si>
  <si>
    <t>Man 03b</t>
  </si>
  <si>
    <t>Man 03c</t>
  </si>
  <si>
    <t>Man 03d</t>
  </si>
  <si>
    <t>Man 04a</t>
  </si>
  <si>
    <t>Man 04b</t>
  </si>
  <si>
    <t>Man 04c</t>
  </si>
  <si>
    <t>Man 05a</t>
  </si>
  <si>
    <t>Man 05b</t>
  </si>
  <si>
    <t>Man 05c</t>
  </si>
  <si>
    <t>Hea 01a</t>
  </si>
  <si>
    <t>Hea 01b</t>
  </si>
  <si>
    <t>Hea 01c</t>
  </si>
  <si>
    <t>Hea 01d</t>
  </si>
  <si>
    <t>Hea 01e</t>
  </si>
  <si>
    <t>Hea 02a</t>
  </si>
  <si>
    <t>Hea 02b</t>
  </si>
  <si>
    <t>Hea 02c</t>
  </si>
  <si>
    <t>Hea 02d</t>
  </si>
  <si>
    <t>Hea 03a</t>
  </si>
  <si>
    <t>Hea 03b</t>
  </si>
  <si>
    <t>Hea 03c</t>
  </si>
  <si>
    <t>Hea 05a</t>
  </si>
  <si>
    <t>Hea 05b</t>
  </si>
  <si>
    <t>Hea 06a</t>
  </si>
  <si>
    <t>Hea 06b</t>
  </si>
  <si>
    <t>Hea 08a</t>
  </si>
  <si>
    <t>Ene 01a</t>
  </si>
  <si>
    <t>Ene 01b</t>
  </si>
  <si>
    <t>Ene 01c</t>
  </si>
  <si>
    <t>Ene 01d</t>
  </si>
  <si>
    <t>Ene 01e</t>
  </si>
  <si>
    <t>Ene 02c</t>
  </si>
  <si>
    <t>Ene 03a</t>
  </si>
  <si>
    <t>Ene 03b</t>
  </si>
  <si>
    <t>Ene 05a</t>
  </si>
  <si>
    <t>Ene 05b</t>
  </si>
  <si>
    <t>Ene 06a</t>
  </si>
  <si>
    <t>Ene 06b</t>
  </si>
  <si>
    <t>Ene 07a</t>
  </si>
  <si>
    <t>Ene 07b</t>
  </si>
  <si>
    <t>Ene 08a</t>
  </si>
  <si>
    <t>Tra 01a</t>
  </si>
  <si>
    <t>Tra 01b</t>
  </si>
  <si>
    <t>Tra 02a</t>
  </si>
  <si>
    <t>Tra 02b</t>
  </si>
  <si>
    <t>Wat 01a</t>
  </si>
  <si>
    <t>Wat 02a</t>
  </si>
  <si>
    <t>Wat 03a</t>
  </si>
  <si>
    <t>Wat 03b</t>
  </si>
  <si>
    <t>Wat 03c</t>
  </si>
  <si>
    <t>Wat 04a</t>
  </si>
  <si>
    <t>Mat 01a</t>
  </si>
  <si>
    <t>Mat 01b</t>
  </si>
  <si>
    <t>Mat 01c</t>
  </si>
  <si>
    <t>Mat 02a</t>
  </si>
  <si>
    <t>Mat 02b</t>
  </si>
  <si>
    <t>Mat 02c</t>
  </si>
  <si>
    <t>Mat 03a</t>
  </si>
  <si>
    <t>Mat 03b</t>
  </si>
  <si>
    <t>Mat 03c</t>
  </si>
  <si>
    <t>Mat 05a</t>
  </si>
  <si>
    <t>Mat 05b</t>
  </si>
  <si>
    <t>Mat 05c</t>
  </si>
  <si>
    <t>Mat 05d</t>
  </si>
  <si>
    <t>Mat 06a</t>
  </si>
  <si>
    <t>Mat 06b</t>
  </si>
  <si>
    <t>Mat 06c</t>
  </si>
  <si>
    <t>Mat 07a</t>
  </si>
  <si>
    <t>Mat 07b</t>
  </si>
  <si>
    <t>Mat 07c</t>
  </si>
  <si>
    <t>Wst 01a</t>
  </si>
  <si>
    <t>Wst 01b</t>
  </si>
  <si>
    <t>Wst 01c</t>
  </si>
  <si>
    <t>Wst 03aa</t>
  </si>
  <si>
    <t>Wst 03ba</t>
  </si>
  <si>
    <t>Wst 04a</t>
  </si>
  <si>
    <t>Wst 03a Operational waste</t>
  </si>
  <si>
    <t>Wst 03b Operational waste</t>
  </si>
  <si>
    <t>LE 01a</t>
  </si>
  <si>
    <t>LE 02a</t>
  </si>
  <si>
    <t>LE 02b</t>
  </si>
  <si>
    <t>LE 02c</t>
  </si>
  <si>
    <t>LE 03a</t>
  </si>
  <si>
    <t>LE 03b</t>
  </si>
  <si>
    <t>LE 03c</t>
  </si>
  <si>
    <t>LE 04a</t>
  </si>
  <si>
    <t>LE 04b</t>
  </si>
  <si>
    <t>LE 04c</t>
  </si>
  <si>
    <t>LE 05a</t>
  </si>
  <si>
    <t>LE 05b</t>
  </si>
  <si>
    <t>LE 05c</t>
  </si>
  <si>
    <t>LE 06a</t>
  </si>
  <si>
    <t>LE 07a</t>
  </si>
  <si>
    <t>LE 07b</t>
  </si>
  <si>
    <t>LE 08a</t>
  </si>
  <si>
    <t>LE 08b</t>
  </si>
  <si>
    <t>LE 08c</t>
  </si>
  <si>
    <t>POL 01a</t>
  </si>
  <si>
    <t>POL 01b</t>
  </si>
  <si>
    <t>POL 01c</t>
  </si>
  <si>
    <t>POL 02a</t>
  </si>
  <si>
    <t>POL 02b</t>
  </si>
  <si>
    <t>POL 04a</t>
  </si>
  <si>
    <t>POL 04b</t>
  </si>
  <si>
    <t>POL 05a</t>
  </si>
  <si>
    <t>POL 05b</t>
  </si>
  <si>
    <t>Exemplary Level</t>
  </si>
  <si>
    <t>Contr. to score</t>
  </si>
  <si>
    <t>U</t>
  </si>
  <si>
    <t>O: Outstanding</t>
  </si>
  <si>
    <t>E: Excellent</t>
  </si>
  <si>
    <t>VG: Very Good</t>
  </si>
  <si>
    <t>Available credits in all</t>
  </si>
  <si>
    <t>Available credits for this project</t>
  </si>
  <si>
    <t>Project brief &amp; design:</t>
  </si>
  <si>
    <t>Life cycle cost and service life planning:</t>
  </si>
  <si>
    <t>Visual comfort:</t>
  </si>
  <si>
    <t>Indoor air quality:</t>
  </si>
  <si>
    <t>Thermal comfort:</t>
  </si>
  <si>
    <t>Thermal zoning and controls</t>
  </si>
  <si>
    <t>Safe and healthy environment:</t>
  </si>
  <si>
    <t>Inclusive design</t>
  </si>
  <si>
    <t>Biofilik design</t>
  </si>
  <si>
    <t>Building energy performance:</t>
  </si>
  <si>
    <t>Energy monitoring:</t>
  </si>
  <si>
    <t>Transport assessment and travel plan</t>
  </si>
  <si>
    <t>Sustainable transport measures</t>
  </si>
  <si>
    <t>Environmental impacts from construction products - LCA and greenhouse gas calculations</t>
  </si>
  <si>
    <t>Environmental impacts from construction products - EPDs</t>
  </si>
  <si>
    <t>Responsible sourcing of construction products</t>
  </si>
  <si>
    <t>Disassembly and adaptibility</t>
  </si>
  <si>
    <t>Disassembly and functional adaptability - implementation</t>
  </si>
  <si>
    <t>Ecological risks and opportunities</t>
  </si>
  <si>
    <t>LE03</t>
  </si>
  <si>
    <t>Managing impacts on ecology</t>
  </si>
  <si>
    <t>Ecological change and enhancement</t>
  </si>
  <si>
    <t>Climate adaption</t>
  </si>
  <si>
    <t>LE07</t>
  </si>
  <si>
    <t>Flooding and storm surge</t>
  </si>
  <si>
    <t>LE08</t>
  </si>
  <si>
    <t>Local surface water handling</t>
  </si>
  <si>
    <t>Local air quality</t>
  </si>
  <si>
    <t xml:space="preserve">Reduction of direct emissions from construction sites </t>
  </si>
  <si>
    <t>Hea01</t>
  </si>
  <si>
    <t xml:space="preserve">Daylighting, high level </t>
  </si>
  <si>
    <t xml:space="preserve">View out, high level </t>
  </si>
  <si>
    <t xml:space="preserve">Emissions from construction products  </t>
  </si>
  <si>
    <t xml:space="preserve">Post-occupancy stage </t>
  </si>
  <si>
    <t xml:space="preserve">Plus house </t>
  </si>
  <si>
    <t>Wat01</t>
  </si>
  <si>
    <t>Highly water efficient components</t>
  </si>
  <si>
    <t xml:space="preserve">60% reduction of greenhouse gas emission </t>
  </si>
  <si>
    <t>FutureBuilt criteria set for circular buildings, point 2.3 reuse of building components</t>
  </si>
  <si>
    <t xml:space="preserve">Especially low amount of construction waste </t>
  </si>
  <si>
    <t>LE02</t>
  </si>
  <si>
    <t>Wider sustainability for the site</t>
  </si>
  <si>
    <t>LE04</t>
  </si>
  <si>
    <t>Significant net gain of biodiversity</t>
  </si>
  <si>
    <t>LE06</t>
  </si>
  <si>
    <t>Responding to climate change</t>
  </si>
  <si>
    <t>Wider approach to surface water management</t>
  </si>
  <si>
    <t>ikke sum med makspoeng</t>
  </si>
  <si>
    <t>Min. std. Level</t>
  </si>
  <si>
    <t>Man Sum</t>
  </si>
  <si>
    <t>Hea sum</t>
  </si>
  <si>
    <t>Ene sum</t>
  </si>
  <si>
    <t>Tra sum</t>
  </si>
  <si>
    <t>Wat sum</t>
  </si>
  <si>
    <t>Mat sum</t>
  </si>
  <si>
    <t>Wst sum</t>
  </si>
  <si>
    <t>LE sum</t>
  </si>
  <si>
    <t>POL sum</t>
  </si>
  <si>
    <t>Inn sum</t>
  </si>
  <si>
    <t>Transport needs and usage patterns</t>
  </si>
  <si>
    <t xml:space="preserve">Kontrollplan og fuktmålinger </t>
  </si>
  <si>
    <t xml:space="preserve">Bygging under tildekking  </t>
  </si>
  <si>
    <t>Mat 05e</t>
  </si>
  <si>
    <t>Pol 01b</t>
  </si>
  <si>
    <t>POL 01d</t>
  </si>
  <si>
    <t>Forkrav: 2. Belastning fra kuldemedier</t>
  </si>
  <si>
    <t>No refrigerants in the building</t>
  </si>
  <si>
    <t>Leak detection</t>
  </si>
  <si>
    <t>Heating and hot water is supplied by non-combustions system</t>
  </si>
  <si>
    <t>Heating and hot water is supplied by combustions plant</t>
  </si>
  <si>
    <t>Reduction of night time light pollution</t>
  </si>
  <si>
    <t xml:space="preserve">No external lighting pollution </t>
  </si>
  <si>
    <t>Minimizing external light pollution</t>
  </si>
  <si>
    <t>No noise-sensitive areas</t>
  </si>
  <si>
    <t>Minimizing noise pollution in noise-sensitive areas</t>
  </si>
  <si>
    <t>POL 05 Reduction of noise pollution</t>
  </si>
  <si>
    <t>f</t>
  </si>
  <si>
    <t>Man 03e</t>
  </si>
  <si>
    <t>Man 03f</t>
  </si>
  <si>
    <t>Ansvarlig byggeledelse: RTB og sjekkliste A1</t>
  </si>
  <si>
    <t>Ansvarlig byggeledelse: INSTA 800 og sjekkliste A1</t>
  </si>
  <si>
    <t>Energiforbruk fra aktiviteter på byggeplassen (steg 2-4)</t>
  </si>
  <si>
    <t>Energiforbruk tilknyttet transport av masser og avfall  (steg 2-4)</t>
  </si>
  <si>
    <t>Energieffektive funksjoner heis</t>
  </si>
  <si>
    <t>Energieffektive funksjoner rulletrapp</t>
  </si>
  <si>
    <t>Ene 06c</t>
  </si>
  <si>
    <t>Flow control devices</t>
  </si>
  <si>
    <r>
      <rPr>
        <b/>
        <sz val="11"/>
        <color rgb="FFFFFFFF"/>
        <rFont val="Calibri"/>
        <family val="2"/>
      </rPr>
      <t>Pol 01:</t>
    </r>
    <r>
      <rPr>
        <sz val="11"/>
        <color indexed="9"/>
        <rFont val="Calibri"/>
        <family val="2"/>
      </rPr>
      <t xml:space="preserve"> Refrigerants in the building?</t>
    </r>
  </si>
  <si>
    <t>Non-combustions system</t>
  </si>
  <si>
    <t>Combustions plant</t>
  </si>
  <si>
    <r>
      <rPr>
        <b/>
        <sz val="11"/>
        <color rgb="FFFFFFFF"/>
        <rFont val="Calibri"/>
        <family val="2"/>
      </rPr>
      <t xml:space="preserve">Pol 05: </t>
    </r>
    <r>
      <rPr>
        <sz val="11"/>
        <color indexed="9"/>
        <rFont val="Calibri"/>
        <family val="2"/>
      </rPr>
      <t>Noise-sensitive areas?</t>
    </r>
  </si>
  <si>
    <r>
      <rPr>
        <b/>
        <sz val="11"/>
        <color rgb="FFFFFFFF"/>
        <rFont val="Calibri"/>
        <family val="2"/>
      </rPr>
      <t>Ene 05:</t>
    </r>
    <r>
      <rPr>
        <sz val="11"/>
        <color indexed="9"/>
        <rFont val="Calibri"/>
        <family val="2"/>
      </rPr>
      <t xml:space="preserve"> Commercial/industrial refrigeration and cold storage systems?</t>
    </r>
  </si>
  <si>
    <r>
      <rPr>
        <b/>
        <sz val="11"/>
        <color rgb="FFFFFFFF"/>
        <rFont val="Calibri"/>
        <family val="2"/>
      </rPr>
      <t>Ene 06:</t>
    </r>
    <r>
      <rPr>
        <sz val="11"/>
        <color indexed="9"/>
        <rFont val="Calibri"/>
        <family val="2"/>
      </rPr>
      <t xml:space="preserve"> Does the building contain  lifts, escalators or moving walks?</t>
    </r>
  </si>
  <si>
    <t xml:space="preserve">Inn 01 - Man 03: Reduction of direct emissions from construction sites </t>
  </si>
  <si>
    <t xml:space="preserve">Inn 02 - Hea 01: Daylighting, high level </t>
  </si>
  <si>
    <t xml:space="preserve">Inn 03 - Hea 01: View out, high level </t>
  </si>
  <si>
    <t xml:space="preserve">Inn 04 - Hea 02: Emissions from construction products  </t>
  </si>
  <si>
    <t xml:space="preserve">Inn 05 - Ene 01: Post-occupancy stage </t>
  </si>
  <si>
    <t xml:space="preserve">Inn 06 - Ene 01: Plus house </t>
  </si>
  <si>
    <t>Inn 07 - Wat 01: Highly water efficient components</t>
  </si>
  <si>
    <t xml:space="preserve">Inn 08 - Mat 01: 60% reduction of greenhouse gas emission </t>
  </si>
  <si>
    <t>Inn 09 - Mat 06: FutureBuilt criteria set for circular buildings, point 2.3 reuse of building components</t>
  </si>
  <si>
    <t xml:space="preserve">Inn 10 - Wst 01: Especially low amount of construction waste </t>
  </si>
  <si>
    <t>Inn 11 - LE 02: Wider sustainability for the site</t>
  </si>
  <si>
    <t>Inn 12 - LE 04: Significant net gain of biodiversity</t>
  </si>
  <si>
    <t>Inn 13 - LE 06: Responding to climate change</t>
  </si>
  <si>
    <t>Inn 14 - LE 08: Wider approach to surface water management</t>
  </si>
  <si>
    <t>Yes - lifts and escalators/moving walks</t>
  </si>
  <si>
    <t>Yes - escalators/moving walks</t>
  </si>
  <si>
    <t>Yes - lifts</t>
  </si>
  <si>
    <t>Ved 1 poeng, sjekk type</t>
  </si>
  <si>
    <t>hvis 1 poeng . Sjekk type</t>
  </si>
  <si>
    <t>sjekk type og rett poeng</t>
  </si>
  <si>
    <t>sjekk rett</t>
  </si>
  <si>
    <t>Ene07</t>
  </si>
  <si>
    <t>Mat05</t>
  </si>
  <si>
    <t>Wst03</t>
  </si>
  <si>
    <t>Wst 03</t>
  </si>
  <si>
    <t>Mat02</t>
  </si>
  <si>
    <t>Mat03</t>
  </si>
  <si>
    <t>Bespoke foreløpig - mulig utgå</t>
  </si>
  <si>
    <t>VALG BESPOKE</t>
  </si>
  <si>
    <t>BREEAM-NOR AP and BREEAM performance targets (stage 5 and 6)</t>
  </si>
  <si>
    <t>Hea 01f</t>
  </si>
  <si>
    <t>Mat 02 Environmental impacts from construction products - product requirements</t>
  </si>
  <si>
    <t>Mat 05 Designing for durability and climate adaption</t>
  </si>
  <si>
    <t>Wst 04 Speculative finishes</t>
  </si>
  <si>
    <t>5 mm precipitation</t>
  </si>
  <si>
    <t>LE 08d</t>
  </si>
  <si>
    <t>Non-combustion heating and hot water system</t>
  </si>
  <si>
    <t>Combustion-powered heating and hot water</t>
  </si>
  <si>
    <t>Vekting</t>
  </si>
  <si>
    <t>Innredet</t>
  </si>
  <si>
    <t>Uinnredet</t>
  </si>
  <si>
    <t>Råbygg</t>
  </si>
  <si>
    <t>Valg</t>
  </si>
  <si>
    <t>Fully fitted</t>
  </si>
  <si>
    <t>Shell only</t>
  </si>
  <si>
    <t xml:space="preserve">Requirements for EU taxonomy </t>
  </si>
  <si>
    <t>EU Taksonomi</t>
  </si>
  <si>
    <t xml:space="preserve">Ingen vesentlig skade (DNSH) </t>
  </si>
  <si>
    <t>Bidra vesentlig til å redusere klimaendringer</t>
  </si>
  <si>
    <t>Samlet</t>
  </si>
  <si>
    <t>INITIAL</t>
  </si>
  <si>
    <t>DESIGN</t>
  </si>
  <si>
    <t>CONSTRUCTION</t>
  </si>
  <si>
    <t>Oppfyller taksonomi = nei</t>
  </si>
  <si>
    <t>Wst 01d</t>
  </si>
  <si>
    <t>LE 01b</t>
  </si>
  <si>
    <t>Minimum req: legal and sustainable timber</t>
  </si>
  <si>
    <t>Pre-requisite: managing negative impacts on ecology</t>
  </si>
  <si>
    <t>Pre-requisite: flood risk assessment</t>
  </si>
  <si>
    <t>Pre-requisite: risk assessment and the "three- step strategy"</t>
  </si>
  <si>
    <t>Pre-requisite: transport assessment and travel plan</t>
  </si>
  <si>
    <t>Pre-requisite: impact of refrigerants</t>
  </si>
  <si>
    <t>Pre-requisite: Transport assessment and travel plan</t>
  </si>
  <si>
    <r>
      <rPr>
        <b/>
        <sz val="11"/>
        <color rgb="FFFFFFFF"/>
        <rFont val="Calibri"/>
        <family val="2"/>
      </rPr>
      <t xml:space="preserve">Mat 06: </t>
    </r>
    <r>
      <rPr>
        <sz val="11"/>
        <color indexed="9"/>
        <rFont val="Calibri"/>
        <family val="2"/>
      </rPr>
      <t>Demolition in the development area (mapping for component reuse)?</t>
    </r>
  </si>
  <si>
    <t xml:space="preserve">Hea 06: Biofilik design </t>
  </si>
  <si>
    <r>
      <t xml:space="preserve">Wat 04: </t>
    </r>
    <r>
      <rPr>
        <sz val="11"/>
        <color rgb="FFFFFFFF"/>
        <rFont val="Calibri"/>
        <family val="2"/>
      </rPr>
      <t>Water demand in building (beyond Wat 01)</t>
    </r>
    <r>
      <rPr>
        <b/>
        <sz val="11"/>
        <color rgb="FFFFFFFF"/>
        <rFont val="Calibri"/>
        <family val="2"/>
      </rPr>
      <t>?</t>
    </r>
  </si>
  <si>
    <t>Energy consumption from activities on the construction site (step 2-4)</t>
  </si>
  <si>
    <t>Energy consumption from transport of masses and waste (step 2-4)</t>
  </si>
  <si>
    <t>Energy efficient features: lifts</t>
  </si>
  <si>
    <t>Energy efficient features: escalators or moving walks</t>
  </si>
  <si>
    <t>Control plan and moisture measurements</t>
  </si>
  <si>
    <t>Construction under cover</t>
  </si>
  <si>
    <t>To activate select YES in cell S8</t>
  </si>
  <si>
    <t>To activate select YES in cell Z8</t>
  </si>
  <si>
    <r>
      <rPr>
        <b/>
        <sz val="11"/>
        <color rgb="FFFFFFFF"/>
        <rFont val="Calibri"/>
        <family val="2"/>
      </rPr>
      <t>Ene 08: A</t>
    </r>
    <r>
      <rPr>
        <sz val="11"/>
        <color indexed="9"/>
        <rFont val="Calibri"/>
        <family val="2"/>
      </rPr>
      <t>ny unregulated energy loads in building?</t>
    </r>
  </si>
  <si>
    <t>Other</t>
  </si>
  <si>
    <t>Transportation hub (coach or bus station and above ground rail station)</t>
  </si>
  <si>
    <t>Research and development (category 2 or 3 laboratories - non-higher education)</t>
  </si>
  <si>
    <t>Crèche</t>
  </si>
  <si>
    <t>Fire stations</t>
  </si>
  <si>
    <t>Visitor centres</t>
  </si>
  <si>
    <r>
      <rPr>
        <b/>
        <sz val="11"/>
        <color rgb="FFFFFFFF"/>
        <rFont val="Calibri"/>
        <family val="2"/>
      </rPr>
      <t>Ene 03, Pol 04:</t>
    </r>
    <r>
      <rPr>
        <sz val="11"/>
        <color indexed="9"/>
        <rFont val="Calibri"/>
        <family val="2"/>
      </rPr>
      <t xml:space="preserve"> External lighting within the construction zone?</t>
    </r>
  </si>
  <si>
    <t>Synlig (1=ja)</t>
  </si>
  <si>
    <r>
      <rPr>
        <b/>
        <sz val="11"/>
        <color indexed="9"/>
        <rFont val="Calibri"/>
        <family val="2"/>
      </rPr>
      <t xml:space="preserve">Pol 05: </t>
    </r>
    <r>
      <rPr>
        <sz val="11"/>
        <color indexed="9"/>
        <rFont val="Calibri"/>
        <family val="2"/>
      </rPr>
      <t>Does the building have a need for heating, ventilation or air conditioning?</t>
    </r>
  </si>
  <si>
    <t>Mat 07 Design for disassembly and adaptability</t>
  </si>
  <si>
    <t>Resource inventory</t>
  </si>
  <si>
    <t>1.0</t>
  </si>
  <si>
    <t>Developed for Grønn Byggallianse (Norwegian Green Building Council) by Asplan Viak</t>
  </si>
  <si>
    <t>,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(SD5076NOR). Furthermore, I confirm that this assessment and the information on which it is based has been checked and verified in accordance with NGBC/BRE Group Ltd's UKAS accredited BREEAM-NOR operating procedures for BREEAM-NOR assessments and assessors, as described in the  technical scheme document (SD5076NOR) and associated BREEAM-NOR operational documents.</t>
  </si>
  <si>
    <t>This Pre-Assessment Estimator is the property of NGBC and BRE Group Ltd. and is made publicly available for information purposes only. Its use for testing, assessment, certification or approval is not permitted. The results presented are indicative only of a building's potential performance which is based on a simplified, informal assessment and unverified commitments. The results do not represent a formal certified BREEAM-NOR assessment or rating and must not be communicated as such. NGBC/BRE Group Ltd. accepts no responsibility for any actions taken as a result of information presented or interpreted by the BREEAM-NOR Pre-Assessment Estimator. To carry out a formal BREEAM-NOR assessment contact a licensed BREEAM-NOR Assessor organisation. A list of licensed BREEAM-NOR Assessors is available from the www.byggalliansen.no and Green Book Live website: www.greenbooklive.com</t>
  </si>
  <si>
    <r>
      <rPr>
        <b/>
        <sz val="11"/>
        <color rgb="FFFFFFFF"/>
        <rFont val="Calibri"/>
        <family val="2"/>
      </rPr>
      <t>Ene 07:</t>
    </r>
    <r>
      <rPr>
        <sz val="11"/>
        <color indexed="9"/>
        <rFont val="Calibri"/>
        <family val="2"/>
      </rPr>
      <t xml:space="preserve"> Laboratory function/area and size cate</t>
    </r>
    <r>
      <rPr>
        <sz val="11"/>
        <color rgb="FFFFFFFF"/>
        <rFont val="Calibri"/>
        <family val="2"/>
      </rPr>
      <t>gory:</t>
    </r>
  </si>
  <si>
    <r>
      <rPr>
        <b/>
        <sz val="11"/>
        <color rgb="FFFFFFFF"/>
        <rFont val="Calibri"/>
        <family val="2"/>
      </rPr>
      <t xml:space="preserve">Pol 02: </t>
    </r>
    <r>
      <rPr>
        <sz val="11"/>
        <color indexed="9"/>
        <rFont val="Calibri"/>
        <family val="2"/>
      </rPr>
      <t>Heating and hot water is supplied by:</t>
    </r>
  </si>
  <si>
    <t>Pre-requisite: statutory obligations fulfilled</t>
  </si>
  <si>
    <t>Ene 01Tx</t>
  </si>
  <si>
    <t>Wat 01Tx</t>
  </si>
  <si>
    <t>Wst 01TX</t>
  </si>
  <si>
    <t>Wst 01Tx</t>
  </si>
  <si>
    <t>EU taxonomy requirement: criterion 1</t>
  </si>
  <si>
    <t>Mat 06d</t>
  </si>
  <si>
    <t>Achieved</t>
  </si>
  <si>
    <t>Not achieved</t>
  </si>
  <si>
    <r>
      <t>Ene 02:</t>
    </r>
    <r>
      <rPr>
        <sz val="11"/>
        <color rgb="FFFFFFFF"/>
        <rFont val="Calibri"/>
        <family val="2"/>
      </rPr>
      <t xml:space="preserve"> Sub-metering of high energy loads and tenancy areas. Is post-occupancy stage Ene 01 credits targeted?</t>
    </r>
  </si>
  <si>
    <r>
      <rPr>
        <b/>
        <sz val="11"/>
        <color indexed="9"/>
        <rFont val="Calibri"/>
        <family val="2"/>
      </rPr>
      <t xml:space="preserve">Hea 02, Hea 03: </t>
    </r>
    <r>
      <rPr>
        <sz val="11"/>
        <color indexed="9"/>
        <rFont val="Calibri"/>
        <family val="2"/>
      </rPr>
      <t>Does this industrial building have an office area or other occupied space?</t>
    </r>
  </si>
  <si>
    <t>Description of changes/additions made to the BREEAM Assessment Pre-Assessment Estimator</t>
  </si>
  <si>
    <t>Hea 01g</t>
  </si>
  <si>
    <t>Pre-requisite: limitation of light flicker and stroboscopic effect</t>
  </si>
  <si>
    <t>Pre-requisite: daylight assessments</t>
  </si>
  <si>
    <t>Næring</t>
  </si>
  <si>
    <t>Offentlig bygg (ikke boligformål)</t>
  </si>
  <si>
    <t>Boliger</t>
  </si>
  <si>
    <t>Flerboerbygg og omsorgsboliger</t>
  </si>
  <si>
    <t>Climate gas calculation for whole building life cycle (EU taxonomy requirement: criterion 2-3)</t>
  </si>
  <si>
    <t>Considerate contruction: clean and tidy building process and checklist A1 (EU taxonomy requirement: criterion 7-9)</t>
  </si>
  <si>
    <t>Considerate contruction: INSTA 800 and checklist A1 (EU taxonomy requirement: criterion 7-9)</t>
  </si>
  <si>
    <t>Emissions from construction products (EU taxonomy requirement: criterion 5)</t>
  </si>
  <si>
    <t>Minimum req: agricultural area / forest (EU taxonomy requirement: criterion 2)</t>
  </si>
  <si>
    <t>Survey and evaluation (EU taxonomy requirement: criterion 2-4)</t>
  </si>
  <si>
    <t>Risk assessment (EU taxonomy requirement: criterion 1-6)</t>
  </si>
  <si>
    <t>Minimum req: absence of environmental toxins (EU taxonomy requirement: criterion 1)</t>
  </si>
  <si>
    <t>Hea 02: Emissions from construction products</t>
  </si>
  <si>
    <t>Mat 03 - Responsible sourcing of mat. - Crit 1.</t>
  </si>
  <si>
    <t>Option 2: - 50% credit</t>
  </si>
  <si>
    <t>Mat 03 Responsible sourcing of mat. - Crit 1.</t>
  </si>
  <si>
    <t>Pre-requisite: flicker reduction and daylight calculations</t>
  </si>
  <si>
    <t>Minimum requirement</t>
  </si>
  <si>
    <t/>
  </si>
  <si>
    <t>Climate gas calculation for whole building life cycle: criterion 2-3</t>
  </si>
  <si>
    <t>Considerate contruction: INSTA 800 and checklist A1: criterion 7-9</t>
  </si>
  <si>
    <t>Emissions from construction products: criterion 5</t>
  </si>
  <si>
    <t>Minimum req: absence of environmental toxins: criterion 1</t>
  </si>
  <si>
    <t>Waste sorting ≥70%: criterion 4</t>
  </si>
  <si>
    <t>Minimum req: agricultural area / forest: criterion 2</t>
  </si>
  <si>
    <t>Survey and evaluation: criterion 2-4</t>
  </si>
  <si>
    <t>Risk assessment: criterion 1-6</t>
  </si>
  <si>
    <t>endret tabell F253R253 for tax ene, wat og wst</t>
  </si>
  <si>
    <t>la inn under tabell tax at hvis poeng høyere enn krav, så sort</t>
  </si>
  <si>
    <t>Design for disassembly and functional adaptability - recommendations (EU taxonomy requirement: criterion 2-3)</t>
  </si>
  <si>
    <t>Disassembly and functional adaptability - implementation (EU taxonomy requirement: criterion 4-6)</t>
  </si>
  <si>
    <t>Design for disassembly and functional adaptability - recommendations: criterion 2-3</t>
  </si>
  <si>
    <t>Disassembly and functional adaptability - implementation: criterion 4-6</t>
  </si>
  <si>
    <t>fikset tekst mat 07 (2-3 og 4-6)</t>
  </si>
  <si>
    <t>fikset - tatt bort tax le 03</t>
  </si>
  <si>
    <t>endret ene 01.  Adaptation to EU taxonomy (criterion 12) til Adaptation to EU taxonomy. Både under poeng og tax tabell</t>
  </si>
  <si>
    <t>Fikset, celle Z91, 92, z 94 under poeng. 
2.	I manualen står det på både Ene 07 og Ene 08 at gjeldende vurderingskriterier er «Ikke tilgjengelig» om man har et uinnredet bygg. Men i pre-analysen er det mulig å velge både Ene 07 og Ene 08 selv om man har valgt prosjekt-type «New Construction (shell and core). You fix?</t>
  </si>
  <si>
    <t>H16 assessment details. Bytta ADIND_option02 uder poeng med ADIND_option02n</t>
  </si>
  <si>
    <t>N60 poeng - hea 06 short term 1 poeng. U 60 poeng er filter</t>
  </si>
  <si>
    <t>legg inn rad på LE03 - pre req under pre ass estimatro og pae availabe fo ropy</t>
  </si>
  <si>
    <t>Ene 087 indiustri er tilgjengelig</t>
  </si>
  <si>
    <t>lagt til ene 07 på industri. Både unde poeng og juster filter under aa details</t>
  </si>
  <si>
    <t>Pre-requisite: A site-specific indoor air quality plan has been produced</t>
  </si>
  <si>
    <t>til bruk for hea 02</t>
  </si>
  <si>
    <t>Må fikses bespoke og sr</t>
  </si>
  <si>
    <t>Assessmet issue scoringE823 mat 05 control plan må ikke være grået ut selv om no er valgt</t>
  </si>
  <si>
    <t>endre navn under poeng fanen hea 02 pre : Pre-requisite: A site-specific indoor air quality plan has been produced</t>
  </si>
  <si>
    <t>i ass iss scor. Hea 02. når pre req er no ller please blir likevel summen og poeng tilgjengelig. Mpå rettes</t>
  </si>
  <si>
    <t>hea 06 incluseinve poeng fane, celle U60. endre fra Z6 til Z7. skal gi 2 poeng for sheltered - omsorgsbolig</t>
  </si>
  <si>
    <t>wat 01 For boligbygg så kommer det ikke opp samsvar med EU taks fordi krit 2 kun er for næringsbygg. Fikset under poeg taks fane og summary building fase</t>
  </si>
  <si>
    <t>mat 06 ved filter ut pga ikke oråde som skal kartelgges filterres ikke taks ut. Fikset under poeg taks fane og summary building fase</t>
  </si>
  <si>
    <t>hea 02 ved filter ut pga ikke industri - ta ut fra taksonomi . Fikset under poeg taks fane og summary building fase</t>
  </si>
  <si>
    <t>wat 03Skal kun være mulig å oppnå kriterium 3 for enebolig. Pt går det an å oppfylle kriterium 1 også.</t>
  </si>
  <si>
    <t>Oppdatert kommentar Ene 01 under ore assesment estimator</t>
  </si>
  <si>
    <t>oppdatert ai70 til ak70 under poeng - nå bør det fubgere ene 01 hea 03</t>
  </si>
  <si>
    <t>flyttet spørsmål ass det opp et hakk e11</t>
  </si>
  <si>
    <r>
      <rPr>
        <b/>
        <sz val="11"/>
        <color rgb="FFFFFFFF"/>
        <rFont val="Calibri"/>
        <family val="2"/>
      </rPr>
      <t>Wat 03:</t>
    </r>
    <r>
      <rPr>
        <sz val="11"/>
        <color indexed="9"/>
        <rFont val="Calibri"/>
        <family val="2"/>
      </rPr>
      <t xml:space="preserve"> WC facilities are only provided within the residential areas?</t>
    </r>
  </si>
  <si>
    <t>la til spørsmål wat 03 ass det for langtid bolig</t>
  </si>
  <si>
    <t>V1.6</t>
  </si>
  <si>
    <t>legg til yes no under adaptio to eu tax</t>
  </si>
  <si>
    <t>oppdater tabell poeng</t>
  </si>
  <si>
    <t>fiks kobling mot krav taksonomi</t>
  </si>
  <si>
    <t>I dag filtreres kriteriene for control of glare from sunlight og internal and external lighting levels, zoning and control ut for en rekke bygningskategorier. Dette skal kun filtreres ut for bygningskategori residential.</t>
  </si>
  <si>
    <t>rette opp under fane poeng</t>
  </si>
  <si>
    <r>
      <t xml:space="preserve">Poengoppnåelse i Hea 02 er avhengig av at prosjektene har gjennomført forkravet, som inkluderer kriterier for </t>
    </r>
    <r>
      <rPr>
        <i/>
        <sz val="11"/>
        <color theme="1"/>
        <rFont val="Calibri"/>
        <family val="2"/>
      </rPr>
      <t xml:space="preserve">Control plan and moisture measurements </t>
    </r>
    <r>
      <rPr>
        <sz val="11"/>
        <color theme="1"/>
        <rFont val="Calibri"/>
        <family val="2"/>
      </rPr>
      <t>(uten poengoppnåelse)</t>
    </r>
    <r>
      <rPr>
        <i/>
        <sz val="11"/>
        <color theme="1"/>
        <rFont val="Calibri"/>
        <family val="2"/>
      </rPr>
      <t xml:space="preserve">. </t>
    </r>
    <r>
      <rPr>
        <sz val="11"/>
        <color theme="1"/>
        <rFont val="Calibri"/>
        <family val="2"/>
      </rPr>
      <t xml:space="preserve">I Construction phase progression er det koblet feil, slik at det det er kriteriet </t>
    </r>
    <r>
      <rPr>
        <i/>
        <sz val="11"/>
        <color theme="1"/>
        <rFont val="Calibri"/>
        <family val="2"/>
      </rPr>
      <t xml:space="preserve">Construction under cover </t>
    </r>
    <r>
      <rPr>
        <sz val="11"/>
        <color theme="1"/>
        <rFont val="Calibri"/>
        <family val="2"/>
      </rPr>
      <t>som er knyttet til forkravet. Initial target og design phase har riktig kriterium.</t>
    </r>
  </si>
  <si>
    <t>fane poeng: AK281 rettet til 35 og ikke 36</t>
  </si>
  <si>
    <t>EU taxonomy requirements skal ikke filtreres ut for bygningskategori Residential. Kriteriet gjelder alle bygningskategorier</t>
  </si>
  <si>
    <t>Fane poeng, H254 - la til Yes/nop</t>
  </si>
  <si>
    <t>Waste sorting, reuse, and recycling</t>
  </si>
  <si>
    <t>endret BD, BF og BJ i rad 158 poeng</t>
  </si>
  <si>
    <t>endret rad 251 BD til BK poeng</t>
  </si>
  <si>
    <t>EU taxonomy requirement: criterion 4, ready for reuse &gt;70%</t>
  </si>
  <si>
    <t>endret navn til ready for reuse &gt;70%”</t>
  </si>
  <si>
    <t>Mat 05 og Hea 02</t>
  </si>
  <si>
    <t>Sammenhengen mellom forkravet i Hea 02 og Mat 05 skurrer:</t>
  </si>
  <si>
    <t>endret i fane poeng: ai48:ak50 - lagt til =0 i OR</t>
  </si>
  <si>
    <t>Considerate contruction: clean and tidy building process and checklist A1 (EU taxonomy requirement: criterion 5-6)</t>
  </si>
  <si>
    <t>Endre til Considerate contruction: clean and tidy building process and checklist A1 (EU taxonomy requirement: criterion 5-6)</t>
  </si>
  <si>
    <t>lagt til clle BA 49 poeng</t>
  </si>
  <si>
    <t xml:space="preserve">I Hea 02 er det en feilkobling av poeng og sertifiseringsnivå. For emissions from construction products (EU taxonomy requirement: criterion 5) skal 0 poeng tilsvare sertifiseringsnivå Good, 1 poeng Very Good og 2 poeng Outstanding. </t>
  </si>
  <si>
    <t>WC facilities are only provided within the residential areas</t>
  </si>
  <si>
    <t>Staff WC etc. outside the residential areas</t>
  </si>
  <si>
    <t>assessment details</t>
  </si>
  <si>
    <t>R22 R23 endre til</t>
  </si>
  <si>
    <r>
      <t xml:space="preserve">Hvis man skal ta forkravet i HEA02, dvs </t>
    </r>
    <r>
      <rPr>
        <i/>
        <sz val="11"/>
        <color theme="1"/>
        <rFont val="Calibri"/>
        <family val="2"/>
        <scheme val="minor"/>
      </rPr>
      <t>indoor air quality plan</t>
    </r>
    <r>
      <rPr>
        <sz val="11"/>
        <color theme="1"/>
        <rFont val="Calibri"/>
        <family val="2"/>
        <scheme val="minor"/>
      </rPr>
      <t xml:space="preserve"> og kriteriene 6-8 </t>
    </r>
    <r>
      <rPr>
        <i/>
        <sz val="11"/>
        <color theme="1"/>
        <rFont val="Calibri"/>
        <family val="2"/>
        <scheme val="minor"/>
      </rPr>
      <t>Control plan and moisture measurements</t>
    </r>
    <r>
      <rPr>
        <sz val="11"/>
        <color theme="1"/>
        <rFont val="Calibri"/>
        <family val="2"/>
        <scheme val="minor"/>
      </rPr>
      <t xml:space="preserve"> i MAT05, men ikke forkravet, må man slik det er nå aktivt velge «No» i spørsmålet om forkrav, og så legge inn 1 poeng i krit 6-8. Poenget blir da ikke telt med i scoren.</t>
    </r>
  </si>
  <si>
    <t>Hvis man derimot ikke skriver noe i forkravet, men fortsatt legger inn 1 poeng i krit 6-8 blir poenget tellende med. Dette er uheldig. Vi ønsker dette endret til at poenget kun tildeles dersom det aktivt velges «yes» under forkravet i Mat 05. Slik kan man legge inn 1 under kriterium 6-8 for å vise samsvar med forkravet i Hea 02, men ikke ta poenget i Mat 05.</t>
  </si>
  <si>
    <t>Gir det mening?</t>
  </si>
  <si>
    <t>Ene 01 – nZEB trenger ikke to celler for å vise samsvar med taksonomien lenger. Poengoppnåelse = taksonomisamsvar.</t>
  </si>
  <si>
    <t>lagt til 1 under BO73 poeng</t>
  </si>
  <si>
    <t>slettet rad 256 poeng</t>
  </si>
  <si>
    <t>BR257-BT27 - ta bort nede rad</t>
  </si>
  <si>
    <t>Endret navn sum building pref: C63. endret A63 til Ene 01d</t>
  </si>
  <si>
    <t>slettet rad med adaption under pre ass estim</t>
  </si>
  <si>
    <t>slettet rad med adaption pae available for copy</t>
  </si>
  <si>
    <t>BREEAM-NOR v6.1 New Construction Pre-Assessment Estimator: Building Performance</t>
  </si>
  <si>
    <t>EU taxonomy requirements: criterion 9 and 10 - Energy performance</t>
  </si>
  <si>
    <t>E253 poent til EU taxonomy requirements: criterion 9 and 10 - Energy performance</t>
  </si>
  <si>
    <t>endret pre assessment til kun 0 eller 3 poeng</t>
  </si>
  <si>
    <t>C62 til Energy performance: riterion 9 and 10 summary of building</t>
  </si>
  <si>
    <t>Energy performance: criterion 9 and 10</t>
  </si>
  <si>
    <t>Endret C63 summary of til Adaptation to EU taxonomy: criterion 11 and 12</t>
  </si>
  <si>
    <t>Endret til v1.0</t>
  </si>
  <si>
    <t>Adaptation to EU taxonomy: criterion 12</t>
  </si>
  <si>
    <t>C63 til Adaptation to EU taxonomy: criterion 12</t>
  </si>
  <si>
    <t>Adaptation to EU taxonomy (EU taxonomy requirements: criterion 12)</t>
  </si>
  <si>
    <t>endret E73 poeng til Adaptation to EU taxonomy (EU taxonomy requirements: criterion 12)</t>
  </si>
  <si>
    <t>Considerate contruction: clean and tidy building process and checklist A1: criterion 5-6</t>
  </si>
  <si>
    <t>Endret C56 summary til Considerate contruction: clean and tidy building process and checklist A1: criterion 5-6</t>
  </si>
  <si>
    <t>Endret over tabell på PAE available: tall i rad 2</t>
  </si>
  <si>
    <t>Endret til YES i BP250, BQ250 poeng</t>
  </si>
  <si>
    <t>kopiert inn =IF(AB145=0; forran BR:BT 250</t>
  </si>
  <si>
    <t>Tatt bort BP144:BT144</t>
  </si>
  <si>
    <t>Minimum req: mapping for component reuse - criterion 1 (EU taxonomy requirement: criterion 1)</t>
  </si>
  <si>
    <t>Endret navn poeng Mat 06 og Mat 06 min req</t>
  </si>
  <si>
    <t>Mapping for component reuse and implementation: criterion 1</t>
  </si>
  <si>
    <t>Endret navn summary C70</t>
  </si>
  <si>
    <t>Endret til MAt06dA70 summary</t>
  </si>
  <si>
    <t>kopiert inn =IF(AB145=0;9; forran BR:BT 250</t>
  </si>
  <si>
    <t>sjekk alle eu rwq tabell. Noen design og construction har ikke med hvis N/A</t>
  </si>
  <si>
    <t>Added project type: Major Refurbishment</t>
  </si>
  <si>
    <t>EU taxonomy requirements: criterion 2</t>
  </si>
  <si>
    <t>Outstanding ≥85%</t>
  </si>
  <si>
    <t>Excellent ≥70%</t>
  </si>
  <si>
    <t>Very Good ≥55%</t>
  </si>
  <si>
    <t>Good ≥45%</t>
  </si>
  <si>
    <t>Pass ≥30%</t>
  </si>
  <si>
    <t>Unclassified &lt;30%</t>
  </si>
  <si>
    <t>BREEAM-NOR v6.1.1 New Construction Pre-Assessment Estimator: Version Control</t>
  </si>
  <si>
    <t>BREEAM-NOR v6.1.1 New Construction Pre-Assessment Estimator</t>
  </si>
  <si>
    <t>BREEAM-NOR v6.1.1 New Construction Pre-Assessment Estimator: Assessment Details</t>
  </si>
  <si>
    <t>BREEAM-NOR v6.1.1 New Construction Pre-Assessment Estimator: Building Performance</t>
  </si>
  <si>
    <t>BREEAM-NOR v6.1.1 New Construction Pre-Assessment Estimator: Summary of Building Performance</t>
  </si>
  <si>
    <r>
      <rPr>
        <b/>
        <sz val="11"/>
        <color theme="1"/>
        <rFont val="Calibri"/>
        <family val="2"/>
        <scheme val="minor"/>
      </rPr>
      <t xml:space="preserve">Starting a pre-assessment </t>
    </r>
    <r>
      <rPr>
        <sz val="11"/>
        <color theme="1"/>
        <rFont val="Calibri"/>
        <family val="2"/>
        <scheme val="minor"/>
      </rPr>
      <t xml:space="preserve">
You have downloaded and opened the template version of the BREEAM-NOR v6.1.1 Pre-Assessment Estimator. The template version must always be used to start a new pre-assessment of a building. 
To begin a pre-assessment of a building you must first define a few characteristics of the building requiring pre-assessment in the Assessment Details worksheet. This information ensures the Pre-Assessment Estimator selects the correct number of BREEAM-NOR issues and credits for the building. </t>
    </r>
  </si>
  <si>
    <r>
      <rPr>
        <b/>
        <sz val="11"/>
        <color theme="1"/>
        <rFont val="Calibri"/>
        <family val="2"/>
        <scheme val="minor"/>
      </rPr>
      <t xml:space="preserve">Disclaimer </t>
    </r>
    <r>
      <rPr>
        <sz val="11"/>
        <color theme="1"/>
        <rFont val="Calibri"/>
        <family val="2"/>
        <scheme val="minor"/>
      </rPr>
      <t xml:space="preserve">
Thank you for downloading and using the BREEAM-NOR Versjon 6.1.1 New Construction Pre-Assessment Estimator. 
If you are using the Pre-Assessment Estimator for the first time please take a few moments to read the following: 
The Pre-Assessment Estimator is the property of Grønn Byggallianse (NGBC) and BRE Global Ltd and is made publicly available for information purposes only. Its use for testing, assessment, certification or approval is not permitted. The results presented are indicative only of a building's potential performance and are based on a simplified, informal assessment and unverified commitments. The results do not represent a formal certified BREEAM-NOR assessment or rating and must not be communicated or presented as a BREEAM-NOR rating. NGBC/BRE Group Ltd. accepts no responsibility for any actions taken as a result of information presented or interpreted by the BREEAM-NOR Pre-Assessment Estimator. </t>
    </r>
  </si>
  <si>
    <r>
      <rPr>
        <b/>
        <sz val="11"/>
        <color theme="1"/>
        <rFont val="Calibri"/>
        <family val="2"/>
        <scheme val="minor"/>
      </rPr>
      <t xml:space="preserve">Completing a pre-assessment </t>
    </r>
    <r>
      <rPr>
        <sz val="11"/>
        <color theme="1"/>
        <rFont val="Calibri"/>
        <family val="2"/>
        <scheme val="minor"/>
      </rPr>
      <t xml:space="preserve">
These questions are arranged by assessment issue. The number of indicative BREEAM-NOR credits achieved and overall performance will depend on your response to each question. In most cases, questions are answered by entering the number of BREEAM-NOR credits you wish to award. 
Before proceeding with the pre-assessment it is recommended that you save a copy of the Pre-Assessment Estimator using the building name and date as a filename, for example: BREEAM-NOR v6.1.1 Pre-Assessment Estimator_v1.0 - Office HQ 1/11/16.</t>
    </r>
  </si>
  <si>
    <t>Criterion</t>
  </si>
  <si>
    <t>2-3</t>
  </si>
  <si>
    <t>2-4</t>
  </si>
  <si>
    <t>4-6</t>
  </si>
  <si>
    <t>7-9</t>
  </si>
  <si>
    <t>10-12</t>
  </si>
  <si>
    <t>1-4</t>
  </si>
  <si>
    <t>5-6</t>
  </si>
  <si>
    <t>10-11</t>
  </si>
  <si>
    <t>12-13</t>
  </si>
  <si>
    <t>3-5</t>
  </si>
  <si>
    <t>1-5</t>
  </si>
  <si>
    <t>5-7</t>
  </si>
  <si>
    <t>8-9</t>
  </si>
  <si>
    <t>1-2</t>
  </si>
  <si>
    <t>3 or 4</t>
  </si>
  <si>
    <t>11-15</t>
  </si>
  <si>
    <t>4 or 5</t>
  </si>
  <si>
    <t>6-11</t>
  </si>
  <si>
    <t>5-8</t>
  </si>
  <si>
    <t>3-4</t>
  </si>
  <si>
    <t>9-11</t>
  </si>
  <si>
    <t>6-7</t>
  </si>
  <si>
    <t>6-8</t>
  </si>
  <si>
    <t>9-10</t>
  </si>
  <si>
    <t>11-12</t>
  </si>
  <si>
    <t>13-16</t>
  </si>
  <si>
    <t>1-6</t>
  </si>
  <si>
    <t>1-7</t>
  </si>
  <si>
    <t>2-5</t>
  </si>
  <si>
    <t>6 or 7</t>
  </si>
  <si>
    <t>1-3</t>
  </si>
  <si>
    <t>4-5</t>
  </si>
  <si>
    <t>3 or 4 or 5</t>
  </si>
  <si>
    <t>21-22</t>
  </si>
  <si>
    <t>17-20</t>
  </si>
  <si>
    <t>Note: If you are starting a new pre-assessment please ensure you are using the latest template version of the BREEAM-NOR v6.1.1 Pre-Assessment Estimator and not a version used for an existing/previous pre-assessment.</t>
  </si>
  <si>
    <t>Man sum</t>
  </si>
  <si>
    <t>Initial Release Version of BREEAM-NOR v6.1.1 New Construction Pre-Assessment Tool.</t>
  </si>
  <si>
    <t>1.01</t>
  </si>
  <si>
    <t>Corrected error in total performance calculation for Management, Health and wellbeing and Energy in design and construction phase.</t>
  </si>
  <si>
    <t>BREEAM-NOR v6.1.1 Issue</t>
  </si>
  <si>
    <t>Previous versions</t>
  </si>
  <si>
    <t>1.02</t>
  </si>
  <si>
    <t>Corrected display error in PAE available for copy.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</si>
</sst>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
    <numFmt numFmtId="165" formatCode="[$-F800]dddd\,\ mmmm\ dd\,\ yyyy"/>
    <numFmt numFmtId="166" formatCode="0.0"/>
  </numFmts>
  <fonts count="114" x14ac:knownFonts="1">
    <font>
      <sz val="11"/>
      <color theme="1"/>
      <name val="Calibri"/>
      <family val="2"/>
      <scheme val="minor"/>
    </font>
    <font>
      <sz val="11"/>
      <color indexed="8"/>
      <name val="Calibri"/>
      <family val="2"/>
    </font>
    <font>
      <sz val="10"/>
      <name val="Arial"/>
      <family val="2"/>
    </font>
    <font>
      <sz val="9"/>
      <color indexed="8"/>
      <name val="Calibri"/>
      <family val="2"/>
    </font>
    <font>
      <sz val="12"/>
      <color indexed="8"/>
      <name val="Calibri"/>
      <family val="2"/>
    </font>
    <font>
      <sz val="12"/>
      <name val="Calibri"/>
      <family val="2"/>
    </font>
    <font>
      <sz val="11"/>
      <color indexed="8"/>
      <name val="Calibri"/>
      <family val="2"/>
    </font>
    <font>
      <sz val="11"/>
      <color indexed="9"/>
      <name val="Calibri"/>
      <family val="2"/>
    </font>
    <font>
      <b/>
      <sz val="11"/>
      <color indexed="9"/>
      <name val="Calibri"/>
      <family val="2"/>
    </font>
    <font>
      <sz val="11"/>
      <name val="Calibri"/>
      <family val="2"/>
    </font>
    <font>
      <b/>
      <sz val="12"/>
      <color indexed="8"/>
      <name val="Calibri"/>
      <family val="2"/>
    </font>
    <font>
      <sz val="12"/>
      <color indexed="8"/>
      <name val="Calibri"/>
      <family val="2"/>
    </font>
    <font>
      <sz val="11"/>
      <color indexed="57"/>
      <name val="Calibri"/>
      <family val="2"/>
    </font>
    <font>
      <i/>
      <sz val="11"/>
      <color indexed="23"/>
      <name val="Calibri"/>
      <family val="2"/>
    </font>
    <font>
      <b/>
      <sz val="11"/>
      <color indexed="10"/>
      <name val="Calibri"/>
      <family val="2"/>
    </font>
    <font>
      <sz val="9"/>
      <color indexed="8"/>
      <name val="Calibri"/>
      <family val="2"/>
    </font>
    <font>
      <sz val="12"/>
      <color indexed="9"/>
      <name val="Calibri"/>
      <family val="2"/>
    </font>
    <font>
      <sz val="12"/>
      <name val="Calibri"/>
      <family val="2"/>
    </font>
    <font>
      <i/>
      <sz val="12"/>
      <name val="Calibri"/>
      <family val="2"/>
    </font>
    <font>
      <b/>
      <sz val="14"/>
      <color indexed="9"/>
      <name val="Calibri"/>
      <family val="2"/>
    </font>
    <font>
      <sz val="16"/>
      <color indexed="9"/>
      <name val="Calibri"/>
      <family val="2"/>
    </font>
    <font>
      <b/>
      <sz val="16"/>
      <color indexed="9"/>
      <name val="Calibri"/>
      <family val="2"/>
    </font>
    <font>
      <sz val="8"/>
      <name val="Calibri"/>
      <family val="2"/>
    </font>
    <font>
      <sz val="11"/>
      <color theme="0"/>
      <name val="Calibri"/>
      <family val="2"/>
      <scheme val="minor"/>
    </font>
    <font>
      <sz val="11"/>
      <color rgb="FFFF0000"/>
      <name val="Calibri"/>
      <family val="2"/>
      <scheme val="minor"/>
    </font>
    <font>
      <b/>
      <sz val="14"/>
      <color rgb="FF3D6864"/>
      <name val="Calibri"/>
      <family val="2"/>
      <scheme val="minor"/>
    </font>
    <font>
      <sz val="11"/>
      <name val="Calibri"/>
      <family val="2"/>
      <scheme val="minor"/>
    </font>
    <font>
      <sz val="11"/>
      <color rgb="FFFF0000"/>
      <name val="Calibri"/>
      <family val="2"/>
    </font>
    <font>
      <b/>
      <sz val="14"/>
      <color theme="0"/>
      <name val="Calibri"/>
      <family val="2"/>
      <scheme val="minor"/>
    </font>
    <font>
      <sz val="11"/>
      <color rgb="FF406564"/>
      <name val="Calibri"/>
      <family val="2"/>
      <scheme val="minor"/>
    </font>
    <font>
      <b/>
      <sz val="12"/>
      <color theme="0"/>
      <name val="Calibri"/>
      <family val="2"/>
    </font>
    <font>
      <b/>
      <sz val="16"/>
      <color theme="0"/>
      <name val="Calibri"/>
      <family val="2"/>
      <scheme val="minor"/>
    </font>
    <font>
      <b/>
      <sz val="11"/>
      <color theme="1"/>
      <name val="Calibri"/>
      <family val="2"/>
      <scheme val="minor"/>
    </font>
    <font>
      <i/>
      <sz val="11"/>
      <name val="Calibri"/>
      <family val="2"/>
    </font>
    <font>
      <vertAlign val="superscript"/>
      <sz val="11"/>
      <color indexed="9"/>
      <name val="Calibri"/>
      <family val="2"/>
    </font>
    <font>
      <sz val="11"/>
      <color theme="1"/>
      <name val="Calibri"/>
      <family val="2"/>
    </font>
    <font>
      <b/>
      <sz val="14"/>
      <color rgb="FF406564"/>
      <name val="Calibri"/>
      <family val="2"/>
      <scheme val="minor"/>
    </font>
    <font>
      <b/>
      <sz val="11"/>
      <name val="Calibri"/>
      <family val="2"/>
      <scheme val="minor"/>
    </font>
    <font>
      <i/>
      <sz val="11"/>
      <color theme="1" tint="0.499984740745262"/>
      <name val="Calibri"/>
      <family val="2"/>
      <scheme val="minor"/>
    </font>
    <font>
      <b/>
      <sz val="11"/>
      <color theme="0"/>
      <name val="Calibri"/>
      <family val="2"/>
    </font>
    <font>
      <i/>
      <sz val="11"/>
      <color indexed="9"/>
      <name val="Calibri"/>
      <family val="2"/>
    </font>
    <font>
      <b/>
      <sz val="11"/>
      <color rgb="FF406564"/>
      <name val="Calibri"/>
      <family val="2"/>
      <scheme val="minor"/>
    </font>
    <font>
      <i/>
      <sz val="11"/>
      <color theme="1"/>
      <name val="Calibri"/>
      <family val="2"/>
      <scheme val="minor"/>
    </font>
    <font>
      <i/>
      <sz val="11"/>
      <color rgb="FFFF0000"/>
      <name val="Calibri"/>
      <family val="2"/>
    </font>
    <font>
      <sz val="18"/>
      <color rgb="FF406564"/>
      <name val="Calibri"/>
      <family val="2"/>
      <scheme val="minor"/>
    </font>
    <font>
      <i/>
      <sz val="11"/>
      <color theme="1"/>
      <name val="Calibri"/>
      <family val="2"/>
    </font>
    <font>
      <b/>
      <sz val="11"/>
      <color rgb="FFFF0000"/>
      <name val="Calibri"/>
      <family val="2"/>
      <scheme val="minor"/>
    </font>
    <font>
      <b/>
      <sz val="12"/>
      <color rgb="FFFF0000"/>
      <name val="Calibri"/>
      <family val="2"/>
    </font>
    <font>
      <sz val="20"/>
      <color rgb="FFFF0000"/>
      <name val="Calibri"/>
      <family val="2"/>
      <scheme val="minor"/>
    </font>
    <font>
      <sz val="18"/>
      <color rgb="FFFF0000"/>
      <name val="Calibri"/>
      <family val="2"/>
      <scheme val="minor"/>
    </font>
    <font>
      <sz val="8"/>
      <color theme="1"/>
      <name val="Calibri"/>
      <family val="2"/>
      <scheme val="minor"/>
    </font>
    <font>
      <b/>
      <sz val="8"/>
      <color theme="1"/>
      <name val="Calibri"/>
      <family val="2"/>
      <scheme val="minor"/>
    </font>
    <font>
      <sz val="8"/>
      <name val="Calibri"/>
      <family val="2"/>
      <scheme val="minor"/>
    </font>
    <font>
      <sz val="10"/>
      <color rgb="FF006100"/>
      <name val="Calibri Light"/>
      <family val="2"/>
    </font>
    <font>
      <sz val="9"/>
      <color theme="1"/>
      <name val="Calibri"/>
      <family val="2"/>
      <scheme val="minor"/>
    </font>
    <font>
      <b/>
      <sz val="9"/>
      <color theme="1"/>
      <name val="Calibri"/>
      <family val="2"/>
      <scheme val="minor"/>
    </font>
    <font>
      <sz val="18"/>
      <color theme="1"/>
      <name val="Calibri"/>
      <family val="2"/>
      <scheme val="minor"/>
    </font>
    <font>
      <sz val="14"/>
      <color theme="1"/>
      <name val="Calibri"/>
      <family val="2"/>
      <scheme val="minor"/>
    </font>
    <font>
      <sz val="11"/>
      <color theme="1"/>
      <name val="Calibri"/>
      <family val="2"/>
      <scheme val="minor"/>
    </font>
    <font>
      <b/>
      <sz val="14"/>
      <color indexed="9"/>
      <name val="Calibri"/>
      <family val="2"/>
    </font>
    <font>
      <sz val="11"/>
      <color indexed="9"/>
      <name val="Calibri"/>
      <family val="2"/>
    </font>
    <font>
      <b/>
      <sz val="11"/>
      <color indexed="10"/>
      <name val="Calibri"/>
      <family val="2"/>
    </font>
    <font>
      <b/>
      <sz val="11"/>
      <color rgb="FFFF0000"/>
      <name val="Calibri"/>
      <family val="2"/>
      <scheme val="minor"/>
    </font>
    <font>
      <b/>
      <sz val="14"/>
      <color rgb="FF3D6864"/>
      <name val="Calibri"/>
      <family val="2"/>
      <scheme val="minor"/>
    </font>
    <font>
      <b/>
      <sz val="12"/>
      <color indexed="8"/>
      <name val="Calibri"/>
      <family val="2"/>
    </font>
    <font>
      <sz val="12"/>
      <color indexed="8"/>
      <name val="Calibri"/>
      <family val="2"/>
    </font>
    <font>
      <b/>
      <sz val="12"/>
      <color indexed="9"/>
      <name val="Calibri"/>
      <family val="2"/>
    </font>
    <font>
      <sz val="12"/>
      <color indexed="9"/>
      <name val="Calibri"/>
      <family val="2"/>
    </font>
    <font>
      <sz val="12"/>
      <color rgb="FF3D6864"/>
      <name val="Calibri"/>
      <family val="2"/>
    </font>
    <font>
      <sz val="11"/>
      <color rgb="FF3D6864"/>
      <name val="Calibri"/>
      <family val="2"/>
      <scheme val="minor"/>
    </font>
    <font>
      <sz val="12"/>
      <color theme="1"/>
      <name val="Calibri"/>
      <family val="2"/>
      <scheme val="minor"/>
    </font>
    <font>
      <sz val="12"/>
      <name val="Calibri"/>
      <family val="2"/>
    </font>
    <font>
      <b/>
      <sz val="12"/>
      <color rgb="FF3D6864"/>
      <name val="Calibri"/>
      <family val="2"/>
    </font>
    <font>
      <sz val="12"/>
      <color rgb="FF406564"/>
      <name val="Calibri"/>
      <family val="2"/>
    </font>
    <font>
      <sz val="11"/>
      <name val="Calibri"/>
      <family val="2"/>
      <scheme val="minor"/>
    </font>
    <font>
      <sz val="11"/>
      <color indexed="57"/>
      <name val="Calibri"/>
      <family val="2"/>
    </font>
    <font>
      <sz val="11"/>
      <color theme="1"/>
      <name val="Calibri"/>
      <family val="2"/>
    </font>
    <font>
      <sz val="12"/>
      <color theme="1"/>
      <name val="Calibri"/>
      <family val="2"/>
    </font>
    <font>
      <sz val="9"/>
      <color indexed="8"/>
      <name val="Calibri"/>
      <family val="2"/>
    </font>
    <font>
      <sz val="9"/>
      <color theme="1"/>
      <name val="Calibri"/>
      <family val="2"/>
    </font>
    <font>
      <sz val="8"/>
      <color indexed="8"/>
      <name val="Calibri"/>
      <family val="2"/>
    </font>
    <font>
      <sz val="11"/>
      <color rgb="FFFF0000"/>
      <name val="Calibri"/>
      <family val="2"/>
    </font>
    <font>
      <b/>
      <sz val="14"/>
      <color theme="0"/>
      <name val="Calibri"/>
      <family val="2"/>
    </font>
    <font>
      <sz val="9"/>
      <color indexed="81"/>
      <name val="Tahoma"/>
      <family val="2"/>
    </font>
    <font>
      <sz val="11"/>
      <color theme="1"/>
      <name val="Calibri"/>
      <family val="2"/>
      <scheme val="minor"/>
    </font>
    <font>
      <b/>
      <sz val="16"/>
      <color theme="0"/>
      <name val="Calibri"/>
      <family val="2"/>
      <scheme val="minor"/>
    </font>
    <font>
      <sz val="11"/>
      <name val="Calibri"/>
      <family val="2"/>
    </font>
    <font>
      <b/>
      <sz val="11"/>
      <color rgb="FFFF0000"/>
      <name val="Calibri"/>
      <family val="2"/>
      <scheme val="minor"/>
    </font>
    <font>
      <b/>
      <sz val="11"/>
      <color theme="1"/>
      <name val="Calibri"/>
      <family val="2"/>
      <scheme val="minor"/>
    </font>
    <font>
      <b/>
      <sz val="16"/>
      <color theme="0"/>
      <name val="Calibri"/>
      <family val="2"/>
    </font>
    <font>
      <b/>
      <sz val="11"/>
      <color theme="0"/>
      <name val="Calibri"/>
      <family val="2"/>
      <scheme val="minor"/>
    </font>
    <font>
      <sz val="18"/>
      <color theme="0"/>
      <name val="Calibri"/>
      <family val="2"/>
      <scheme val="minor"/>
    </font>
    <font>
      <sz val="9"/>
      <name val="Calibri"/>
      <family val="2"/>
      <scheme val="minor"/>
    </font>
    <font>
      <sz val="12"/>
      <color rgb="FFFF0000"/>
      <name val="Calibri"/>
      <family val="2"/>
    </font>
    <font>
      <sz val="11"/>
      <color rgb="FF00B050"/>
      <name val="Calibri"/>
      <family val="2"/>
      <scheme val="minor"/>
    </font>
    <font>
      <sz val="11"/>
      <color rgb="FFFFFFFF"/>
      <name val="Calibri"/>
      <family val="2"/>
    </font>
    <font>
      <sz val="14"/>
      <color theme="0"/>
      <name val="Calibri"/>
      <family val="2"/>
      <scheme val="minor"/>
    </font>
    <font>
      <sz val="8"/>
      <color theme="0" tint="-0.34998626667073579"/>
      <name val="Calibri"/>
      <family val="2"/>
      <scheme val="minor"/>
    </font>
    <font>
      <b/>
      <sz val="8"/>
      <color theme="0" tint="-0.34998626667073579"/>
      <name val="Calibri"/>
      <family val="2"/>
      <scheme val="minor"/>
    </font>
    <font>
      <sz val="10"/>
      <color theme="0" tint="-0.34998626667073579"/>
      <name val="Calibri Light"/>
      <family val="2"/>
    </font>
    <font>
      <b/>
      <sz val="10"/>
      <color rgb="FF006100"/>
      <name val="Calibri Light"/>
      <family val="2"/>
    </font>
    <font>
      <b/>
      <sz val="10"/>
      <color rgb="FFFF0000"/>
      <name val="Calibri Light"/>
      <family val="2"/>
    </font>
    <font>
      <b/>
      <sz val="8"/>
      <name val="Calibri"/>
      <family val="2"/>
      <scheme val="minor"/>
    </font>
    <font>
      <sz val="11"/>
      <color theme="0" tint="-0.14999847407452621"/>
      <name val="Calibri"/>
      <family val="2"/>
      <scheme val="minor"/>
    </font>
    <font>
      <b/>
      <sz val="11"/>
      <color theme="0" tint="-0.14999847407452621"/>
      <name val="Calibri"/>
      <family val="2"/>
      <scheme val="minor"/>
    </font>
    <font>
      <b/>
      <sz val="9"/>
      <color indexed="81"/>
      <name val="Tahoma"/>
      <family val="2"/>
    </font>
    <font>
      <b/>
      <sz val="11"/>
      <color rgb="FFFFFFFF"/>
      <name val="Calibri"/>
      <family val="2"/>
    </font>
    <font>
      <b/>
      <sz val="14"/>
      <color rgb="FFFF0000"/>
      <name val="Calibri"/>
      <family val="2"/>
    </font>
    <font>
      <sz val="9"/>
      <color rgb="FF00B050"/>
      <name val="Calibri"/>
      <family val="2"/>
      <scheme val="minor"/>
    </font>
    <font>
      <b/>
      <sz val="9"/>
      <color rgb="FF00B050"/>
      <name val="Calibri"/>
      <family val="2"/>
      <scheme val="minor"/>
    </font>
    <font>
      <sz val="11"/>
      <color rgb="FF56B146"/>
      <name val="Calibri"/>
      <family val="2"/>
      <scheme val="minor"/>
    </font>
    <font>
      <b/>
      <sz val="11"/>
      <color rgb="FF000000"/>
      <name val="Calibri"/>
      <family val="2"/>
    </font>
    <font>
      <sz val="11"/>
      <color rgb="FF000000"/>
      <name val="Calibri"/>
      <family val="2"/>
    </font>
    <font>
      <b/>
      <u/>
      <sz val="11"/>
      <color theme="1"/>
      <name val="Calibri"/>
      <family val="2"/>
    </font>
  </fonts>
  <fills count="28">
    <fill>
      <patternFill patternType="none"/>
    </fill>
    <fill>
      <patternFill patternType="gray125"/>
    </fill>
    <fill>
      <patternFill patternType="solid">
        <fgColor indexed="9"/>
        <bgColor indexed="64"/>
      </patternFill>
    </fill>
    <fill>
      <patternFill patternType="solid">
        <fgColor rgb="FF3D6864"/>
        <bgColor indexed="64"/>
      </patternFill>
    </fill>
    <fill>
      <patternFill patternType="solid">
        <fgColor theme="0"/>
        <bgColor indexed="64"/>
      </patternFill>
    </fill>
    <fill>
      <patternFill patternType="solid">
        <fgColor theme="0" tint="-0.14999847407452621"/>
        <bgColor indexed="64"/>
      </patternFill>
    </fill>
    <fill>
      <patternFill patternType="solid">
        <fgColor rgb="FF406564"/>
        <bgColor indexed="64"/>
      </patternFill>
    </fill>
    <fill>
      <patternFill patternType="solid">
        <fgColor rgb="FFFFC000"/>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56B146"/>
        <bgColor indexed="64"/>
      </patternFill>
    </fill>
    <fill>
      <patternFill patternType="solid">
        <fgColor rgb="FFFFD146"/>
        <bgColor indexed="64"/>
      </patternFill>
    </fill>
    <fill>
      <patternFill patternType="solid">
        <fgColor rgb="FFF16161"/>
        <bgColor indexed="64"/>
      </patternFill>
    </fill>
    <fill>
      <patternFill patternType="solid">
        <fgColor rgb="FFC6EFCE"/>
      </patternFill>
    </fill>
    <fill>
      <patternFill patternType="solid">
        <fgColor rgb="FFFFFF00"/>
        <bgColor indexed="64"/>
      </patternFill>
    </fill>
    <fill>
      <patternFill patternType="solid">
        <fgColor theme="0" tint="-0.249977111117893"/>
        <bgColor indexed="64"/>
      </patternFill>
    </fill>
    <fill>
      <patternFill patternType="solid">
        <fgColor theme="9"/>
        <bgColor indexed="64"/>
      </patternFill>
    </fill>
    <fill>
      <patternFill patternType="solid">
        <fgColor theme="7"/>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2" tint="-0.249977111117893"/>
        <bgColor indexed="64"/>
      </patternFill>
    </fill>
  </fills>
  <borders count="1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theme="0"/>
      </left>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medium">
        <color rgb="FF3D6864"/>
      </right>
      <top/>
      <bottom/>
      <diagonal/>
    </border>
    <border>
      <left style="thin">
        <color indexed="64"/>
      </left>
      <right style="medium">
        <color rgb="FF3D6864"/>
      </right>
      <top style="thin">
        <color indexed="64"/>
      </top>
      <bottom style="thin">
        <color indexed="64"/>
      </bottom>
      <diagonal/>
    </border>
    <border>
      <left style="thin">
        <color theme="0"/>
      </left>
      <right style="medium">
        <color rgb="FF3D6864"/>
      </right>
      <top style="thin">
        <color theme="0"/>
      </top>
      <bottom style="thin">
        <color theme="0"/>
      </bottom>
      <diagonal/>
    </border>
    <border>
      <left style="thin">
        <color theme="0"/>
      </left>
      <right style="medium">
        <color rgb="FF3D6864"/>
      </right>
      <top/>
      <bottom style="thin">
        <color theme="0"/>
      </bottom>
      <diagonal/>
    </border>
    <border>
      <left/>
      <right style="medium">
        <color rgb="FF3D6864"/>
      </right>
      <top/>
      <bottom style="thin">
        <color theme="0"/>
      </bottom>
      <diagonal/>
    </border>
    <border>
      <left style="medium">
        <color rgb="FF3D6864"/>
      </left>
      <right/>
      <top/>
      <bottom/>
      <diagonal/>
    </border>
    <border>
      <left/>
      <right style="medium">
        <color rgb="FF3D6864"/>
      </right>
      <top/>
      <bottom style="thin">
        <color indexed="64"/>
      </bottom>
      <diagonal/>
    </border>
    <border>
      <left style="medium">
        <color rgb="FF3D6864"/>
      </left>
      <right style="thin">
        <color theme="0"/>
      </right>
      <top/>
      <bottom style="thin">
        <color theme="0"/>
      </bottom>
      <diagonal/>
    </border>
    <border>
      <left style="medium">
        <color rgb="FF3D6864"/>
      </left>
      <right style="thin">
        <color indexed="64"/>
      </right>
      <top style="thin">
        <color indexed="64"/>
      </top>
      <bottom style="thin">
        <color indexed="64"/>
      </bottom>
      <diagonal/>
    </border>
    <border>
      <left style="medium">
        <color rgb="FF3D6864"/>
      </left>
      <right style="thin">
        <color theme="0"/>
      </right>
      <top style="thin">
        <color theme="0"/>
      </top>
      <bottom style="thin">
        <color theme="0"/>
      </bottom>
      <diagonal/>
    </border>
    <border>
      <left/>
      <right/>
      <top/>
      <bottom style="thin">
        <color theme="0"/>
      </bottom>
      <diagonal/>
    </border>
    <border>
      <left style="medium">
        <color rgb="FF3D6864"/>
      </left>
      <right/>
      <top/>
      <bottom style="thin">
        <color theme="0"/>
      </bottom>
      <diagonal/>
    </border>
    <border>
      <left style="medium">
        <color rgb="FF3D6864"/>
      </left>
      <right/>
      <top style="thin">
        <color theme="0"/>
      </top>
      <bottom style="thin">
        <color theme="0"/>
      </bottom>
      <diagonal/>
    </border>
    <border>
      <left style="medium">
        <color rgb="FF3D6864"/>
      </left>
      <right style="medium">
        <color rgb="FF3D6864"/>
      </right>
      <top/>
      <bottom style="thin">
        <color indexed="64"/>
      </bottom>
      <diagonal/>
    </border>
    <border>
      <left style="medium">
        <color rgb="FF3D6864"/>
      </left>
      <right style="medium">
        <color rgb="FF3D6864"/>
      </right>
      <top/>
      <bottom style="thin">
        <color theme="0"/>
      </bottom>
      <diagonal/>
    </border>
    <border>
      <left style="medium">
        <color rgb="FF3D6864"/>
      </left>
      <right style="medium">
        <color rgb="FF3D6864"/>
      </right>
      <top style="thin">
        <color indexed="64"/>
      </top>
      <bottom style="thin">
        <color indexed="64"/>
      </bottom>
      <diagonal/>
    </border>
    <border>
      <left style="medium">
        <color rgb="FF3D68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theme="0"/>
      </left>
      <right style="thin">
        <color theme="0"/>
      </right>
      <top style="thin">
        <color theme="0"/>
      </top>
      <bottom style="medium">
        <color rgb="FF3D6864"/>
      </bottom>
      <diagonal/>
    </border>
    <border>
      <left style="thin">
        <color theme="0"/>
      </left>
      <right style="medium">
        <color rgb="FF3D6864"/>
      </right>
      <top style="thin">
        <color theme="0"/>
      </top>
      <bottom style="medium">
        <color rgb="FF3D6864"/>
      </bottom>
      <diagonal/>
    </border>
    <border>
      <left/>
      <right style="thin">
        <color theme="0"/>
      </right>
      <top style="thin">
        <color theme="0"/>
      </top>
      <bottom style="medium">
        <color rgb="FF3D6864"/>
      </bottom>
      <diagonal/>
    </border>
    <border>
      <left style="thin">
        <color theme="0"/>
      </left>
      <right/>
      <top style="thin">
        <color theme="0"/>
      </top>
      <bottom style="medium">
        <color rgb="FF3D6864"/>
      </bottom>
      <diagonal/>
    </border>
    <border>
      <left/>
      <right style="medium">
        <color rgb="FF3D6864"/>
      </right>
      <top style="thin">
        <color theme="0"/>
      </top>
      <bottom style="medium">
        <color rgb="FF3D6864"/>
      </bottom>
      <diagonal/>
    </border>
    <border>
      <left/>
      <right/>
      <top style="thin">
        <color theme="0"/>
      </top>
      <bottom style="medium">
        <color rgb="FF3D6864"/>
      </bottom>
      <diagonal/>
    </border>
    <border>
      <left/>
      <right/>
      <top style="thin">
        <color indexed="64"/>
      </top>
      <bottom style="medium">
        <color rgb="FF3D6864"/>
      </bottom>
      <diagonal/>
    </border>
    <border>
      <left/>
      <right style="medium">
        <color rgb="FF3D6864"/>
      </right>
      <top style="thin">
        <color indexed="64"/>
      </top>
      <bottom style="medium">
        <color rgb="FF3D6864"/>
      </bottom>
      <diagonal/>
    </border>
    <border>
      <left style="medium">
        <color rgb="FF3D6864"/>
      </left>
      <right style="thin">
        <color rgb="FF3D6864"/>
      </right>
      <top/>
      <bottom/>
      <diagonal/>
    </border>
    <border>
      <left style="thin">
        <color rgb="FF3D6864"/>
      </left>
      <right style="thin">
        <color rgb="FF3D6864"/>
      </right>
      <top/>
      <bottom/>
      <diagonal/>
    </border>
    <border>
      <left/>
      <right style="thin">
        <color theme="0"/>
      </right>
      <top/>
      <bottom/>
      <diagonal/>
    </border>
    <border>
      <left/>
      <right style="thin">
        <color indexed="64"/>
      </right>
      <top style="thin">
        <color indexed="64"/>
      </top>
      <bottom style="medium">
        <color indexed="64"/>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top style="medium">
        <color indexed="64"/>
      </top>
      <bottom style="thin">
        <color indexed="64"/>
      </bottom>
      <diagonal/>
    </border>
    <border>
      <left/>
      <right style="thin">
        <color indexed="64"/>
      </right>
      <top style="thin">
        <color indexed="64"/>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theme="0"/>
      </bottom>
      <diagonal/>
    </border>
    <border>
      <left style="thin">
        <color rgb="FF3D6864"/>
      </left>
      <right style="thin">
        <color rgb="FF3D6864"/>
      </right>
      <top/>
      <bottom style="thin">
        <color indexed="64"/>
      </bottom>
      <diagonal/>
    </border>
    <border>
      <left style="thin">
        <color rgb="FF3D6864"/>
      </left>
      <right style="medium">
        <color rgb="FF3D6864"/>
      </right>
      <top/>
      <bottom/>
      <diagonal/>
    </border>
    <border>
      <left style="thin">
        <color theme="0"/>
      </left>
      <right style="thin">
        <color indexed="64"/>
      </right>
      <top style="thin">
        <color indexed="64"/>
      </top>
      <bottom style="thin">
        <color theme="0"/>
      </bottom>
      <diagonal/>
    </border>
    <border>
      <left style="thin">
        <color indexed="64"/>
      </left>
      <right/>
      <top style="thin">
        <color theme="0"/>
      </top>
      <bottom style="thin">
        <color indexed="64"/>
      </bottom>
      <diagonal/>
    </border>
    <border>
      <left/>
      <right style="medium">
        <color rgb="FF3D68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top style="thin">
        <color theme="0"/>
      </top>
      <bottom/>
      <diagonal/>
    </border>
    <border>
      <left/>
      <right style="thin">
        <color rgb="FF3D6864"/>
      </right>
      <top/>
      <bottom/>
      <diagonal/>
    </border>
    <border>
      <left style="thin">
        <color rgb="FF3D6864"/>
      </left>
      <right style="thin">
        <color indexed="64"/>
      </right>
      <top/>
      <bottom/>
      <diagonal/>
    </border>
    <border>
      <left style="thin">
        <color rgb="FF3D6864"/>
      </left>
      <right/>
      <top/>
      <bottom/>
      <diagonal/>
    </border>
    <border>
      <left style="thin">
        <color theme="0"/>
      </left>
      <right/>
      <top style="thin">
        <color theme="0" tint="-0.14996795556505021"/>
      </top>
      <bottom style="thin">
        <color indexed="64"/>
      </bottom>
      <diagonal/>
    </border>
    <border>
      <left style="medium">
        <color rgb="FF3D6864"/>
      </left>
      <right/>
      <top style="thin">
        <color indexed="64"/>
      </top>
      <bottom style="medium">
        <color rgb="FF3D68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medium">
        <color rgb="FF3D6864"/>
      </left>
      <right style="medium">
        <color rgb="FF3D6864"/>
      </right>
      <top/>
      <bottom/>
      <diagonal/>
    </border>
    <border>
      <left style="medium">
        <color rgb="FF3D6864"/>
      </left>
      <right style="medium">
        <color rgb="FF3D6864"/>
      </right>
      <top style="thin">
        <color indexed="64"/>
      </top>
      <bottom style="medium">
        <color rgb="FF3D6864"/>
      </bottom>
      <diagonal/>
    </border>
    <border>
      <left style="medium">
        <color rgb="FF3D6864"/>
      </left>
      <right style="medium">
        <color rgb="FF3D6864"/>
      </right>
      <top style="thin">
        <color indexed="64"/>
      </top>
      <bottom/>
      <diagonal/>
    </border>
    <border>
      <left style="thin">
        <color theme="0"/>
      </left>
      <right style="thin">
        <color theme="0"/>
      </right>
      <top style="thin">
        <color theme="0"/>
      </top>
      <bottom/>
      <diagonal/>
    </border>
    <border>
      <left style="thin">
        <color theme="0"/>
      </left>
      <right style="medium">
        <color rgb="FF3D6864"/>
      </right>
      <top style="thin">
        <color theme="0"/>
      </top>
      <bottom/>
      <diagonal/>
    </border>
    <border>
      <left style="thin">
        <color indexed="64"/>
      </left>
      <right style="medium">
        <color rgb="FF3D6864"/>
      </right>
      <top style="thin">
        <color theme="0"/>
      </top>
      <bottom style="thin">
        <color indexed="64"/>
      </bottom>
      <diagonal/>
    </border>
    <border>
      <left style="medium">
        <color rgb="FF3D6864"/>
      </left>
      <right style="thin">
        <color theme="0"/>
      </right>
      <top style="thin">
        <color indexed="64"/>
      </top>
      <bottom style="thin">
        <color indexed="64"/>
      </bottom>
      <diagonal/>
    </border>
    <border>
      <left style="medium">
        <color rgb="FF3D6864"/>
      </left>
      <right style="thin">
        <color theme="0"/>
      </right>
      <top style="thin">
        <color theme="0"/>
      </top>
      <bottom style="thin">
        <color indexed="64"/>
      </bottom>
      <diagonal/>
    </border>
    <border>
      <left style="medium">
        <color rgb="FF3D6864"/>
      </left>
      <right style="thin">
        <color rgb="FF3D6864"/>
      </right>
      <top style="thin">
        <color theme="0"/>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bottom/>
      <diagonal/>
    </border>
    <border>
      <left style="thin">
        <color indexed="64"/>
      </left>
      <right/>
      <top style="medium">
        <color indexed="64"/>
      </top>
      <bottom/>
      <diagonal/>
    </border>
    <border>
      <left/>
      <right style="thin">
        <color theme="0"/>
      </right>
      <top style="thin">
        <color indexed="64"/>
      </top>
      <bottom style="thin">
        <color theme="0"/>
      </bottom>
      <diagonal/>
    </border>
    <border>
      <left/>
      <right/>
      <top/>
      <bottom style="thin">
        <color theme="0" tint="-0.249977111117893"/>
      </bottom>
      <diagonal/>
    </border>
    <border>
      <left style="medium">
        <color indexed="64"/>
      </left>
      <right style="medium">
        <color indexed="64"/>
      </right>
      <top style="thin">
        <color indexed="64"/>
      </top>
      <bottom/>
      <diagonal/>
    </border>
    <border>
      <left style="thin">
        <color indexed="64"/>
      </left>
      <right style="medium">
        <color rgb="FF3D6864"/>
      </right>
      <top/>
      <bottom style="thin">
        <color indexed="64"/>
      </bottom>
      <diagonal/>
    </border>
    <border>
      <left/>
      <right style="thin">
        <color theme="1"/>
      </right>
      <top style="thin">
        <color indexed="64"/>
      </top>
      <bottom style="thin">
        <color theme="0"/>
      </bottom>
      <diagonal/>
    </border>
    <border>
      <left/>
      <right style="thin">
        <color theme="1"/>
      </right>
      <top style="thin">
        <color theme="0"/>
      </top>
      <bottom style="thin">
        <color theme="0"/>
      </bottom>
      <diagonal/>
    </border>
    <border>
      <left/>
      <right/>
      <top style="thin">
        <color theme="0"/>
      </top>
      <bottom/>
      <diagonal/>
    </border>
    <border>
      <left/>
      <right style="thin">
        <color indexed="64"/>
      </right>
      <top style="thin">
        <color theme="0"/>
      </top>
      <bottom/>
      <diagonal/>
    </border>
    <border>
      <left/>
      <right style="thin">
        <color theme="0"/>
      </right>
      <top style="thin">
        <color theme="0"/>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rgb="FF3D6864"/>
      </left>
      <right/>
      <top style="thin">
        <color indexed="64"/>
      </top>
      <bottom style="thin">
        <color indexed="64"/>
      </bottom>
      <diagonal/>
    </border>
  </borders>
  <cellStyleXfs count="5">
    <xf numFmtId="0" fontId="0" fillId="0" borderId="0"/>
    <xf numFmtId="0" fontId="2" fillId="0" borderId="0"/>
    <xf numFmtId="9" fontId="6" fillId="0" borderId="0" applyFont="0" applyFill="0" applyBorder="0" applyAlignment="0" applyProtection="0"/>
    <xf numFmtId="0" fontId="53" fillId="17" borderId="0" applyNumberFormat="0" applyBorder="0" applyAlignment="0" applyProtection="0"/>
    <xf numFmtId="9" fontId="1" fillId="0" borderId="0" applyFont="0" applyFill="0" applyBorder="0" applyAlignment="0" applyProtection="0"/>
  </cellStyleXfs>
  <cellXfs count="1216">
    <xf numFmtId="0" fontId="0" fillId="0" borderId="0" xfId="0"/>
    <xf numFmtId="0" fontId="0" fillId="2" borderId="0" xfId="0" applyFill="1" applyProtection="1">
      <protection hidden="1"/>
    </xf>
    <xf numFmtId="0" fontId="9" fillId="2" borderId="0" xfId="0" applyFont="1" applyFill="1" applyProtection="1">
      <protection hidden="1"/>
    </xf>
    <xf numFmtId="0" fontId="11" fillId="2" borderId="0" xfId="0" applyFont="1" applyFill="1" applyProtection="1">
      <protection hidden="1"/>
    </xf>
    <xf numFmtId="0" fontId="12" fillId="2" borderId="0" xfId="0" applyFont="1" applyFill="1" applyAlignment="1" applyProtection="1">
      <alignment horizontal="center" wrapText="1"/>
      <protection hidden="1"/>
    </xf>
    <xf numFmtId="0" fontId="0" fillId="2" borderId="1" xfId="0" applyFill="1" applyBorder="1" applyProtection="1">
      <protection hidden="1"/>
    </xf>
    <xf numFmtId="0" fontId="0" fillId="2" borderId="0" xfId="0" applyFill="1" applyAlignment="1" applyProtection="1">
      <alignment wrapText="1"/>
      <protection hidden="1"/>
    </xf>
    <xf numFmtId="0" fontId="9" fillId="2" borderId="0" xfId="0" applyFont="1" applyFill="1" applyAlignment="1" applyProtection="1">
      <alignment vertical="top" wrapText="1"/>
      <protection hidden="1"/>
    </xf>
    <xf numFmtId="0" fontId="0" fillId="2" borderId="0" xfId="0" applyFill="1" applyAlignment="1" applyProtection="1">
      <alignment horizontal="left" vertical="top" wrapText="1"/>
      <protection hidden="1"/>
    </xf>
    <xf numFmtId="0" fontId="10" fillId="2" borderId="0" xfId="0" applyFont="1" applyFill="1" applyAlignment="1" applyProtection="1">
      <alignment horizontal="left" vertical="top" wrapText="1"/>
      <protection hidden="1"/>
    </xf>
    <xf numFmtId="0" fontId="18" fillId="2" borderId="0" xfId="0" applyFont="1" applyFill="1" applyProtection="1">
      <protection hidden="1"/>
    </xf>
    <xf numFmtId="0" fontId="18" fillId="2" borderId="0" xfId="0" applyFont="1" applyFill="1" applyAlignment="1" applyProtection="1">
      <alignment vertical="top" wrapText="1"/>
      <protection hidden="1"/>
    </xf>
    <xf numFmtId="0" fontId="18" fillId="2" borderId="0" xfId="0" applyFont="1" applyFill="1" applyAlignment="1" applyProtection="1">
      <alignment horizontal="left" vertical="top" wrapText="1"/>
      <protection hidden="1"/>
    </xf>
    <xf numFmtId="0" fontId="17" fillId="2" borderId="0" xfId="0" applyFont="1" applyFill="1" applyProtection="1">
      <protection hidden="1"/>
    </xf>
    <xf numFmtId="0" fontId="0" fillId="0" borderId="0" xfId="0" applyProtection="1">
      <protection hidden="1"/>
    </xf>
    <xf numFmtId="0" fontId="0" fillId="4" borderId="0" xfId="0" applyFill="1" applyProtection="1">
      <protection hidden="1"/>
    </xf>
    <xf numFmtId="0" fontId="24" fillId="2" borderId="0" xfId="0" applyFont="1" applyFill="1" applyProtection="1">
      <protection hidden="1"/>
    </xf>
    <xf numFmtId="0" fontId="1" fillId="4" borderId="0" xfId="0" applyFont="1" applyFill="1" applyProtection="1">
      <protection hidden="1"/>
    </xf>
    <xf numFmtId="0" fontId="11" fillId="2" borderId="0" xfId="0" applyFont="1" applyFill="1" applyAlignment="1" applyProtection="1">
      <alignment vertical="top" wrapText="1"/>
      <protection hidden="1"/>
    </xf>
    <xf numFmtId="0" fontId="4" fillId="2" borderId="0" xfId="0" applyFont="1" applyFill="1" applyAlignment="1" applyProtection="1">
      <alignment vertical="top" wrapText="1"/>
      <protection hidden="1"/>
    </xf>
    <xf numFmtId="0" fontId="0" fillId="4" borderId="0" xfId="0" applyFill="1"/>
    <xf numFmtId="0" fontId="9" fillId="8" borderId="2" xfId="0" applyFont="1" applyFill="1" applyBorder="1" applyProtection="1">
      <protection hidden="1"/>
    </xf>
    <xf numFmtId="0" fontId="17" fillId="2" borderId="0" xfId="0" applyFont="1" applyFill="1" applyAlignment="1" applyProtection="1">
      <alignment horizontal="left" vertical="top" wrapText="1"/>
      <protection hidden="1"/>
    </xf>
    <xf numFmtId="0" fontId="23" fillId="4" borderId="0" xfId="0" applyFont="1" applyFill="1" applyAlignment="1" applyProtection="1">
      <alignment horizontal="right"/>
      <protection hidden="1"/>
    </xf>
    <xf numFmtId="0" fontId="17" fillId="2" borderId="0" xfId="0" applyFont="1" applyFill="1" applyAlignment="1" applyProtection="1">
      <alignment vertical="top" wrapText="1"/>
      <protection hidden="1"/>
    </xf>
    <xf numFmtId="0" fontId="17" fillId="0" borderId="0" xfId="0" applyFont="1" applyAlignment="1" applyProtection="1">
      <alignment vertical="top" wrapText="1"/>
      <protection hidden="1"/>
    </xf>
    <xf numFmtId="0" fontId="23" fillId="4" borderId="0" xfId="0" applyFont="1" applyFill="1" applyAlignment="1" applyProtection="1">
      <alignment horizontal="left"/>
      <protection hidden="1"/>
    </xf>
    <xf numFmtId="0" fontId="0" fillId="4" borderId="0" xfId="0" applyFill="1" applyAlignment="1" applyProtection="1">
      <alignment horizontal="left"/>
      <protection hidden="1"/>
    </xf>
    <xf numFmtId="0" fontId="17" fillId="4" borderId="0" xfId="0" applyFont="1" applyFill="1" applyAlignment="1" applyProtection="1">
      <alignment vertical="top" wrapText="1"/>
      <protection hidden="1"/>
    </xf>
    <xf numFmtId="0" fontId="16" fillId="4" borderId="0" xfId="0" applyFont="1" applyFill="1" applyAlignment="1" applyProtection="1">
      <alignment horizontal="right" vertical="center"/>
      <protection hidden="1"/>
    </xf>
    <xf numFmtId="0" fontId="11" fillId="4" borderId="0" xfId="0" applyFont="1" applyFill="1" applyAlignment="1" applyProtection="1">
      <alignment vertical="top" wrapText="1"/>
      <protection hidden="1"/>
    </xf>
    <xf numFmtId="0" fontId="0" fillId="4" borderId="0" xfId="0" applyFill="1" applyAlignment="1" applyProtection="1">
      <alignment horizontal="left" vertical="top" wrapText="1"/>
      <protection hidden="1"/>
    </xf>
    <xf numFmtId="0" fontId="9" fillId="4" borderId="0" xfId="0" applyFont="1" applyFill="1" applyAlignment="1" applyProtection="1">
      <alignment horizontal="left" vertical="center" wrapText="1"/>
      <protection hidden="1"/>
    </xf>
    <xf numFmtId="0" fontId="33" fillId="2" borderId="0" xfId="0" applyFont="1" applyFill="1" applyProtection="1">
      <protection hidden="1"/>
    </xf>
    <xf numFmtId="0" fontId="0" fillId="2" borderId="0" xfId="0" applyFill="1" applyAlignment="1" applyProtection="1">
      <alignment vertical="top"/>
      <protection hidden="1"/>
    </xf>
    <xf numFmtId="0" fontId="33" fillId="2" borderId="0" xfId="0" applyFont="1" applyFill="1" applyAlignment="1" applyProtection="1">
      <alignment vertical="top" wrapText="1"/>
      <protection hidden="1"/>
    </xf>
    <xf numFmtId="0" fontId="23" fillId="6" borderId="34" xfId="0" applyFont="1" applyFill="1" applyBorder="1" applyProtection="1">
      <protection hidden="1"/>
    </xf>
    <xf numFmtId="0" fontId="26" fillId="4" borderId="7" xfId="0" applyFont="1" applyFill="1" applyBorder="1" applyAlignment="1" applyProtection="1">
      <alignment horizontal="center" vertical="center"/>
      <protection locked="0"/>
    </xf>
    <xf numFmtId="0" fontId="0" fillId="5" borderId="0" xfId="0" applyFill="1" applyAlignment="1" applyProtection="1">
      <alignment horizontal="center" vertical="center"/>
      <protection hidden="1"/>
    </xf>
    <xf numFmtId="0" fontId="0" fillId="2" borderId="0" xfId="0" applyFill="1" applyAlignment="1" applyProtection="1">
      <alignment horizontal="left"/>
      <protection hidden="1"/>
    </xf>
    <xf numFmtId="0" fontId="0" fillId="8" borderId="0" xfId="0" applyFill="1" applyProtection="1">
      <protection hidden="1"/>
    </xf>
    <xf numFmtId="0" fontId="7" fillId="3" borderId="27" xfId="0" applyFont="1" applyFill="1" applyBorder="1" applyAlignment="1" applyProtection="1">
      <alignment horizontal="right" vertical="center"/>
      <protection hidden="1"/>
    </xf>
    <xf numFmtId="0" fontId="7" fillId="3" borderId="27" xfId="0" applyFont="1" applyFill="1" applyBorder="1" applyAlignment="1" applyProtection="1">
      <alignment horizontal="right" vertical="center" wrapText="1"/>
      <protection hidden="1"/>
    </xf>
    <xf numFmtId="0" fontId="0" fillId="0" borderId="2" xfId="0" applyBorder="1"/>
    <xf numFmtId="0" fontId="0" fillId="12" borderId="2" xfId="0" applyFill="1" applyBorder="1"/>
    <xf numFmtId="0" fontId="0" fillId="0" borderId="5" xfId="0" applyBorder="1"/>
    <xf numFmtId="0" fontId="0" fillId="12" borderId="5" xfId="0" applyFill="1" applyBorder="1"/>
    <xf numFmtId="0" fontId="23" fillId="10" borderId="64" xfId="0" applyFont="1" applyFill="1" applyBorder="1"/>
    <xf numFmtId="0" fontId="0" fillId="0" borderId="3" xfId="0" applyBorder="1"/>
    <xf numFmtId="0" fontId="0" fillId="12" borderId="3" xfId="0" applyFill="1" applyBorder="1"/>
    <xf numFmtId="0" fontId="32" fillId="13" borderId="64" xfId="0" applyFont="1" applyFill="1" applyBorder="1"/>
    <xf numFmtId="0" fontId="23" fillId="10" borderId="52" xfId="0" applyFont="1" applyFill="1" applyBorder="1" applyAlignment="1" applyProtection="1">
      <alignment wrapText="1"/>
      <protection hidden="1"/>
    </xf>
    <xf numFmtId="0" fontId="0" fillId="8" borderId="63" xfId="0" applyFill="1" applyBorder="1"/>
    <xf numFmtId="0" fontId="23" fillId="10" borderId="10" xfId="0" applyFont="1" applyFill="1" applyBorder="1" applyAlignment="1" applyProtection="1">
      <alignment wrapText="1"/>
      <protection hidden="1"/>
    </xf>
    <xf numFmtId="0" fontId="23" fillId="6" borderId="0" xfId="0" applyFont="1" applyFill="1" applyProtection="1">
      <protection hidden="1"/>
    </xf>
    <xf numFmtId="0" fontId="0" fillId="8" borderId="64" xfId="0" applyFill="1" applyBorder="1"/>
    <xf numFmtId="0" fontId="1" fillId="5" borderId="52" xfId="0" applyFont="1" applyFill="1" applyBorder="1" applyAlignment="1" applyProtection="1">
      <alignment vertical="center"/>
      <protection hidden="1"/>
    </xf>
    <xf numFmtId="0" fontId="1" fillId="5" borderId="65" xfId="0" applyFont="1" applyFill="1" applyBorder="1" applyAlignment="1" applyProtection="1">
      <alignment horizontal="left" vertical="center"/>
      <protection hidden="1"/>
    </xf>
    <xf numFmtId="0" fontId="23" fillId="2" borderId="0" xfId="0" applyFont="1" applyFill="1" applyProtection="1">
      <protection hidden="1"/>
    </xf>
    <xf numFmtId="0" fontId="23" fillId="10" borderId="84" xfId="0" applyFont="1" applyFill="1" applyBorder="1"/>
    <xf numFmtId="0" fontId="0" fillId="8" borderId="65" xfId="0" applyFill="1" applyBorder="1"/>
    <xf numFmtId="0" fontId="0" fillId="8" borderId="2" xfId="0" applyFill="1" applyBorder="1"/>
    <xf numFmtId="0" fontId="0" fillId="8" borderId="0" xfId="0" applyFill="1"/>
    <xf numFmtId="0" fontId="0" fillId="0" borderId="15" xfId="0" applyBorder="1"/>
    <xf numFmtId="0" fontId="0" fillId="2" borderId="2" xfId="0" applyFill="1" applyBorder="1" applyProtection="1">
      <protection hidden="1"/>
    </xf>
    <xf numFmtId="0" fontId="0" fillId="3" borderId="0" xfId="0" applyFill="1" applyAlignment="1" applyProtection="1">
      <alignment horizontal="center"/>
      <protection hidden="1"/>
    </xf>
    <xf numFmtId="0" fontId="0" fillId="3" borderId="40" xfId="0" applyFill="1" applyBorder="1" applyAlignment="1" applyProtection="1">
      <alignment horizontal="center"/>
      <protection hidden="1"/>
    </xf>
    <xf numFmtId="0" fontId="0" fillId="2" borderId="55" xfId="0" applyFill="1" applyBorder="1" applyProtection="1">
      <protection hidden="1"/>
    </xf>
    <xf numFmtId="0" fontId="0" fillId="2" borderId="57" xfId="0" applyFill="1" applyBorder="1" applyProtection="1">
      <protection hidden="1"/>
    </xf>
    <xf numFmtId="0" fontId="0" fillId="2" borderId="58" xfId="0" applyFill="1" applyBorder="1" applyProtection="1">
      <protection hidden="1"/>
    </xf>
    <xf numFmtId="0" fontId="0" fillId="2" borderId="60" xfId="0" applyFill="1" applyBorder="1" applyProtection="1">
      <protection hidden="1"/>
    </xf>
    <xf numFmtId="0" fontId="23" fillId="6" borderId="98" xfId="0" applyFont="1" applyFill="1" applyBorder="1" applyProtection="1">
      <protection hidden="1"/>
    </xf>
    <xf numFmtId="0" fontId="26" fillId="5" borderId="34" xfId="0" applyFont="1" applyFill="1" applyBorder="1" applyAlignment="1" applyProtection="1">
      <alignment horizontal="center" vertical="center"/>
      <protection hidden="1"/>
    </xf>
    <xf numFmtId="0" fontId="3" fillId="4" borderId="2" xfId="0" applyFont="1" applyFill="1" applyBorder="1" applyProtection="1">
      <protection hidden="1"/>
    </xf>
    <xf numFmtId="0" fontId="26" fillId="4" borderId="2" xfId="0" applyFont="1" applyFill="1" applyBorder="1" applyAlignment="1" applyProtection="1">
      <alignment horizontal="left" vertical="center" wrapText="1"/>
      <protection locked="0"/>
    </xf>
    <xf numFmtId="0" fontId="26" fillId="4" borderId="4" xfId="0" applyFont="1" applyFill="1" applyBorder="1" applyAlignment="1" applyProtection="1">
      <alignment horizontal="left" vertical="center" wrapText="1"/>
      <protection locked="0"/>
    </xf>
    <xf numFmtId="0" fontId="0" fillId="4" borderId="0" xfId="0" applyFill="1" applyAlignment="1">
      <alignment wrapText="1"/>
    </xf>
    <xf numFmtId="0" fontId="26" fillId="4" borderId="43" xfId="0" applyFont="1" applyFill="1" applyBorder="1" applyAlignment="1" applyProtection="1">
      <alignment horizontal="center" vertical="center" wrapText="1"/>
      <protection locked="0"/>
    </xf>
    <xf numFmtId="0" fontId="1" fillId="5" borderId="54" xfId="0" applyFont="1" applyFill="1" applyBorder="1" applyAlignment="1" applyProtection="1">
      <alignment vertical="center"/>
      <protection hidden="1"/>
    </xf>
    <xf numFmtId="0" fontId="1" fillId="5" borderId="55" xfId="0" applyFont="1" applyFill="1" applyBorder="1" applyAlignment="1" applyProtection="1">
      <alignment vertical="center"/>
      <protection hidden="1"/>
    </xf>
    <xf numFmtId="0" fontId="1" fillId="5" borderId="59" xfId="0" applyFont="1" applyFill="1" applyBorder="1" applyAlignment="1" applyProtection="1">
      <alignment horizontal="left" vertical="center"/>
      <protection hidden="1"/>
    </xf>
    <xf numFmtId="0" fontId="1" fillId="5" borderId="60" xfId="0" applyFont="1" applyFill="1" applyBorder="1" applyAlignment="1" applyProtection="1">
      <alignment vertical="center"/>
      <protection hidden="1"/>
    </xf>
    <xf numFmtId="10" fontId="9" fillId="5" borderId="99" xfId="2" applyNumberFormat="1" applyFont="1" applyFill="1" applyBorder="1" applyAlignment="1" applyProtection="1">
      <alignment horizontal="left" vertical="center"/>
      <protection hidden="1"/>
    </xf>
    <xf numFmtId="0" fontId="32" fillId="0" borderId="0" xfId="0" applyFont="1" applyProtection="1">
      <protection hidden="1"/>
    </xf>
    <xf numFmtId="0" fontId="40" fillId="3" borderId="101" xfId="0" applyFont="1" applyFill="1" applyBorder="1" applyAlignment="1" applyProtection="1">
      <alignment horizontal="left" vertical="center"/>
      <protection hidden="1"/>
    </xf>
    <xf numFmtId="0" fontId="0" fillId="8" borderId="2" xfId="0" applyFill="1" applyBorder="1" applyProtection="1">
      <protection hidden="1"/>
    </xf>
    <xf numFmtId="0" fontId="13" fillId="0" borderId="0" xfId="0" applyFont="1" applyAlignment="1" applyProtection="1">
      <alignment vertical="center"/>
      <protection hidden="1"/>
    </xf>
    <xf numFmtId="0" fontId="0" fillId="2" borderId="0" xfId="0" applyFill="1"/>
    <xf numFmtId="0" fontId="30" fillId="2" borderId="0" xfId="0" applyFont="1" applyFill="1" applyAlignment="1">
      <alignment horizontal="left" vertical="center"/>
    </xf>
    <xf numFmtId="0" fontId="39" fillId="2" borderId="0" xfId="0" applyFont="1" applyFill="1" applyAlignment="1">
      <alignment horizontal="left" vertical="center"/>
    </xf>
    <xf numFmtId="0" fontId="11" fillId="2" borderId="1" xfId="0" applyFont="1" applyFill="1" applyBorder="1"/>
    <xf numFmtId="0" fontId="7" fillId="3" borderId="34" xfId="0" applyFont="1" applyFill="1" applyBorder="1" applyAlignment="1">
      <alignment horizontal="left" vertical="center"/>
    </xf>
    <xf numFmtId="0" fontId="7" fillId="3" borderId="42" xfId="0" applyFont="1" applyFill="1" applyBorder="1" applyAlignment="1">
      <alignment horizontal="left" vertical="center"/>
    </xf>
    <xf numFmtId="0" fontId="7" fillId="3" borderId="31" xfId="0" applyFont="1" applyFill="1" applyBorder="1" applyAlignment="1">
      <alignment horizontal="left" vertical="center"/>
    </xf>
    <xf numFmtId="0" fontId="1" fillId="5" borderId="31" xfId="0" applyFont="1" applyFill="1" applyBorder="1" applyAlignment="1">
      <alignment horizontal="left" vertical="center"/>
    </xf>
    <xf numFmtId="0" fontId="1" fillId="5" borderId="27" xfId="0" applyFont="1" applyFill="1" applyBorder="1" applyAlignment="1">
      <alignment horizontal="left" vertical="center"/>
    </xf>
    <xf numFmtId="0" fontId="7" fillId="3" borderId="44" xfId="0" applyFont="1" applyFill="1" applyBorder="1" applyAlignment="1">
      <alignment horizontal="left" vertical="center"/>
    </xf>
    <xf numFmtId="0" fontId="7" fillId="3" borderId="26" xfId="0" applyFont="1" applyFill="1" applyBorder="1" applyAlignment="1">
      <alignment horizontal="left" vertical="center"/>
    </xf>
    <xf numFmtId="0" fontId="7" fillId="3" borderId="28" xfId="0" applyFont="1" applyFill="1" applyBorder="1" applyAlignment="1">
      <alignment horizontal="left" vertical="center"/>
    </xf>
    <xf numFmtId="0" fontId="1" fillId="5" borderId="26" xfId="0" applyFont="1" applyFill="1" applyBorder="1" applyAlignment="1">
      <alignment vertical="center"/>
    </xf>
    <xf numFmtId="0" fontId="38" fillId="2" borderId="40" xfId="0" applyFont="1" applyFill="1" applyBorder="1"/>
    <xf numFmtId="0" fontId="41" fillId="2" borderId="96" xfId="0" applyFont="1" applyFill="1" applyBorder="1" applyAlignment="1">
      <alignment horizontal="left" vertical="top" wrapText="1"/>
    </xf>
    <xf numFmtId="0" fontId="29" fillId="2" borderId="0" xfId="0" applyFont="1" applyFill="1" applyAlignment="1">
      <alignment horizontal="left" wrapText="1"/>
    </xf>
    <xf numFmtId="0" fontId="29" fillId="2" borderId="97" xfId="0" applyFont="1" applyFill="1" applyBorder="1" applyAlignment="1">
      <alignment horizontal="left" wrapText="1"/>
    </xf>
    <xf numFmtId="0" fontId="29" fillId="2" borderId="97" xfId="0" applyFont="1" applyFill="1" applyBorder="1" applyAlignment="1">
      <alignment vertical="top" wrapText="1"/>
    </xf>
    <xf numFmtId="0" fontId="29" fillId="2" borderId="35" xfId="0" applyFont="1" applyFill="1" applyBorder="1" applyAlignment="1">
      <alignment horizontal="center" vertical="top" wrapText="1"/>
    </xf>
    <xf numFmtId="0" fontId="0" fillId="4" borderId="0" xfId="0" applyFill="1" applyAlignment="1">
      <alignment vertical="top" wrapText="1"/>
    </xf>
    <xf numFmtId="0" fontId="26" fillId="5" borderId="37" xfId="0" applyFont="1" applyFill="1" applyBorder="1" applyAlignment="1">
      <alignment horizontal="center" vertical="center"/>
    </xf>
    <xf numFmtId="164" fontId="26" fillId="5" borderId="24" xfId="0" applyNumberFormat="1" applyFont="1" applyFill="1" applyBorder="1" applyAlignment="1">
      <alignment horizontal="center" vertical="center"/>
    </xf>
    <xf numFmtId="0" fontId="0" fillId="5" borderId="24" xfId="0" applyFill="1" applyBorder="1" applyAlignment="1">
      <alignment vertical="center"/>
    </xf>
    <xf numFmtId="0" fontId="37" fillId="5" borderId="89" xfId="0" applyFont="1" applyFill="1" applyBorder="1" applyAlignment="1">
      <alignment horizontal="center" vertical="center"/>
    </xf>
    <xf numFmtId="164" fontId="37" fillId="5" borderId="88" xfId="0" applyNumberFormat="1" applyFont="1" applyFill="1" applyBorder="1" applyAlignment="1">
      <alignment horizontal="center" vertical="center"/>
    </xf>
    <xf numFmtId="0" fontId="0" fillId="5" borderId="26" xfId="0" applyFill="1" applyBorder="1" applyAlignment="1">
      <alignment horizontal="left" vertical="center"/>
    </xf>
    <xf numFmtId="0" fontId="26" fillId="5" borderId="26" xfId="0" applyFont="1" applyFill="1" applyBorder="1" applyAlignment="1">
      <alignment vertical="center"/>
    </xf>
    <xf numFmtId="0" fontId="0" fillId="5" borderId="26" xfId="0" applyFill="1" applyBorder="1" applyAlignment="1">
      <alignment vertical="center"/>
    </xf>
    <xf numFmtId="0" fontId="37" fillId="5" borderId="90" xfId="0" applyFont="1" applyFill="1" applyBorder="1" applyAlignment="1" applyProtection="1">
      <alignment horizontal="center" vertical="center"/>
      <protection locked="0"/>
    </xf>
    <xf numFmtId="0" fontId="0" fillId="4" borderId="0" xfId="0" applyFill="1" applyProtection="1">
      <protection locked="0"/>
    </xf>
    <xf numFmtId="0" fontId="0" fillId="4" borderId="0" xfId="0" applyFill="1" applyAlignment="1" applyProtection="1">
      <alignment wrapText="1"/>
      <protection locked="0"/>
    </xf>
    <xf numFmtId="0" fontId="26" fillId="5" borderId="93" xfId="0" applyFont="1" applyFill="1" applyBorder="1" applyAlignment="1" applyProtection="1">
      <alignment horizontal="left" vertical="center" wrapText="1"/>
      <protection locked="0"/>
    </xf>
    <xf numFmtId="0" fontId="26" fillId="5" borderId="94" xfId="0" applyFont="1" applyFill="1" applyBorder="1" applyAlignment="1" applyProtection="1">
      <alignment horizontal="center" vertical="center" wrapText="1"/>
      <protection locked="0"/>
    </xf>
    <xf numFmtId="0" fontId="26" fillId="5" borderId="93" xfId="0" applyFont="1" applyFill="1" applyBorder="1" applyAlignment="1" applyProtection="1">
      <alignment horizontal="center" vertical="center" wrapText="1"/>
      <protection locked="0"/>
    </xf>
    <xf numFmtId="0" fontId="32" fillId="0" borderId="0" xfId="0" applyFont="1"/>
    <xf numFmtId="0" fontId="23" fillId="10" borderId="52" xfId="0" applyFont="1" applyFill="1" applyBorder="1"/>
    <xf numFmtId="1" fontId="0" fillId="0" borderId="0" xfId="0" applyNumberFormat="1"/>
    <xf numFmtId="0" fontId="32" fillId="9" borderId="52" xfId="0" applyFont="1" applyFill="1" applyBorder="1" applyAlignment="1">
      <alignment horizontal="center"/>
    </xf>
    <xf numFmtId="0" fontId="0" fillId="0" borderId="0" xfId="0" applyAlignment="1">
      <alignment horizontal="right"/>
    </xf>
    <xf numFmtId="0" fontId="0" fillId="8" borderId="52" xfId="0" applyFill="1" applyBorder="1" applyAlignment="1">
      <alignment horizontal="center" vertical="center"/>
    </xf>
    <xf numFmtId="0" fontId="23" fillId="10" borderId="63" xfId="0" applyFont="1" applyFill="1" applyBorder="1"/>
    <xf numFmtId="0" fontId="23" fillId="10" borderId="72" xfId="0" applyFont="1" applyFill="1" applyBorder="1"/>
    <xf numFmtId="0" fontId="0" fillId="10" borderId="53" xfId="0" applyFill="1" applyBorder="1"/>
    <xf numFmtId="0" fontId="0" fillId="10" borderId="54" xfId="0" applyFill="1" applyBorder="1"/>
    <xf numFmtId="0" fontId="0" fillId="8" borderId="68" xfId="0" applyFill="1" applyBorder="1"/>
    <xf numFmtId="0" fontId="23" fillId="10" borderId="80" xfId="0" applyFont="1" applyFill="1" applyBorder="1"/>
    <xf numFmtId="0" fontId="23" fillId="10" borderId="81" xfId="0" applyFont="1" applyFill="1" applyBorder="1"/>
    <xf numFmtId="0" fontId="23" fillId="10" borderId="82" xfId="0" applyFont="1" applyFill="1" applyBorder="1"/>
    <xf numFmtId="0" fontId="23" fillId="10" borderId="65" xfId="0" applyFont="1" applyFill="1" applyBorder="1"/>
    <xf numFmtId="0" fontId="23" fillId="10" borderId="83" xfId="0" applyFont="1" applyFill="1" applyBorder="1"/>
    <xf numFmtId="0" fontId="23" fillId="10" borderId="66" xfId="0" applyFont="1" applyFill="1" applyBorder="1"/>
    <xf numFmtId="0" fontId="23" fillId="10" borderId="9" xfId="0" applyFont="1" applyFill="1" applyBorder="1"/>
    <xf numFmtId="0" fontId="23" fillId="10" borderId="58" xfId="0" applyFont="1" applyFill="1" applyBorder="1"/>
    <xf numFmtId="0" fontId="23" fillId="10" borderId="59" xfId="0" applyFont="1" applyFill="1" applyBorder="1"/>
    <xf numFmtId="0" fontId="0" fillId="10" borderId="60" xfId="0" applyFill="1" applyBorder="1"/>
    <xf numFmtId="0" fontId="23" fillId="10" borderId="99" xfId="0" applyFont="1" applyFill="1" applyBorder="1"/>
    <xf numFmtId="0" fontId="23" fillId="10" borderId="60" xfId="0" applyFont="1" applyFill="1" applyBorder="1"/>
    <xf numFmtId="0" fontId="0" fillId="0" borderId="61" xfId="0" applyBorder="1"/>
    <xf numFmtId="0" fontId="0" fillId="0" borderId="75" xfId="0" applyBorder="1"/>
    <xf numFmtId="0" fontId="0" fillId="0" borderId="56" xfId="0" applyBorder="1"/>
    <xf numFmtId="0" fontId="0" fillId="0" borderId="4" xfId="0" applyBorder="1"/>
    <xf numFmtId="0" fontId="0" fillId="0" borderId="69" xfId="0" applyBorder="1"/>
    <xf numFmtId="0" fontId="0" fillId="0" borderId="76" xfId="0" applyBorder="1"/>
    <xf numFmtId="10" fontId="0" fillId="12" borderId="0" xfId="0" applyNumberFormat="1" applyFill="1"/>
    <xf numFmtId="0" fontId="26" fillId="12" borderId="2" xfId="0" applyFont="1" applyFill="1" applyBorder="1" applyAlignment="1">
      <alignment horizontal="center" vertical="center"/>
    </xf>
    <xf numFmtId="1" fontId="0" fillId="12" borderId="53" xfId="0" applyNumberFormat="1" applyFill="1" applyBorder="1" applyAlignment="1">
      <alignment horizontal="right"/>
    </xf>
    <xf numFmtId="0" fontId="0" fillId="0" borderId="53" xfId="0" applyBorder="1" applyAlignment="1">
      <alignment horizontal="right"/>
    </xf>
    <xf numFmtId="0" fontId="0" fillId="0" borderId="54" xfId="0" applyBorder="1" applyAlignment="1">
      <alignment horizontal="right"/>
    </xf>
    <xf numFmtId="1" fontId="0" fillId="0" borderId="4" xfId="0" applyNumberFormat="1" applyBorder="1" applyAlignment="1">
      <alignment horizontal="right"/>
    </xf>
    <xf numFmtId="0" fontId="0" fillId="0" borderId="54" xfId="0" applyBorder="1"/>
    <xf numFmtId="0" fontId="0" fillId="0" borderId="55" xfId="0" applyBorder="1"/>
    <xf numFmtId="0" fontId="0" fillId="12" borderId="57" xfId="0" applyFill="1" applyBorder="1"/>
    <xf numFmtId="1" fontId="0" fillId="12" borderId="2" xfId="0" applyNumberFormat="1" applyFill="1" applyBorder="1" applyAlignment="1">
      <alignment horizontal="right"/>
    </xf>
    <xf numFmtId="0" fontId="0" fillId="0" borderId="56" xfId="0" applyBorder="1" applyAlignment="1">
      <alignment horizontal="right"/>
    </xf>
    <xf numFmtId="0" fontId="0" fillId="0" borderId="2" xfId="0" applyBorder="1" applyAlignment="1">
      <alignment horizontal="right"/>
    </xf>
    <xf numFmtId="1" fontId="0" fillId="0" borderId="4" xfId="0" applyNumberFormat="1" applyBorder="1"/>
    <xf numFmtId="0" fontId="0" fillId="0" borderId="57" xfId="0" applyBorder="1"/>
    <xf numFmtId="1" fontId="0" fillId="12" borderId="57" xfId="0" applyNumberFormat="1" applyFill="1" applyBorder="1" applyAlignment="1">
      <alignment horizontal="right"/>
    </xf>
    <xf numFmtId="0" fontId="0" fillId="0" borderId="4" xfId="0" applyBorder="1" applyAlignment="1">
      <alignment horizontal="right"/>
    </xf>
    <xf numFmtId="10" fontId="0" fillId="0" borderId="2" xfId="0" applyNumberFormat="1" applyBorder="1"/>
    <xf numFmtId="0" fontId="0" fillId="0" borderId="66" xfId="0" applyBorder="1"/>
    <xf numFmtId="0" fontId="0" fillId="0" borderId="58" xfId="0" applyBorder="1"/>
    <xf numFmtId="10" fontId="0" fillId="0" borderId="59" xfId="0" applyNumberFormat="1" applyBorder="1"/>
    <xf numFmtId="0" fontId="0" fillId="0" borderId="59" xfId="0" applyBorder="1"/>
    <xf numFmtId="0" fontId="0" fillId="0" borderId="78" xfId="0" applyBorder="1"/>
    <xf numFmtId="0" fontId="0" fillId="0" borderId="58" xfId="0" applyBorder="1" applyAlignment="1">
      <alignment horizontal="right"/>
    </xf>
    <xf numFmtId="0" fontId="0" fillId="0" borderId="60" xfId="0" applyBorder="1"/>
    <xf numFmtId="0" fontId="32" fillId="13" borderId="63" xfId="0" applyFont="1" applyFill="1" applyBorder="1"/>
    <xf numFmtId="0" fontId="32" fillId="13" borderId="72" xfId="0" applyFont="1" applyFill="1" applyBorder="1"/>
    <xf numFmtId="0" fontId="0" fillId="13" borderId="58" xfId="0" applyFill="1" applyBorder="1"/>
    <xf numFmtId="0" fontId="0" fillId="13" borderId="59" xfId="0" applyFill="1" applyBorder="1"/>
    <xf numFmtId="0" fontId="0" fillId="13" borderId="78" xfId="0" applyFill="1" applyBorder="1"/>
    <xf numFmtId="0" fontId="0" fillId="13" borderId="70" xfId="0" applyFill="1" applyBorder="1"/>
    <xf numFmtId="10" fontId="0" fillId="13" borderId="0" xfId="0" applyNumberFormat="1" applyFill="1"/>
    <xf numFmtId="10" fontId="0" fillId="0" borderId="0" xfId="0" applyNumberFormat="1"/>
    <xf numFmtId="0" fontId="0" fillId="9" borderId="53" xfId="0" applyFill="1" applyBorder="1"/>
    <xf numFmtId="0" fontId="0" fillId="9" borderId="54" xfId="0" applyFill="1" applyBorder="1"/>
    <xf numFmtId="0" fontId="0" fillId="0" borderId="71" xfId="0" applyBorder="1"/>
    <xf numFmtId="0" fontId="26" fillId="12" borderId="7" xfId="0" applyFont="1" applyFill="1" applyBorder="1" applyAlignment="1">
      <alignment horizontal="center" vertical="center"/>
    </xf>
    <xf numFmtId="0" fontId="0" fillId="12" borderId="53" xfId="0" applyFill="1" applyBorder="1"/>
    <xf numFmtId="0" fontId="0" fillId="12" borderId="54" xfId="0" applyFill="1" applyBorder="1"/>
    <xf numFmtId="0" fontId="0" fillId="12" borderId="55" xfId="0" applyFill="1" applyBorder="1"/>
    <xf numFmtId="0" fontId="0" fillId="0" borderId="53" xfId="0" applyBorder="1"/>
    <xf numFmtId="0" fontId="0" fillId="0" borderId="77" xfId="0" applyBorder="1"/>
    <xf numFmtId="0" fontId="0" fillId="8" borderId="56" xfId="0" applyFill="1" applyBorder="1"/>
    <xf numFmtId="0" fontId="42" fillId="0" borderId="0" xfId="0" applyFont="1"/>
    <xf numFmtId="0" fontId="0" fillId="0" borderId="59" xfId="0" applyBorder="1" applyAlignment="1">
      <alignment horizontal="right"/>
    </xf>
    <xf numFmtId="0" fontId="0" fillId="0" borderId="78" xfId="0" applyBorder="1" applyAlignment="1">
      <alignment horizontal="right"/>
    </xf>
    <xf numFmtId="0" fontId="32" fillId="13" borderId="52" xfId="0" applyFont="1" applyFill="1" applyBorder="1"/>
    <xf numFmtId="0" fontId="0" fillId="8" borderId="52" xfId="0" applyFill="1" applyBorder="1"/>
    <xf numFmtId="0" fontId="0" fillId="0" borderId="77" xfId="0" applyBorder="1" applyAlignment="1">
      <alignment horizontal="right"/>
    </xf>
    <xf numFmtId="0" fontId="0" fillId="0" borderId="85" xfId="0" applyBorder="1"/>
    <xf numFmtId="0" fontId="0" fillId="12" borderId="15" xfId="0" applyFill="1" applyBorder="1"/>
    <xf numFmtId="0" fontId="0" fillId="12" borderId="86" xfId="0" applyFill="1" applyBorder="1"/>
    <xf numFmtId="10" fontId="0" fillId="11" borderId="0" xfId="0" applyNumberFormat="1" applyFill="1"/>
    <xf numFmtId="0" fontId="0" fillId="9" borderId="68" xfId="0" applyFill="1" applyBorder="1"/>
    <xf numFmtId="0" fontId="0" fillId="9" borderId="79" xfId="0" applyFill="1" applyBorder="1"/>
    <xf numFmtId="0" fontId="0" fillId="0" borderId="7" xfId="0" applyBorder="1"/>
    <xf numFmtId="10" fontId="0" fillId="12" borderId="0" xfId="0" applyNumberFormat="1" applyFill="1" applyAlignment="1">
      <alignment horizontal="center"/>
    </xf>
    <xf numFmtId="0" fontId="0" fillId="0" borderId="70" xfId="0" applyBorder="1"/>
    <xf numFmtId="0" fontId="0" fillId="8" borderId="79" xfId="0" applyFill="1" applyBorder="1"/>
    <xf numFmtId="0" fontId="0" fillId="0" borderId="21" xfId="0" applyBorder="1"/>
    <xf numFmtId="9" fontId="0" fillId="0" borderId="22" xfId="0" applyNumberFormat="1" applyBorder="1"/>
    <xf numFmtId="0" fontId="0" fillId="0" borderId="22" xfId="0" applyBorder="1"/>
    <xf numFmtId="0" fontId="0" fillId="0" borderId="23" xfId="0" applyBorder="1"/>
    <xf numFmtId="0" fontId="0" fillId="0" borderId="16" xfId="0" applyBorder="1"/>
    <xf numFmtId="9" fontId="0" fillId="0" borderId="0" xfId="0" applyNumberFormat="1"/>
    <xf numFmtId="0" fontId="0" fillId="0" borderId="17" xfId="0" applyBorder="1"/>
    <xf numFmtId="0" fontId="23" fillId="10" borderId="0" xfId="0" applyFont="1" applyFill="1"/>
    <xf numFmtId="0" fontId="0" fillId="0" borderId="72" xfId="0" applyBorder="1"/>
    <xf numFmtId="0" fontId="0" fillId="0" borderId="73" xfId="0" applyBorder="1"/>
    <xf numFmtId="0" fontId="0" fillId="0" borderId="74" xfId="0" applyBorder="1"/>
    <xf numFmtId="0" fontId="0" fillId="0" borderId="52" xfId="0" applyBorder="1"/>
    <xf numFmtId="0" fontId="0" fillId="0" borderId="18" xfId="0" applyBorder="1"/>
    <xf numFmtId="9" fontId="0" fillId="0" borderId="19" xfId="0" applyNumberFormat="1" applyBorder="1"/>
    <xf numFmtId="0" fontId="0" fillId="0" borderId="19" xfId="0" applyBorder="1"/>
    <xf numFmtId="0" fontId="0" fillId="0" borderId="20" xfId="0" applyBorder="1"/>
    <xf numFmtId="0" fontId="0" fillId="10" borderId="0" xfId="0" applyFill="1"/>
    <xf numFmtId="0" fontId="0" fillId="2" borderId="0" xfId="0" applyFill="1" applyProtection="1">
      <protection locked="0" hidden="1"/>
    </xf>
    <xf numFmtId="0" fontId="0" fillId="2" borderId="0" xfId="0" applyFill="1" applyAlignment="1" applyProtection="1">
      <alignment wrapText="1"/>
      <protection locked="0" hidden="1"/>
    </xf>
    <xf numFmtId="0" fontId="12" fillId="2" borderId="0" xfId="0" applyFont="1" applyFill="1" applyAlignment="1" applyProtection="1">
      <alignment horizontal="center" wrapText="1"/>
      <protection locked="0" hidden="1"/>
    </xf>
    <xf numFmtId="0" fontId="5" fillId="16" borderId="0" xfId="0" applyFont="1" applyFill="1" applyAlignment="1" applyProtection="1">
      <alignment vertical="top" wrapText="1"/>
      <protection hidden="1"/>
    </xf>
    <xf numFmtId="0" fontId="5" fillId="15" borderId="0" xfId="0" applyFont="1" applyFill="1" applyAlignment="1" applyProtection="1">
      <alignment vertical="top" wrapText="1"/>
      <protection hidden="1"/>
    </xf>
    <xf numFmtId="0" fontId="5" fillId="14" borderId="0" xfId="0" applyFont="1" applyFill="1" applyAlignment="1" applyProtection="1">
      <alignment vertical="top" wrapText="1"/>
      <protection hidden="1"/>
    </xf>
    <xf numFmtId="0" fontId="19" fillId="3" borderId="1" xfId="0" applyFont="1" applyFill="1" applyBorder="1" applyAlignment="1">
      <alignment vertical="top"/>
    </xf>
    <xf numFmtId="0" fontId="19" fillId="3" borderId="1" xfId="0" applyFont="1" applyFill="1" applyBorder="1" applyAlignment="1">
      <alignment vertical="top" wrapText="1"/>
    </xf>
    <xf numFmtId="0" fontId="29" fillId="2" borderId="111" xfId="0" applyFont="1" applyFill="1" applyBorder="1" applyAlignment="1">
      <alignment vertical="top" wrapText="1"/>
    </xf>
    <xf numFmtId="0" fontId="29" fillId="2" borderId="112" xfId="0" applyFont="1" applyFill="1" applyBorder="1" applyAlignment="1">
      <alignment horizontal="left" wrapText="1"/>
    </xf>
    <xf numFmtId="164" fontId="9" fillId="5" borderId="26" xfId="2" applyNumberFormat="1" applyFont="1" applyFill="1" applyBorder="1" applyAlignment="1" applyProtection="1">
      <alignment horizontal="left" vertical="center"/>
    </xf>
    <xf numFmtId="0" fontId="39" fillId="2" borderId="0" xfId="0" applyFont="1" applyFill="1" applyAlignment="1" applyProtection="1">
      <alignment horizontal="left" vertical="center"/>
      <protection hidden="1"/>
    </xf>
    <xf numFmtId="0" fontId="9" fillId="4" borderId="0" xfId="0" applyFont="1" applyFill="1" applyAlignment="1">
      <alignment horizontal="left" vertical="top" wrapText="1"/>
    </xf>
    <xf numFmtId="0" fontId="23" fillId="6" borderId="0" xfId="0" applyFont="1" applyFill="1" applyAlignment="1" applyProtection="1">
      <alignment horizontal="right"/>
      <protection hidden="1"/>
    </xf>
    <xf numFmtId="0" fontId="26" fillId="5" borderId="93" xfId="0" applyFont="1" applyFill="1" applyBorder="1" applyAlignment="1" applyProtection="1">
      <alignment horizontal="right" vertical="center"/>
      <protection hidden="1"/>
    </xf>
    <xf numFmtId="0" fontId="0" fillId="2" borderId="0" xfId="0" applyFill="1" applyAlignment="1" applyProtection="1">
      <alignment horizontal="right"/>
      <protection hidden="1"/>
    </xf>
    <xf numFmtId="0" fontId="0" fillId="2" borderId="0" xfId="0" applyFill="1" applyAlignment="1" applyProtection="1">
      <alignment horizontal="left" wrapText="1"/>
      <protection hidden="1"/>
    </xf>
    <xf numFmtId="0" fontId="26" fillId="4" borderId="6" xfId="0" applyFont="1" applyFill="1" applyBorder="1" applyAlignment="1" applyProtection="1">
      <alignment horizontal="left" vertical="center"/>
      <protection locked="0"/>
    </xf>
    <xf numFmtId="0" fontId="26" fillId="5" borderId="93" xfId="0" applyFont="1" applyFill="1" applyBorder="1" applyAlignment="1" applyProtection="1">
      <alignment horizontal="center" vertical="center"/>
      <protection locked="0"/>
    </xf>
    <xf numFmtId="0" fontId="29" fillId="2" borderId="1" xfId="0" applyFont="1" applyFill="1" applyBorder="1" applyAlignment="1">
      <alignment vertical="top" wrapText="1"/>
    </xf>
    <xf numFmtId="0" fontId="29" fillId="2" borderId="112" xfId="0" applyFont="1" applyFill="1" applyBorder="1" applyAlignment="1">
      <alignment horizontal="center" vertical="top" wrapText="1"/>
    </xf>
    <xf numFmtId="0" fontId="48" fillId="4" borderId="1" xfId="0" applyFont="1" applyFill="1" applyBorder="1" applyAlignment="1">
      <alignment horizontal="left"/>
    </xf>
    <xf numFmtId="0" fontId="46" fillId="4" borderId="0" xfId="0" applyFont="1" applyFill="1" applyAlignment="1" applyProtection="1">
      <alignment horizontal="left"/>
      <protection hidden="1"/>
    </xf>
    <xf numFmtId="0" fontId="24" fillId="0" borderId="2" xfId="0" applyFont="1" applyBorder="1"/>
    <xf numFmtId="0" fontId="24" fillId="0" borderId="5" xfId="0" applyFont="1" applyBorder="1"/>
    <xf numFmtId="1" fontId="0" fillId="12" borderId="54" xfId="0" applyNumberFormat="1" applyFill="1" applyBorder="1" applyAlignment="1">
      <alignment horizontal="right"/>
    </xf>
    <xf numFmtId="1" fontId="0" fillId="12" borderId="56" xfId="0" applyNumberFormat="1" applyFill="1" applyBorder="1" applyAlignment="1">
      <alignment horizontal="right"/>
    </xf>
    <xf numFmtId="1" fontId="0" fillId="12" borderId="56" xfId="0" applyNumberFormat="1" applyFill="1" applyBorder="1"/>
    <xf numFmtId="1" fontId="0" fillId="12" borderId="2" xfId="0" applyNumberFormat="1" applyFill="1" applyBorder="1"/>
    <xf numFmtId="1" fontId="0" fillId="12" borderId="57" xfId="0" applyNumberFormat="1" applyFill="1" applyBorder="1"/>
    <xf numFmtId="1" fontId="0" fillId="12" borderId="58" xfId="0" applyNumberFormat="1" applyFill="1" applyBorder="1"/>
    <xf numFmtId="1" fontId="0" fillId="12" borderId="59" xfId="0" applyNumberFormat="1" applyFill="1" applyBorder="1"/>
    <xf numFmtId="1" fontId="0" fillId="12" borderId="60" xfId="0" applyNumberFormat="1" applyFill="1" applyBorder="1"/>
    <xf numFmtId="1" fontId="0" fillId="12" borderId="53" xfId="0" applyNumberFormat="1" applyFill="1" applyBorder="1"/>
    <xf numFmtId="1" fontId="0" fillId="12" borderId="54" xfId="0" applyNumberFormat="1" applyFill="1" applyBorder="1"/>
    <xf numFmtId="1" fontId="0" fillId="12" borderId="55" xfId="0" applyNumberFormat="1" applyFill="1" applyBorder="1"/>
    <xf numFmtId="1" fontId="0" fillId="12" borderId="58" xfId="0" applyNumberFormat="1" applyFill="1" applyBorder="1" applyAlignment="1">
      <alignment horizontal="right"/>
    </xf>
    <xf numFmtId="1" fontId="0" fillId="12" borderId="59" xfId="0" applyNumberFormat="1" applyFill="1" applyBorder="1" applyAlignment="1">
      <alignment horizontal="right"/>
    </xf>
    <xf numFmtId="1" fontId="0" fillId="12" borderId="60" xfId="0" applyNumberFormat="1" applyFill="1" applyBorder="1" applyAlignment="1">
      <alignment horizontal="right"/>
    </xf>
    <xf numFmtId="1" fontId="24" fillId="12" borderId="2" xfId="0" applyNumberFormat="1" applyFont="1" applyFill="1" applyBorder="1" applyAlignment="1">
      <alignment horizontal="right"/>
    </xf>
    <xf numFmtId="1" fontId="24" fillId="12" borderId="56" xfId="0" applyNumberFormat="1" applyFont="1" applyFill="1" applyBorder="1"/>
    <xf numFmtId="1" fontId="24" fillId="12" borderId="2" xfId="0" applyNumberFormat="1" applyFont="1" applyFill="1" applyBorder="1"/>
    <xf numFmtId="1" fontId="24" fillId="12" borderId="57" xfId="0" applyNumberFormat="1" applyFont="1" applyFill="1" applyBorder="1"/>
    <xf numFmtId="1" fontId="24" fillId="12" borderId="54" xfId="0" applyNumberFormat="1" applyFont="1" applyFill="1" applyBorder="1"/>
    <xf numFmtId="0" fontId="0" fillId="12" borderId="116" xfId="0" applyFill="1" applyBorder="1"/>
    <xf numFmtId="0" fontId="0" fillId="12" borderId="84" xfId="0" applyFill="1" applyBorder="1"/>
    <xf numFmtId="0" fontId="0" fillId="12" borderId="117" xfId="0" applyFill="1" applyBorder="1"/>
    <xf numFmtId="0" fontId="0" fillId="12" borderId="56" xfId="0" applyFill="1" applyBorder="1"/>
    <xf numFmtId="0" fontId="23" fillId="6" borderId="45" xfId="0" applyFont="1" applyFill="1" applyBorder="1" applyAlignment="1">
      <alignment vertical="center"/>
    </xf>
    <xf numFmtId="0" fontId="23" fillId="6" borderId="45" xfId="0" applyFont="1" applyFill="1" applyBorder="1" applyAlignment="1" applyProtection="1">
      <alignment vertical="center"/>
      <protection locked="0"/>
    </xf>
    <xf numFmtId="0" fontId="23" fillId="6" borderId="48" xfId="0" applyFont="1" applyFill="1" applyBorder="1" applyAlignment="1" applyProtection="1">
      <alignment horizontal="left" vertical="center"/>
      <protection locked="0"/>
    </xf>
    <xf numFmtId="0" fontId="0" fillId="5" borderId="24" xfId="0" applyFill="1" applyBorder="1" applyAlignment="1">
      <alignment horizontal="left" vertical="center"/>
    </xf>
    <xf numFmtId="0" fontId="0" fillId="4" borderId="0" xfId="0" applyFill="1" applyAlignment="1" applyProtection="1">
      <alignment vertical="center" wrapText="1"/>
      <protection locked="0"/>
    </xf>
    <xf numFmtId="0" fontId="32" fillId="5" borderId="88" xfId="0" applyFont="1" applyFill="1" applyBorder="1" applyAlignment="1">
      <alignment horizontal="left" vertical="center"/>
    </xf>
    <xf numFmtId="0" fontId="0" fillId="2" borderId="0" xfId="0" applyFill="1" applyAlignment="1">
      <alignment horizontal="left" vertical="center"/>
    </xf>
    <xf numFmtId="0" fontId="0" fillId="2" borderId="0" xfId="0" applyFill="1" applyAlignment="1">
      <alignment vertical="center"/>
    </xf>
    <xf numFmtId="0" fontId="0" fillId="2" borderId="0" xfId="0"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vertical="center" wrapText="1"/>
      <protection locked="0"/>
    </xf>
    <xf numFmtId="0" fontId="28" fillId="6" borderId="0" xfId="0" applyFont="1" applyFill="1" applyAlignment="1">
      <alignment horizontal="left" vertical="center"/>
    </xf>
    <xf numFmtId="0" fontId="23" fillId="6" borderId="45" xfId="0" applyFont="1" applyFill="1" applyBorder="1" applyAlignment="1" applyProtection="1">
      <alignment horizontal="left" vertical="center" wrapText="1"/>
      <protection locked="0"/>
    </xf>
    <xf numFmtId="0" fontId="23" fillId="6" borderId="39" xfId="0" applyFont="1" applyFill="1" applyBorder="1" applyAlignment="1" applyProtection="1">
      <alignment vertical="center"/>
      <protection locked="0"/>
    </xf>
    <xf numFmtId="0" fontId="23" fillId="6" borderId="48" xfId="0" applyFont="1" applyFill="1" applyBorder="1" applyAlignment="1" applyProtection="1">
      <alignment horizontal="left" vertical="center" wrapText="1"/>
      <protection locked="0"/>
    </xf>
    <xf numFmtId="0" fontId="23" fillId="6" borderId="1" xfId="0" applyFont="1" applyFill="1" applyBorder="1" applyAlignment="1" applyProtection="1">
      <alignment horizontal="left" vertical="center" wrapText="1"/>
      <protection locked="0"/>
    </xf>
    <xf numFmtId="0" fontId="23" fillId="6" borderId="1" xfId="0" applyFont="1" applyFill="1" applyBorder="1" applyAlignment="1" applyProtection="1">
      <alignment vertical="center" wrapText="1"/>
      <protection locked="0"/>
    </xf>
    <xf numFmtId="0" fontId="23" fillId="6" borderId="51" xfId="0" applyFont="1" applyFill="1" applyBorder="1" applyAlignment="1" applyProtection="1">
      <alignment vertical="center" wrapText="1"/>
      <protection locked="0"/>
    </xf>
    <xf numFmtId="0" fontId="0" fillId="2" borderId="0" xfId="0" applyFill="1" applyAlignment="1">
      <alignment horizontal="left" vertical="center" wrapText="1"/>
    </xf>
    <xf numFmtId="0" fontId="28" fillId="6" borderId="0" xfId="0" applyFont="1" applyFill="1" applyAlignment="1">
      <alignment horizontal="left" vertical="center" wrapText="1"/>
    </xf>
    <xf numFmtId="164" fontId="23" fillId="6" borderId="45" xfId="0" applyNumberFormat="1" applyFont="1" applyFill="1" applyBorder="1" applyAlignment="1">
      <alignment vertical="center"/>
    </xf>
    <xf numFmtId="0" fontId="23" fillId="6" borderId="49" xfId="0" applyFont="1" applyFill="1" applyBorder="1" applyAlignment="1" applyProtection="1">
      <alignment horizontal="left" vertical="center" wrapText="1"/>
      <protection locked="0"/>
    </xf>
    <xf numFmtId="0" fontId="23" fillId="6" borderId="45" xfId="0" applyFont="1" applyFill="1" applyBorder="1" applyAlignment="1" applyProtection="1">
      <alignment vertical="center" wrapText="1"/>
      <protection locked="0"/>
    </xf>
    <xf numFmtId="0" fontId="23" fillId="6" borderId="46" xfId="0" applyFont="1" applyFill="1" applyBorder="1" applyAlignment="1" applyProtection="1">
      <alignment vertical="center" wrapText="1"/>
      <protection locked="0"/>
    </xf>
    <xf numFmtId="0" fontId="0" fillId="5" borderId="24" xfId="0" applyFill="1" applyBorder="1" applyAlignment="1">
      <alignment horizontal="left" vertical="center" wrapText="1"/>
    </xf>
    <xf numFmtId="0" fontId="32" fillId="5" borderId="88" xfId="0" applyFont="1" applyFill="1" applyBorder="1" applyAlignment="1">
      <alignment horizontal="left" vertical="center" wrapText="1"/>
    </xf>
    <xf numFmtId="0" fontId="0" fillId="0" borderId="2" xfId="0" applyBorder="1" applyProtection="1">
      <protection hidden="1"/>
    </xf>
    <xf numFmtId="0" fontId="0" fillId="2" borderId="0" xfId="0" applyFill="1" applyAlignment="1" applyProtection="1">
      <alignment horizontal="left" vertical="center"/>
      <protection hidden="1"/>
    </xf>
    <xf numFmtId="0" fontId="26" fillId="4" borderId="74" xfId="0" applyFont="1" applyFill="1" applyBorder="1" applyAlignment="1" applyProtection="1">
      <alignment horizontal="center" vertical="center"/>
      <protection locked="0"/>
    </xf>
    <xf numFmtId="0" fontId="0" fillId="18" borderId="72" xfId="0" applyFill="1" applyBorder="1"/>
    <xf numFmtId="0" fontId="0" fillId="18" borderId="74" xfId="0" applyFill="1" applyBorder="1"/>
    <xf numFmtId="0" fontId="23" fillId="10" borderId="77" xfId="0" applyFont="1" applyFill="1" applyBorder="1"/>
    <xf numFmtId="0" fontId="51" fillId="4" borderId="0" xfId="0" applyFont="1" applyFill="1" applyAlignment="1">
      <alignment horizontal="left" vertical="top" wrapText="1"/>
    </xf>
    <xf numFmtId="0" fontId="50" fillId="0" borderId="0" xfId="0" applyFont="1"/>
    <xf numFmtId="0" fontId="51" fillId="0" borderId="0" xfId="0" applyFont="1"/>
    <xf numFmtId="0" fontId="54" fillId="0" borderId="119" xfId="0" applyFont="1" applyBorder="1" applyProtection="1">
      <protection locked="0"/>
    </xf>
    <xf numFmtId="0" fontId="54" fillId="0" borderId="123" xfId="0" applyFont="1" applyBorder="1" applyProtection="1">
      <protection locked="0"/>
    </xf>
    <xf numFmtId="49" fontId="54" fillId="0" borderId="123" xfId="0" applyNumberFormat="1" applyFont="1" applyBorder="1" applyProtection="1">
      <protection locked="0"/>
    </xf>
    <xf numFmtId="0" fontId="54" fillId="0" borderId="120" xfId="0" applyFont="1" applyBorder="1" applyAlignment="1" applyProtection="1">
      <alignment horizontal="left" vertical="center"/>
      <protection locked="0"/>
    </xf>
    <xf numFmtId="0" fontId="54" fillId="0" borderId="121" xfId="0" applyFont="1" applyBorder="1" applyAlignment="1" applyProtection="1">
      <alignment horizontal="left" vertical="center"/>
      <protection locked="0"/>
    </xf>
    <xf numFmtId="0" fontId="54" fillId="0" borderId="122" xfId="0" applyFont="1" applyBorder="1" applyAlignment="1" applyProtection="1">
      <alignment horizontal="left" vertical="center"/>
      <protection locked="0"/>
    </xf>
    <xf numFmtId="0" fontId="51" fillId="19" borderId="63" xfId="0" applyFont="1" applyFill="1" applyBorder="1" applyAlignment="1">
      <alignment horizontal="center" vertical="top" wrapText="1"/>
    </xf>
    <xf numFmtId="0" fontId="51" fillId="19" borderId="64" xfId="0" applyFont="1" applyFill="1" applyBorder="1" applyAlignment="1">
      <alignment horizontal="left" vertical="top" wrapText="1"/>
    </xf>
    <xf numFmtId="0" fontId="51" fillId="19" borderId="65" xfId="0" applyFont="1" applyFill="1" applyBorder="1" applyAlignment="1">
      <alignment horizontal="center" vertical="top" wrapText="1"/>
    </xf>
    <xf numFmtId="0" fontId="0" fillId="8" borderId="108" xfId="0" applyFill="1" applyBorder="1"/>
    <xf numFmtId="0" fontId="0" fillId="8" borderId="72" xfId="0" applyFill="1" applyBorder="1"/>
    <xf numFmtId="0" fontId="19" fillId="3" borderId="0" xfId="0" applyFont="1" applyFill="1" applyAlignment="1" applyProtection="1">
      <alignment vertical="top"/>
      <protection hidden="1"/>
    </xf>
    <xf numFmtId="0" fontId="0" fillId="0" borderId="0" xfId="0" applyAlignment="1">
      <alignment horizontal="center" vertical="center"/>
    </xf>
    <xf numFmtId="0" fontId="0" fillId="18" borderId="5" xfId="0" applyFill="1" applyBorder="1"/>
    <xf numFmtId="0" fontId="26" fillId="4" borderId="2" xfId="0" applyFont="1" applyFill="1" applyBorder="1" applyAlignment="1" applyProtection="1">
      <alignment horizontal="left" vertical="center"/>
      <protection hidden="1"/>
    </xf>
    <xf numFmtId="0" fontId="56" fillId="2" borderId="1" xfId="0" applyFont="1" applyFill="1" applyBorder="1" applyAlignment="1" applyProtection="1">
      <alignment horizontal="left"/>
      <protection hidden="1"/>
    </xf>
    <xf numFmtId="0" fontId="1" fillId="5" borderId="2" xfId="0" applyFont="1" applyFill="1" applyBorder="1" applyAlignment="1" applyProtection="1">
      <alignment horizontal="left" vertical="center"/>
      <protection hidden="1"/>
    </xf>
    <xf numFmtId="0" fontId="35" fillId="4" borderId="4" xfId="0" applyFont="1" applyFill="1" applyBorder="1" applyAlignment="1" applyProtection="1">
      <alignment horizontal="left" vertical="center"/>
      <protection hidden="1"/>
    </xf>
    <xf numFmtId="0" fontId="35" fillId="4" borderId="6" xfId="0" applyFont="1" applyFill="1" applyBorder="1" applyAlignment="1" applyProtection="1">
      <alignment horizontal="left" vertical="center"/>
      <protection hidden="1"/>
    </xf>
    <xf numFmtId="0" fontId="35" fillId="4" borderId="7" xfId="0" applyFont="1" applyFill="1" applyBorder="1" applyAlignment="1" applyProtection="1">
      <alignment horizontal="left" vertical="center"/>
      <protection hidden="1"/>
    </xf>
    <xf numFmtId="0" fontId="1" fillId="5" borderId="4" xfId="0" applyFont="1" applyFill="1" applyBorder="1" applyAlignment="1" applyProtection="1">
      <alignment horizontal="left" vertical="center"/>
      <protection hidden="1"/>
    </xf>
    <xf numFmtId="0" fontId="1" fillId="5" borderId="7" xfId="0" applyFont="1" applyFill="1" applyBorder="1" applyAlignment="1" applyProtection="1">
      <alignment horizontal="left" vertical="center"/>
      <protection hidden="1"/>
    </xf>
    <xf numFmtId="164" fontId="9" fillId="5" borderId="4" xfId="2" applyNumberFormat="1" applyFont="1" applyFill="1" applyBorder="1" applyAlignment="1" applyProtection="1">
      <alignment horizontal="left" vertical="center"/>
      <protection hidden="1"/>
    </xf>
    <xf numFmtId="10" fontId="9" fillId="5" borderId="7" xfId="2" applyNumberFormat="1" applyFont="1" applyFill="1" applyBorder="1" applyAlignment="1" applyProtection="1">
      <alignment horizontal="left" vertical="center"/>
      <protection hidden="1"/>
    </xf>
    <xf numFmtId="0" fontId="1" fillId="5" borderId="7" xfId="0" applyFont="1" applyFill="1" applyBorder="1" applyAlignment="1" applyProtection="1">
      <alignment vertical="center"/>
      <protection hidden="1"/>
    </xf>
    <xf numFmtId="0" fontId="0" fillId="4" borderId="6" xfId="0" applyFill="1" applyBorder="1" applyAlignment="1" applyProtection="1">
      <alignment horizontal="center"/>
      <protection hidden="1"/>
    </xf>
    <xf numFmtId="0" fontId="26" fillId="5" borderId="94" xfId="0" applyFont="1" applyFill="1" applyBorder="1" applyAlignment="1" applyProtection="1">
      <alignment horizontal="left" vertical="center" wrapText="1"/>
      <protection locked="0"/>
    </xf>
    <xf numFmtId="0" fontId="37" fillId="5" borderId="129" xfId="0" applyFont="1" applyFill="1" applyBorder="1" applyAlignment="1" applyProtection="1">
      <alignment horizontal="center" vertical="center" wrapText="1"/>
      <protection locked="0"/>
    </xf>
    <xf numFmtId="0" fontId="19" fillId="4" borderId="0" xfId="0" applyFont="1" applyFill="1" applyAlignment="1" applyProtection="1">
      <alignment vertical="top"/>
      <protection hidden="1"/>
    </xf>
    <xf numFmtId="0" fontId="19" fillId="3" borderId="1" xfId="0" applyFont="1" applyFill="1" applyBorder="1" applyAlignment="1" applyProtection="1">
      <alignment vertical="top"/>
      <protection hidden="1"/>
    </xf>
    <xf numFmtId="0" fontId="11" fillId="2" borderId="14" xfId="0" applyFont="1" applyFill="1" applyBorder="1" applyProtection="1">
      <protection hidden="1"/>
    </xf>
    <xf numFmtId="0" fontId="56" fillId="2" borderId="1" xfId="0" applyFont="1" applyFill="1" applyBorder="1" applyAlignment="1" applyProtection="1">
      <alignment horizontal="center"/>
      <protection hidden="1"/>
    </xf>
    <xf numFmtId="0" fontId="44" fillId="2" borderId="1" xfId="0" applyFont="1" applyFill="1" applyBorder="1" applyAlignment="1" applyProtection="1">
      <alignment horizontal="center"/>
      <protection hidden="1"/>
    </xf>
    <xf numFmtId="0" fontId="49" fillId="2" borderId="1" xfId="0" applyFont="1" applyFill="1" applyBorder="1" applyAlignment="1" applyProtection="1">
      <alignment horizontal="center"/>
      <protection hidden="1"/>
    </xf>
    <xf numFmtId="0" fontId="44" fillId="2" borderId="5" xfId="0" applyFont="1" applyFill="1" applyBorder="1" applyAlignment="1" applyProtection="1">
      <alignment horizontal="center"/>
      <protection hidden="1"/>
    </xf>
    <xf numFmtId="0" fontId="56" fillId="2" borderId="14" xfId="0" applyFont="1" applyFill="1" applyBorder="1" applyAlignment="1" applyProtection="1">
      <alignment horizontal="center"/>
      <protection hidden="1"/>
    </xf>
    <xf numFmtId="0" fontId="44" fillId="2" borderId="0" xfId="0" applyFont="1" applyFill="1" applyAlignment="1" applyProtection="1">
      <alignment horizontal="center"/>
      <protection hidden="1"/>
    </xf>
    <xf numFmtId="0" fontId="0" fillId="2" borderId="12" xfId="0" applyFill="1" applyBorder="1" applyProtection="1">
      <protection hidden="1"/>
    </xf>
    <xf numFmtId="0" fontId="0" fillId="4" borderId="15" xfId="0" applyFill="1" applyBorder="1" applyProtection="1">
      <protection hidden="1"/>
    </xf>
    <xf numFmtId="0" fontId="9" fillId="4" borderId="0" xfId="0" applyFont="1" applyFill="1" applyAlignment="1" applyProtection="1">
      <alignment horizontal="left" vertical="top"/>
      <protection hidden="1"/>
    </xf>
    <xf numFmtId="0" fontId="38" fillId="2" borderId="0" xfId="0" applyFont="1" applyFill="1" applyProtection="1">
      <protection hidden="1"/>
    </xf>
    <xf numFmtId="0" fontId="57" fillId="2" borderId="0" xfId="0" applyFont="1" applyFill="1" applyAlignment="1" applyProtection="1">
      <alignment horizontal="left"/>
      <protection hidden="1"/>
    </xf>
    <xf numFmtId="0" fontId="3" fillId="4" borderId="0" xfId="0" applyFont="1" applyFill="1" applyProtection="1">
      <protection hidden="1"/>
    </xf>
    <xf numFmtId="0" fontId="23" fillId="5" borderId="14" xfId="0" applyFont="1" applyFill="1" applyBorder="1" applyAlignment="1" applyProtection="1">
      <alignment horizontal="left" vertical="center"/>
      <protection hidden="1"/>
    </xf>
    <xf numFmtId="0" fontId="15" fillId="4" borderId="0" xfId="0" applyFont="1" applyFill="1" applyProtection="1">
      <protection hidden="1"/>
    </xf>
    <xf numFmtId="0" fontId="0" fillId="2" borderId="0" xfId="0" applyFill="1" applyAlignment="1" applyProtection="1">
      <alignment horizontal="left" vertical="top"/>
      <protection hidden="1"/>
    </xf>
    <xf numFmtId="0" fontId="23" fillId="4" borderId="0" xfId="0" applyFont="1" applyFill="1" applyProtection="1">
      <protection hidden="1"/>
    </xf>
    <xf numFmtId="0" fontId="12" fillId="2" borderId="0" xfId="0" applyFont="1" applyFill="1" applyAlignment="1" applyProtection="1">
      <alignment horizontal="center"/>
      <protection hidden="1"/>
    </xf>
    <xf numFmtId="0" fontId="17" fillId="2" borderId="0" xfId="0" applyFont="1" applyFill="1" applyAlignment="1" applyProtection="1">
      <alignment horizontal="left" vertical="top"/>
      <protection hidden="1"/>
    </xf>
    <xf numFmtId="0" fontId="14" fillId="2" borderId="0" xfId="0" applyFont="1" applyFill="1" applyAlignment="1" applyProtection="1">
      <alignment vertical="center" wrapText="1"/>
      <protection hidden="1"/>
    </xf>
    <xf numFmtId="0" fontId="58" fillId="2" borderId="0" xfId="0" applyFont="1" applyFill="1" applyProtection="1">
      <protection hidden="1"/>
    </xf>
    <xf numFmtId="0" fontId="58" fillId="4" borderId="0" xfId="0" applyFont="1" applyFill="1"/>
    <xf numFmtId="0" fontId="59" fillId="3" borderId="0" xfId="0" applyFont="1" applyFill="1" applyAlignment="1" applyProtection="1">
      <alignment horizontal="left" vertical="top"/>
      <protection hidden="1"/>
    </xf>
    <xf numFmtId="0" fontId="60" fillId="3" borderId="0" xfId="0" applyFont="1" applyFill="1" applyProtection="1">
      <protection hidden="1"/>
    </xf>
    <xf numFmtId="0" fontId="59" fillId="3" borderId="0" xfId="0" applyFont="1" applyFill="1" applyAlignment="1" applyProtection="1">
      <alignment vertical="top"/>
      <protection hidden="1"/>
    </xf>
    <xf numFmtId="0" fontId="61" fillId="2" borderId="0" xfId="0" applyFont="1" applyFill="1" applyAlignment="1" applyProtection="1">
      <alignment horizontal="left" vertical="center"/>
      <protection hidden="1"/>
    </xf>
    <xf numFmtId="0" fontId="62" fillId="2" borderId="0" xfId="0" applyFont="1" applyFill="1" applyAlignment="1" applyProtection="1">
      <alignment horizontal="right"/>
      <protection hidden="1"/>
    </xf>
    <xf numFmtId="0" fontId="63" fillId="4" borderId="1" xfId="0" applyFont="1" applyFill="1" applyBorder="1" applyAlignment="1" applyProtection="1">
      <alignment horizontal="left"/>
      <protection hidden="1"/>
    </xf>
    <xf numFmtId="0" fontId="64" fillId="2" borderId="1" xfId="0" applyFont="1" applyFill="1" applyBorder="1" applyProtection="1">
      <protection hidden="1"/>
    </xf>
    <xf numFmtId="0" fontId="65" fillId="2" borderId="1" xfId="0" applyFont="1" applyFill="1" applyBorder="1" applyProtection="1">
      <protection hidden="1"/>
    </xf>
    <xf numFmtId="0" fontId="66" fillId="3" borderId="6" xfId="0" applyFont="1" applyFill="1" applyBorder="1" applyProtection="1">
      <protection hidden="1"/>
    </xf>
    <xf numFmtId="0" fontId="67" fillId="3" borderId="6" xfId="0" applyFont="1" applyFill="1" applyBorder="1" applyAlignment="1" applyProtection="1">
      <alignment horizontal="right" vertical="center"/>
      <protection hidden="1"/>
    </xf>
    <xf numFmtId="0" fontId="65" fillId="5" borderId="6" xfId="0" applyFont="1" applyFill="1" applyBorder="1" applyAlignment="1" applyProtection="1">
      <alignment horizontal="left" vertical="center"/>
      <protection hidden="1"/>
    </xf>
    <xf numFmtId="0" fontId="58" fillId="5" borderId="6" xfId="0" applyFont="1" applyFill="1" applyBorder="1" applyProtection="1">
      <protection hidden="1"/>
    </xf>
    <xf numFmtId="0" fontId="58" fillId="5" borderId="7" xfId="0" applyFont="1" applyFill="1" applyBorder="1" applyProtection="1">
      <protection hidden="1"/>
    </xf>
    <xf numFmtId="0" fontId="58" fillId="5" borderId="4" xfId="0" applyFont="1" applyFill="1" applyBorder="1" applyAlignment="1" applyProtection="1">
      <alignment horizontal="right"/>
      <protection hidden="1"/>
    </xf>
    <xf numFmtId="0" fontId="58" fillId="5" borderId="6" xfId="0" applyFont="1" applyFill="1" applyBorder="1" applyAlignment="1" applyProtection="1">
      <alignment horizontal="right"/>
      <protection hidden="1"/>
    </xf>
    <xf numFmtId="14" fontId="58" fillId="5" borderId="7" xfId="0" applyNumberFormat="1" applyFont="1" applyFill="1" applyBorder="1" applyAlignment="1" applyProtection="1">
      <alignment horizontal="left"/>
      <protection hidden="1"/>
    </xf>
    <xf numFmtId="0" fontId="66" fillId="4" borderId="0" xfId="0" applyFont="1" applyFill="1" applyProtection="1">
      <protection hidden="1"/>
    </xf>
    <xf numFmtId="0" fontId="67" fillId="4" borderId="0" xfId="0" applyFont="1" applyFill="1" applyAlignment="1" applyProtection="1">
      <alignment horizontal="right" vertical="center"/>
      <protection hidden="1"/>
    </xf>
    <xf numFmtId="0" fontId="58" fillId="4" borderId="0" xfId="0" applyFont="1" applyFill="1" applyProtection="1">
      <protection hidden="1"/>
    </xf>
    <xf numFmtId="0" fontId="67" fillId="3" borderId="102" xfId="0" applyFont="1" applyFill="1" applyBorder="1" applyProtection="1">
      <protection hidden="1"/>
    </xf>
    <xf numFmtId="0" fontId="67" fillId="3" borderId="107" xfId="0" applyFont="1" applyFill="1" applyBorder="1" applyAlignment="1" applyProtection="1">
      <alignment horizontal="right" vertical="center"/>
      <protection hidden="1"/>
    </xf>
    <xf numFmtId="0" fontId="71" fillId="4" borderId="0" xfId="0" applyFont="1" applyFill="1" applyAlignment="1" applyProtection="1">
      <alignment horizontal="left" vertical="top" wrapText="1"/>
      <protection hidden="1"/>
    </xf>
    <xf numFmtId="0" fontId="67" fillId="3" borderId="45" xfId="0" applyFont="1" applyFill="1" applyBorder="1" applyProtection="1">
      <protection hidden="1"/>
    </xf>
    <xf numFmtId="0" fontId="67" fillId="3" borderId="110" xfId="0" applyFont="1" applyFill="1" applyBorder="1" applyAlignment="1" applyProtection="1">
      <alignment horizontal="right" vertical="center"/>
      <protection hidden="1"/>
    </xf>
    <xf numFmtId="0" fontId="67" fillId="3" borderId="27" xfId="0" applyFont="1" applyFill="1" applyBorder="1" applyProtection="1">
      <protection hidden="1"/>
    </xf>
    <xf numFmtId="0" fontId="67" fillId="3" borderId="104" xfId="0" applyFont="1" applyFill="1" applyBorder="1" applyAlignment="1" applyProtection="1">
      <alignment horizontal="right" vertical="center"/>
      <protection hidden="1"/>
    </xf>
    <xf numFmtId="0" fontId="67" fillId="3" borderId="103" xfId="0" applyFont="1" applyFill="1" applyBorder="1" applyProtection="1">
      <protection hidden="1"/>
    </xf>
    <xf numFmtId="0" fontId="58" fillId="2" borderId="11" xfId="0" applyFont="1" applyFill="1" applyBorder="1" applyProtection="1">
      <protection hidden="1"/>
    </xf>
    <xf numFmtId="0" fontId="58" fillId="2" borderId="53" xfId="0" applyFont="1" applyFill="1" applyBorder="1" applyProtection="1">
      <protection hidden="1"/>
    </xf>
    <xf numFmtId="0" fontId="58" fillId="4" borderId="54" xfId="0" applyFont="1" applyFill="1" applyBorder="1"/>
    <xf numFmtId="0" fontId="58" fillId="4" borderId="55" xfId="0" applyFont="1" applyFill="1" applyBorder="1"/>
    <xf numFmtId="0" fontId="58" fillId="2" borderId="56" xfId="0" applyFont="1" applyFill="1" applyBorder="1" applyProtection="1">
      <protection hidden="1"/>
    </xf>
    <xf numFmtId="9" fontId="58" fillId="4" borderId="2" xfId="0" applyNumberFormat="1" applyFont="1" applyFill="1" applyBorder="1"/>
    <xf numFmtId="9" fontId="58" fillId="4" borderId="57" xfId="0" applyNumberFormat="1" applyFont="1" applyFill="1" applyBorder="1"/>
    <xf numFmtId="0" fontId="58" fillId="2" borderId="58" xfId="0" applyFont="1" applyFill="1" applyBorder="1" applyProtection="1">
      <protection hidden="1"/>
    </xf>
    <xf numFmtId="9" fontId="58" fillId="4" borderId="59" xfId="0" applyNumberFormat="1" applyFont="1" applyFill="1" applyBorder="1"/>
    <xf numFmtId="9" fontId="58" fillId="4" borderId="60" xfId="0" applyNumberFormat="1" applyFont="1" applyFill="1" applyBorder="1"/>
    <xf numFmtId="0" fontId="72" fillId="2" borderId="15" xfId="0" applyFont="1" applyFill="1" applyBorder="1" applyAlignment="1" applyProtection="1">
      <alignment horizontal="center" wrapText="1"/>
      <protection hidden="1"/>
    </xf>
    <xf numFmtId="0" fontId="73" fillId="2" borderId="14" xfId="0" applyFont="1" applyFill="1" applyBorder="1" applyAlignment="1" applyProtection="1">
      <alignment horizontal="left"/>
      <protection hidden="1"/>
    </xf>
    <xf numFmtId="0" fontId="68" fillId="2" borderId="1" xfId="0" applyFont="1" applyFill="1" applyBorder="1" applyAlignment="1" applyProtection="1">
      <alignment horizontal="center" wrapText="1"/>
      <protection hidden="1"/>
    </xf>
    <xf numFmtId="0" fontId="68" fillId="2" borderId="13" xfId="0" applyFont="1" applyFill="1" applyBorder="1" applyAlignment="1" applyProtection="1">
      <alignment horizontal="center" wrapText="1"/>
      <protection hidden="1"/>
    </xf>
    <xf numFmtId="0" fontId="68" fillId="2" borderId="14" xfId="0" applyFont="1" applyFill="1" applyBorder="1" applyAlignment="1" applyProtection="1">
      <alignment horizontal="center" wrapText="1"/>
      <protection hidden="1"/>
    </xf>
    <xf numFmtId="0" fontId="72" fillId="2" borderId="5" xfId="0" applyFont="1" applyFill="1" applyBorder="1" applyAlignment="1" applyProtection="1">
      <alignment horizontal="center" wrapText="1"/>
      <protection hidden="1"/>
    </xf>
    <xf numFmtId="0" fontId="68" fillId="2" borderId="5" xfId="0" applyFont="1" applyFill="1" applyBorder="1" applyAlignment="1" applyProtection="1">
      <alignment horizontal="center" vertical="top" wrapText="1"/>
      <protection hidden="1"/>
    </xf>
    <xf numFmtId="0" fontId="67" fillId="3" borderId="25" xfId="0" applyFont="1" applyFill="1" applyBorder="1" applyAlignment="1" applyProtection="1">
      <alignment horizontal="left" vertical="center"/>
      <protection hidden="1"/>
    </xf>
    <xf numFmtId="0" fontId="65" fillId="5" borderId="31" xfId="0" applyFont="1" applyFill="1" applyBorder="1" applyAlignment="1" applyProtection="1">
      <alignment horizontal="center" vertical="center"/>
      <protection hidden="1"/>
    </xf>
    <xf numFmtId="0" fontId="65" fillId="5" borderId="32" xfId="0" applyFont="1" applyFill="1" applyBorder="1" applyAlignment="1" applyProtection="1">
      <alignment horizontal="center" vertical="center"/>
      <protection hidden="1"/>
    </xf>
    <xf numFmtId="9" fontId="65" fillId="5" borderId="30" xfId="2" applyFont="1" applyFill="1" applyBorder="1" applyAlignment="1" applyProtection="1">
      <alignment horizontal="center" vertical="center"/>
      <protection hidden="1"/>
    </xf>
    <xf numFmtId="9" fontId="65" fillId="5" borderId="31" xfId="2" applyFont="1" applyFill="1" applyBorder="1" applyAlignment="1" applyProtection="1">
      <alignment horizontal="center" vertical="center"/>
      <protection hidden="1"/>
    </xf>
    <xf numFmtId="0" fontId="58" fillId="4" borderId="108" xfId="0" applyFont="1" applyFill="1" applyBorder="1"/>
    <xf numFmtId="0" fontId="58" fillId="4" borderId="77" xfId="0" applyFont="1" applyFill="1" applyBorder="1"/>
    <xf numFmtId="0" fontId="67" fillId="3" borderId="24" xfId="0" applyFont="1" applyFill="1" applyBorder="1" applyAlignment="1" applyProtection="1">
      <alignment horizontal="left" vertical="center"/>
      <protection hidden="1"/>
    </xf>
    <xf numFmtId="0" fontId="65" fillId="5" borderId="26" xfId="0" applyFont="1" applyFill="1" applyBorder="1" applyAlignment="1" applyProtection="1">
      <alignment horizontal="center" vertical="center"/>
      <protection hidden="1"/>
    </xf>
    <xf numFmtId="0" fontId="65" fillId="5" borderId="33" xfId="0" applyFont="1" applyFill="1" applyBorder="1" applyAlignment="1" applyProtection="1">
      <alignment horizontal="center" vertical="center"/>
      <protection hidden="1"/>
    </xf>
    <xf numFmtId="9" fontId="65" fillId="5" borderId="29" xfId="2" applyFont="1" applyFill="1" applyBorder="1" applyAlignment="1" applyProtection="1">
      <alignment horizontal="center" vertical="center"/>
      <protection hidden="1"/>
    </xf>
    <xf numFmtId="0" fontId="58" fillId="4" borderId="109" xfId="0" applyFont="1" applyFill="1" applyBorder="1"/>
    <xf numFmtId="0" fontId="58" fillId="4" borderId="56" xfId="0" applyFont="1" applyFill="1" applyBorder="1"/>
    <xf numFmtId="0" fontId="58" fillId="4" borderId="2" xfId="0" applyFont="1" applyFill="1" applyBorder="1"/>
    <xf numFmtId="0" fontId="58" fillId="4" borderId="57" xfId="0" applyFont="1" applyFill="1" applyBorder="1"/>
    <xf numFmtId="0" fontId="74" fillId="4" borderId="0" xfId="0" applyFont="1" applyFill="1"/>
    <xf numFmtId="164" fontId="65" fillId="5" borderId="28" xfId="2" applyNumberFormat="1" applyFont="1" applyFill="1" applyBorder="1" applyAlignment="1" applyProtection="1">
      <alignment horizontal="center" vertical="center"/>
      <protection hidden="1"/>
    </xf>
    <xf numFmtId="0" fontId="66" fillId="3" borderId="24" xfId="0" applyFont="1" applyFill="1" applyBorder="1" applyAlignment="1" applyProtection="1">
      <alignment horizontal="left" vertical="center"/>
      <protection hidden="1"/>
    </xf>
    <xf numFmtId="0" fontId="64" fillId="5" borderId="26" xfId="0" applyFont="1" applyFill="1" applyBorder="1" applyAlignment="1" applyProtection="1">
      <alignment horizontal="center" vertical="center"/>
      <protection hidden="1"/>
    </xf>
    <xf numFmtId="0" fontId="64" fillId="5" borderId="33" xfId="0" applyFont="1" applyFill="1" applyBorder="1" applyAlignment="1" applyProtection="1">
      <alignment horizontal="center" vertical="center"/>
      <protection hidden="1"/>
    </xf>
    <xf numFmtId="164" fontId="65" fillId="5" borderId="29" xfId="2" applyNumberFormat="1" applyFont="1" applyFill="1" applyBorder="1" applyAlignment="1" applyProtection="1">
      <alignment horizontal="center" vertical="center"/>
      <protection hidden="1"/>
    </xf>
    <xf numFmtId="0" fontId="64" fillId="5" borderId="28" xfId="0" applyFont="1" applyFill="1" applyBorder="1" applyAlignment="1" applyProtection="1">
      <alignment horizontal="center" vertical="center"/>
      <protection hidden="1"/>
    </xf>
    <xf numFmtId="164" fontId="65" fillId="5" borderId="26" xfId="2" applyNumberFormat="1" applyFont="1" applyFill="1" applyBorder="1" applyAlignment="1" applyProtection="1">
      <alignment horizontal="center" vertical="center"/>
      <protection hidden="1"/>
    </xf>
    <xf numFmtId="164" fontId="64" fillId="5" borderId="24" xfId="2" applyNumberFormat="1" applyFont="1" applyFill="1" applyBorder="1" applyAlignment="1" applyProtection="1">
      <alignment horizontal="center" vertical="center"/>
      <protection hidden="1"/>
    </xf>
    <xf numFmtId="164" fontId="64" fillId="5" borderId="29" xfId="2" applyNumberFormat="1" applyFont="1" applyFill="1" applyBorder="1" applyAlignment="1" applyProtection="1">
      <alignment horizontal="center" vertical="center"/>
      <protection hidden="1"/>
    </xf>
    <xf numFmtId="0" fontId="67" fillId="3" borderId="27" xfId="0" applyFont="1" applyFill="1" applyBorder="1" applyAlignment="1" applyProtection="1">
      <alignment horizontal="left" vertical="center"/>
      <protection hidden="1"/>
    </xf>
    <xf numFmtId="0" fontId="67" fillId="3" borderId="27" xfId="0" applyFont="1" applyFill="1" applyBorder="1" applyAlignment="1" applyProtection="1">
      <alignment horizontal="right" vertical="center"/>
      <protection hidden="1"/>
    </xf>
    <xf numFmtId="164" fontId="65" fillId="5" borderId="24" xfId="2" applyNumberFormat="1" applyFont="1" applyFill="1" applyBorder="1" applyAlignment="1" applyProtection="1">
      <alignment horizontal="center" vertical="center"/>
      <protection hidden="1"/>
    </xf>
    <xf numFmtId="0" fontId="75" fillId="2" borderId="0" xfId="0" applyFont="1" applyFill="1" applyAlignment="1" applyProtection="1">
      <alignment horizontal="center" wrapText="1"/>
      <protection hidden="1"/>
    </xf>
    <xf numFmtId="0" fontId="76" fillId="2" borderId="0" xfId="0" applyFont="1" applyFill="1" applyAlignment="1" applyProtection="1">
      <alignment horizontal="center" wrapText="1"/>
      <protection hidden="1"/>
    </xf>
    <xf numFmtId="0" fontId="77" fillId="2" borderId="0" xfId="0" applyFont="1" applyFill="1" applyAlignment="1" applyProtection="1">
      <alignment horizontal="left" vertical="top" wrapText="1"/>
      <protection hidden="1"/>
    </xf>
    <xf numFmtId="0" fontId="78" fillId="4" borderId="0" xfId="0" applyFont="1" applyFill="1" applyProtection="1">
      <protection hidden="1"/>
    </xf>
    <xf numFmtId="0" fontId="79" fillId="4" borderId="0" xfId="0" applyFont="1" applyFill="1" applyProtection="1">
      <protection hidden="1"/>
    </xf>
    <xf numFmtId="0" fontId="58" fillId="2" borderId="1" xfId="0" applyFont="1" applyFill="1" applyBorder="1" applyProtection="1">
      <protection hidden="1"/>
    </xf>
    <xf numFmtId="0" fontId="80" fillId="4" borderId="0" xfId="0" applyFont="1" applyFill="1" applyProtection="1">
      <protection hidden="1"/>
    </xf>
    <xf numFmtId="0" fontId="81" fillId="2" borderId="21" xfId="0" applyFont="1" applyFill="1" applyBorder="1" applyProtection="1">
      <protection hidden="1"/>
    </xf>
    <xf numFmtId="0" fontId="81" fillId="2" borderId="22" xfId="0" applyFont="1" applyFill="1" applyBorder="1" applyProtection="1">
      <protection hidden="1"/>
    </xf>
    <xf numFmtId="10" fontId="81" fillId="2" borderId="23" xfId="0" applyNumberFormat="1" applyFont="1" applyFill="1" applyBorder="1" applyProtection="1">
      <protection hidden="1"/>
    </xf>
    <xf numFmtId="0" fontId="81" fillId="2" borderId="16" xfId="0" applyFont="1" applyFill="1" applyBorder="1" applyProtection="1">
      <protection hidden="1"/>
    </xf>
    <xf numFmtId="0" fontId="81" fillId="2" borderId="0" xfId="0" applyFont="1" applyFill="1" applyProtection="1">
      <protection hidden="1"/>
    </xf>
    <xf numFmtId="10" fontId="81" fillId="2" borderId="17" xfId="0" applyNumberFormat="1" applyFont="1" applyFill="1" applyBorder="1" applyProtection="1">
      <protection hidden="1"/>
    </xf>
    <xf numFmtId="0" fontId="81" fillId="2" borderId="18" xfId="0" applyFont="1" applyFill="1" applyBorder="1" applyProtection="1">
      <protection hidden="1"/>
    </xf>
    <xf numFmtId="0" fontId="81" fillId="2" borderId="19" xfId="0" applyFont="1" applyFill="1" applyBorder="1" applyProtection="1">
      <protection hidden="1"/>
    </xf>
    <xf numFmtId="10" fontId="81" fillId="2" borderId="20" xfId="0" applyNumberFormat="1" applyFont="1" applyFill="1" applyBorder="1" applyProtection="1">
      <protection hidden="1"/>
    </xf>
    <xf numFmtId="0" fontId="82" fillId="3" borderId="1" xfId="0" applyFont="1" applyFill="1" applyBorder="1" applyAlignment="1" applyProtection="1">
      <alignment vertical="top"/>
      <protection hidden="1"/>
    </xf>
    <xf numFmtId="0" fontId="82" fillId="3" borderId="41" xfId="0" applyFont="1" applyFill="1" applyBorder="1" applyAlignment="1" applyProtection="1">
      <alignment horizontal="left" vertical="top"/>
      <protection hidden="1"/>
    </xf>
    <xf numFmtId="0" fontId="31" fillId="3" borderId="0" xfId="0" applyFont="1" applyFill="1" applyAlignment="1" applyProtection="1">
      <alignment vertical="top"/>
      <protection hidden="1"/>
    </xf>
    <xf numFmtId="0" fontId="31" fillId="3" borderId="0" xfId="0" applyFont="1" applyFill="1" applyAlignment="1" applyProtection="1">
      <alignment vertical="top" wrapText="1"/>
      <protection hidden="1"/>
    </xf>
    <xf numFmtId="0" fontId="14" fillId="4" borderId="0" xfId="0" applyFont="1" applyFill="1" applyAlignment="1" applyProtection="1">
      <alignment vertical="center" wrapText="1"/>
      <protection hidden="1"/>
    </xf>
    <xf numFmtId="0" fontId="46" fillId="2" borderId="0" xfId="0" applyFont="1" applyFill="1" applyAlignment="1" applyProtection="1">
      <alignment horizontal="right"/>
      <protection hidden="1"/>
    </xf>
    <xf numFmtId="0" fontId="25" fillId="4" borderId="1" xfId="0" applyFont="1" applyFill="1" applyBorder="1" applyAlignment="1" applyProtection="1">
      <alignment horizontal="left"/>
      <protection hidden="1"/>
    </xf>
    <xf numFmtId="0" fontId="7" fillId="3" borderId="132" xfId="0" applyFont="1" applyFill="1" applyBorder="1" applyAlignment="1" applyProtection="1">
      <alignment horizontal="right" vertical="center"/>
      <protection hidden="1"/>
    </xf>
    <xf numFmtId="0" fontId="1" fillId="4" borderId="2" xfId="0" applyFont="1" applyFill="1" applyBorder="1" applyAlignment="1" applyProtection="1">
      <alignment vertical="center" wrapText="1"/>
      <protection locked="0" hidden="1"/>
    </xf>
    <xf numFmtId="0" fontId="7" fillId="3" borderId="100" xfId="0" applyFont="1" applyFill="1" applyBorder="1" applyAlignment="1" applyProtection="1">
      <alignment horizontal="right" vertical="center"/>
      <protection hidden="1"/>
    </xf>
    <xf numFmtId="0" fontId="7" fillId="3" borderId="130" xfId="0" applyFont="1" applyFill="1" applyBorder="1" applyAlignment="1" applyProtection="1">
      <alignment horizontal="right" vertical="center"/>
      <protection hidden="1"/>
    </xf>
    <xf numFmtId="0" fontId="7" fillId="3" borderId="101" xfId="0" applyFont="1" applyFill="1" applyBorder="1" applyAlignment="1" applyProtection="1">
      <alignment horizontal="right" vertical="center"/>
      <protection hidden="1"/>
    </xf>
    <xf numFmtId="0" fontId="1" fillId="0" borderId="2" xfId="0" applyFont="1" applyBorder="1" applyAlignment="1" applyProtection="1">
      <alignment vertical="center" wrapText="1"/>
      <protection locked="0" hidden="1"/>
    </xf>
    <xf numFmtId="0" fontId="9" fillId="0" borderId="2" xfId="0" applyFont="1" applyBorder="1" applyAlignment="1" applyProtection="1">
      <alignment vertical="center" wrapText="1"/>
      <protection locked="0" hidden="1"/>
    </xf>
    <xf numFmtId="0" fontId="7" fillId="3" borderId="131" xfId="0" applyFont="1" applyFill="1" applyBorder="1" applyAlignment="1" applyProtection="1">
      <alignment horizontal="right" vertical="center"/>
      <protection hidden="1"/>
    </xf>
    <xf numFmtId="0" fontId="7" fillId="3" borderId="114" xfId="0" applyFont="1" applyFill="1" applyBorder="1" applyAlignment="1" applyProtection="1">
      <alignment horizontal="right" vertical="center"/>
      <protection hidden="1"/>
    </xf>
    <xf numFmtId="0" fontId="7" fillId="3" borderId="9" xfId="0" applyFont="1" applyFill="1" applyBorder="1" applyAlignment="1" applyProtection="1">
      <alignment horizontal="right" vertical="center"/>
      <protection hidden="1"/>
    </xf>
    <xf numFmtId="0" fontId="7" fillId="3" borderId="133" xfId="0" applyFont="1" applyFill="1" applyBorder="1" applyAlignment="1" applyProtection="1">
      <alignment horizontal="right" vertical="top"/>
      <protection hidden="1"/>
    </xf>
    <xf numFmtId="0" fontId="8" fillId="3" borderId="15" xfId="0" applyFont="1" applyFill="1" applyBorder="1" applyAlignment="1" applyProtection="1">
      <alignment horizontal="right" vertical="top"/>
      <protection hidden="1"/>
    </xf>
    <xf numFmtId="0" fontId="1" fillId="0" borderId="15" xfId="0" applyFont="1" applyBorder="1" applyAlignment="1" applyProtection="1">
      <alignment vertical="center" wrapText="1"/>
      <protection locked="0" hidden="1"/>
    </xf>
    <xf numFmtId="0" fontId="0" fillId="0" borderId="0" xfId="0" applyProtection="1">
      <protection locked="0" hidden="1"/>
    </xf>
    <xf numFmtId="0" fontId="8" fillId="3" borderId="15" xfId="0" applyFont="1" applyFill="1" applyBorder="1" applyAlignment="1" applyProtection="1">
      <alignment horizontal="left" vertical="center" wrapText="1"/>
      <protection hidden="1"/>
    </xf>
    <xf numFmtId="0" fontId="7" fillId="3" borderId="134" xfId="0" applyFont="1" applyFill="1" applyBorder="1" applyAlignment="1" applyProtection="1">
      <alignment horizontal="right" vertical="top"/>
      <protection hidden="1"/>
    </xf>
    <xf numFmtId="0" fontId="7" fillId="3" borderId="132" xfId="0" applyFont="1" applyFill="1" applyBorder="1" applyAlignment="1" applyProtection="1">
      <alignment horizontal="right" vertical="top"/>
      <protection hidden="1"/>
    </xf>
    <xf numFmtId="0" fontId="7" fillId="3" borderId="130" xfId="0" applyFont="1" applyFill="1" applyBorder="1" applyAlignment="1" applyProtection="1">
      <alignment horizontal="right" vertical="top"/>
      <protection hidden="1"/>
    </xf>
    <xf numFmtId="0" fontId="7" fillId="3" borderId="101" xfId="0" applyFont="1" applyFill="1" applyBorder="1" applyAlignment="1" applyProtection="1">
      <alignment horizontal="right" vertical="center" wrapText="1"/>
      <protection hidden="1"/>
    </xf>
    <xf numFmtId="0" fontId="7" fillId="3" borderId="100" xfId="0" applyFont="1" applyFill="1" applyBorder="1" applyAlignment="1" applyProtection="1">
      <alignment horizontal="right" wrapText="1"/>
      <protection hidden="1"/>
    </xf>
    <xf numFmtId="0" fontId="1" fillId="0" borderId="2" xfId="0" applyFont="1" applyBorder="1" applyAlignment="1" applyProtection="1">
      <alignment vertical="center" wrapText="1"/>
      <protection hidden="1"/>
    </xf>
    <xf numFmtId="0" fontId="7" fillId="3" borderId="131" xfId="0" applyFont="1" applyFill="1" applyBorder="1" applyAlignment="1" applyProtection="1">
      <alignment horizontal="right" vertical="top" wrapText="1"/>
      <protection hidden="1"/>
    </xf>
    <xf numFmtId="0" fontId="7" fillId="3" borderId="114" xfId="0" applyFont="1" applyFill="1" applyBorder="1" applyAlignment="1" applyProtection="1">
      <alignment horizontal="right" vertical="center" wrapText="1"/>
      <protection hidden="1"/>
    </xf>
    <xf numFmtId="0" fontId="25" fillId="4" borderId="0" xfId="0" applyFont="1" applyFill="1" applyAlignment="1" applyProtection="1">
      <alignment horizontal="left"/>
      <protection hidden="1"/>
    </xf>
    <xf numFmtId="0" fontId="46" fillId="2" borderId="1" xfId="0" applyFont="1" applyFill="1" applyBorder="1" applyAlignment="1" applyProtection="1">
      <alignment horizontal="right"/>
      <protection hidden="1"/>
    </xf>
    <xf numFmtId="0" fontId="35" fillId="4" borderId="0" xfId="0" applyFont="1" applyFill="1" applyAlignment="1" applyProtection="1">
      <alignment horizontal="left" vertical="top" wrapText="1"/>
      <protection hidden="1"/>
    </xf>
    <xf numFmtId="0" fontId="0" fillId="0" borderId="0" xfId="0" applyAlignment="1" applyProtection="1">
      <alignment horizontal="right"/>
      <protection hidden="1"/>
    </xf>
    <xf numFmtId="0" fontId="9" fillId="2" borderId="0" xfId="0" applyFont="1" applyFill="1" applyProtection="1">
      <protection locked="0" hidden="1"/>
    </xf>
    <xf numFmtId="0" fontId="33" fillId="2" borderId="0" xfId="0" applyFont="1" applyFill="1" applyProtection="1">
      <protection locked="0" hidden="1"/>
    </xf>
    <xf numFmtId="0" fontId="9" fillId="2" borderId="0" xfId="0" applyFont="1" applyFill="1" applyAlignment="1" applyProtection="1">
      <alignment vertical="top" wrapText="1"/>
      <protection locked="0" hidden="1"/>
    </xf>
    <xf numFmtId="0" fontId="17" fillId="2" borderId="1" xfId="0" applyFont="1" applyFill="1" applyBorder="1" applyAlignment="1" applyProtection="1">
      <alignment vertical="top" wrapText="1"/>
      <protection hidden="1"/>
    </xf>
    <xf numFmtId="0" fontId="0" fillId="8" borderId="53" xfId="0" applyFill="1" applyBorder="1" applyProtection="1">
      <protection hidden="1"/>
    </xf>
    <xf numFmtId="0" fontId="0" fillId="7" borderId="56" xfId="0" applyFill="1" applyBorder="1" applyProtection="1">
      <protection hidden="1"/>
    </xf>
    <xf numFmtId="0" fontId="13" fillId="2" borderId="0" xfId="0" applyFont="1" applyFill="1" applyAlignment="1" applyProtection="1">
      <alignment vertical="top" wrapText="1"/>
      <protection hidden="1"/>
    </xf>
    <xf numFmtId="0" fontId="0" fillId="9" borderId="56" xfId="0" applyFill="1" applyBorder="1" applyProtection="1">
      <protection hidden="1"/>
    </xf>
    <xf numFmtId="0" fontId="47" fillId="2" borderId="1" xfId="0" applyFont="1" applyFill="1" applyBorder="1" applyAlignment="1" applyProtection="1">
      <alignment horizontal="right" vertical="top" wrapText="1"/>
      <protection hidden="1"/>
    </xf>
    <xf numFmtId="0" fontId="35" fillId="2" borderId="0" xfId="0" applyFont="1" applyFill="1" applyProtection="1">
      <protection hidden="1"/>
    </xf>
    <xf numFmtId="0" fontId="45" fillId="2" borderId="0" xfId="0" applyFont="1" applyFill="1" applyProtection="1">
      <protection hidden="1"/>
    </xf>
    <xf numFmtId="0" fontId="27" fillId="2" borderId="0" xfId="0" applyFont="1" applyFill="1" applyProtection="1">
      <protection hidden="1"/>
    </xf>
    <xf numFmtId="0" fontId="43" fillId="2" borderId="0" xfId="0" applyFont="1" applyFill="1" applyProtection="1">
      <protection hidden="1"/>
    </xf>
    <xf numFmtId="0" fontId="9" fillId="2" borderId="0" xfId="0" applyFont="1" applyFill="1" applyAlignment="1" applyProtection="1">
      <alignment horizontal="right" vertical="center"/>
      <protection hidden="1"/>
    </xf>
    <xf numFmtId="2" fontId="9" fillId="2" borderId="0" xfId="0" applyNumberFormat="1" applyFont="1" applyFill="1" applyAlignment="1" applyProtection="1">
      <alignment horizontal="left" vertical="top"/>
      <protection hidden="1"/>
    </xf>
    <xf numFmtId="14" fontId="9" fillId="2" borderId="0" xfId="0" applyNumberFormat="1" applyFont="1" applyFill="1" applyAlignment="1" applyProtection="1">
      <alignment horizontal="left"/>
      <protection hidden="1"/>
    </xf>
    <xf numFmtId="0" fontId="9" fillId="4" borderId="0" xfId="0" applyFont="1" applyFill="1" applyAlignment="1" applyProtection="1">
      <alignment vertical="center" wrapText="1"/>
      <protection hidden="1"/>
    </xf>
    <xf numFmtId="0" fontId="32" fillId="2" borderId="125" xfId="0" applyFont="1" applyFill="1" applyBorder="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57" fillId="5" borderId="124" xfId="0" applyFont="1" applyFill="1" applyBorder="1" applyAlignment="1" applyProtection="1">
      <alignment vertical="center" wrapText="1"/>
      <protection hidden="1"/>
    </xf>
    <xf numFmtId="0" fontId="23" fillId="5" borderId="0" xfId="0" applyFont="1" applyFill="1" applyAlignment="1" applyProtection="1">
      <alignment vertical="center" wrapText="1"/>
      <protection hidden="1"/>
    </xf>
    <xf numFmtId="0" fontId="23" fillId="5" borderId="0" xfId="0" applyFont="1" applyFill="1" applyAlignment="1" applyProtection="1">
      <alignment horizontal="left" vertical="center" wrapText="1"/>
      <protection hidden="1"/>
    </xf>
    <xf numFmtId="0" fontId="23" fillId="4" borderId="3" xfId="0" applyFont="1" applyFill="1" applyBorder="1" applyAlignment="1" applyProtection="1">
      <alignment vertical="center" wrapText="1"/>
      <protection hidden="1"/>
    </xf>
    <xf numFmtId="0" fontId="0" fillId="4" borderId="3" xfId="0" applyFill="1" applyBorder="1" applyAlignment="1" applyProtection="1">
      <alignment vertical="center" wrapText="1"/>
      <protection hidden="1"/>
    </xf>
    <xf numFmtId="0" fontId="26" fillId="4" borderId="2" xfId="0" applyFont="1" applyFill="1" applyBorder="1" applyAlignment="1" applyProtection="1">
      <alignment horizontal="center" vertical="center" wrapText="1"/>
      <protection hidden="1"/>
    </xf>
    <xf numFmtId="164" fontId="26" fillId="4" borderId="2" xfId="0" applyNumberFormat="1" applyFont="1" applyFill="1" applyBorder="1" applyAlignment="1" applyProtection="1">
      <alignment horizontal="center" vertical="center" wrapText="1"/>
      <protection hidden="1"/>
    </xf>
    <xf numFmtId="0" fontId="0" fillId="4" borderId="2" xfId="0" applyFill="1" applyBorder="1" applyAlignment="1" applyProtection="1">
      <alignment vertical="center" wrapText="1"/>
      <protection hidden="1"/>
    </xf>
    <xf numFmtId="0" fontId="26" fillId="4" borderId="2" xfId="0" applyFont="1" applyFill="1" applyBorder="1" applyAlignment="1" applyProtection="1">
      <alignment horizontal="left" vertical="center" wrapText="1"/>
      <protection hidden="1"/>
    </xf>
    <xf numFmtId="0" fontId="26" fillId="4" borderId="4" xfId="0" applyFont="1" applyFill="1" applyBorder="1" applyAlignment="1" applyProtection="1">
      <alignment horizontal="left" vertical="center" wrapText="1"/>
      <protection hidden="1"/>
    </xf>
    <xf numFmtId="0" fontId="23" fillId="4" borderId="15" xfId="0" applyFont="1" applyFill="1" applyBorder="1" applyAlignment="1" applyProtection="1">
      <alignment vertical="center" wrapText="1"/>
      <protection hidden="1"/>
    </xf>
    <xf numFmtId="0" fontId="26" fillId="4" borderId="7" xfId="0" applyFont="1" applyFill="1" applyBorder="1" applyAlignment="1" applyProtection="1">
      <alignment horizontal="center" vertical="center" wrapText="1"/>
      <protection hidden="1"/>
    </xf>
    <xf numFmtId="0" fontId="0" fillId="4" borderId="15" xfId="0" applyFill="1" applyBorder="1" applyAlignment="1" applyProtection="1">
      <alignment vertical="center" wrapText="1"/>
      <protection hidden="1"/>
    </xf>
    <xf numFmtId="0" fontId="37" fillId="4" borderId="2" xfId="0" applyFont="1" applyFill="1" applyBorder="1" applyAlignment="1" applyProtection="1">
      <alignment horizontal="center" vertical="center" wrapText="1"/>
      <protection hidden="1"/>
    </xf>
    <xf numFmtId="164" fontId="37" fillId="4" borderId="2" xfId="0" applyNumberFormat="1" applyFont="1" applyFill="1" applyBorder="1" applyAlignment="1" applyProtection="1">
      <alignment horizontal="center" vertical="center" wrapText="1"/>
      <protection hidden="1"/>
    </xf>
    <xf numFmtId="0" fontId="37" fillId="4" borderId="7" xfId="0" applyFont="1" applyFill="1" applyBorder="1" applyAlignment="1" applyProtection="1">
      <alignment horizontal="center" vertical="center" wrapText="1"/>
      <protection hidden="1"/>
    </xf>
    <xf numFmtId="0" fontId="0" fillId="2" borderId="0" xfId="0" applyFill="1" applyAlignment="1" applyProtection="1">
      <alignment horizontal="left" vertical="center" wrapText="1"/>
      <protection hidden="1"/>
    </xf>
    <xf numFmtId="0" fontId="0" fillId="2" borderId="0" xfId="0" applyFill="1" applyAlignment="1" applyProtection="1">
      <alignment vertical="center" wrapText="1"/>
      <protection hidden="1"/>
    </xf>
    <xf numFmtId="0" fontId="57" fillId="5" borderId="128" xfId="0" applyFont="1" applyFill="1" applyBorder="1" applyAlignment="1" applyProtection="1">
      <alignment vertical="center" wrapText="1"/>
      <protection hidden="1"/>
    </xf>
    <xf numFmtId="0" fontId="21" fillId="3" borderId="106" xfId="0" applyFont="1" applyFill="1" applyBorder="1" applyAlignment="1" applyProtection="1">
      <alignment vertical="top"/>
      <protection hidden="1"/>
    </xf>
    <xf numFmtId="0" fontId="20" fillId="3" borderId="106" xfId="0" applyFont="1" applyFill="1" applyBorder="1" applyProtection="1">
      <protection hidden="1"/>
    </xf>
    <xf numFmtId="0" fontId="14" fillId="2" borderId="8" xfId="0" applyFont="1" applyFill="1" applyBorder="1" applyAlignment="1" applyProtection="1">
      <alignment horizontal="left" vertical="center"/>
      <protection hidden="1"/>
    </xf>
    <xf numFmtId="0" fontId="14" fillId="2" borderId="0" xfId="0" applyFont="1" applyFill="1" applyAlignment="1" applyProtection="1">
      <alignment horizontal="left" vertical="center" wrapText="1"/>
      <protection hidden="1"/>
    </xf>
    <xf numFmtId="0" fontId="7" fillId="3" borderId="2" xfId="0" applyFont="1" applyFill="1" applyBorder="1" applyAlignment="1" applyProtection="1">
      <alignment horizontal="center"/>
      <protection hidden="1"/>
    </xf>
    <xf numFmtId="14" fontId="1" fillId="2" borderId="2" xfId="0" applyNumberFormat="1" applyFont="1" applyFill="1" applyBorder="1" applyAlignment="1" applyProtection="1">
      <alignment horizontal="center" vertical="center"/>
      <protection hidden="1"/>
    </xf>
    <xf numFmtId="49" fontId="0" fillId="4" borderId="2" xfId="0" applyNumberFormat="1" applyFill="1" applyBorder="1" applyAlignment="1" applyProtection="1">
      <alignment horizontal="center" vertical="center"/>
      <protection hidden="1"/>
    </xf>
    <xf numFmtId="14" fontId="0" fillId="4" borderId="2" xfId="0" applyNumberFormat="1" applyFill="1" applyBorder="1" applyAlignment="1" applyProtection="1">
      <alignment horizontal="center" vertical="center"/>
      <protection hidden="1"/>
    </xf>
    <xf numFmtId="49" fontId="1" fillId="2" borderId="2" xfId="0" applyNumberFormat="1" applyFont="1" applyFill="1" applyBorder="1" applyAlignment="1" applyProtection="1">
      <alignment horizontal="center" vertical="center"/>
      <protection hidden="1"/>
    </xf>
    <xf numFmtId="0" fontId="1" fillId="4" borderId="2" xfId="0" applyFont="1" applyFill="1" applyBorder="1" applyAlignment="1" applyProtection="1">
      <alignment vertical="center" wrapText="1"/>
      <protection locked="0"/>
    </xf>
    <xf numFmtId="0" fontId="0" fillId="0" borderId="1" xfId="0" applyBorder="1"/>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horizontal="left" vertical="center" wrapText="1"/>
      <protection locked="0"/>
    </xf>
    <xf numFmtId="0" fontId="1" fillId="0" borderId="5" xfId="0" applyFont="1" applyBorder="1" applyAlignment="1" applyProtection="1">
      <alignment vertical="center" wrapText="1"/>
      <protection locked="0"/>
    </xf>
    <xf numFmtId="0" fontId="0" fillId="0" borderId="2" xfId="0" applyBorder="1" applyProtection="1">
      <protection locked="0"/>
    </xf>
    <xf numFmtId="0" fontId="0" fillId="2" borderId="2" xfId="0" applyFill="1" applyBorder="1" applyProtection="1">
      <protection locked="0"/>
    </xf>
    <xf numFmtId="0" fontId="0" fillId="4" borderId="1" xfId="0" applyFill="1" applyBorder="1"/>
    <xf numFmtId="0" fontId="0" fillId="2" borderId="0" xfId="0" applyFill="1" applyProtection="1">
      <protection locked="0"/>
    </xf>
    <xf numFmtId="0" fontId="84" fillId="0" borderId="0" xfId="0" applyFont="1"/>
    <xf numFmtId="0" fontId="85" fillId="3" borderId="0" xfId="0" applyFont="1" applyFill="1" applyAlignment="1">
      <alignment vertical="center"/>
    </xf>
    <xf numFmtId="0" fontId="85" fillId="3" borderId="0" xfId="0" applyFont="1" applyFill="1" applyAlignment="1">
      <alignment vertical="top"/>
    </xf>
    <xf numFmtId="0" fontId="86" fillId="3" borderId="0" xfId="0" applyFont="1" applyFill="1"/>
    <xf numFmtId="1" fontId="85" fillId="3" borderId="0" xfId="0" applyNumberFormat="1" applyFont="1" applyFill="1" applyAlignment="1">
      <alignment vertical="top"/>
    </xf>
    <xf numFmtId="14" fontId="85" fillId="3" borderId="0" xfId="0" applyNumberFormat="1" applyFont="1" applyFill="1" applyAlignment="1">
      <alignment vertical="top"/>
    </xf>
    <xf numFmtId="0" fontId="87" fillId="0" borderId="0" xfId="0" applyFont="1"/>
    <xf numFmtId="0" fontId="88" fillId="0" borderId="0" xfId="0" applyFont="1" applyAlignment="1">
      <alignment horizontal="center"/>
    </xf>
    <xf numFmtId="0" fontId="19" fillId="3" borderId="0" xfId="0" applyFont="1" applyFill="1" applyAlignment="1" applyProtection="1">
      <alignment horizontal="right" vertical="top"/>
      <protection hidden="1"/>
    </xf>
    <xf numFmtId="0" fontId="82" fillId="3" borderId="1" xfId="0" applyFont="1" applyFill="1" applyBorder="1" applyAlignment="1" applyProtection="1">
      <alignment horizontal="right" vertical="top"/>
      <protection hidden="1"/>
    </xf>
    <xf numFmtId="0" fontId="21" fillId="3" borderId="79" xfId="0" applyFont="1" applyFill="1" applyBorder="1" applyAlignment="1" applyProtection="1">
      <alignment horizontal="right" vertical="top"/>
      <protection hidden="1"/>
    </xf>
    <xf numFmtId="0" fontId="89" fillId="3" borderId="0" xfId="0" applyFont="1" applyFill="1" applyAlignment="1">
      <alignment horizontal="right" vertical="top"/>
    </xf>
    <xf numFmtId="0" fontId="31" fillId="3" borderId="0" xfId="0" applyFont="1" applyFill="1" applyAlignment="1" applyProtection="1">
      <alignment horizontal="right" vertical="top" wrapText="1"/>
      <protection hidden="1"/>
    </xf>
    <xf numFmtId="0" fontId="19" fillId="3" borderId="1" xfId="0" applyFont="1" applyFill="1" applyBorder="1" applyAlignment="1">
      <alignment horizontal="right" vertical="top" wrapText="1"/>
    </xf>
    <xf numFmtId="0" fontId="44" fillId="2" borderId="1" xfId="0" applyFont="1" applyFill="1" applyBorder="1" applyAlignment="1">
      <alignment wrapText="1"/>
    </xf>
    <xf numFmtId="0" fontId="44" fillId="2" borderId="41" xfId="0" applyFont="1" applyFill="1" applyBorder="1" applyAlignment="1">
      <alignment wrapText="1"/>
    </xf>
    <xf numFmtId="0" fontId="26" fillId="4" borderId="50" xfId="0" applyFont="1" applyFill="1" applyBorder="1" applyAlignment="1" applyProtection="1">
      <alignment horizontal="left" vertical="center" wrapText="1"/>
      <protection locked="0"/>
    </xf>
    <xf numFmtId="0" fontId="26" fillId="5" borderId="136"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58" fillId="0" borderId="5" xfId="0" applyFont="1" applyBorder="1"/>
    <xf numFmtId="0" fontId="23" fillId="10" borderId="2" xfId="0" applyFont="1" applyFill="1" applyBorder="1"/>
    <xf numFmtId="0" fontId="23" fillId="6" borderId="48" xfId="0" applyFont="1" applyFill="1" applyBorder="1" applyAlignment="1" applyProtection="1">
      <alignment horizontal="center" vertical="center"/>
      <protection locked="0"/>
    </xf>
    <xf numFmtId="0" fontId="0" fillId="12" borderId="2" xfId="0" applyFill="1" applyBorder="1" applyProtection="1">
      <protection hidden="1"/>
    </xf>
    <xf numFmtId="0" fontId="0" fillId="18" borderId="2" xfId="0" applyFill="1" applyBorder="1" applyProtection="1">
      <protection hidden="1"/>
    </xf>
    <xf numFmtId="0" fontId="3" fillId="12" borderId="2" xfId="0" applyFont="1" applyFill="1" applyBorder="1" applyProtection="1">
      <protection hidden="1"/>
    </xf>
    <xf numFmtId="0" fontId="0" fillId="18" borderId="0" xfId="0" applyFill="1"/>
    <xf numFmtId="0" fontId="0" fillId="12" borderId="0" xfId="0" applyFill="1"/>
    <xf numFmtId="0" fontId="0" fillId="2" borderId="5" xfId="0" applyFill="1" applyBorder="1" applyProtection="1">
      <protection hidden="1"/>
    </xf>
    <xf numFmtId="0" fontId="0" fillId="2" borderId="59" xfId="0" applyFill="1" applyBorder="1" applyProtection="1">
      <protection hidden="1"/>
    </xf>
    <xf numFmtId="0" fontId="42" fillId="0" borderId="2" xfId="0" applyFont="1" applyBorder="1"/>
    <xf numFmtId="0" fontId="90" fillId="10" borderId="64" xfId="0" applyFont="1" applyFill="1" applyBorder="1"/>
    <xf numFmtId="0" fontId="0" fillId="2" borderId="54" xfId="0" applyFill="1" applyBorder="1" applyProtection="1">
      <protection hidden="1"/>
    </xf>
    <xf numFmtId="0" fontId="0" fillId="2" borderId="3" xfId="0" applyFill="1" applyBorder="1" applyProtection="1">
      <protection hidden="1"/>
    </xf>
    <xf numFmtId="0" fontId="42" fillId="0" borderId="5" xfId="0" applyFont="1" applyBorder="1"/>
    <xf numFmtId="0" fontId="42" fillId="0" borderId="3" xfId="0" applyFont="1" applyBorder="1"/>
    <xf numFmtId="0" fontId="42" fillId="0" borderId="54" xfId="0" applyFont="1" applyBorder="1"/>
    <xf numFmtId="0" fontId="0" fillId="0" borderId="80" xfId="0" applyBorder="1"/>
    <xf numFmtId="0" fontId="0" fillId="2" borderId="81" xfId="0" applyFill="1" applyBorder="1" applyProtection="1">
      <protection hidden="1"/>
    </xf>
    <xf numFmtId="0" fontId="32" fillId="9" borderId="54" xfId="0" applyFont="1" applyFill="1" applyBorder="1"/>
    <xf numFmtId="0" fontId="24" fillId="0" borderId="0" xfId="0" applyFont="1"/>
    <xf numFmtId="0" fontId="91" fillId="3" borderId="0" xfId="0" applyFont="1" applyFill="1" applyAlignment="1" applyProtection="1">
      <alignment horizontal="center"/>
      <protection hidden="1"/>
    </xf>
    <xf numFmtId="0" fontId="91" fillId="3" borderId="0" xfId="0" applyFont="1" applyFill="1" applyAlignment="1" applyProtection="1">
      <alignment horizontal="left"/>
      <protection hidden="1"/>
    </xf>
    <xf numFmtId="0" fontId="0" fillId="12" borderId="7" xfId="0" applyFill="1" applyBorder="1" applyProtection="1">
      <protection hidden="1"/>
    </xf>
    <xf numFmtId="0" fontId="0" fillId="2" borderId="7" xfId="0" applyFill="1" applyBorder="1" applyProtection="1">
      <protection hidden="1"/>
    </xf>
    <xf numFmtId="0" fontId="0" fillId="20" borderId="5" xfId="0" applyFill="1" applyBorder="1"/>
    <xf numFmtId="0" fontId="0" fillId="20" borderId="0" xfId="0" applyFill="1"/>
    <xf numFmtId="0" fontId="0" fillId="8" borderId="5" xfId="0" applyFill="1" applyBorder="1"/>
    <xf numFmtId="0" fontId="44" fillId="2" borderId="1" xfId="0" applyFont="1" applyFill="1" applyBorder="1" applyAlignment="1">
      <alignment horizontal="center" wrapText="1"/>
    </xf>
    <xf numFmtId="0" fontId="23" fillId="10" borderId="21" xfId="0" applyFont="1" applyFill="1" applyBorder="1"/>
    <xf numFmtId="0" fontId="23" fillId="10" borderId="68" xfId="0" applyFont="1" applyFill="1" applyBorder="1"/>
    <xf numFmtId="0" fontId="0" fillId="21" borderId="0" xfId="0" applyFill="1"/>
    <xf numFmtId="0" fontId="23" fillId="10" borderId="2" xfId="0" applyFont="1" applyFill="1" applyBorder="1" applyAlignment="1">
      <alignment wrapText="1"/>
    </xf>
    <xf numFmtId="0" fontId="52" fillId="4" borderId="50" xfId="0" applyFont="1" applyFill="1" applyBorder="1" applyAlignment="1" applyProtection="1">
      <alignment horizontal="left" vertical="center" wrapText="1"/>
      <protection locked="0"/>
    </xf>
    <xf numFmtId="0" fontId="92" fillId="4" borderId="50" xfId="0" applyFont="1" applyFill="1" applyBorder="1" applyAlignment="1" applyProtection="1">
      <alignment horizontal="left" vertical="center" wrapText="1"/>
      <protection locked="0"/>
    </xf>
    <xf numFmtId="0" fontId="44" fillId="2" borderId="48" xfId="0" applyFont="1" applyFill="1" applyBorder="1" applyAlignment="1">
      <alignment horizontal="center" vertical="top" wrapText="1"/>
    </xf>
    <xf numFmtId="0" fontId="23" fillId="10" borderId="0" xfId="0" applyFont="1" applyFill="1" applyAlignment="1">
      <alignment wrapText="1"/>
    </xf>
    <xf numFmtId="1" fontId="0" fillId="0" borderId="56" xfId="0" applyNumberFormat="1" applyBorder="1" applyAlignment="1">
      <alignment horizontal="right"/>
    </xf>
    <xf numFmtId="0" fontId="56" fillId="2" borderId="5" xfId="0" applyFont="1" applyFill="1" applyBorder="1" applyAlignment="1" applyProtection="1">
      <alignment horizontal="center"/>
      <protection hidden="1"/>
    </xf>
    <xf numFmtId="0" fontId="0" fillId="4" borderId="15" xfId="0" applyFill="1" applyBorder="1" applyAlignment="1" applyProtection="1">
      <alignment horizontal="center" vertical="top"/>
      <protection hidden="1"/>
    </xf>
    <xf numFmtId="0" fontId="1" fillId="0" borderId="15" xfId="0" applyFont="1" applyBorder="1" applyAlignment="1" applyProtection="1">
      <alignment horizontal="left" vertical="center"/>
      <protection hidden="1"/>
    </xf>
    <xf numFmtId="164" fontId="9" fillId="0" borderId="15" xfId="2" applyNumberFormat="1" applyFont="1" applyFill="1" applyBorder="1" applyAlignment="1" applyProtection="1">
      <alignment horizontal="left" vertical="center"/>
      <protection hidden="1"/>
    </xf>
    <xf numFmtId="0" fontId="1" fillId="0" borderId="5" xfId="0" applyFont="1" applyBorder="1" applyAlignment="1" applyProtection="1">
      <alignment vertical="center"/>
      <protection hidden="1"/>
    </xf>
    <xf numFmtId="0" fontId="0" fillId="5" borderId="15" xfId="0" applyFill="1" applyBorder="1" applyProtection="1">
      <protection hidden="1"/>
    </xf>
    <xf numFmtId="0" fontId="0" fillId="5" borderId="5" xfId="0" applyFill="1" applyBorder="1" applyProtection="1">
      <protection hidden="1"/>
    </xf>
    <xf numFmtId="0" fontId="0" fillId="0" borderId="12" xfId="0" applyBorder="1" applyAlignment="1" applyProtection="1">
      <alignment horizontal="center" vertical="top" wrapText="1"/>
      <protection hidden="1"/>
    </xf>
    <xf numFmtId="0" fontId="23" fillId="0" borderId="0" xfId="0" applyFont="1" applyAlignment="1" applyProtection="1">
      <alignment horizontal="left" vertical="center"/>
      <protection hidden="1"/>
    </xf>
    <xf numFmtId="0" fontId="23" fillId="5" borderId="12" xfId="0" applyFont="1" applyFill="1" applyBorder="1" applyAlignment="1" applyProtection="1">
      <alignment horizontal="left" vertical="center" wrapText="1"/>
      <protection hidden="1"/>
    </xf>
    <xf numFmtId="0" fontId="29" fillId="2" borderId="135" xfId="0" applyFont="1" applyFill="1" applyBorder="1" applyAlignment="1">
      <alignment horizontal="center" vertical="top" wrapText="1"/>
    </xf>
    <xf numFmtId="0" fontId="0" fillId="18" borderId="2" xfId="0" applyFill="1" applyBorder="1"/>
    <xf numFmtId="0" fontId="0" fillId="18" borderId="56" xfId="0" applyFill="1" applyBorder="1"/>
    <xf numFmtId="0" fontId="24" fillId="18" borderId="2" xfId="0" applyFont="1" applyFill="1" applyBorder="1"/>
    <xf numFmtId="0" fontId="0" fillId="18" borderId="66" xfId="0" applyFill="1" applyBorder="1"/>
    <xf numFmtId="0" fontId="0" fillId="18" borderId="3" xfId="0" applyFill="1" applyBorder="1"/>
    <xf numFmtId="0" fontId="0" fillId="18" borderId="85" xfId="0" applyFill="1" applyBorder="1"/>
    <xf numFmtId="0" fontId="0" fillId="18" borderId="15" xfId="0" applyFill="1" applyBorder="1"/>
    <xf numFmtId="0" fontId="24" fillId="0" borderId="15" xfId="0" applyFont="1" applyBorder="1"/>
    <xf numFmtId="0" fontId="32" fillId="13" borderId="84" xfId="0" applyFont="1" applyFill="1" applyBorder="1"/>
    <xf numFmtId="0" fontId="32" fillId="13" borderId="116" xfId="0" applyFont="1" applyFill="1" applyBorder="1"/>
    <xf numFmtId="0" fontId="0" fillId="5" borderId="138" xfId="0" applyFill="1" applyBorder="1" applyAlignment="1">
      <alignment horizontal="left" vertical="center"/>
    </xf>
    <xf numFmtId="0" fontId="26" fillId="5" borderId="139" xfId="0" applyFont="1" applyFill="1" applyBorder="1" applyAlignment="1">
      <alignment horizontal="center" vertical="center"/>
    </xf>
    <xf numFmtId="0" fontId="26" fillId="4" borderId="137" xfId="0" applyFont="1" applyFill="1" applyBorder="1" applyAlignment="1" applyProtection="1">
      <alignment horizontal="left" vertical="center" wrapText="1"/>
      <protection locked="0"/>
    </xf>
    <xf numFmtId="0" fontId="26" fillId="4" borderId="135" xfId="0" applyFont="1" applyFill="1" applyBorder="1" applyAlignment="1" applyProtection="1">
      <alignment horizontal="left" vertical="center" wrapText="1"/>
      <protection locked="0"/>
    </xf>
    <xf numFmtId="0" fontId="0" fillId="8" borderId="58" xfId="0" applyFill="1" applyBorder="1"/>
    <xf numFmtId="0" fontId="26" fillId="18" borderId="2" xfId="0" applyFont="1" applyFill="1" applyBorder="1" applyAlignment="1">
      <alignment horizontal="center" vertical="center"/>
    </xf>
    <xf numFmtId="1" fontId="0" fillId="18" borderId="55" xfId="0" applyNumberFormat="1" applyFill="1" applyBorder="1"/>
    <xf numFmtId="1" fontId="0" fillId="18" borderId="57" xfId="0" applyNumberFormat="1" applyFill="1" applyBorder="1"/>
    <xf numFmtId="1" fontId="0" fillId="18" borderId="60" xfId="0" applyNumberFormat="1" applyFill="1" applyBorder="1"/>
    <xf numFmtId="0" fontId="93" fillId="2" borderId="1" xfId="0" applyFont="1" applyFill="1" applyBorder="1" applyProtection="1">
      <protection hidden="1"/>
    </xf>
    <xf numFmtId="0" fontId="31" fillId="3" borderId="0" xfId="0" applyFont="1" applyFill="1" applyAlignment="1">
      <alignment vertical="center"/>
    </xf>
    <xf numFmtId="0" fontId="19" fillId="3" borderId="0" xfId="0" applyFont="1" applyFill="1" applyAlignment="1" applyProtection="1">
      <alignment horizontal="left" vertical="top"/>
      <protection hidden="1"/>
    </xf>
    <xf numFmtId="0" fontId="0" fillId="12" borderId="0" xfId="0" applyFill="1" applyProtection="1">
      <protection hidden="1"/>
    </xf>
    <xf numFmtId="0" fontId="0" fillId="8" borderId="66" xfId="0" applyFill="1" applyBorder="1"/>
    <xf numFmtId="0" fontId="0" fillId="12" borderId="85" xfId="0" applyFill="1" applyBorder="1"/>
    <xf numFmtId="0" fontId="32" fillId="0" borderId="2" xfId="0" applyFont="1" applyBorder="1" applyProtection="1">
      <protection hidden="1"/>
    </xf>
    <xf numFmtId="0" fontId="0" fillId="8" borderId="53" xfId="0" applyFill="1" applyBorder="1"/>
    <xf numFmtId="0" fontId="26" fillId="4" borderId="7" xfId="0" applyFont="1" applyFill="1" applyBorder="1" applyAlignment="1" applyProtection="1">
      <alignment horizontal="center" vertical="center" wrapText="1"/>
      <protection locked="0"/>
    </xf>
    <xf numFmtId="0" fontId="82" fillId="4" borderId="0" xfId="0" applyFont="1" applyFill="1" applyAlignment="1" applyProtection="1">
      <alignment vertical="top" wrapText="1"/>
      <protection hidden="1"/>
    </xf>
    <xf numFmtId="0" fontId="96" fillId="2" borderId="0" xfId="0" applyFont="1" applyFill="1" applyAlignment="1" applyProtection="1">
      <alignment horizontal="left" wrapText="1"/>
      <protection locked="0" hidden="1"/>
    </xf>
    <xf numFmtId="0" fontId="26" fillId="4" borderId="36" xfId="0" applyFont="1" applyFill="1" applyBorder="1" applyAlignment="1" applyProtection="1">
      <alignment horizontal="left" vertical="top" wrapText="1"/>
      <protection locked="0"/>
    </xf>
    <xf numFmtId="0" fontId="49" fillId="2" borderId="41" xfId="0" applyFont="1" applyFill="1" applyBorder="1" applyAlignment="1">
      <alignment horizontal="center" vertical="top" wrapText="1"/>
    </xf>
    <xf numFmtId="0" fontId="0" fillId="4" borderId="40" xfId="0" applyFill="1" applyBorder="1" applyAlignment="1">
      <alignment vertical="top" wrapText="1"/>
    </xf>
    <xf numFmtId="0" fontId="23" fillId="6" borderId="48" xfId="0" applyFont="1" applyFill="1" applyBorder="1" applyAlignment="1" applyProtection="1">
      <alignment horizontal="left" vertical="top" wrapText="1"/>
      <protection locked="0"/>
    </xf>
    <xf numFmtId="0" fontId="23" fillId="6" borderId="1" xfId="0" applyFont="1" applyFill="1" applyBorder="1" applyAlignment="1" applyProtection="1">
      <alignment horizontal="left" vertical="top" wrapText="1"/>
      <protection locked="0"/>
    </xf>
    <xf numFmtId="0" fontId="23" fillId="6" borderId="41" xfId="0" applyFont="1" applyFill="1" applyBorder="1" applyAlignment="1" applyProtection="1">
      <alignment horizontal="left" vertical="top" wrapText="1"/>
      <protection locked="0"/>
    </xf>
    <xf numFmtId="0" fontId="26" fillId="4" borderId="4" xfId="0" applyFont="1" applyFill="1" applyBorder="1" applyAlignment="1" applyProtection="1">
      <alignment horizontal="left" vertical="top" wrapText="1"/>
      <protection locked="0"/>
    </xf>
    <xf numFmtId="0" fontId="26" fillId="4" borderId="2" xfId="0" applyFont="1" applyFill="1" applyBorder="1" applyAlignment="1" applyProtection="1">
      <alignment horizontal="left" vertical="top" wrapText="1"/>
      <protection locked="0"/>
    </xf>
    <xf numFmtId="0" fontId="26" fillId="5" borderId="95" xfId="0" applyFont="1" applyFill="1" applyBorder="1" applyAlignment="1" applyProtection="1">
      <alignment horizontal="left" vertical="top" wrapText="1"/>
      <protection locked="0"/>
    </xf>
    <xf numFmtId="0" fontId="26" fillId="5" borderId="94" xfId="0" applyFont="1" applyFill="1" applyBorder="1" applyAlignment="1" applyProtection="1">
      <alignment horizontal="left" vertical="top" wrapText="1"/>
      <protection locked="0"/>
    </xf>
    <xf numFmtId="0" fontId="26" fillId="5" borderId="94" xfId="0" applyFont="1" applyFill="1" applyBorder="1" applyAlignment="1" applyProtection="1">
      <alignment horizontal="center" vertical="top" wrapText="1"/>
      <protection locked="0"/>
    </xf>
    <xf numFmtId="0" fontId="0" fillId="2" borderId="0" xfId="0" applyFill="1" applyAlignment="1" applyProtection="1">
      <alignment horizontal="left" vertical="top" wrapText="1"/>
      <protection locked="0"/>
    </xf>
    <xf numFmtId="0" fontId="0" fillId="2" borderId="0" xfId="0" applyFill="1" applyAlignment="1" applyProtection="1">
      <alignment vertical="top" wrapText="1"/>
      <protection locked="0"/>
    </xf>
    <xf numFmtId="0" fontId="23" fillId="6" borderId="1" xfId="0" applyFont="1" applyFill="1" applyBorder="1" applyAlignment="1" applyProtection="1">
      <alignment vertical="top" wrapText="1"/>
      <protection locked="0"/>
    </xf>
    <xf numFmtId="0" fontId="23" fillId="6" borderId="49" xfId="0" applyFont="1" applyFill="1" applyBorder="1" applyAlignment="1" applyProtection="1">
      <alignment horizontal="left" vertical="top" wrapText="1"/>
      <protection locked="0"/>
    </xf>
    <xf numFmtId="0" fontId="23" fillId="6" borderId="45" xfId="0" applyFont="1" applyFill="1" applyBorder="1" applyAlignment="1" applyProtection="1">
      <alignment horizontal="left" vertical="top" wrapText="1"/>
      <protection locked="0"/>
    </xf>
    <xf numFmtId="0" fontId="23" fillId="6" borderId="45" xfId="0" applyFont="1" applyFill="1" applyBorder="1" applyAlignment="1" applyProtection="1">
      <alignment vertical="top" wrapText="1"/>
      <protection locked="0"/>
    </xf>
    <xf numFmtId="0" fontId="23" fillId="6" borderId="39" xfId="0" applyFont="1" applyFill="1" applyBorder="1" applyAlignment="1" applyProtection="1">
      <alignment horizontal="left" vertical="top" wrapText="1"/>
      <protection locked="0"/>
    </xf>
    <xf numFmtId="0" fontId="26" fillId="5" borderId="92" xfId="0" applyFont="1" applyFill="1" applyBorder="1" applyAlignment="1" applyProtection="1">
      <alignment horizontal="center" vertical="top" wrapText="1"/>
      <protection locked="0"/>
    </xf>
    <xf numFmtId="0" fontId="0" fillId="2" borderId="0" xfId="0" applyFill="1" applyAlignment="1" applyProtection="1">
      <alignment vertical="top" wrapText="1"/>
      <protection hidden="1"/>
    </xf>
    <xf numFmtId="0" fontId="23" fillId="4" borderId="0" xfId="0" applyFont="1" applyFill="1" applyAlignment="1" applyProtection="1">
      <alignment horizontal="right" vertical="top" wrapText="1"/>
      <protection hidden="1"/>
    </xf>
    <xf numFmtId="0" fontId="0" fillId="4" borderId="0" xfId="0" applyFill="1" applyAlignment="1" applyProtection="1">
      <alignment vertical="top" wrapText="1"/>
      <protection hidden="1"/>
    </xf>
    <xf numFmtId="0" fontId="0" fillId="2" borderId="0" xfId="0" applyFill="1" applyAlignment="1" applyProtection="1">
      <alignment vertical="top" wrapText="1"/>
      <protection locked="0" hidden="1"/>
    </xf>
    <xf numFmtId="0" fontId="12" fillId="2" borderId="0" xfId="0" applyFont="1" applyFill="1" applyAlignment="1" applyProtection="1">
      <alignment horizontal="center" vertical="top" wrapText="1"/>
      <protection locked="0" hidden="1"/>
    </xf>
    <xf numFmtId="0" fontId="0" fillId="0" borderId="0" xfId="0" applyAlignment="1">
      <alignment wrapText="1"/>
    </xf>
    <xf numFmtId="0" fontId="32" fillId="0" borderId="0" xfId="0" applyFont="1" applyAlignment="1">
      <alignment wrapText="1"/>
    </xf>
    <xf numFmtId="1" fontId="0" fillId="0" borderId="0" xfId="0" applyNumberFormat="1" applyAlignment="1">
      <alignment wrapText="1"/>
    </xf>
    <xf numFmtId="14" fontId="0" fillId="0" borderId="0" xfId="0" applyNumberFormat="1" applyAlignment="1">
      <alignment wrapText="1"/>
    </xf>
    <xf numFmtId="0" fontId="94" fillId="12" borderId="2" xfId="0" applyFont="1" applyFill="1" applyBorder="1" applyAlignment="1">
      <alignment wrapText="1"/>
    </xf>
    <xf numFmtId="0" fontId="94" fillId="12" borderId="57" xfId="0" applyFont="1" applyFill="1" applyBorder="1" applyAlignment="1">
      <alignment wrapText="1"/>
    </xf>
    <xf numFmtId="0" fontId="0" fillId="12" borderId="2" xfId="0" applyFill="1" applyBorder="1" applyAlignment="1">
      <alignment wrapText="1"/>
    </xf>
    <xf numFmtId="0" fontId="0" fillId="12" borderId="57" xfId="0" applyFill="1" applyBorder="1" applyAlignment="1">
      <alignment wrapText="1"/>
    </xf>
    <xf numFmtId="0" fontId="0" fillId="12" borderId="3" xfId="0" applyFill="1" applyBorder="1" applyAlignment="1">
      <alignment wrapText="1"/>
    </xf>
    <xf numFmtId="0" fontId="0" fillId="12" borderId="67" xfId="0" applyFill="1" applyBorder="1" applyAlignment="1">
      <alignment wrapText="1"/>
    </xf>
    <xf numFmtId="0" fontId="32" fillId="13" borderId="64" xfId="0" applyFont="1" applyFill="1" applyBorder="1" applyAlignment="1">
      <alignment wrapText="1"/>
    </xf>
    <xf numFmtId="0" fontId="32" fillId="13" borderId="84" xfId="0" applyFont="1" applyFill="1" applyBorder="1" applyAlignment="1">
      <alignment wrapText="1"/>
    </xf>
    <xf numFmtId="0" fontId="0" fillId="12" borderId="54" xfId="0" applyFill="1" applyBorder="1" applyAlignment="1">
      <alignment wrapText="1"/>
    </xf>
    <xf numFmtId="0" fontId="0" fillId="12" borderId="55" xfId="0" applyFill="1" applyBorder="1" applyAlignment="1">
      <alignment wrapText="1"/>
    </xf>
    <xf numFmtId="0" fontId="0" fillId="12" borderId="59" xfId="0" applyFill="1" applyBorder="1" applyAlignment="1">
      <alignment wrapText="1"/>
    </xf>
    <xf numFmtId="0" fontId="0" fillId="12" borderId="60" xfId="0" applyFill="1" applyBorder="1" applyAlignment="1">
      <alignment wrapText="1"/>
    </xf>
    <xf numFmtId="0" fontId="24" fillId="0" borderId="0" xfId="0" applyFont="1" applyAlignment="1">
      <alignment wrapText="1"/>
    </xf>
    <xf numFmtId="0" fontId="23" fillId="10" borderId="64" xfId="0" applyFont="1" applyFill="1" applyBorder="1" applyAlignment="1">
      <alignment wrapText="1"/>
    </xf>
    <xf numFmtId="0" fontId="23" fillId="10" borderId="65" xfId="0" applyFont="1" applyFill="1" applyBorder="1" applyAlignment="1">
      <alignment wrapText="1"/>
    </xf>
    <xf numFmtId="0" fontId="0" fillId="0" borderId="5" xfId="0" applyBorder="1" applyAlignment="1">
      <alignment wrapText="1"/>
    </xf>
    <xf numFmtId="0" fontId="0" fillId="0" borderId="62" xfId="0" applyBorder="1" applyAlignment="1">
      <alignment wrapText="1"/>
    </xf>
    <xf numFmtId="0" fontId="0" fillId="0" borderId="2" xfId="0" applyBorder="1" applyAlignment="1">
      <alignment wrapText="1"/>
    </xf>
    <xf numFmtId="0" fontId="0" fillId="0" borderId="57" xfId="0" applyBorder="1" applyAlignment="1">
      <alignment wrapText="1"/>
    </xf>
    <xf numFmtId="0" fontId="0" fillId="0" borderId="59" xfId="0" applyBorder="1" applyAlignment="1">
      <alignment wrapText="1"/>
    </xf>
    <xf numFmtId="0" fontId="0" fillId="0" borderId="60" xfId="0" applyBorder="1" applyAlignment="1">
      <alignment wrapText="1"/>
    </xf>
    <xf numFmtId="0" fontId="0" fillId="0" borderId="3" xfId="0" applyBorder="1" applyAlignment="1">
      <alignment wrapText="1"/>
    </xf>
    <xf numFmtId="0" fontId="0" fillId="0" borderId="67" xfId="0" applyBorder="1" applyAlignment="1">
      <alignment wrapText="1"/>
    </xf>
    <xf numFmtId="0" fontId="0" fillId="0" borderId="54" xfId="0" applyBorder="1" applyAlignment="1">
      <alignment wrapText="1"/>
    </xf>
    <xf numFmtId="0" fontId="0" fillId="0" borderId="55" xfId="0" applyBorder="1" applyAlignment="1">
      <alignment wrapText="1"/>
    </xf>
    <xf numFmtId="0" fontId="0" fillId="0" borderId="81" xfId="0" applyBorder="1" applyAlignment="1">
      <alignment wrapText="1"/>
    </xf>
    <xf numFmtId="0" fontId="0" fillId="0" borderId="23" xfId="0" applyBorder="1" applyAlignment="1">
      <alignment wrapText="1"/>
    </xf>
    <xf numFmtId="0" fontId="24" fillId="0" borderId="0" xfId="0" applyFont="1" applyAlignment="1">
      <alignment vertical="top" wrapText="1"/>
    </xf>
    <xf numFmtId="0" fontId="26" fillId="0" borderId="36" xfId="0" applyFont="1" applyBorder="1" applyAlignment="1" applyProtection="1">
      <alignment horizontal="left" vertical="top" wrapText="1"/>
      <protection locked="0"/>
    </xf>
    <xf numFmtId="164" fontId="65" fillId="5" borderId="25" xfId="2" applyNumberFormat="1" applyFont="1" applyFill="1" applyBorder="1" applyAlignment="1" applyProtection="1">
      <alignment horizontal="center" vertical="center"/>
      <protection hidden="1"/>
    </xf>
    <xf numFmtId="164" fontId="65" fillId="5" borderId="113" xfId="2" applyNumberFormat="1" applyFont="1" applyFill="1" applyBorder="1" applyAlignment="1" applyProtection="1">
      <alignment horizontal="center" vertical="center"/>
      <protection hidden="1"/>
    </xf>
    <xf numFmtId="164" fontId="65" fillId="5" borderId="30" xfId="2" applyNumberFormat="1" applyFont="1" applyFill="1" applyBorder="1" applyAlignment="1" applyProtection="1">
      <alignment horizontal="center" vertical="center"/>
      <protection hidden="1"/>
    </xf>
    <xf numFmtId="0" fontId="44" fillId="2" borderId="51" xfId="0" applyFont="1" applyFill="1" applyBorder="1" applyAlignment="1">
      <alignment horizontal="center" vertical="top" wrapText="1"/>
    </xf>
    <xf numFmtId="0" fontId="7" fillId="3" borderId="45" xfId="0" applyFont="1" applyFill="1" applyBorder="1" applyAlignment="1">
      <alignment horizontal="left" vertical="top" wrapText="1"/>
    </xf>
    <xf numFmtId="0" fontId="1" fillId="5" borderId="38" xfId="0" applyFont="1" applyFill="1" applyBorder="1" applyAlignment="1">
      <alignment horizontal="left" vertical="top" wrapText="1"/>
    </xf>
    <xf numFmtId="0" fontId="7" fillId="3" borderId="45" xfId="0" applyFont="1" applyFill="1" applyBorder="1" applyAlignment="1">
      <alignment horizontal="left" vertical="center" wrapText="1"/>
    </xf>
    <xf numFmtId="0" fontId="7" fillId="3" borderId="27" xfId="0" applyFont="1" applyFill="1" applyBorder="1" applyAlignment="1">
      <alignment horizontal="left" vertical="top" wrapText="1"/>
    </xf>
    <xf numFmtId="164" fontId="9" fillId="5" borderId="37" xfId="2" applyNumberFormat="1" applyFont="1" applyFill="1" applyBorder="1" applyAlignment="1" applyProtection="1">
      <alignment horizontal="left" vertical="top" wrapText="1"/>
    </xf>
    <xf numFmtId="0" fontId="7" fillId="3" borderId="27" xfId="0" applyFont="1" applyFill="1" applyBorder="1" applyAlignment="1">
      <alignment horizontal="left" vertical="center" wrapText="1"/>
    </xf>
    <xf numFmtId="0" fontId="1" fillId="5" borderId="37" xfId="0" applyFont="1" applyFill="1" applyBorder="1" applyAlignment="1">
      <alignment vertical="top" wrapText="1"/>
    </xf>
    <xf numFmtId="0" fontId="1" fillId="5" borderId="37" xfId="0" applyFont="1" applyFill="1" applyBorder="1" applyAlignment="1" applyProtection="1">
      <alignment vertical="top" wrapText="1"/>
      <protection locked="0"/>
    </xf>
    <xf numFmtId="0" fontId="23" fillId="4" borderId="40" xfId="0" applyFont="1" applyFill="1" applyBorder="1" applyAlignment="1" applyProtection="1">
      <alignment vertical="top" wrapText="1"/>
      <protection locked="0"/>
    </xf>
    <xf numFmtId="0" fontId="23" fillId="6" borderId="51" xfId="0" applyFont="1" applyFill="1" applyBorder="1" applyAlignment="1" applyProtection="1">
      <alignment vertical="top" wrapText="1"/>
      <protection locked="0"/>
    </xf>
    <xf numFmtId="0" fontId="26" fillId="3" borderId="6" xfId="0" applyFont="1" applyFill="1" applyBorder="1" applyAlignment="1" applyProtection="1">
      <alignment horizontal="center" vertical="top" wrapText="1"/>
      <protection locked="0"/>
    </xf>
    <xf numFmtId="0" fontId="26" fillId="3" borderId="6" xfId="0" applyFont="1" applyFill="1" applyBorder="1" applyAlignment="1" applyProtection="1">
      <alignment horizontal="center" vertical="center" wrapText="1"/>
      <protection locked="0"/>
    </xf>
    <xf numFmtId="0" fontId="23" fillId="6" borderId="41" xfId="0" applyFont="1" applyFill="1" applyBorder="1" applyAlignment="1" applyProtection="1">
      <alignment vertical="top" wrapText="1"/>
      <protection locked="0"/>
    </xf>
    <xf numFmtId="0" fontId="23" fillId="4" borderId="0" xfId="0" applyFont="1" applyFill="1" applyAlignment="1" applyProtection="1">
      <alignment vertical="top" wrapText="1"/>
      <protection locked="0"/>
    </xf>
    <xf numFmtId="0" fontId="23" fillId="4" borderId="0" xfId="0" applyFont="1" applyFill="1" applyAlignment="1">
      <alignment vertical="top" wrapText="1"/>
    </xf>
    <xf numFmtId="0" fontId="0" fillId="2" borderId="0" xfId="0" applyFill="1" applyAlignment="1" applyProtection="1">
      <alignment vertical="center" wrapText="1"/>
      <protection locked="0" hidden="1"/>
    </xf>
    <xf numFmtId="0" fontId="0" fillId="5" borderId="138" xfId="0" applyFill="1" applyBorder="1" applyAlignment="1">
      <alignment horizontal="left" vertical="center" wrapText="1"/>
    </xf>
    <xf numFmtId="0" fontId="24" fillId="4" borderId="0" xfId="0" applyFont="1" applyFill="1" applyAlignment="1" applyProtection="1">
      <alignment horizontal="left" vertical="center"/>
      <protection hidden="1"/>
    </xf>
    <xf numFmtId="0" fontId="24" fillId="4" borderId="0" xfId="0" applyFont="1" applyFill="1" applyAlignment="1">
      <alignment vertical="center"/>
    </xf>
    <xf numFmtId="0" fontId="24" fillId="4" borderId="0" xfId="0" applyFont="1" applyFill="1" applyProtection="1">
      <protection hidden="1"/>
    </xf>
    <xf numFmtId="1" fontId="0" fillId="12" borderId="61" xfId="0" applyNumberFormat="1" applyFill="1" applyBorder="1" applyAlignment="1">
      <alignment horizontal="right"/>
    </xf>
    <xf numFmtId="1" fontId="0" fillId="12" borderId="5" xfId="0" applyNumberFormat="1" applyFill="1" applyBorder="1" applyAlignment="1">
      <alignment horizontal="right"/>
    </xf>
    <xf numFmtId="0" fontId="0" fillId="0" borderId="61" xfId="0" applyBorder="1" applyAlignment="1">
      <alignment horizontal="right"/>
    </xf>
    <xf numFmtId="0" fontId="0" fillId="0" borderId="5" xfId="0" applyBorder="1" applyAlignment="1">
      <alignment horizontal="right"/>
    </xf>
    <xf numFmtId="0" fontId="0" fillId="0" borderId="62" xfId="0" applyBorder="1"/>
    <xf numFmtId="0" fontId="32" fillId="8" borderId="5" xfId="0" applyFont="1" applyFill="1" applyBorder="1"/>
    <xf numFmtId="0" fontId="32" fillId="8" borderId="2" xfId="0" applyFont="1" applyFill="1" applyBorder="1"/>
    <xf numFmtId="0" fontId="32" fillId="0" borderId="61" xfId="0" applyFont="1" applyBorder="1"/>
    <xf numFmtId="0" fontId="32" fillId="0" borderId="56" xfId="0" applyFont="1" applyBorder="1"/>
    <xf numFmtId="1" fontId="0" fillId="12" borderId="61" xfId="0" applyNumberFormat="1" applyFill="1" applyBorder="1"/>
    <xf numFmtId="1" fontId="0" fillId="12" borderId="5" xfId="0" applyNumberFormat="1" applyFill="1" applyBorder="1"/>
    <xf numFmtId="1" fontId="0" fillId="12" borderId="62" xfId="0" applyNumberFormat="1" applyFill="1" applyBorder="1"/>
    <xf numFmtId="0" fontId="0" fillId="0" borderId="13" xfId="0" applyBorder="1"/>
    <xf numFmtId="1" fontId="0" fillId="12" borderId="66" xfId="0" applyNumberFormat="1" applyFill="1" applyBorder="1" applyAlignment="1">
      <alignment horizontal="right"/>
    </xf>
    <xf numFmtId="1" fontId="0" fillId="12" borderId="3" xfId="0" applyNumberFormat="1" applyFill="1" applyBorder="1" applyAlignment="1">
      <alignment horizontal="right"/>
    </xf>
    <xf numFmtId="1" fontId="0" fillId="12" borderId="67" xfId="0" applyNumberFormat="1" applyFill="1" applyBorder="1" applyAlignment="1">
      <alignment horizontal="right"/>
    </xf>
    <xf numFmtId="1" fontId="0" fillId="12" borderId="67" xfId="0" applyNumberFormat="1" applyFill="1" applyBorder="1"/>
    <xf numFmtId="0" fontId="0" fillId="0" borderId="66" xfId="0" applyBorder="1" applyAlignment="1">
      <alignment horizontal="right"/>
    </xf>
    <xf numFmtId="0" fontId="0" fillId="0" borderId="3" xfId="0" applyBorder="1" applyAlignment="1">
      <alignment horizontal="right"/>
    </xf>
    <xf numFmtId="0" fontId="0" fillId="0" borderId="9" xfId="0" applyBorder="1" applyAlignment="1">
      <alignment horizontal="right"/>
    </xf>
    <xf numFmtId="0" fontId="0" fillId="0" borderId="67" xfId="0" applyBorder="1"/>
    <xf numFmtId="0" fontId="0" fillId="0" borderId="13" xfId="0" applyBorder="1" applyAlignment="1">
      <alignment horizontal="right"/>
    </xf>
    <xf numFmtId="1" fontId="24" fillId="12" borderId="5" xfId="0" applyNumberFormat="1" applyFont="1" applyFill="1" applyBorder="1"/>
    <xf numFmtId="1" fontId="0" fillId="12" borderId="66" xfId="0" applyNumberFormat="1" applyFill="1" applyBorder="1"/>
    <xf numFmtId="1" fontId="0" fillId="12" borderId="3" xfId="0" applyNumberFormat="1" applyFill="1" applyBorder="1"/>
    <xf numFmtId="0" fontId="0" fillId="0" borderId="9" xfId="0" applyBorder="1"/>
    <xf numFmtId="0" fontId="0" fillId="8" borderId="15" xfId="0" applyFill="1" applyBorder="1"/>
    <xf numFmtId="0" fontId="0" fillId="0" borderId="87" xfId="0" applyBorder="1"/>
    <xf numFmtId="0" fontId="23" fillId="10" borderId="82" xfId="0" applyFont="1" applyFill="1" applyBorder="1" applyAlignment="1">
      <alignment horizontal="center" wrapText="1"/>
    </xf>
    <xf numFmtId="0" fontId="32" fillId="0" borderId="53" xfId="0" applyFont="1" applyBorder="1"/>
    <xf numFmtId="0" fontId="32" fillId="8" borderId="54" xfId="0" applyFont="1" applyFill="1" applyBorder="1"/>
    <xf numFmtId="0" fontId="32" fillId="5" borderId="24" xfId="0" applyFont="1" applyFill="1" applyBorder="1" applyAlignment="1">
      <alignment horizontal="left" vertical="center"/>
    </xf>
    <xf numFmtId="0" fontId="0" fillId="5" borderId="24" xfId="0" applyFill="1" applyBorder="1" applyAlignment="1">
      <alignment horizontal="left" vertical="center" indent="2"/>
    </xf>
    <xf numFmtId="164" fontId="26" fillId="5" borderId="138" xfId="0" applyNumberFormat="1" applyFont="1" applyFill="1" applyBorder="1" applyAlignment="1">
      <alignment horizontal="center" vertical="center"/>
    </xf>
    <xf numFmtId="0" fontId="0" fillId="5" borderId="124" xfId="0" applyFill="1" applyBorder="1" applyAlignment="1">
      <alignment vertical="center"/>
    </xf>
    <xf numFmtId="0" fontId="26" fillId="4" borderId="0" xfId="0" applyFont="1" applyFill="1" applyAlignment="1" applyProtection="1">
      <alignment horizontal="left" vertical="center" wrapText="1"/>
      <protection locked="0"/>
    </xf>
    <xf numFmtId="0" fontId="37" fillId="5" borderId="37" xfId="0" applyFont="1" applyFill="1" applyBorder="1" applyAlignment="1">
      <alignment horizontal="center" vertical="center"/>
    </xf>
    <xf numFmtId="164" fontId="37" fillId="5" borderId="24" xfId="0" applyNumberFormat="1" applyFont="1" applyFill="1" applyBorder="1" applyAlignment="1">
      <alignment horizontal="center" vertical="center"/>
    </xf>
    <xf numFmtId="0" fontId="37" fillId="5" borderId="91" xfId="0" applyFont="1" applyFill="1" applyBorder="1" applyAlignment="1">
      <alignment horizontal="left" vertical="center"/>
    </xf>
    <xf numFmtId="0" fontId="23" fillId="6" borderId="0" xfId="0" applyFont="1" applyFill="1" applyAlignment="1">
      <alignment vertical="center"/>
    </xf>
    <xf numFmtId="0" fontId="23" fillId="6" borderId="0" xfId="0" applyFont="1" applyFill="1" applyAlignment="1" applyProtection="1">
      <alignment vertical="center"/>
      <protection locked="0"/>
    </xf>
    <xf numFmtId="0" fontId="26" fillId="3" borderId="11" xfId="0" applyFont="1" applyFill="1" applyBorder="1" applyAlignment="1" applyProtection="1">
      <alignment horizontal="center" vertical="center"/>
      <protection locked="0"/>
    </xf>
    <xf numFmtId="0" fontId="26" fillId="3" borderId="115" xfId="0" applyFont="1" applyFill="1" applyBorder="1" applyAlignment="1" applyProtection="1">
      <alignment horizontal="center" vertical="center"/>
      <protection locked="0"/>
    </xf>
    <xf numFmtId="0" fontId="23" fillId="6" borderId="135" xfId="0" applyFont="1" applyFill="1" applyBorder="1" applyAlignment="1" applyProtection="1">
      <alignment horizontal="left" vertical="top" wrapText="1"/>
      <protection locked="0"/>
    </xf>
    <xf numFmtId="0" fontId="26" fillId="4" borderId="131" xfId="0" applyFont="1" applyFill="1" applyBorder="1" applyAlignment="1" applyProtection="1">
      <alignment horizontal="left" vertical="center" wrapText="1"/>
      <protection locked="0"/>
    </xf>
    <xf numFmtId="0" fontId="26" fillId="4" borderId="103" xfId="0" applyFont="1" applyFill="1" applyBorder="1" applyAlignment="1" applyProtection="1">
      <alignment horizontal="left" vertical="center"/>
      <protection locked="0"/>
    </xf>
    <xf numFmtId="0" fontId="26" fillId="0" borderId="140" xfId="0" applyFont="1" applyBorder="1" applyAlignment="1" applyProtection="1">
      <alignment horizontal="left" vertical="top" wrapText="1"/>
      <protection locked="0"/>
    </xf>
    <xf numFmtId="164" fontId="37" fillId="5" borderId="28" xfId="0" applyNumberFormat="1" applyFont="1" applyFill="1" applyBorder="1" applyAlignment="1">
      <alignment horizontal="center" vertical="center"/>
    </xf>
    <xf numFmtId="0" fontId="26" fillId="4" borderId="6" xfId="0" applyFont="1" applyFill="1" applyBorder="1" applyAlignment="1" applyProtection="1">
      <alignment horizontal="center" vertical="center" wrapText="1"/>
      <protection locked="0"/>
    </xf>
    <xf numFmtId="0" fontId="29" fillId="2" borderId="0" xfId="0" applyFont="1" applyFill="1" applyAlignment="1">
      <alignment horizontal="left" vertical="top" wrapText="1"/>
    </xf>
    <xf numFmtId="0" fontId="41" fillId="2" borderId="143" xfId="0" applyFont="1" applyFill="1" applyBorder="1" applyAlignment="1">
      <alignment horizontal="left" vertical="top" wrapText="1"/>
    </xf>
    <xf numFmtId="0" fontId="51" fillId="4" borderId="0" xfId="0" applyFont="1" applyFill="1" applyAlignment="1">
      <alignment horizontal="center" vertical="top" wrapText="1"/>
    </xf>
    <xf numFmtId="0" fontId="54" fillId="0" borderId="123" xfId="0" applyFont="1" applyBorder="1" applyAlignment="1" applyProtection="1">
      <alignment wrapText="1"/>
      <protection locked="0"/>
    </xf>
    <xf numFmtId="0" fontId="98" fillId="4" borderId="0" xfId="0" applyFont="1" applyFill="1" applyAlignment="1">
      <alignment horizontal="center" vertical="center" wrapText="1"/>
    </xf>
    <xf numFmtId="0" fontId="99" fillId="0" borderId="2" xfId="3" applyFont="1" applyFill="1" applyBorder="1" applyAlignment="1">
      <alignment horizontal="center" vertical="center"/>
    </xf>
    <xf numFmtId="0" fontId="97" fillId="0" borderId="0" xfId="0" applyFont="1" applyAlignment="1">
      <alignment horizontal="center" vertical="center"/>
    </xf>
    <xf numFmtId="0" fontId="54" fillId="0" borderId="0" xfId="0" applyFont="1" applyProtection="1">
      <protection locked="0"/>
    </xf>
    <xf numFmtId="0" fontId="55" fillId="0" borderId="123" xfId="0" applyFont="1" applyBorder="1" applyProtection="1">
      <protection locked="0"/>
    </xf>
    <xf numFmtId="0" fontId="99" fillId="0" borderId="0" xfId="3" applyFont="1" applyFill="1" applyBorder="1" applyAlignment="1">
      <alignment horizontal="center" vertical="center"/>
    </xf>
    <xf numFmtId="0" fontId="55" fillId="0" borderId="0" xfId="0" applyFont="1" applyProtection="1">
      <protection locked="0"/>
    </xf>
    <xf numFmtId="0" fontId="55" fillId="0" borderId="148" xfId="0" applyFont="1" applyBorder="1" applyProtection="1">
      <protection locked="0"/>
    </xf>
    <xf numFmtId="0" fontId="100" fillId="0" borderId="2" xfId="3" applyFont="1" applyFill="1" applyBorder="1"/>
    <xf numFmtId="0" fontId="51" fillId="0" borderId="2" xfId="0" applyFont="1" applyBorder="1" applyAlignment="1">
      <alignment horizontal="center"/>
    </xf>
    <xf numFmtId="0" fontId="100" fillId="0" borderId="2" xfId="3" applyFont="1" applyFill="1" applyBorder="1" applyAlignment="1">
      <alignment vertical="top"/>
    </xf>
    <xf numFmtId="0" fontId="51" fillId="0" borderId="0" xfId="0" applyFont="1" applyAlignment="1">
      <alignment horizontal="center"/>
    </xf>
    <xf numFmtId="0" fontId="101" fillId="0" borderId="2" xfId="3" applyFont="1" applyFill="1" applyBorder="1"/>
    <xf numFmtId="0" fontId="102" fillId="0" borderId="2" xfId="0" applyFont="1" applyBorder="1" applyAlignment="1">
      <alignment horizontal="center"/>
    </xf>
    <xf numFmtId="0" fontId="101" fillId="0" borderId="2" xfId="3" applyFont="1" applyFill="1" applyBorder="1" applyAlignment="1">
      <alignment vertical="top"/>
    </xf>
    <xf numFmtId="0" fontId="102" fillId="0" borderId="2" xfId="0" applyFont="1" applyBorder="1" applyAlignment="1">
      <alignment horizontal="center" vertical="top"/>
    </xf>
    <xf numFmtId="0" fontId="100" fillId="0" borderId="2" xfId="3" applyFont="1" applyFill="1" applyBorder="1" applyAlignment="1">
      <alignment horizontal="right"/>
    </xf>
    <xf numFmtId="0" fontId="102" fillId="0" borderId="2" xfId="0" applyFont="1" applyBorder="1" applyAlignment="1">
      <alignment horizontal="center" wrapText="1"/>
    </xf>
    <xf numFmtId="0" fontId="51" fillId="0" borderId="2" xfId="0" applyFont="1" applyBorder="1" applyAlignment="1">
      <alignment horizontal="center" wrapText="1"/>
    </xf>
    <xf numFmtId="0" fontId="51" fillId="0" borderId="2" xfId="0" applyFont="1" applyBorder="1" applyAlignment="1">
      <alignment horizontal="center" vertical="top"/>
    </xf>
    <xf numFmtId="0" fontId="100" fillId="0" borderId="4" xfId="3" applyFont="1" applyFill="1" applyBorder="1"/>
    <xf numFmtId="0" fontId="51" fillId="0" borderId="4" xfId="0" applyFont="1" applyBorder="1" applyAlignment="1">
      <alignment horizontal="center"/>
    </xf>
    <xf numFmtId="0" fontId="100" fillId="0" borderId="0" xfId="3" applyFont="1" applyFill="1" applyBorder="1"/>
    <xf numFmtId="0" fontId="0" fillId="0" borderId="2" xfId="0" applyBorder="1" applyAlignment="1">
      <alignment horizontal="left" indent="2"/>
    </xf>
    <xf numFmtId="0" fontId="23" fillId="10" borderId="149" xfId="0" applyFont="1" applyFill="1" applyBorder="1" applyAlignment="1">
      <alignment horizontal="center" wrapText="1"/>
    </xf>
    <xf numFmtId="0" fontId="0" fillId="8" borderId="75" xfId="0" applyFill="1" applyBorder="1"/>
    <xf numFmtId="0" fontId="0" fillId="8" borderId="76" xfId="0" applyFill="1" applyBorder="1"/>
    <xf numFmtId="10" fontId="0" fillId="8" borderId="0" xfId="0" applyNumberFormat="1" applyFill="1"/>
    <xf numFmtId="0" fontId="0" fillId="8" borderId="2" xfId="0" applyFill="1" applyBorder="1" applyAlignment="1">
      <alignment horizontal="center" wrapText="1"/>
    </xf>
    <xf numFmtId="0" fontId="32" fillId="5" borderId="29" xfId="0" applyFont="1" applyFill="1" applyBorder="1" applyAlignment="1">
      <alignment vertical="center"/>
    </xf>
    <xf numFmtId="0" fontId="32" fillId="5" borderId="24" xfId="0" applyFont="1" applyFill="1" applyBorder="1" applyAlignment="1">
      <alignment vertical="center"/>
    </xf>
    <xf numFmtId="0" fontId="104" fillId="5" borderId="90" xfId="0" applyFont="1" applyFill="1" applyBorder="1" applyAlignment="1" applyProtection="1">
      <alignment horizontal="center" vertical="center"/>
      <protection locked="0"/>
    </xf>
    <xf numFmtId="0" fontId="23" fillId="10" borderId="11" xfId="0" applyFont="1" applyFill="1" applyBorder="1" applyAlignment="1" applyProtection="1">
      <alignment wrapText="1"/>
      <protection hidden="1"/>
    </xf>
    <xf numFmtId="0" fontId="23" fillId="10" borderId="2" xfId="0" applyFont="1" applyFill="1" applyBorder="1" applyAlignment="1" applyProtection="1">
      <alignment wrapText="1"/>
      <protection hidden="1"/>
    </xf>
    <xf numFmtId="0" fontId="9" fillId="4" borderId="35" xfId="0" applyFont="1" applyFill="1" applyBorder="1" applyAlignment="1">
      <alignment horizontal="left" vertical="top" wrapText="1"/>
    </xf>
    <xf numFmtId="0" fontId="7" fillId="3" borderId="46" xfId="0" applyFont="1" applyFill="1" applyBorder="1" applyAlignment="1">
      <alignment horizontal="left" vertical="top"/>
    </xf>
    <xf numFmtId="0" fontId="7" fillId="3" borderId="47" xfId="0" applyFont="1" applyFill="1" applyBorder="1" applyAlignment="1">
      <alignment horizontal="left" vertical="top"/>
    </xf>
    <xf numFmtId="0" fontId="7" fillId="3" borderId="46" xfId="0" applyFont="1" applyFill="1" applyBorder="1" applyAlignment="1">
      <alignment horizontal="left" vertical="center"/>
    </xf>
    <xf numFmtId="0" fontId="7" fillId="3" borderId="47" xfId="0" applyFont="1" applyFill="1" applyBorder="1" applyAlignment="1">
      <alignment horizontal="left" vertical="center"/>
    </xf>
    <xf numFmtId="0" fontId="32" fillId="8" borderId="2" xfId="0" applyFont="1" applyFill="1" applyBorder="1" applyAlignment="1">
      <alignment wrapText="1"/>
    </xf>
    <xf numFmtId="0" fontId="0" fillId="18" borderId="2" xfId="0" applyFill="1" applyBorder="1" applyAlignment="1">
      <alignment wrapText="1"/>
    </xf>
    <xf numFmtId="0" fontId="94" fillId="18" borderId="2" xfId="0" applyFont="1" applyFill="1" applyBorder="1" applyAlignment="1">
      <alignment wrapText="1"/>
    </xf>
    <xf numFmtId="0" fontId="94" fillId="18" borderId="3" xfId="0" applyFont="1" applyFill="1" applyBorder="1" applyAlignment="1">
      <alignment wrapText="1"/>
    </xf>
    <xf numFmtId="0" fontId="0" fillId="18" borderId="15" xfId="0" applyFill="1" applyBorder="1" applyAlignment="1">
      <alignment wrapText="1"/>
    </xf>
    <xf numFmtId="0" fontId="0" fillId="12" borderId="5" xfId="0" applyFill="1" applyBorder="1" applyAlignment="1">
      <alignment wrapText="1"/>
    </xf>
    <xf numFmtId="0" fontId="0" fillId="9" borderId="2" xfId="0" applyFill="1" applyBorder="1" applyAlignment="1">
      <alignment horizontal="left" indent="2"/>
    </xf>
    <xf numFmtId="0" fontId="32" fillId="9" borderId="56" xfId="0" applyFont="1" applyFill="1" applyBorder="1"/>
    <xf numFmtId="0" fontId="0" fillId="12" borderId="15" xfId="0" applyFill="1" applyBorder="1" applyAlignment="1">
      <alignment wrapText="1"/>
    </xf>
    <xf numFmtId="0" fontId="0" fillId="0" borderId="59" xfId="0" applyBorder="1" applyAlignment="1">
      <alignment horizontal="left" indent="2"/>
    </xf>
    <xf numFmtId="0" fontId="32" fillId="20" borderId="2" xfId="0" applyFont="1" applyFill="1" applyBorder="1" applyAlignment="1">
      <alignment wrapText="1"/>
    </xf>
    <xf numFmtId="0" fontId="0" fillId="18" borderId="75" xfId="0" applyFill="1" applyBorder="1"/>
    <xf numFmtId="0" fontId="0" fillId="18" borderId="4" xfId="0" applyFill="1" applyBorder="1"/>
    <xf numFmtId="0" fontId="0" fillId="18" borderId="69" xfId="0" applyFill="1" applyBorder="1"/>
    <xf numFmtId="0" fontId="0" fillId="18" borderId="76" xfId="0" applyFill="1" applyBorder="1"/>
    <xf numFmtId="0" fontId="32" fillId="8" borderId="2" xfId="0" applyFont="1" applyFill="1" applyBorder="1" applyAlignment="1">
      <alignment horizontal="center" wrapText="1"/>
    </xf>
    <xf numFmtId="0" fontId="24" fillId="0" borderId="0" xfId="0" applyFont="1" applyAlignment="1">
      <alignment vertical="top"/>
    </xf>
    <xf numFmtId="10" fontId="0" fillId="18" borderId="0" xfId="0" applyNumberFormat="1" applyFill="1"/>
    <xf numFmtId="0" fontId="0" fillId="8" borderId="71" xfId="0" applyFill="1" applyBorder="1"/>
    <xf numFmtId="0" fontId="0" fillId="18" borderId="71" xfId="0" applyFill="1" applyBorder="1"/>
    <xf numFmtId="0" fontId="0" fillId="8" borderId="69" xfId="0" applyFill="1" applyBorder="1"/>
    <xf numFmtId="0" fontId="0" fillId="8" borderId="3" xfId="0" applyFill="1" applyBorder="1"/>
    <xf numFmtId="0" fontId="32" fillId="12" borderId="85" xfId="0" applyFont="1" applyFill="1" applyBorder="1"/>
    <xf numFmtId="0" fontId="32" fillId="12" borderId="15" xfId="0" applyFont="1" applyFill="1" applyBorder="1"/>
    <xf numFmtId="0" fontId="32" fillId="12" borderId="86" xfId="0" applyFont="1" applyFill="1" applyBorder="1"/>
    <xf numFmtId="0" fontId="0" fillId="9" borderId="3" xfId="0" applyFill="1" applyBorder="1"/>
    <xf numFmtId="0" fontId="32" fillId="0" borderId="3" xfId="0" applyFont="1" applyBorder="1"/>
    <xf numFmtId="0" fontId="32" fillId="0" borderId="54" xfId="0" applyFont="1" applyBorder="1"/>
    <xf numFmtId="1" fontId="32" fillId="12" borderId="2" xfId="0" applyNumberFormat="1" applyFont="1" applyFill="1" applyBorder="1"/>
    <xf numFmtId="1" fontId="32" fillId="12" borderId="57" xfId="0" applyNumberFormat="1" applyFont="1" applyFill="1" applyBorder="1"/>
    <xf numFmtId="1" fontId="32" fillId="12" borderId="56" xfId="0" applyNumberFormat="1" applyFont="1" applyFill="1" applyBorder="1"/>
    <xf numFmtId="0" fontId="32" fillId="0" borderId="2" xfId="0" applyFont="1" applyBorder="1"/>
    <xf numFmtId="0" fontId="32" fillId="2" borderId="0" xfId="0" applyFont="1" applyFill="1" applyAlignment="1">
      <alignment vertical="center"/>
    </xf>
    <xf numFmtId="0" fontId="32" fillId="5" borderId="24" xfId="0" applyFont="1" applyFill="1" applyBorder="1" applyAlignment="1">
      <alignment horizontal="left" vertical="center" wrapText="1"/>
    </xf>
    <xf numFmtId="0" fontId="0" fillId="20" borderId="4" xfId="0" applyFill="1" applyBorder="1"/>
    <xf numFmtId="0" fontId="103" fillId="5" borderId="142" xfId="0" applyFont="1" applyFill="1" applyBorder="1" applyProtection="1">
      <protection locked="0"/>
    </xf>
    <xf numFmtId="0" fontId="103" fillId="5" borderId="141" xfId="0" applyFont="1" applyFill="1" applyBorder="1" applyProtection="1">
      <protection locked="0"/>
    </xf>
    <xf numFmtId="1" fontId="32" fillId="12" borderId="57" xfId="0" applyNumberFormat="1" applyFont="1" applyFill="1" applyBorder="1" applyAlignment="1">
      <alignment horizontal="right"/>
    </xf>
    <xf numFmtId="1" fontId="32" fillId="12" borderId="56" xfId="0" applyNumberFormat="1" applyFont="1" applyFill="1" applyBorder="1" applyAlignment="1">
      <alignment horizontal="right"/>
    </xf>
    <xf numFmtId="1" fontId="32" fillId="12" borderId="2" xfId="0" applyNumberFormat="1" applyFont="1" applyFill="1" applyBorder="1" applyAlignment="1">
      <alignment horizontal="right"/>
    </xf>
    <xf numFmtId="0" fontId="0" fillId="20" borderId="56" xfId="0" applyFill="1" applyBorder="1" applyAlignment="1">
      <alignment horizontal="right"/>
    </xf>
    <xf numFmtId="1" fontId="32" fillId="12" borderId="61" xfId="0" applyNumberFormat="1" applyFont="1" applyFill="1" applyBorder="1" applyAlignment="1">
      <alignment horizontal="right"/>
    </xf>
    <xf numFmtId="1" fontId="32" fillId="12" borderId="5" xfId="0" applyNumberFormat="1" applyFont="1" applyFill="1" applyBorder="1" applyAlignment="1">
      <alignment horizontal="right"/>
    </xf>
    <xf numFmtId="0" fontId="24" fillId="0" borderId="2" xfId="0" applyFont="1" applyBorder="1" applyAlignment="1">
      <alignment horizontal="left" indent="2"/>
    </xf>
    <xf numFmtId="0" fontId="0" fillId="0" borderId="86" xfId="0" applyBorder="1"/>
    <xf numFmtId="0" fontId="46" fillId="0" borderId="3" xfId="0" applyFont="1" applyBorder="1"/>
    <xf numFmtId="0" fontId="24" fillId="2" borderId="1" xfId="0" applyFont="1" applyFill="1" applyBorder="1" applyProtection="1">
      <protection hidden="1"/>
    </xf>
    <xf numFmtId="0" fontId="7" fillId="3" borderId="102" xfId="0" applyFont="1" applyFill="1" applyBorder="1" applyAlignment="1">
      <alignment horizontal="left" vertical="center"/>
    </xf>
    <xf numFmtId="0" fontId="7" fillId="3" borderId="150" xfId="0" applyFont="1" applyFill="1" applyBorder="1" applyAlignment="1">
      <alignment horizontal="left" vertical="center"/>
    </xf>
    <xf numFmtId="0" fontId="7" fillId="3" borderId="27" xfId="0" applyFont="1" applyFill="1" applyBorder="1" applyAlignment="1">
      <alignment horizontal="left" vertical="center"/>
    </xf>
    <xf numFmtId="0" fontId="0" fillId="0" borderId="7" xfId="0" applyBorder="1" applyAlignment="1">
      <alignment horizontal="right"/>
    </xf>
    <xf numFmtId="1" fontId="32" fillId="20" borderId="2" xfId="0" applyNumberFormat="1" applyFont="1" applyFill="1" applyBorder="1" applyAlignment="1">
      <alignment horizontal="right"/>
    </xf>
    <xf numFmtId="1" fontId="32" fillId="20" borderId="57" xfId="0" applyNumberFormat="1" applyFont="1" applyFill="1" applyBorder="1" applyAlignment="1">
      <alignment horizontal="right"/>
    </xf>
    <xf numFmtId="0" fontId="0" fillId="22" borderId="2" xfId="0" applyFill="1" applyBorder="1" applyAlignment="1">
      <alignment wrapText="1"/>
    </xf>
    <xf numFmtId="0" fontId="0" fillId="20" borderId="71" xfId="0" applyFill="1" applyBorder="1"/>
    <xf numFmtId="0" fontId="0" fillId="9" borderId="56" xfId="0" applyFill="1" applyBorder="1"/>
    <xf numFmtId="0" fontId="55" fillId="0" borderId="148" xfId="0" applyFont="1" applyBorder="1" applyAlignment="1" applyProtection="1">
      <alignment vertical="top"/>
      <protection locked="0"/>
    </xf>
    <xf numFmtId="0" fontId="55" fillId="0" borderId="0" xfId="0" applyFont="1" applyAlignment="1" applyProtection="1">
      <alignment vertical="top"/>
      <protection locked="0"/>
    </xf>
    <xf numFmtId="0" fontId="55" fillId="0" borderId="12" xfId="0" applyFont="1" applyBorder="1" applyAlignment="1" applyProtection="1">
      <alignment vertical="top"/>
      <protection locked="0"/>
    </xf>
    <xf numFmtId="0" fontId="55" fillId="0" borderId="148" xfId="0" applyFont="1" applyBorder="1" applyAlignment="1" applyProtection="1">
      <alignment vertical="top" wrapText="1"/>
      <protection locked="0"/>
    </xf>
    <xf numFmtId="0" fontId="55" fillId="0" borderId="12" xfId="0" applyFont="1" applyBorder="1" applyAlignment="1" applyProtection="1">
      <alignment vertical="top" wrapText="1"/>
      <protection locked="0"/>
    </xf>
    <xf numFmtId="0" fontId="51" fillId="0" borderId="148" xfId="0" applyFont="1" applyBorder="1" applyAlignment="1">
      <alignment vertical="top"/>
    </xf>
    <xf numFmtId="0" fontId="51" fillId="0" borderId="0" xfId="0" applyFont="1" applyAlignment="1">
      <alignment vertical="top"/>
    </xf>
    <xf numFmtId="0" fontId="51" fillId="0" borderId="12" xfId="0" applyFont="1" applyBorder="1" applyAlignment="1">
      <alignment vertical="top"/>
    </xf>
    <xf numFmtId="0" fontId="0" fillId="20" borderId="69" xfId="0" applyFill="1" applyBorder="1"/>
    <xf numFmtId="0" fontId="0" fillId="20" borderId="76" xfId="0" applyFill="1" applyBorder="1"/>
    <xf numFmtId="0" fontId="0" fillId="20" borderId="75" xfId="0" applyFill="1" applyBorder="1"/>
    <xf numFmtId="166" fontId="0" fillId="20" borderId="69" xfId="0" applyNumberFormat="1" applyFill="1" applyBorder="1"/>
    <xf numFmtId="166" fontId="0" fillId="8" borderId="69" xfId="0" applyNumberFormat="1" applyFill="1" applyBorder="1"/>
    <xf numFmtId="166" fontId="0" fillId="18" borderId="69" xfId="0" applyNumberFormat="1" applyFill="1" applyBorder="1"/>
    <xf numFmtId="0" fontId="55" fillId="0" borderId="0" xfId="0" applyFont="1" applyAlignment="1" applyProtection="1">
      <alignment vertical="top" wrapText="1"/>
      <protection locked="0"/>
    </xf>
    <xf numFmtId="0" fontId="55" fillId="0" borderId="12" xfId="0" applyFont="1" applyBorder="1" applyProtection="1">
      <protection locked="0"/>
    </xf>
    <xf numFmtId="0" fontId="32" fillId="8" borderId="2" xfId="0" applyFont="1" applyFill="1" applyBorder="1" applyAlignment="1">
      <alignment horizontal="right" wrapText="1"/>
    </xf>
    <xf numFmtId="0" fontId="26" fillId="20" borderId="2" xfId="0" applyFont="1" applyFill="1" applyBorder="1" applyAlignment="1">
      <alignment horizontal="center" vertical="center"/>
    </xf>
    <xf numFmtId="0" fontId="107" fillId="4" borderId="0" xfId="0" applyFont="1" applyFill="1" applyAlignment="1" applyProtection="1">
      <alignment vertical="top" wrapText="1"/>
      <protection hidden="1"/>
    </xf>
    <xf numFmtId="0" fontId="24" fillId="4" borderId="0" xfId="0" applyFont="1" applyFill="1" applyAlignment="1" applyProtection="1">
      <alignment horizontal="left" vertical="center" wrapText="1"/>
      <protection hidden="1"/>
    </xf>
    <xf numFmtId="0" fontId="26" fillId="20" borderId="7" xfId="0" applyFont="1" applyFill="1" applyBorder="1" applyAlignment="1">
      <alignment horizontal="center" vertical="center"/>
    </xf>
    <xf numFmtId="0" fontId="0" fillId="5" borderId="24" xfId="0" applyFill="1" applyBorder="1" applyAlignment="1">
      <alignment horizontal="left" vertical="center" wrapText="1" indent="2"/>
    </xf>
    <xf numFmtId="0" fontId="23" fillId="4" borderId="0" xfId="0" applyFont="1" applyFill="1" applyAlignment="1">
      <alignment vertical="center"/>
    </xf>
    <xf numFmtId="0" fontId="26" fillId="0" borderId="7" xfId="0" applyFont="1" applyBorder="1" applyAlignment="1" applyProtection="1">
      <alignment horizontal="center" vertical="center"/>
      <protection locked="0"/>
    </xf>
    <xf numFmtId="0" fontId="25" fillId="6" borderId="124" xfId="0" applyFont="1" applyFill="1" applyBorder="1" applyAlignment="1">
      <alignment vertical="center"/>
    </xf>
    <xf numFmtId="0" fontId="23" fillId="4" borderId="0" xfId="0" applyFont="1" applyFill="1" applyAlignment="1" applyProtection="1">
      <alignment horizontal="right" vertical="center"/>
      <protection hidden="1"/>
    </xf>
    <xf numFmtId="0" fontId="23" fillId="4" borderId="0" xfId="0" applyFont="1" applyFill="1" applyAlignment="1" applyProtection="1">
      <alignment horizontal="right" vertical="center" wrapText="1"/>
      <protection hidden="1"/>
    </xf>
    <xf numFmtId="0" fontId="23" fillId="4" borderId="0" xfId="0" applyFont="1" applyFill="1" applyAlignment="1">
      <alignment horizontal="right" vertical="center"/>
    </xf>
    <xf numFmtId="0" fontId="24" fillId="4" borderId="0" xfId="0" applyFont="1" applyFill="1" applyAlignment="1" applyProtection="1">
      <alignment horizontal="right" wrapText="1"/>
      <protection hidden="1"/>
    </xf>
    <xf numFmtId="0" fontId="24" fillId="4" borderId="0" xfId="0" applyFont="1" applyFill="1" applyAlignment="1" applyProtection="1">
      <alignment horizontal="right"/>
      <protection hidden="1"/>
    </xf>
    <xf numFmtId="0" fontId="32" fillId="5" borderId="88" xfId="0" applyFont="1" applyFill="1" applyBorder="1" applyAlignment="1">
      <alignment vertical="center"/>
    </xf>
    <xf numFmtId="0" fontId="28" fillId="6" borderId="0" xfId="0" applyFont="1" applyFill="1" applyAlignment="1">
      <alignment vertical="center"/>
    </xf>
    <xf numFmtId="0" fontId="0" fillId="2" borderId="0" xfId="0" applyFill="1" applyAlignment="1">
      <alignment vertical="center" wrapText="1"/>
    </xf>
    <xf numFmtId="0" fontId="28" fillId="6" borderId="0" xfId="0" applyFont="1" applyFill="1" applyAlignment="1">
      <alignment vertical="center" wrapText="1"/>
    </xf>
    <xf numFmtId="0" fontId="0" fillId="5" borderId="24" xfId="0" applyFill="1" applyBorder="1" applyAlignment="1">
      <alignment vertical="center" wrapText="1"/>
    </xf>
    <xf numFmtId="0" fontId="32" fillId="5" borderId="24" xfId="0" applyFont="1" applyFill="1" applyBorder="1" applyAlignment="1">
      <alignment vertical="center" wrapText="1"/>
    </xf>
    <xf numFmtId="0" fontId="32" fillId="5" borderId="88" xfId="0" applyFont="1" applyFill="1" applyBorder="1" applyAlignment="1">
      <alignment vertical="center" wrapText="1"/>
    </xf>
    <xf numFmtId="164" fontId="26" fillId="5" borderId="25" xfId="0" applyNumberFormat="1" applyFont="1" applyFill="1" applyBorder="1" applyAlignment="1">
      <alignment horizontal="center" vertical="center"/>
    </xf>
    <xf numFmtId="164" fontId="37" fillId="5" borderId="34" xfId="0" applyNumberFormat="1" applyFont="1" applyFill="1" applyBorder="1" applyAlignment="1">
      <alignment horizontal="center" vertical="center"/>
    </xf>
    <xf numFmtId="0" fontId="26" fillId="0" borderId="2" xfId="0" applyFont="1" applyBorder="1" applyAlignment="1" applyProtection="1">
      <alignment horizontal="left" vertical="center" wrapText="1"/>
      <protection locked="0"/>
    </xf>
    <xf numFmtId="0" fontId="0" fillId="4" borderId="0" xfId="0" applyFill="1" applyAlignment="1" applyProtection="1">
      <alignment vertical="top" wrapText="1"/>
      <protection locked="0"/>
    </xf>
    <xf numFmtId="0" fontId="0" fillId="8" borderId="4" xfId="0" applyFill="1" applyBorder="1"/>
    <xf numFmtId="0" fontId="0" fillId="8" borderId="7" xfId="0" applyFill="1" applyBorder="1"/>
    <xf numFmtId="0" fontId="0" fillId="8" borderId="9" xfId="0" applyFill="1" applyBorder="1"/>
    <xf numFmtId="0" fontId="0" fillId="18" borderId="7" xfId="0" applyFill="1" applyBorder="1"/>
    <xf numFmtId="0" fontId="0" fillId="0" borderId="10" xfId="0" applyBorder="1"/>
    <xf numFmtId="0" fontId="0" fillId="13" borderId="99" xfId="0" applyFill="1" applyBorder="1"/>
    <xf numFmtId="0" fontId="0" fillId="9" borderId="81" xfId="0" applyFill="1" applyBorder="1"/>
    <xf numFmtId="0" fontId="0" fillId="8" borderId="152" xfId="0" applyFill="1" applyBorder="1"/>
    <xf numFmtId="0" fontId="94" fillId="0" borderId="2" xfId="0" applyFont="1" applyBorder="1" applyAlignment="1">
      <alignment horizontal="left" indent="2"/>
    </xf>
    <xf numFmtId="0" fontId="94" fillId="0" borderId="0" xfId="0" applyFont="1"/>
    <xf numFmtId="0" fontId="108" fillId="0" borderId="119" xfId="0" applyFont="1" applyBorder="1" applyProtection="1">
      <protection locked="0"/>
    </xf>
    <xf numFmtId="0" fontId="109" fillId="0" borderId="148" xfId="0" applyFont="1" applyBorder="1" applyAlignment="1" applyProtection="1">
      <alignment vertical="top"/>
      <protection locked="0"/>
    </xf>
    <xf numFmtId="0" fontId="0" fillId="8" borderId="61" xfId="0" applyFill="1" applyBorder="1"/>
    <xf numFmtId="0" fontId="32" fillId="0" borderId="5" xfId="0" applyFont="1" applyBorder="1"/>
    <xf numFmtId="0" fontId="0" fillId="12" borderId="62" xfId="0" applyFill="1" applyBorder="1" applyAlignment="1">
      <alignment wrapText="1"/>
    </xf>
    <xf numFmtId="0" fontId="0" fillId="12" borderId="61" xfId="0" applyFill="1" applyBorder="1"/>
    <xf numFmtId="0" fontId="0" fillId="12" borderId="62" xfId="0" applyFill="1" applyBorder="1"/>
    <xf numFmtId="0" fontId="0" fillId="0" borderId="55" xfId="0" applyBorder="1" applyAlignment="1">
      <alignment horizontal="right"/>
    </xf>
    <xf numFmtId="0" fontId="26" fillId="4" borderId="5" xfId="0" applyFont="1" applyFill="1" applyBorder="1" applyAlignment="1" applyProtection="1">
      <alignment horizontal="left" vertical="center" wrapText="1"/>
      <protection locked="0"/>
    </xf>
    <xf numFmtId="0" fontId="26" fillId="4" borderId="1" xfId="0" applyFont="1" applyFill="1" applyBorder="1" applyAlignment="1" applyProtection="1">
      <alignment horizontal="left" vertical="center"/>
      <protection locked="0"/>
    </xf>
    <xf numFmtId="0" fontId="26" fillId="0" borderId="153" xfId="0" applyFont="1" applyBorder="1" applyAlignment="1" applyProtection="1">
      <alignment horizontal="left" vertical="top" wrapText="1"/>
      <protection locked="0"/>
    </xf>
    <xf numFmtId="0" fontId="0" fillId="23" borderId="56" xfId="0" applyFill="1" applyBorder="1" applyAlignment="1">
      <alignment horizontal="right"/>
    </xf>
    <xf numFmtId="0" fontId="110" fillId="0" borderId="2" xfId="0" applyFont="1" applyBorder="1" applyAlignment="1">
      <alignment horizontal="left" indent="2"/>
    </xf>
    <xf numFmtId="0" fontId="106" fillId="3" borderId="101" xfId="0" applyFont="1" applyFill="1" applyBorder="1" applyAlignment="1" applyProtection="1">
      <alignment horizontal="right" vertical="center" wrapText="1"/>
      <protection hidden="1"/>
    </xf>
    <xf numFmtId="0" fontId="0" fillId="22" borderId="15" xfId="0" applyFill="1" applyBorder="1" applyAlignment="1">
      <alignment wrapText="1"/>
    </xf>
    <xf numFmtId="0" fontId="32" fillId="13" borderId="65" xfId="0" applyFont="1" applyFill="1" applyBorder="1" applyAlignment="1">
      <alignment wrapText="1"/>
    </xf>
    <xf numFmtId="0" fontId="94" fillId="0" borderId="3" xfId="0" applyFont="1" applyBorder="1" applyAlignment="1">
      <alignment horizontal="left" indent="2"/>
    </xf>
    <xf numFmtId="0" fontId="94" fillId="0" borderId="2" xfId="0" applyFont="1" applyBorder="1"/>
    <xf numFmtId="9" fontId="0" fillId="0" borderId="2" xfId="0" applyNumberFormat="1" applyBorder="1"/>
    <xf numFmtId="0" fontId="0" fillId="19" borderId="2" xfId="0" applyFill="1" applyBorder="1"/>
    <xf numFmtId="164" fontId="0" fillId="0" borderId="2" xfId="0" applyNumberFormat="1" applyBorder="1"/>
    <xf numFmtId="164" fontId="65" fillId="5" borderId="34" xfId="2" applyNumberFormat="1" applyFont="1" applyFill="1" applyBorder="1" applyAlignment="1" applyProtection="1">
      <alignment horizontal="center" vertical="center"/>
      <protection hidden="1"/>
    </xf>
    <xf numFmtId="164" fontId="64" fillId="5" borderId="28" xfId="2" applyNumberFormat="1" applyFont="1" applyFill="1" applyBorder="1" applyAlignment="1" applyProtection="1">
      <alignment horizontal="center" vertical="center"/>
      <protection hidden="1"/>
    </xf>
    <xf numFmtId="9" fontId="77" fillId="5" borderId="154" xfId="2" applyFont="1" applyFill="1" applyBorder="1" applyAlignment="1" applyProtection="1">
      <alignment horizontal="center" vertical="center"/>
      <protection hidden="1"/>
    </xf>
    <xf numFmtId="9" fontId="77" fillId="5" borderId="155" xfId="2" applyFont="1" applyFill="1" applyBorder="1" applyAlignment="1" applyProtection="1">
      <alignment horizontal="center" vertical="center"/>
      <protection hidden="1"/>
    </xf>
    <xf numFmtId="164" fontId="65" fillId="5" borderId="155" xfId="2" applyNumberFormat="1" applyFont="1" applyFill="1" applyBorder="1" applyAlignment="1" applyProtection="1">
      <alignment horizontal="center" vertical="center"/>
      <protection hidden="1"/>
    </xf>
    <xf numFmtId="9" fontId="67" fillId="3" borderId="155" xfId="0" applyNumberFormat="1" applyFont="1" applyFill="1" applyBorder="1" applyAlignment="1" applyProtection="1">
      <alignment horizontal="right" vertical="center"/>
      <protection hidden="1"/>
    </xf>
    <xf numFmtId="0" fontId="67" fillId="3" borderId="156" xfId="0" applyFont="1" applyFill="1" applyBorder="1" applyProtection="1">
      <protection hidden="1"/>
    </xf>
    <xf numFmtId="0" fontId="16" fillId="3" borderId="157" xfId="0" applyFont="1" applyFill="1" applyBorder="1" applyAlignment="1" applyProtection="1">
      <alignment horizontal="right" vertical="center"/>
      <protection hidden="1"/>
    </xf>
    <xf numFmtId="0" fontId="90" fillId="10" borderId="2" xfId="0" applyFont="1" applyFill="1" applyBorder="1"/>
    <xf numFmtId="0" fontId="7" fillId="3" borderId="40" xfId="0" applyFont="1" applyFill="1" applyBorder="1" applyAlignment="1">
      <alignment horizontal="left" vertical="center"/>
    </xf>
    <xf numFmtId="0" fontId="7" fillId="3" borderId="0" xfId="0" applyFont="1" applyFill="1" applyAlignment="1">
      <alignment horizontal="left" vertical="center"/>
    </xf>
    <xf numFmtId="0" fontId="1" fillId="5" borderId="0" xfId="0" applyFont="1" applyFill="1" applyAlignment="1">
      <alignment vertical="center"/>
    </xf>
    <xf numFmtId="165" fontId="7" fillId="3" borderId="158" xfId="0" applyNumberFormat="1" applyFont="1" applyFill="1" applyBorder="1" applyAlignment="1">
      <alignment horizontal="left" vertical="center"/>
    </xf>
    <xf numFmtId="0" fontId="0" fillId="0" borderId="27" xfId="0" applyBorder="1"/>
    <xf numFmtId="0" fontId="16" fillId="3" borderId="105" xfId="0" applyFont="1" applyFill="1" applyBorder="1" applyAlignment="1" applyProtection="1">
      <alignment horizontal="right" vertical="center"/>
      <protection hidden="1"/>
    </xf>
    <xf numFmtId="0" fontId="0" fillId="24" borderId="56" xfId="0" applyFill="1" applyBorder="1" applyAlignment="1">
      <alignment horizontal="right"/>
    </xf>
    <xf numFmtId="0" fontId="32" fillId="0" borderId="15" xfId="0" applyFont="1" applyBorder="1"/>
    <xf numFmtId="0" fontId="32" fillId="0" borderId="3" xfId="0" applyFont="1" applyBorder="1" applyAlignment="1">
      <alignment wrapText="1"/>
    </xf>
    <xf numFmtId="0" fontId="19" fillId="3" borderId="41" xfId="0" applyFont="1" applyFill="1" applyBorder="1" applyAlignment="1">
      <alignment vertical="top"/>
    </xf>
    <xf numFmtId="0" fontId="0" fillId="0" borderId="6" xfId="0" applyBorder="1"/>
    <xf numFmtId="0" fontId="0" fillId="8" borderId="6" xfId="0" applyFill="1" applyBorder="1"/>
    <xf numFmtId="0" fontId="0" fillId="18" borderId="6" xfId="0" applyFill="1" applyBorder="1"/>
    <xf numFmtId="0" fontId="0" fillId="13" borderId="159" xfId="0" applyFill="1" applyBorder="1"/>
    <xf numFmtId="0" fontId="0" fillId="10" borderId="77" xfId="0" applyFill="1" applyBorder="1"/>
    <xf numFmtId="0" fontId="0" fillId="9" borderId="77" xfId="0" applyFill="1" applyBorder="1"/>
    <xf numFmtId="0" fontId="23" fillId="10" borderId="77" xfId="0" applyFont="1" applyFill="1" applyBorder="1" applyAlignment="1">
      <alignment wrapText="1"/>
    </xf>
    <xf numFmtId="0" fontId="0" fillId="0" borderId="160" xfId="0" applyBorder="1"/>
    <xf numFmtId="0" fontId="32" fillId="13" borderId="118" xfId="0" applyFont="1" applyFill="1" applyBorder="1" applyAlignment="1">
      <alignment wrapText="1"/>
    </xf>
    <xf numFmtId="0" fontId="0" fillId="8" borderId="161" xfId="0" applyFill="1" applyBorder="1"/>
    <xf numFmtId="0" fontId="23" fillId="10" borderId="55" xfId="0" applyFont="1" applyFill="1" applyBorder="1"/>
    <xf numFmtId="0" fontId="32" fillId="8" borderId="57" xfId="0" applyFont="1" applyFill="1" applyBorder="1" applyAlignment="1">
      <alignment horizontal="right" wrapText="1"/>
    </xf>
    <xf numFmtId="0" fontId="0" fillId="18" borderId="57" xfId="0" applyFill="1" applyBorder="1"/>
    <xf numFmtId="0" fontId="32" fillId="13" borderId="60" xfId="0" applyFont="1" applyFill="1" applyBorder="1" applyAlignment="1">
      <alignment wrapText="1"/>
    </xf>
    <xf numFmtId="0" fontId="23" fillId="10" borderId="106" xfId="0" applyFont="1" applyFill="1" applyBorder="1"/>
    <xf numFmtId="0" fontId="0" fillId="8" borderId="7" xfId="0" applyFill="1" applyBorder="1" applyAlignment="1">
      <alignment horizontal="center" wrapText="1"/>
    </xf>
    <xf numFmtId="0" fontId="23" fillId="10" borderId="68" xfId="0" applyFont="1" applyFill="1" applyBorder="1" applyAlignment="1">
      <alignment wrapText="1"/>
    </xf>
    <xf numFmtId="0" fontId="32" fillId="8" borderId="7" xfId="0" applyFont="1" applyFill="1" applyBorder="1" applyAlignment="1">
      <alignment horizontal="center" wrapText="1"/>
    </xf>
    <xf numFmtId="0" fontId="0" fillId="13" borderId="118" xfId="0" applyFill="1" applyBorder="1"/>
    <xf numFmtId="0" fontId="0" fillId="18" borderId="70" xfId="0" applyFill="1" applyBorder="1"/>
    <xf numFmtId="0" fontId="0" fillId="0" borderId="152" xfId="0" applyBorder="1"/>
    <xf numFmtId="0" fontId="0" fillId="20" borderId="2" xfId="0" applyFill="1" applyBorder="1"/>
    <xf numFmtId="0" fontId="0" fillId="0" borderId="81" xfId="0" applyBorder="1"/>
    <xf numFmtId="0" fontId="0" fillId="8" borderId="19" xfId="0" applyFill="1" applyBorder="1"/>
    <xf numFmtId="0" fontId="0" fillId="8" borderId="73" xfId="0" applyFill="1" applyBorder="1"/>
    <xf numFmtId="0" fontId="0" fillId="8" borderId="22" xfId="0" applyFill="1" applyBorder="1"/>
    <xf numFmtId="0" fontId="0" fillId="20" borderId="0" xfId="0" applyFill="1" applyAlignment="1">
      <alignment horizontal="right"/>
    </xf>
    <xf numFmtId="1" fontId="0" fillId="20" borderId="2" xfId="0" applyNumberFormat="1" applyFill="1" applyBorder="1"/>
    <xf numFmtId="1" fontId="0" fillId="20" borderId="57" xfId="0" applyNumberFormat="1" applyFill="1" applyBorder="1"/>
    <xf numFmtId="1" fontId="32" fillId="20" borderId="57" xfId="0" applyNumberFormat="1" applyFont="1" applyFill="1" applyBorder="1"/>
    <xf numFmtId="1" fontId="0" fillId="20" borderId="56" xfId="0" applyNumberFormat="1" applyFill="1" applyBorder="1"/>
    <xf numFmtId="0" fontId="32" fillId="2" borderId="0" xfId="0" applyFont="1" applyFill="1" applyProtection="1">
      <protection hidden="1"/>
    </xf>
    <xf numFmtId="0" fontId="0" fillId="8" borderId="7" xfId="0" applyFill="1" applyBorder="1" applyProtection="1">
      <protection hidden="1"/>
    </xf>
    <xf numFmtId="0" fontId="106" fillId="3" borderId="131" xfId="0" applyFont="1" applyFill="1" applyBorder="1" applyAlignment="1" applyProtection="1">
      <alignment horizontal="right" vertical="center"/>
      <protection hidden="1"/>
    </xf>
    <xf numFmtId="0" fontId="7" fillId="3" borderId="134" xfId="0" applyFont="1" applyFill="1" applyBorder="1" applyAlignment="1" applyProtection="1">
      <alignment horizontal="right" vertical="center"/>
      <protection hidden="1"/>
    </xf>
    <xf numFmtId="0" fontId="36" fillId="2" borderId="0" xfId="0" applyFont="1" applyFill="1" applyAlignment="1">
      <alignment horizontal="left" vertical="center" wrapText="1"/>
    </xf>
    <xf numFmtId="0" fontId="37" fillId="4" borderId="2" xfId="0" applyFont="1" applyFill="1" applyBorder="1" applyAlignment="1" applyProtection="1">
      <alignment horizontal="left" vertical="center" wrapText="1"/>
      <protection hidden="1"/>
    </xf>
    <xf numFmtId="0" fontId="32" fillId="2" borderId="126" xfId="0" applyFont="1" applyFill="1" applyBorder="1" applyAlignment="1" applyProtection="1">
      <alignment horizontal="left" wrapText="1"/>
      <protection hidden="1"/>
    </xf>
    <xf numFmtId="0" fontId="32" fillId="2" borderId="0" xfId="0" applyFont="1" applyFill="1" applyAlignment="1" applyProtection="1">
      <alignment horizontal="left" wrapText="1"/>
      <protection hidden="1"/>
    </xf>
    <xf numFmtId="0" fontId="32" fillId="2" borderId="97" xfId="0" applyFont="1" applyFill="1" applyBorder="1" applyAlignment="1" applyProtection="1">
      <alignment horizontal="left" wrapText="1"/>
      <protection hidden="1"/>
    </xf>
    <xf numFmtId="0" fontId="32" fillId="2" borderId="111" xfId="0" applyFont="1" applyFill="1" applyBorder="1" applyAlignment="1" applyProtection="1">
      <alignment vertical="top" wrapText="1"/>
      <protection hidden="1"/>
    </xf>
    <xf numFmtId="0" fontId="32" fillId="2" borderId="1" xfId="0" applyFont="1" applyFill="1" applyBorder="1" applyAlignment="1" applyProtection="1">
      <alignment vertical="top" wrapText="1"/>
      <protection hidden="1"/>
    </xf>
    <xf numFmtId="0" fontId="32" fillId="2" borderId="127" xfId="0" applyFont="1" applyFill="1" applyBorder="1" applyAlignment="1" applyProtection="1">
      <alignment horizontal="center" vertical="top" wrapText="1"/>
      <protection hidden="1"/>
    </xf>
    <xf numFmtId="0" fontId="32" fillId="4" borderId="5" xfId="0" applyFont="1" applyFill="1" applyBorder="1" applyAlignment="1" applyProtection="1">
      <alignment wrapText="1"/>
      <protection hidden="1"/>
    </xf>
    <xf numFmtId="0" fontId="32" fillId="2" borderId="97" xfId="0" applyFont="1" applyFill="1" applyBorder="1" applyAlignment="1" applyProtection="1">
      <alignment vertical="top" wrapText="1"/>
      <protection hidden="1"/>
    </xf>
    <xf numFmtId="0" fontId="32" fillId="2" borderId="0" xfId="0" applyFont="1" applyFill="1" applyAlignment="1" applyProtection="1">
      <alignment horizontal="center" vertical="top" wrapText="1"/>
      <protection hidden="1"/>
    </xf>
    <xf numFmtId="0" fontId="32" fillId="4" borderId="5" xfId="0" applyFont="1" applyFill="1" applyBorder="1" applyAlignment="1" applyProtection="1">
      <alignment vertical="top" wrapText="1"/>
      <protection hidden="1"/>
    </xf>
    <xf numFmtId="0" fontId="32" fillId="2" borderId="12" xfId="0" applyFont="1" applyFill="1" applyBorder="1" applyAlignment="1" applyProtection="1">
      <alignment horizontal="center" vertical="top" wrapText="1"/>
      <protection hidden="1"/>
    </xf>
    <xf numFmtId="0" fontId="82" fillId="3" borderId="1" xfId="0" applyFont="1" applyFill="1" applyBorder="1" applyAlignment="1" applyProtection="1">
      <alignment vertical="top" wrapText="1"/>
      <protection hidden="1"/>
    </xf>
    <xf numFmtId="0" fontId="48" fillId="4" borderId="1" xfId="0" applyFont="1" applyFill="1" applyBorder="1" applyAlignment="1" applyProtection="1">
      <alignment horizontal="left" wrapText="1"/>
      <protection hidden="1"/>
    </xf>
    <xf numFmtId="0" fontId="35" fillId="4" borderId="34" xfId="0" applyFont="1" applyFill="1" applyBorder="1" applyAlignment="1" applyProtection="1">
      <alignment horizontal="left" vertical="center" wrapText="1"/>
      <protection hidden="1"/>
    </xf>
    <xf numFmtId="0" fontId="1" fillId="4" borderId="27" xfId="0" applyFont="1" applyFill="1" applyBorder="1" applyAlignment="1" applyProtection="1">
      <alignment horizontal="left" vertical="center" wrapText="1"/>
      <protection hidden="1"/>
    </xf>
    <xf numFmtId="165" fontId="35" fillId="4" borderId="28" xfId="0" applyNumberFormat="1" applyFont="1" applyFill="1" applyBorder="1" applyAlignment="1" applyProtection="1">
      <alignment horizontal="left" vertical="center" wrapText="1"/>
      <protection hidden="1"/>
    </xf>
    <xf numFmtId="0" fontId="57" fillId="2" borderId="0" xfId="0" applyFont="1" applyFill="1" applyAlignment="1" applyProtection="1">
      <alignment horizontal="left" wrapText="1"/>
      <protection hidden="1"/>
    </xf>
    <xf numFmtId="10" fontId="26" fillId="4" borderId="2" xfId="0" applyNumberFormat="1" applyFont="1" applyFill="1" applyBorder="1" applyAlignment="1" applyProtection="1">
      <alignment horizontal="center" vertical="center" wrapText="1"/>
      <protection hidden="1"/>
    </xf>
    <xf numFmtId="0" fontId="37" fillId="4" borderId="4" xfId="0" applyFont="1" applyFill="1" applyBorder="1" applyAlignment="1" applyProtection="1">
      <alignment horizontal="left" vertical="center" wrapText="1"/>
      <protection hidden="1"/>
    </xf>
    <xf numFmtId="0" fontId="90" fillId="4" borderId="15" xfId="0" applyFont="1" applyFill="1" applyBorder="1" applyAlignment="1" applyProtection="1">
      <alignment vertical="center" wrapText="1"/>
      <protection hidden="1"/>
    </xf>
    <xf numFmtId="0" fontId="32" fillId="4" borderId="15" xfId="0" applyFont="1" applyFill="1" applyBorder="1" applyAlignment="1" applyProtection="1">
      <alignment vertical="center" wrapText="1"/>
      <protection hidden="1"/>
    </xf>
    <xf numFmtId="0" fontId="37" fillId="4" borderId="2" xfId="0" applyFont="1" applyFill="1" applyBorder="1" applyAlignment="1" applyProtection="1">
      <alignment horizontal="left" vertical="center"/>
      <protection hidden="1"/>
    </xf>
    <xf numFmtId="0" fontId="30" fillId="2" borderId="0" xfId="0" applyFont="1" applyFill="1" applyAlignment="1" applyProtection="1">
      <alignment horizontal="left" vertical="center" wrapText="1"/>
      <protection hidden="1"/>
    </xf>
    <xf numFmtId="0" fontId="0" fillId="20" borderId="56" xfId="0" applyFill="1" applyBorder="1"/>
    <xf numFmtId="0" fontId="0" fillId="22" borderId="59" xfId="0" applyFill="1" applyBorder="1" applyAlignment="1">
      <alignment wrapText="1"/>
    </xf>
    <xf numFmtId="0" fontId="32" fillId="22" borderId="2" xfId="0" applyFont="1" applyFill="1" applyBorder="1" applyAlignment="1">
      <alignment wrapText="1"/>
    </xf>
    <xf numFmtId="0" fontId="24" fillId="0" borderId="0" xfId="0" applyFont="1" applyAlignment="1">
      <alignment horizontal="right"/>
    </xf>
    <xf numFmtId="0" fontId="24" fillId="4" borderId="0" xfId="0" applyFont="1" applyFill="1" applyAlignment="1" applyProtection="1">
      <alignment vertical="center"/>
      <protection hidden="1"/>
    </xf>
    <xf numFmtId="0" fontId="0" fillId="0" borderId="158" xfId="0" applyBorder="1" applyAlignment="1" applyProtection="1">
      <alignment wrapText="1"/>
      <protection hidden="1"/>
    </xf>
    <xf numFmtId="0" fontId="0" fillId="0" borderId="138" xfId="0" applyBorder="1" applyAlignment="1" applyProtection="1">
      <alignment wrapText="1"/>
      <protection hidden="1"/>
    </xf>
    <xf numFmtId="0" fontId="23" fillId="4" borderId="0" xfId="0" applyFont="1" applyFill="1"/>
    <xf numFmtId="0" fontId="32" fillId="8" borderId="0" xfId="0" applyFont="1" applyFill="1" applyProtection="1">
      <protection hidden="1"/>
    </xf>
    <xf numFmtId="0" fontId="0" fillId="21" borderId="0" xfId="0" applyFill="1" applyAlignment="1">
      <alignment wrapText="1"/>
    </xf>
    <xf numFmtId="0" fontId="23" fillId="21" borderId="81" xfId="0" applyFont="1" applyFill="1" applyBorder="1" applyAlignment="1">
      <alignment horizontal="center" wrapText="1"/>
    </xf>
    <xf numFmtId="0" fontId="0" fillId="25" borderId="0" xfId="0" applyFill="1"/>
    <xf numFmtId="0" fontId="23" fillId="25" borderId="149" xfId="0" applyFont="1" applyFill="1" applyBorder="1" applyAlignment="1">
      <alignment horizontal="center" wrapText="1"/>
    </xf>
    <xf numFmtId="0" fontId="0" fillId="26" borderId="0" xfId="0" applyFill="1" applyAlignment="1">
      <alignment wrapText="1"/>
    </xf>
    <xf numFmtId="0" fontId="23" fillId="26" borderId="81" xfId="0" applyFont="1" applyFill="1" applyBorder="1" applyAlignment="1">
      <alignment horizontal="center" wrapText="1"/>
    </xf>
    <xf numFmtId="0" fontId="0" fillId="27" borderId="0" xfId="0" applyFill="1"/>
    <xf numFmtId="0" fontId="23" fillId="27" borderId="149" xfId="0" applyFont="1" applyFill="1" applyBorder="1" applyAlignment="1">
      <alignment horizontal="center" wrapText="1"/>
    </xf>
    <xf numFmtId="0" fontId="94" fillId="25" borderId="2" xfId="0" applyFont="1" applyFill="1" applyBorder="1" applyAlignment="1">
      <alignment horizontal="left" indent="2"/>
    </xf>
    <xf numFmtId="0" fontId="32" fillId="25" borderId="53" xfId="0" applyFont="1" applyFill="1" applyBorder="1"/>
    <xf numFmtId="0" fontId="32" fillId="25" borderId="56" xfId="0" applyFont="1" applyFill="1" applyBorder="1"/>
    <xf numFmtId="0" fontId="32" fillId="25" borderId="58" xfId="0" applyFont="1" applyFill="1" applyBorder="1"/>
    <xf numFmtId="0" fontId="32" fillId="25" borderId="3" xfId="0" applyFont="1" applyFill="1" applyBorder="1"/>
    <xf numFmtId="0" fontId="110" fillId="25" borderId="2" xfId="0" applyFont="1" applyFill="1" applyBorder="1" applyAlignment="1">
      <alignment horizontal="left" indent="2"/>
    </xf>
    <xf numFmtId="0" fontId="110" fillId="25" borderId="59" xfId="0" applyFont="1" applyFill="1" applyBorder="1" applyAlignment="1">
      <alignment horizontal="left" indent="2"/>
    </xf>
    <xf numFmtId="0" fontId="0" fillId="5" borderId="24" xfId="0" applyFill="1" applyBorder="1" applyAlignment="1">
      <alignment horizontal="left" vertical="center" indent="5"/>
    </xf>
    <xf numFmtId="0" fontId="32" fillId="5" borderId="24" xfId="0" applyFont="1" applyFill="1" applyBorder="1" applyAlignment="1" applyProtection="1">
      <alignment horizontal="left" vertical="center" wrapText="1"/>
      <protection hidden="1"/>
    </xf>
    <xf numFmtId="0" fontId="0" fillId="5" borderId="24" xfId="0" applyFill="1" applyBorder="1" applyAlignment="1" applyProtection="1">
      <alignment horizontal="left" vertical="center" wrapText="1"/>
      <protection hidden="1"/>
    </xf>
    <xf numFmtId="0" fontId="0" fillId="5" borderId="24" xfId="0" applyFill="1" applyBorder="1" applyAlignment="1" applyProtection="1">
      <alignment horizontal="left" vertical="center" wrapText="1" indent="2"/>
      <protection hidden="1"/>
    </xf>
    <xf numFmtId="0" fontId="32" fillId="5" borderId="88" xfId="0" applyFont="1" applyFill="1" applyBorder="1" applyAlignment="1" applyProtection="1">
      <alignment horizontal="left" vertical="center" wrapText="1"/>
      <protection hidden="1"/>
    </xf>
    <xf numFmtId="0" fontId="0" fillId="5" borderId="24" xfId="0" applyFill="1" applyBorder="1" applyAlignment="1" applyProtection="1">
      <alignment horizontal="left" vertical="center" wrapText="1" indent="4"/>
      <protection hidden="1"/>
    </xf>
    <xf numFmtId="0" fontId="0" fillId="5" borderId="24" xfId="0" applyFill="1" applyBorder="1" applyAlignment="1" applyProtection="1">
      <alignment horizontal="left" vertical="center"/>
      <protection hidden="1"/>
    </xf>
    <xf numFmtId="0" fontId="58" fillId="4" borderId="12" xfId="0" applyFont="1" applyFill="1" applyBorder="1" applyProtection="1">
      <protection hidden="1"/>
    </xf>
    <xf numFmtId="0" fontId="74" fillId="4" borderId="0" xfId="0" applyFont="1" applyFill="1" applyProtection="1">
      <protection hidden="1"/>
    </xf>
    <xf numFmtId="0" fontId="58" fillId="0" borderId="0" xfId="0" applyFont="1" applyProtection="1">
      <protection hidden="1"/>
    </xf>
    <xf numFmtId="0" fontId="0" fillId="5" borderId="25" xfId="0" applyFill="1" applyBorder="1" applyAlignment="1" applyProtection="1">
      <alignment horizontal="left"/>
      <protection hidden="1"/>
    </xf>
    <xf numFmtId="0" fontId="0" fillId="5" borderId="31" xfId="0" applyFill="1" applyBorder="1" applyAlignment="1" applyProtection="1">
      <alignment horizontal="left"/>
      <protection hidden="1"/>
    </xf>
    <xf numFmtId="0" fontId="0" fillId="5" borderId="45" xfId="0" applyFill="1" applyBorder="1" applyAlignment="1" applyProtection="1">
      <alignment horizontal="left"/>
      <protection hidden="1"/>
    </xf>
    <xf numFmtId="0" fontId="32" fillId="5" borderId="25" xfId="0" applyFont="1" applyFill="1" applyBorder="1" applyAlignment="1" applyProtection="1">
      <alignment horizontal="center"/>
      <protection hidden="1"/>
    </xf>
    <xf numFmtId="0" fontId="0" fillId="5" borderId="25" xfId="0" applyFill="1" applyBorder="1" applyAlignment="1" applyProtection="1">
      <alignment horizontal="center"/>
      <protection hidden="1"/>
    </xf>
    <xf numFmtId="0" fontId="0" fillId="5" borderId="24" xfId="0" applyFill="1" applyBorder="1" applyAlignment="1" applyProtection="1">
      <alignment horizontal="left"/>
      <protection hidden="1"/>
    </xf>
    <xf numFmtId="0" fontId="32" fillId="4" borderId="0" xfId="0" applyFont="1" applyFill="1" applyProtection="1">
      <protection hidden="1"/>
    </xf>
    <xf numFmtId="16" fontId="0" fillId="0" borderId="2" xfId="0" applyNumberFormat="1" applyBorder="1"/>
    <xf numFmtId="0" fontId="103" fillId="5" borderId="6" xfId="0" applyFont="1" applyFill="1" applyBorder="1" applyProtection="1">
      <protection locked="0"/>
    </xf>
    <xf numFmtId="0" fontId="103" fillId="5" borderId="162" xfId="0" applyFont="1" applyFill="1" applyBorder="1" applyProtection="1">
      <protection locked="0"/>
    </xf>
    <xf numFmtId="16" fontId="0" fillId="8" borderId="2" xfId="0" applyNumberFormat="1" applyFill="1" applyBorder="1"/>
    <xf numFmtId="0" fontId="0" fillId="8" borderId="2" xfId="0" applyFill="1" applyBorder="1" applyAlignment="1">
      <alignment wrapText="1"/>
    </xf>
    <xf numFmtId="0" fontId="7" fillId="3" borderId="5" xfId="0" applyFont="1" applyFill="1" applyBorder="1" applyAlignment="1" applyProtection="1">
      <alignment horizontal="right" vertical="center"/>
      <protection hidden="1"/>
    </xf>
    <xf numFmtId="0" fontId="0" fillId="2" borderId="11" xfId="0" applyFill="1" applyBorder="1" applyProtection="1">
      <protection hidden="1"/>
    </xf>
    <xf numFmtId="0" fontId="32" fillId="25" borderId="12" xfId="0" applyFont="1" applyFill="1" applyBorder="1"/>
    <xf numFmtId="0" fontId="35" fillId="0" borderId="0" xfId="0" applyFont="1" applyAlignment="1">
      <alignment vertical="center"/>
    </xf>
    <xf numFmtId="0" fontId="113" fillId="0" borderId="0" xfId="0" applyFont="1" applyAlignment="1">
      <alignment vertical="center"/>
    </xf>
    <xf numFmtId="0" fontId="0" fillId="8" borderId="0" xfId="0" applyFill="1" applyAlignment="1">
      <alignment vertical="center"/>
    </xf>
    <xf numFmtId="14" fontId="0" fillId="8" borderId="0" xfId="0" applyNumberFormat="1" applyFill="1"/>
    <xf numFmtId="0" fontId="0" fillId="5" borderId="24" xfId="0" applyFill="1" applyBorder="1" applyAlignment="1" applyProtection="1">
      <alignment horizontal="left" vertical="center" indent="2"/>
      <protection hidden="1"/>
    </xf>
    <xf numFmtId="0" fontId="0" fillId="2" borderId="2" xfId="0" applyFill="1" applyBorder="1" applyProtection="1">
      <protection locked="0" hidden="1"/>
    </xf>
    <xf numFmtId="0" fontId="1" fillId="18" borderId="2" xfId="0" applyFont="1" applyFill="1" applyBorder="1" applyAlignment="1" applyProtection="1">
      <alignment vertical="center" wrapText="1"/>
      <protection locked="0" hidden="1"/>
    </xf>
    <xf numFmtId="14" fontId="0" fillId="0" borderId="0" xfId="0" applyNumberFormat="1"/>
    <xf numFmtId="0" fontId="28" fillId="6" borderId="156" xfId="0" applyFont="1" applyFill="1" applyBorder="1" applyAlignment="1">
      <alignment vertical="center"/>
    </xf>
    <xf numFmtId="0" fontId="28" fillId="6" borderId="0" xfId="0" applyFont="1" applyFill="1" applyAlignment="1">
      <alignment horizontal="center" vertical="center"/>
    </xf>
    <xf numFmtId="0" fontId="32" fillId="5" borderId="24" xfId="0" applyFont="1" applyFill="1" applyBorder="1" applyAlignment="1">
      <alignment horizontal="center" vertical="center"/>
    </xf>
    <xf numFmtId="0" fontId="0" fillId="5" borderId="24" xfId="0" applyFill="1" applyBorder="1" applyAlignment="1">
      <alignment horizontal="center" vertical="center"/>
    </xf>
    <xf numFmtId="0" fontId="0" fillId="5" borderId="24" xfId="0" quotePrefix="1" applyFill="1" applyBorder="1" applyAlignment="1">
      <alignment horizontal="center" vertical="center"/>
    </xf>
    <xf numFmtId="0" fontId="0" fillId="5" borderId="88" xfId="0" applyFill="1" applyBorder="1" applyAlignment="1">
      <alignment horizontal="center" vertical="center"/>
    </xf>
    <xf numFmtId="0" fontId="24" fillId="4" borderId="0" xfId="0" applyFont="1" applyFill="1" applyAlignment="1">
      <alignment horizontal="center" vertical="center"/>
    </xf>
    <xf numFmtId="0" fontId="32" fillId="5" borderId="88" xfId="0" applyFont="1" applyFill="1" applyBorder="1" applyAlignment="1">
      <alignment horizontal="center" vertical="center"/>
    </xf>
    <xf numFmtId="0" fontId="28" fillId="6" borderId="0" xfId="0" applyFont="1" applyFill="1" applyAlignment="1">
      <alignment horizontal="center" vertical="center" wrapText="1"/>
    </xf>
    <xf numFmtId="0" fontId="32" fillId="5" borderId="24" xfId="0" applyFont="1" applyFill="1" applyBorder="1" applyAlignment="1">
      <alignment horizontal="center" vertical="center" wrapText="1"/>
    </xf>
    <xf numFmtId="0" fontId="32" fillId="5" borderId="88" xfId="0" applyFont="1" applyFill="1" applyBorder="1" applyAlignment="1">
      <alignment horizontal="center" vertical="center" wrapText="1"/>
    </xf>
    <xf numFmtId="0" fontId="82" fillId="4" borderId="0" xfId="0" applyFont="1" applyFill="1" applyAlignment="1" applyProtection="1">
      <alignment horizontal="center" vertical="center" wrapText="1"/>
      <protection hidden="1"/>
    </xf>
    <xf numFmtId="0" fontId="23" fillId="2"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24" fillId="2" borderId="0" xfId="0" applyFont="1" applyFill="1" applyAlignment="1" applyProtection="1">
      <alignment horizontal="center" vertical="center"/>
      <protection hidden="1"/>
    </xf>
    <xf numFmtId="16" fontId="0" fillId="5" borderId="24" xfId="0" quotePrefix="1" applyNumberFormat="1" applyFill="1" applyBorder="1" applyAlignment="1">
      <alignment horizontal="center" vertical="center"/>
    </xf>
    <xf numFmtId="0" fontId="0" fillId="5" borderId="24" xfId="0" quotePrefix="1" applyFill="1" applyBorder="1" applyAlignment="1">
      <alignment horizontal="center" vertical="center" wrapText="1"/>
    </xf>
    <xf numFmtId="0" fontId="26" fillId="5" borderId="24" xfId="0" applyFont="1" applyFill="1" applyBorder="1" applyAlignment="1">
      <alignment vertical="center"/>
    </xf>
    <xf numFmtId="0" fontId="26" fillId="5" borderId="24" xfId="0" applyFont="1" applyFill="1" applyBorder="1" applyAlignment="1">
      <alignment vertical="center" wrapText="1"/>
    </xf>
    <xf numFmtId="0" fontId="26" fillId="5" borderId="24" xfId="0" applyFont="1" applyFill="1" applyBorder="1" applyAlignment="1">
      <alignment horizontal="left" vertical="center"/>
    </xf>
    <xf numFmtId="0" fontId="37" fillId="5" borderId="88" xfId="0" applyFont="1" applyFill="1" applyBorder="1" applyAlignment="1">
      <alignment horizontal="left" vertical="center" wrapText="1"/>
    </xf>
    <xf numFmtId="0" fontId="26" fillId="5" borderId="24" xfId="0" quotePrefix="1" applyFont="1" applyFill="1" applyBorder="1" applyAlignment="1">
      <alignment horizontal="center" vertical="center"/>
    </xf>
    <xf numFmtId="0" fontId="26" fillId="5" borderId="24" xfId="0" applyFont="1" applyFill="1" applyBorder="1" applyAlignment="1">
      <alignment horizontal="center" vertical="center"/>
    </xf>
    <xf numFmtId="0" fontId="26" fillId="5" borderId="24" xfId="0" applyFont="1" applyFill="1" applyBorder="1" applyAlignment="1">
      <alignment horizontal="center" vertical="center" wrapText="1"/>
    </xf>
    <xf numFmtId="0" fontId="37" fillId="5" borderId="88" xfId="0" applyFont="1" applyFill="1" applyBorder="1" applyAlignment="1">
      <alignment horizontal="center" vertical="center" wrapText="1"/>
    </xf>
    <xf numFmtId="0" fontId="1" fillId="2" borderId="6" xfId="0" applyFont="1" applyFill="1" applyBorder="1" applyAlignment="1" applyProtection="1">
      <alignment horizontal="left" vertical="center" wrapText="1"/>
      <protection hidden="1"/>
    </xf>
    <xf numFmtId="0" fontId="112" fillId="2" borderId="6" xfId="0" applyFont="1" applyFill="1" applyBorder="1" applyAlignment="1" applyProtection="1">
      <alignment horizontal="left" vertical="center" wrapText="1"/>
      <protection hidden="1"/>
    </xf>
    <xf numFmtId="49" fontId="1" fillId="2" borderId="6" xfId="0" applyNumberFormat="1" applyFont="1" applyFill="1" applyBorder="1" applyAlignment="1" applyProtection="1">
      <alignment horizontal="center" vertical="center"/>
      <protection hidden="1"/>
    </xf>
    <xf numFmtId="14" fontId="1" fillId="2" borderId="6" xfId="0" applyNumberFormat="1" applyFont="1" applyFill="1" applyBorder="1" applyAlignment="1" applyProtection="1">
      <alignment horizontal="center" vertical="center"/>
      <protection hidden="1"/>
    </xf>
    <xf numFmtId="0" fontId="0" fillId="0" borderId="0" xfId="0" applyAlignment="1">
      <alignment horizontal="left" vertical="top" wrapText="1"/>
    </xf>
    <xf numFmtId="0" fontId="84" fillId="0" borderId="0" xfId="0" applyFont="1" applyAlignment="1">
      <alignment horizontal="left" vertical="top"/>
    </xf>
    <xf numFmtId="0" fontId="35" fillId="2" borderId="0" xfId="0" applyFont="1" applyFill="1" applyAlignment="1" applyProtection="1">
      <alignment horizontal="left" vertical="top" wrapText="1"/>
      <protection hidden="1"/>
    </xf>
    <xf numFmtId="0" fontId="35" fillId="2" borderId="11" xfId="0" applyFont="1" applyFill="1" applyBorder="1" applyAlignment="1" applyProtection="1">
      <alignment horizontal="left" vertical="top" wrapText="1"/>
      <protection hidden="1"/>
    </xf>
    <xf numFmtId="0" fontId="35" fillId="4" borderId="0" xfId="0" applyFont="1" applyFill="1" applyAlignment="1" applyProtection="1">
      <alignment horizontal="left" vertical="top" wrapText="1"/>
      <protection hidden="1"/>
    </xf>
    <xf numFmtId="0" fontId="1" fillId="4" borderId="4"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9" fillId="4" borderId="40" xfId="0" applyFont="1" applyFill="1" applyBorder="1" applyAlignment="1">
      <alignment horizontal="center" vertical="top" wrapText="1"/>
    </xf>
    <xf numFmtId="0" fontId="9" fillId="4" borderId="0" xfId="0" applyFont="1" applyFill="1" applyAlignment="1">
      <alignment horizontal="center" vertical="top" wrapText="1"/>
    </xf>
    <xf numFmtId="0" fontId="44" fillId="2" borderId="51" xfId="0" applyFont="1" applyFill="1" applyBorder="1" applyAlignment="1">
      <alignment horizontal="center" wrapText="1"/>
    </xf>
    <xf numFmtId="0" fontId="44" fillId="2" borderId="1" xfId="0" applyFont="1" applyFill="1" applyBorder="1" applyAlignment="1">
      <alignment horizontal="center" wrapText="1"/>
    </xf>
    <xf numFmtId="0" fontId="44" fillId="2" borderId="41" xfId="0" applyFont="1" applyFill="1" applyBorder="1" applyAlignment="1">
      <alignment horizontal="center" wrapText="1"/>
    </xf>
    <xf numFmtId="0" fontId="0" fillId="5" borderId="137" xfId="0" applyFill="1" applyBorder="1" applyAlignment="1">
      <alignment horizontal="left" vertical="top" wrapText="1"/>
    </xf>
    <xf numFmtId="0" fontId="0" fillId="5" borderId="135" xfId="0" applyFill="1" applyBorder="1" applyAlignment="1">
      <alignment horizontal="left" vertical="top" wrapText="1"/>
    </xf>
    <xf numFmtId="0" fontId="55" fillId="0" borderId="148" xfId="0" applyFont="1" applyBorder="1" applyAlignment="1" applyProtection="1">
      <alignment horizontal="left" vertical="top"/>
      <protection locked="0"/>
    </xf>
    <xf numFmtId="0" fontId="55" fillId="0" borderId="0" xfId="0" applyFont="1" applyAlignment="1" applyProtection="1">
      <alignment horizontal="left" vertical="top"/>
      <protection locked="0"/>
    </xf>
    <xf numFmtId="0" fontId="55" fillId="0" borderId="12" xfId="0" applyFont="1" applyBorder="1" applyAlignment="1" applyProtection="1">
      <alignment horizontal="left" vertical="top"/>
      <protection locked="0"/>
    </xf>
    <xf numFmtId="0" fontId="55" fillId="0" borderId="0" xfId="0" applyFont="1" applyAlignment="1" applyProtection="1">
      <alignment horizontal="left"/>
      <protection locked="0"/>
    </xf>
    <xf numFmtId="0" fontId="55" fillId="0" borderId="12" xfId="0" applyFont="1" applyBorder="1" applyAlignment="1" applyProtection="1">
      <alignment horizontal="left"/>
      <protection locked="0"/>
    </xf>
    <xf numFmtId="0" fontId="55" fillId="0" borderId="148" xfId="0" applyFont="1" applyBorder="1" applyAlignment="1" applyProtection="1">
      <alignment horizontal="left"/>
      <protection locked="0"/>
    </xf>
    <xf numFmtId="0" fontId="54" fillId="0" borderId="120" xfId="0" applyFont="1" applyBorder="1" applyAlignment="1" applyProtection="1">
      <alignment horizontal="left" vertical="center"/>
      <protection locked="0"/>
    </xf>
    <xf numFmtId="0" fontId="54" fillId="0" borderId="121" xfId="0" applyFont="1" applyBorder="1" applyAlignment="1" applyProtection="1">
      <alignment horizontal="left" vertical="center"/>
      <protection locked="0"/>
    </xf>
    <xf numFmtId="0" fontId="54" fillId="0" borderId="122" xfId="0" applyFont="1" applyBorder="1" applyAlignment="1" applyProtection="1">
      <alignment horizontal="left" vertical="center"/>
      <protection locked="0"/>
    </xf>
    <xf numFmtId="0" fontId="54" fillId="0" borderId="120" xfId="0" applyFont="1" applyBorder="1" applyAlignment="1" applyProtection="1">
      <alignment horizontal="left" vertical="top"/>
      <protection locked="0"/>
    </xf>
    <xf numFmtId="0" fontId="54" fillId="0" borderId="121" xfId="0" applyFont="1" applyBorder="1" applyAlignment="1" applyProtection="1">
      <alignment horizontal="left" vertical="top"/>
      <protection locked="0"/>
    </xf>
    <xf numFmtId="0" fontId="54" fillId="0" borderId="122" xfId="0" applyFont="1" applyBorder="1" applyAlignment="1" applyProtection="1">
      <alignment horizontal="left" vertical="top"/>
      <protection locked="0"/>
    </xf>
    <xf numFmtId="0" fontId="51" fillId="19" borderId="2" xfId="0" applyFont="1" applyFill="1" applyBorder="1" applyAlignment="1">
      <alignment horizontal="left" vertical="top" wrapText="1"/>
    </xf>
    <xf numFmtId="0" fontId="51" fillId="19" borderId="2" xfId="0" applyFont="1" applyFill="1" applyBorder="1" applyAlignment="1">
      <alignment horizontal="center" vertical="top" wrapText="1"/>
    </xf>
    <xf numFmtId="0" fontId="98" fillId="19" borderId="2" xfId="0" applyFont="1" applyFill="1" applyBorder="1" applyAlignment="1">
      <alignment horizontal="center" vertical="center" wrapText="1"/>
    </xf>
    <xf numFmtId="0" fontId="54" fillId="0" borderId="144" xfId="0" applyFont="1" applyBorder="1" applyAlignment="1" applyProtection="1">
      <alignment horizontal="left" vertical="top"/>
      <protection locked="0"/>
    </xf>
    <xf numFmtId="0" fontId="54" fillId="0" borderId="145" xfId="0" applyFont="1" applyBorder="1" applyAlignment="1" applyProtection="1">
      <alignment horizontal="left" vertical="top"/>
      <protection locked="0"/>
    </xf>
    <xf numFmtId="0" fontId="54" fillId="0" borderId="146" xfId="0" applyFont="1" applyBorder="1" applyAlignment="1" applyProtection="1">
      <alignment horizontal="left" vertical="top"/>
      <protection locked="0"/>
    </xf>
    <xf numFmtId="0" fontId="54" fillId="0" borderId="147" xfId="0" applyFont="1" applyBorder="1" applyAlignment="1" applyProtection="1">
      <alignment horizontal="left" vertical="top"/>
      <protection locked="0"/>
    </xf>
    <xf numFmtId="0" fontId="54" fillId="0" borderId="0" xfId="0" applyFont="1" applyAlignment="1" applyProtection="1">
      <alignment horizontal="left" vertical="top"/>
      <protection locked="0"/>
    </xf>
    <xf numFmtId="0" fontId="55" fillId="0" borderId="148" xfId="0" applyFont="1" applyBorder="1" applyAlignment="1" applyProtection="1">
      <alignment horizontal="left" vertical="top" wrapText="1"/>
      <protection locked="0"/>
    </xf>
    <xf numFmtId="0" fontId="55" fillId="0" borderId="0" xfId="0" applyFont="1" applyAlignment="1" applyProtection="1">
      <alignment horizontal="left" vertical="top" wrapText="1"/>
      <protection locked="0"/>
    </xf>
    <xf numFmtId="0" fontId="55" fillId="0" borderId="12" xfId="0" applyFont="1" applyBorder="1" applyAlignment="1" applyProtection="1">
      <alignment horizontal="left" vertical="top" wrapText="1"/>
      <protection locked="0"/>
    </xf>
    <xf numFmtId="0" fontId="51" fillId="0" borderId="148" xfId="0" applyFont="1" applyBorder="1" applyAlignment="1">
      <alignment horizontal="left" vertical="top"/>
    </xf>
    <xf numFmtId="0" fontId="51" fillId="0" borderId="0" xfId="0" applyFont="1" applyAlignment="1">
      <alignment horizontal="left" vertical="top"/>
    </xf>
    <xf numFmtId="0" fontId="51" fillId="0" borderId="12" xfId="0" applyFont="1" applyBorder="1" applyAlignment="1">
      <alignment horizontal="left" vertical="top"/>
    </xf>
    <xf numFmtId="0" fontId="54" fillId="0" borderId="151" xfId="0" applyFont="1" applyBorder="1" applyAlignment="1" applyProtection="1">
      <alignment horizontal="left" vertical="top"/>
      <protection locked="0"/>
    </xf>
    <xf numFmtId="0" fontId="0" fillId="0" borderId="0" xfId="0" applyAlignment="1">
      <alignment horizontal="center"/>
    </xf>
    <xf numFmtId="0" fontId="90" fillId="10" borderId="4" xfId="0" applyFont="1" applyFill="1" applyBorder="1" applyAlignment="1">
      <alignment horizontal="center" vertical="center"/>
    </xf>
    <xf numFmtId="0" fontId="90" fillId="10" borderId="6" xfId="0" applyFont="1" applyFill="1" applyBorder="1" applyAlignment="1">
      <alignment horizontal="center" vertical="center"/>
    </xf>
    <xf numFmtId="0" fontId="90" fillId="10" borderId="7" xfId="0" applyFont="1" applyFill="1" applyBorder="1" applyAlignment="1">
      <alignment horizontal="center" vertical="center"/>
    </xf>
    <xf numFmtId="0" fontId="23" fillId="10" borderId="79" xfId="0" applyFont="1" applyFill="1" applyBorder="1" applyAlignment="1" applyProtection="1">
      <alignment horizontal="center" wrapText="1"/>
      <protection hidden="1"/>
    </xf>
    <xf numFmtId="0" fontId="23" fillId="10" borderId="54" xfId="0" applyFont="1" applyFill="1" applyBorder="1" applyAlignment="1" applyProtection="1">
      <alignment horizontal="center" wrapText="1"/>
      <protection hidden="1"/>
    </xf>
    <xf numFmtId="0" fontId="23" fillId="10" borderId="55" xfId="0" applyFont="1" applyFill="1" applyBorder="1" applyAlignment="1" applyProtection="1">
      <alignment horizontal="center" wrapText="1"/>
      <protection hidden="1"/>
    </xf>
    <xf numFmtId="0" fontId="23" fillId="10" borderId="21" xfId="0" applyFont="1" applyFill="1" applyBorder="1" applyAlignment="1">
      <alignment horizontal="center"/>
    </xf>
    <xf numFmtId="0" fontId="23" fillId="10" borderId="22" xfId="0" applyFont="1" applyFill="1" applyBorder="1" applyAlignment="1">
      <alignment horizontal="center"/>
    </xf>
    <xf numFmtId="0" fontId="23" fillId="10" borderId="53" xfId="0" applyFont="1" applyFill="1" applyBorder="1" applyAlignment="1" applyProtection="1">
      <alignment horizontal="center" wrapText="1"/>
      <protection hidden="1"/>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2" xfId="0" applyBorder="1" applyAlignment="1">
      <alignment horizontal="center"/>
    </xf>
    <xf numFmtId="0" fontId="0" fillId="0" borderId="57" xfId="0" applyBorder="1" applyAlignment="1">
      <alignment horizontal="center"/>
    </xf>
    <xf numFmtId="0" fontId="23" fillId="10" borderId="2" xfId="0" applyFont="1" applyFill="1" applyBorder="1" applyAlignment="1" applyProtection="1">
      <alignment horizontal="center"/>
      <protection hidden="1"/>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0" fontId="37" fillId="8" borderId="10" xfId="0" applyFont="1" applyFill="1" applyBorder="1" applyAlignment="1">
      <alignment horizontal="center" wrapText="1"/>
    </xf>
    <xf numFmtId="0" fontId="37" fillId="8" borderId="3" xfId="0" applyFont="1" applyFill="1" applyBorder="1" applyAlignment="1">
      <alignment horizontal="center" wrapText="1"/>
    </xf>
    <xf numFmtId="0" fontId="0" fillId="9" borderId="21" xfId="0" applyFill="1" applyBorder="1" applyAlignment="1">
      <alignment horizontal="center" vertical="center"/>
    </xf>
    <xf numFmtId="0" fontId="0" fillId="9" borderId="22" xfId="0" applyFill="1" applyBorder="1" applyAlignment="1">
      <alignment horizontal="center" vertical="center"/>
    </xf>
    <xf numFmtId="0" fontId="0" fillId="9" borderId="23" xfId="0" applyFill="1" applyBorder="1" applyAlignment="1">
      <alignment horizontal="center" vertical="center"/>
    </xf>
    <xf numFmtId="0" fontId="0" fillId="8" borderId="72" xfId="0" applyFill="1" applyBorder="1" applyAlignment="1">
      <alignment horizontal="center"/>
    </xf>
    <xf numFmtId="0" fontId="0" fillId="8" borderId="73" xfId="0" applyFill="1" applyBorder="1" applyAlignment="1">
      <alignment horizontal="center"/>
    </xf>
    <xf numFmtId="0" fontId="0" fillId="8" borderId="74" xfId="0" applyFill="1" applyBorder="1" applyAlignment="1">
      <alignment horizontal="center"/>
    </xf>
    <xf numFmtId="0" fontId="69" fillId="4" borderId="13" xfId="0" applyFont="1" applyFill="1" applyBorder="1" applyAlignment="1" applyProtection="1">
      <alignment horizontal="center"/>
      <protection hidden="1"/>
    </xf>
    <xf numFmtId="0" fontId="69" fillId="4" borderId="14" xfId="0" applyFont="1" applyFill="1" applyBorder="1" applyAlignment="1" applyProtection="1">
      <alignment horizontal="center"/>
      <protection hidden="1"/>
    </xf>
    <xf numFmtId="0" fontId="58" fillId="5" borderId="100" xfId="0" applyFont="1" applyFill="1" applyBorder="1" applyAlignment="1" applyProtection="1">
      <alignment horizontal="center"/>
      <protection hidden="1"/>
    </xf>
    <xf numFmtId="0" fontId="58" fillId="5" borderId="107" xfId="0" applyFont="1" applyFill="1" applyBorder="1" applyAlignment="1" applyProtection="1">
      <alignment horizontal="center"/>
      <protection hidden="1"/>
    </xf>
    <xf numFmtId="164" fontId="58" fillId="5" borderId="101" xfId="0" applyNumberFormat="1" applyFont="1" applyFill="1" applyBorder="1" applyAlignment="1" applyProtection="1">
      <alignment horizontal="center"/>
      <protection hidden="1"/>
    </xf>
    <xf numFmtId="164" fontId="58" fillId="5" borderId="104" xfId="0" applyNumberFormat="1" applyFont="1" applyFill="1" applyBorder="1" applyAlignment="1" applyProtection="1">
      <alignment horizontal="center"/>
      <protection hidden="1"/>
    </xf>
    <xf numFmtId="0" fontId="58" fillId="5" borderId="114" xfId="0" applyFont="1" applyFill="1" applyBorder="1" applyAlignment="1" applyProtection="1">
      <alignment horizontal="center"/>
      <protection hidden="1"/>
    </xf>
    <xf numFmtId="0" fontId="58" fillId="5" borderId="105" xfId="0" applyFont="1" applyFill="1" applyBorder="1" applyAlignment="1" applyProtection="1">
      <alignment horizontal="center"/>
      <protection hidden="1"/>
    </xf>
    <xf numFmtId="0" fontId="68" fillId="4" borderId="13" xfId="0" applyFont="1" applyFill="1" applyBorder="1" applyAlignment="1" applyProtection="1">
      <alignment horizontal="center" vertical="center"/>
      <protection hidden="1"/>
    </xf>
    <xf numFmtId="0" fontId="68" fillId="4" borderId="14" xfId="0" applyFont="1" applyFill="1" applyBorder="1" applyAlignment="1" applyProtection="1">
      <alignment horizontal="center" vertical="center"/>
      <protection hidden="1"/>
    </xf>
    <xf numFmtId="0" fontId="70" fillId="5" borderId="100" xfId="0" applyFont="1" applyFill="1" applyBorder="1" applyAlignment="1" applyProtection="1">
      <alignment horizontal="center"/>
      <protection hidden="1"/>
    </xf>
    <xf numFmtId="0" fontId="70" fillId="5" borderId="107" xfId="0" applyFont="1" applyFill="1" applyBorder="1" applyAlignment="1" applyProtection="1">
      <alignment horizontal="center"/>
      <protection hidden="1"/>
    </xf>
    <xf numFmtId="164" fontId="70" fillId="5" borderId="101" xfId="0" applyNumberFormat="1" applyFont="1" applyFill="1" applyBorder="1" applyAlignment="1" applyProtection="1">
      <alignment horizontal="center"/>
      <protection hidden="1"/>
    </xf>
    <xf numFmtId="164" fontId="70" fillId="5" borderId="104" xfId="0" applyNumberFormat="1" applyFont="1" applyFill="1" applyBorder="1" applyAlignment="1" applyProtection="1">
      <alignment horizontal="center"/>
      <protection hidden="1"/>
    </xf>
    <xf numFmtId="0" fontId="70" fillId="5" borderId="114" xfId="0" applyFont="1" applyFill="1" applyBorder="1" applyAlignment="1" applyProtection="1">
      <alignment horizontal="center"/>
      <protection hidden="1"/>
    </xf>
    <xf numFmtId="0" fontId="70" fillId="5" borderId="105" xfId="0" applyFont="1" applyFill="1" applyBorder="1" applyAlignment="1" applyProtection="1">
      <alignment horizontal="center"/>
      <protection hidden="1"/>
    </xf>
    <xf numFmtId="0" fontId="72" fillId="2" borderId="8" xfId="0" applyFont="1" applyFill="1" applyBorder="1" applyAlignment="1" applyProtection="1">
      <alignment horizontal="center" wrapText="1"/>
      <protection hidden="1"/>
    </xf>
    <xf numFmtId="0" fontId="72" fillId="2" borderId="12" xfId="0" applyFont="1" applyFill="1" applyBorder="1" applyAlignment="1" applyProtection="1">
      <alignment horizontal="center" wrapText="1"/>
      <protection hidden="1"/>
    </xf>
    <xf numFmtId="0" fontId="71" fillId="2" borderId="0" xfId="0" applyFont="1" applyFill="1" applyAlignment="1" applyProtection="1">
      <alignment horizontal="left" vertical="top" wrapText="1"/>
      <protection hidden="1"/>
    </xf>
    <xf numFmtId="0" fontId="70" fillId="4" borderId="2" xfId="0" applyFont="1" applyFill="1" applyBorder="1" applyAlignment="1" applyProtection="1">
      <alignment horizontal="center"/>
      <protection locked="0" hidden="1"/>
    </xf>
    <xf numFmtId="0" fontId="72" fillId="2" borderId="0" xfId="0" applyFont="1" applyFill="1" applyAlignment="1" applyProtection="1">
      <alignment horizontal="center" wrapText="1"/>
      <protection hidden="1"/>
    </xf>
    <xf numFmtId="0" fontId="14" fillId="2" borderId="0" xfId="0" applyFont="1" applyFill="1" applyAlignment="1" applyProtection="1">
      <alignment vertical="center" wrapText="1"/>
      <protection hidden="1"/>
    </xf>
    <xf numFmtId="0" fontId="14" fillId="0" borderId="0" xfId="0" applyFont="1" applyAlignment="1" applyProtection="1">
      <alignment vertical="center" wrapText="1"/>
      <protection hidden="1"/>
    </xf>
    <xf numFmtId="0" fontId="0" fillId="4" borderId="2" xfId="0" applyFill="1" applyBorder="1" applyAlignment="1" applyProtection="1">
      <alignment wrapText="1"/>
      <protection hidden="1"/>
    </xf>
    <xf numFmtId="0" fontId="0" fillId="4" borderId="2" xfId="0" applyFill="1" applyBorder="1" applyProtection="1">
      <protection hidden="1"/>
    </xf>
    <xf numFmtId="0" fontId="112" fillId="2" borderId="2" xfId="0" applyFont="1" applyFill="1" applyBorder="1" applyAlignment="1" applyProtection="1">
      <alignment horizontal="left" vertical="center" wrapText="1"/>
      <protection hidden="1"/>
    </xf>
    <xf numFmtId="0" fontId="1" fillId="2" borderId="2" xfId="0" applyFont="1" applyFill="1" applyBorder="1" applyAlignment="1" applyProtection="1">
      <alignment horizontal="left" vertical="center" wrapText="1"/>
      <protection hidden="1"/>
    </xf>
    <xf numFmtId="0" fontId="21" fillId="3" borderId="77" xfId="0" applyFont="1" applyFill="1" applyBorder="1" applyAlignment="1" applyProtection="1">
      <alignment horizontal="left" vertical="top" wrapText="1"/>
      <protection hidden="1"/>
    </xf>
    <xf numFmtId="0" fontId="21" fillId="3" borderId="106" xfId="0" applyFont="1" applyFill="1" applyBorder="1" applyAlignment="1" applyProtection="1">
      <alignment horizontal="left" vertical="top" wrapText="1"/>
      <protection hidden="1"/>
    </xf>
    <xf numFmtId="0" fontId="7" fillId="3" borderId="4" xfId="0" applyFont="1" applyFill="1" applyBorder="1" applyAlignment="1" applyProtection="1">
      <alignment horizontal="left"/>
      <protection hidden="1"/>
    </xf>
    <xf numFmtId="0" fontId="7" fillId="3" borderId="6" xfId="0" applyFont="1" applyFill="1" applyBorder="1" applyAlignment="1" applyProtection="1">
      <alignment horizontal="left"/>
      <protection hidden="1"/>
    </xf>
    <xf numFmtId="0" fontId="7" fillId="3" borderId="7" xfId="0" applyFont="1" applyFill="1" applyBorder="1" applyAlignment="1" applyProtection="1">
      <alignment horizontal="left"/>
      <protection hidden="1"/>
    </xf>
    <xf numFmtId="0" fontId="1" fillId="2" borderId="4" xfId="0" applyFont="1" applyFill="1" applyBorder="1" applyAlignment="1" applyProtection="1">
      <alignment horizontal="left" vertical="center" wrapText="1"/>
      <protection hidden="1"/>
    </xf>
    <xf numFmtId="0" fontId="1" fillId="2" borderId="6" xfId="0" applyFont="1" applyFill="1" applyBorder="1" applyAlignment="1" applyProtection="1">
      <alignment horizontal="left" vertical="center" wrapText="1"/>
      <protection hidden="1"/>
    </xf>
    <xf numFmtId="0" fontId="1" fillId="2" borderId="7" xfId="0" applyFont="1" applyFill="1" applyBorder="1" applyAlignment="1" applyProtection="1">
      <alignment horizontal="left" vertical="center" wrapText="1"/>
      <protection hidden="1"/>
    </xf>
    <xf numFmtId="0" fontId="112" fillId="2" borderId="4" xfId="0" applyFont="1" applyFill="1" applyBorder="1" applyAlignment="1" applyProtection="1">
      <alignment horizontal="left" vertical="center" wrapText="1"/>
      <protection hidden="1"/>
    </xf>
    <xf numFmtId="0" fontId="112" fillId="2" borderId="6" xfId="0" applyFont="1" applyFill="1" applyBorder="1" applyAlignment="1" applyProtection="1">
      <alignment horizontal="left" vertical="center" wrapText="1"/>
      <protection hidden="1"/>
    </xf>
    <xf numFmtId="0" fontId="112" fillId="2" borderId="7" xfId="0" applyFont="1" applyFill="1" applyBorder="1" applyAlignment="1" applyProtection="1">
      <alignment horizontal="left" vertical="center" wrapText="1"/>
      <protection hidden="1"/>
    </xf>
    <xf numFmtId="0" fontId="111" fillId="2" borderId="2" xfId="0" applyFont="1" applyFill="1" applyBorder="1" applyAlignment="1" applyProtection="1">
      <alignment horizontal="left" vertical="center" wrapText="1"/>
      <protection hidden="1"/>
    </xf>
    <xf numFmtId="0" fontId="32" fillId="4" borderId="2" xfId="0" applyFont="1" applyFill="1" applyBorder="1" applyAlignment="1" applyProtection="1">
      <alignment horizontal="left" vertical="center" wrapText="1"/>
      <protection hidden="1"/>
    </xf>
    <xf numFmtId="0" fontId="0" fillId="4" borderId="2" xfId="0" applyFill="1" applyBorder="1" applyAlignment="1" applyProtection="1">
      <alignment horizontal="left" vertical="center"/>
      <protection hidden="1"/>
    </xf>
    <xf numFmtId="0" fontId="0" fillId="4" borderId="2" xfId="0" applyFill="1" applyBorder="1" applyAlignment="1" applyProtection="1">
      <alignment horizontal="left" vertical="center" wrapText="1"/>
      <protection hidden="1"/>
    </xf>
    <xf numFmtId="0" fontId="0" fillId="8" borderId="0" xfId="0" applyFill="1" applyAlignment="1">
      <alignment horizontal="left" vertical="top" wrapText="1"/>
    </xf>
  </cellXfs>
  <cellStyles count="5">
    <cellStyle name="Good 2" xfId="3" xr:uid="{00000000-0005-0000-0000-000000000000}"/>
    <cellStyle name="Normal" xfId="0" builtinId="0"/>
    <cellStyle name="Normal 3" xfId="1" xr:uid="{00000000-0005-0000-0000-000002000000}"/>
    <cellStyle name="Percent 2" xfId="4" xr:uid="{A3F32B65-5251-4038-894E-02D69E32DDC8}"/>
    <cellStyle name="Prosent" xfId="2" builtinId="5"/>
  </cellStyles>
  <dxfs count="1762">
    <dxf>
      <fill>
        <patternFill>
          <bgColor theme="0" tint="-0.14996795556505021"/>
        </patternFill>
      </fill>
    </dxf>
    <dxf>
      <fill>
        <patternFill>
          <bgColor theme="0" tint="-0.14996795556505021"/>
        </patternFill>
      </fill>
    </dxf>
    <dxf>
      <font>
        <color theme="0"/>
      </font>
      <fill>
        <patternFill>
          <bgColor theme="0"/>
        </patternFill>
      </fill>
      <border>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dxf>
    <dxf>
      <font>
        <color theme="0"/>
      </font>
      <fill>
        <patternFill>
          <bgColor theme="0"/>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6"/>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6"/>
        </patternFill>
      </fill>
    </dxf>
    <dxf>
      <fill>
        <patternFill>
          <bgColor theme="5"/>
        </patternFill>
      </fill>
    </dxf>
    <dxf>
      <fill>
        <patternFill>
          <bgColor theme="6"/>
        </patternFill>
      </fill>
    </dxf>
    <dxf>
      <fill>
        <patternFill>
          <bgColor rgb="FFFFFF0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patternFill>
      </fill>
    </dxf>
    <dxf>
      <fill>
        <patternFill>
          <bgColor theme="0"/>
        </patternFill>
      </fill>
    </dxf>
    <dxf>
      <fill>
        <patternFill>
          <bgColor rgb="FFFFD146"/>
        </patternFill>
      </fill>
    </dxf>
    <dxf>
      <fill>
        <patternFill>
          <bgColor rgb="FF56B146"/>
        </patternFill>
      </fill>
    </dxf>
    <dxf>
      <fill>
        <patternFill>
          <bgColor rgb="FFF1616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tint="-0.14996795556505021"/>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tint="-0.1499679555650502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5"/>
        </patternFill>
      </fill>
    </dxf>
    <dxf>
      <fill>
        <patternFill>
          <bgColor rgb="FFFFFF00"/>
        </patternFill>
      </fill>
    </dxf>
    <dxf>
      <fill>
        <patternFill>
          <bgColor theme="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rgb="FFFFFF00"/>
        </patternFill>
      </fill>
    </dxf>
    <dxf>
      <fill>
        <patternFill>
          <bgColor theme="6"/>
        </patternFill>
      </fill>
    </dxf>
    <dxf>
      <fill>
        <patternFill>
          <bgColor theme="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56B146"/>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1"/>
      </font>
    </dxf>
    <dxf>
      <font>
        <color theme="0"/>
      </font>
      <fill>
        <patternFill>
          <bgColor theme="0"/>
        </patternFill>
      </fill>
      <border>
        <right style="thin">
          <color theme="1"/>
        </right>
      </border>
    </dxf>
    <dxf>
      <font>
        <color theme="0" tint="-0.14996795556505021"/>
      </font>
    </dxf>
    <dxf>
      <font>
        <color theme="0"/>
      </font>
      <fill>
        <patternFill>
          <bgColor theme="0"/>
        </patternFill>
      </fill>
      <border>
        <right style="thin">
          <color theme="1"/>
        </right>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1"/>
      </font>
    </dxf>
    <dxf>
      <font>
        <color theme="0"/>
      </font>
      <fill>
        <patternFill>
          <bgColor theme="0"/>
        </patternFill>
      </fill>
    </dxf>
    <dxf>
      <font>
        <color theme="0"/>
      </font>
      <fill>
        <patternFill>
          <bgColor theme="0"/>
        </patternFill>
      </fill>
    </dxf>
    <dxf>
      <font>
        <color theme="0" tint="-0.14996795556505021"/>
      </font>
    </dxf>
    <dxf>
      <font>
        <color theme="0"/>
      </font>
      <fill>
        <patternFill>
          <bgColor theme="0"/>
        </patternFill>
      </fill>
    </dxf>
    <dxf>
      <font>
        <color theme="5"/>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1"/>
      </font>
    </dxf>
    <dxf>
      <font>
        <color theme="0"/>
      </font>
      <fill>
        <patternFill>
          <bgColor theme="0"/>
        </patternFill>
      </fill>
    </dxf>
    <dxf>
      <font>
        <color theme="0" tint="-0.14996795556505021"/>
      </font>
    </dxf>
    <dxf>
      <font>
        <color theme="0"/>
      </font>
      <fill>
        <patternFill>
          <bgColor theme="0"/>
        </patternFill>
      </fill>
      <border>
        <left style="thin">
          <color theme="1"/>
        </left>
        <vertical/>
        <horizontal/>
      </border>
    </dxf>
    <dxf>
      <font>
        <color theme="0"/>
      </font>
      <fill>
        <patternFill>
          <bgColor theme="0"/>
        </patternFill>
      </fill>
      <border>
        <left style="thin">
          <color theme="1"/>
        </left>
        <vertical/>
        <horizontal/>
      </border>
    </dxf>
    <dxf>
      <font>
        <color theme="0" tint="-0.14996795556505021"/>
      </font>
    </dxf>
    <dxf>
      <font>
        <color theme="0"/>
      </font>
      <fill>
        <patternFill>
          <bgColor theme="0"/>
        </patternFill>
      </fill>
    </dxf>
    <dxf>
      <font>
        <color theme="0"/>
      </font>
      <fill>
        <patternFill>
          <bgColor theme="0"/>
        </patternFill>
      </fill>
    </dxf>
    <dxf>
      <font>
        <color theme="0" tint="-0.14996795556505021"/>
      </font>
    </dxf>
    <dxf>
      <font>
        <color theme="0"/>
      </font>
      <fill>
        <patternFill>
          <bgColor theme="0"/>
        </patternFill>
      </fill>
    </dxf>
    <dxf>
      <font>
        <color theme="0"/>
      </font>
      <fill>
        <patternFill>
          <bgColor theme="0"/>
        </patternFill>
      </fill>
    </dxf>
    <dxf>
      <font>
        <color theme="0" tint="-0.14996795556505021"/>
      </font>
    </dxf>
    <dxf>
      <font>
        <color theme="0"/>
      </font>
      <fill>
        <patternFill>
          <bgColor theme="0"/>
        </patternFill>
      </fill>
    </dxf>
    <dxf>
      <font>
        <color theme="0"/>
      </font>
      <fill>
        <patternFill>
          <bgColor theme="0"/>
        </patternFill>
      </fill>
    </dxf>
    <dxf>
      <fill>
        <patternFill>
          <bgColor rgb="FFFF0000"/>
        </patternFill>
      </fill>
    </dxf>
    <dxf>
      <fill>
        <patternFill>
          <bgColor rgb="FFFF0000"/>
        </patternFill>
      </fill>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ont>
        <color theme="0"/>
      </font>
      <fill>
        <patternFill>
          <bgColor theme="0"/>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rgb="FF56B146"/>
        </patternFill>
      </fill>
    </dxf>
    <dxf>
      <fill>
        <patternFill>
          <bgColor rgb="FFF16161"/>
        </patternFill>
      </fill>
    </dxf>
    <dxf>
      <fill>
        <patternFill>
          <bgColor rgb="FFFFD146"/>
        </patternFill>
      </fill>
    </dxf>
    <dxf>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tint="-0.14996795556505021"/>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rgb="FFF16161"/>
        </patternFill>
      </fill>
    </dxf>
    <dxf>
      <fill>
        <patternFill>
          <bgColor rgb="FF56B146"/>
        </patternFill>
      </fill>
    </dxf>
    <dxf>
      <fill>
        <patternFill>
          <bgColor theme="0"/>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tint="-0.14996795556505021"/>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theme="0" tint="-0.14996795556505021"/>
        </patternFill>
      </fill>
    </dxf>
    <dxf>
      <font>
        <color theme="0"/>
      </font>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theme="0" tint="-0.14996795556505021"/>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theme="0" tint="-0.14996795556505021"/>
        </patternFill>
      </fill>
    </dxf>
    <dxf>
      <fill>
        <patternFill>
          <bgColor theme="0" tint="-0.14996795556505021"/>
        </patternFill>
      </fill>
    </dxf>
    <dxf>
      <font>
        <color theme="0"/>
      </font>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theme="0"/>
        </patternFill>
      </fill>
    </dxf>
    <dxf>
      <font>
        <color theme="0"/>
      </font>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tint="-0.14996795556505021"/>
        </patternFill>
      </fill>
    </dxf>
    <dxf>
      <font>
        <color theme="0"/>
      </font>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ill>
        <patternFill>
          <bgColor theme="0"/>
        </patternFill>
      </fill>
    </dxf>
    <dxf>
      <font>
        <color theme="0"/>
      </font>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56B146"/>
        </patternFill>
      </fill>
    </dxf>
    <dxf>
      <fill>
        <patternFill>
          <bgColor rgb="FFFFD146"/>
        </patternFill>
      </fill>
    </dxf>
    <dxf>
      <fill>
        <patternFill>
          <bgColor theme="0"/>
        </patternFill>
      </fill>
    </dxf>
    <dxf>
      <fill>
        <patternFill>
          <bgColor rgb="FFF16161"/>
        </patternFill>
      </fill>
    </dxf>
    <dxf>
      <font>
        <color theme="0"/>
      </font>
      <fill>
        <patternFill>
          <bgColor theme="0"/>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theme="0" tint="-0.14996795556505021"/>
        </patternFill>
      </fill>
    </dxf>
    <dxf>
      <fill>
        <patternFill>
          <bgColor theme="0"/>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16161"/>
        </patternFill>
      </fill>
    </dxf>
    <dxf>
      <fill>
        <patternFill>
          <bgColor rgb="FFFFD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theme="0" tint="-0.14996795556505021"/>
        </patternFill>
      </fill>
    </dxf>
    <dxf>
      <fill>
        <patternFill>
          <bgColor theme="0"/>
        </patternFill>
      </fill>
    </dxf>
    <dxf>
      <fill>
        <patternFill>
          <bgColor rgb="FFFFD146"/>
        </patternFill>
      </fill>
    </dxf>
    <dxf>
      <fill>
        <patternFill>
          <bgColor rgb="FF56B146"/>
        </patternFill>
      </fill>
    </dxf>
    <dxf>
      <fill>
        <patternFill>
          <bgColor rgb="FFF16161"/>
        </patternFill>
      </fill>
    </dxf>
    <dxf>
      <font>
        <color theme="0"/>
      </font>
      <fill>
        <patternFill>
          <bgColor theme="0"/>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dxf>
    <dxf>
      <fill>
        <patternFill>
          <bgColor rgb="FFFFD146"/>
        </patternFill>
      </fill>
    </dxf>
    <dxf>
      <fill>
        <patternFill>
          <bgColor rgb="FF56B146"/>
        </patternFill>
      </fill>
    </dxf>
    <dxf>
      <fill>
        <patternFill>
          <bgColor rgb="FFF16161"/>
        </patternFill>
      </fill>
    </dxf>
    <dxf>
      <fill>
        <patternFill>
          <bgColor theme="0"/>
        </patternFill>
      </fill>
    </dxf>
    <dxf>
      <font>
        <color theme="0"/>
      </font>
      <fill>
        <patternFill>
          <bgColor theme="0"/>
        </patternFill>
      </fill>
    </dxf>
    <dxf>
      <fill>
        <patternFill>
          <bgColor theme="0" tint="-0.14996795556505021"/>
        </patternFill>
      </fill>
    </dxf>
    <dxf>
      <font>
        <color theme="0"/>
      </font>
      <fill>
        <patternFill>
          <bgColor theme="0"/>
        </patternFill>
      </fill>
    </dxf>
    <dxf>
      <fill>
        <patternFill>
          <bgColor rgb="FFF16161"/>
        </patternFill>
      </fill>
    </dxf>
    <dxf>
      <fill>
        <patternFill>
          <bgColor theme="0"/>
        </patternFill>
      </fill>
    </dxf>
    <dxf>
      <fill>
        <patternFill>
          <bgColor rgb="FFFFD146"/>
        </patternFill>
      </fill>
    </dxf>
    <dxf>
      <fill>
        <patternFill>
          <bgColor rgb="FF56B146"/>
        </patternFill>
      </fill>
    </dxf>
    <dxf>
      <border>
        <left style="thin">
          <color theme="0"/>
        </left>
        <right style="thin">
          <color theme="0"/>
        </right>
        <top style="thin">
          <color theme="0"/>
        </top>
        <bottom style="thin">
          <color theme="0"/>
        </bottom>
        <vertical/>
        <horizontal/>
      </border>
    </dxf>
    <dxf>
      <fill>
        <patternFill>
          <bgColor rgb="FFF16161"/>
        </patternFill>
      </fill>
    </dxf>
    <dxf>
      <fill>
        <patternFill>
          <bgColor rgb="FFFFD146"/>
        </patternFill>
      </fill>
    </dxf>
    <dxf>
      <fill>
        <patternFill>
          <bgColor rgb="FF56B146"/>
        </patternFill>
      </fill>
    </dxf>
    <dxf>
      <fill>
        <patternFill>
          <bgColor theme="0"/>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rgb="FF56B146"/>
        </patternFill>
      </fill>
    </dxf>
    <dxf>
      <fill>
        <patternFill>
          <bgColor rgb="FFFFD146"/>
        </patternFill>
      </fill>
    </dxf>
    <dxf>
      <fill>
        <patternFill>
          <bgColor rgb="FFF1616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rgb="FF56B146"/>
        </patternFill>
      </fill>
    </dxf>
    <dxf>
      <fill>
        <patternFill>
          <bgColor theme="0"/>
        </patternFill>
      </fill>
    </dxf>
    <dxf>
      <fill>
        <patternFill>
          <bgColor rgb="FFF16161"/>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theme="0"/>
        </patternFill>
      </fill>
    </dxf>
    <dxf>
      <border>
        <left style="thin">
          <color theme="0"/>
        </left>
        <right style="thin">
          <color theme="0"/>
        </right>
        <top style="thin">
          <color theme="0"/>
        </top>
        <bottom style="thin">
          <color theme="0"/>
        </bottom>
        <vertical/>
        <horizontal/>
      </border>
    </dxf>
    <dxf>
      <fill>
        <patternFill>
          <bgColor rgb="FFF16161"/>
        </patternFill>
      </fill>
    </dxf>
    <dxf>
      <fill>
        <patternFill>
          <bgColor rgb="FFFFD146"/>
        </patternFill>
      </fill>
    </dxf>
    <dxf>
      <fill>
        <patternFill>
          <bgColor rgb="FF56B146"/>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rgb="FFFFD146"/>
        </patternFill>
      </fill>
    </dxf>
    <dxf>
      <font>
        <color theme="0"/>
      </font>
      <fill>
        <patternFill>
          <bgColor theme="0"/>
        </patternFill>
      </fill>
      <border>
        <vertical/>
        <horizontal/>
      </border>
    </dxf>
    <dxf>
      <fill>
        <patternFill>
          <bgColor theme="0"/>
        </patternFill>
      </fill>
    </dxf>
    <dxf>
      <fill>
        <patternFill>
          <bgColor rgb="FF56B146"/>
        </patternFill>
      </fill>
    </dxf>
    <dxf>
      <border>
        <left style="thin">
          <color theme="0"/>
        </left>
        <right style="thin">
          <color theme="0"/>
        </right>
        <top style="thin">
          <color theme="0"/>
        </top>
        <bottom style="thin">
          <color theme="0"/>
        </bottom>
        <vertical/>
        <horizontal/>
      </border>
    </dxf>
    <dxf>
      <fill>
        <patternFill>
          <bgColor rgb="FFF1616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patternFill>
      </fill>
    </dxf>
    <dxf>
      <fill>
        <patternFill>
          <bgColor rgb="FFFFD146"/>
        </patternFill>
      </fill>
    </dxf>
    <dxf>
      <fill>
        <patternFill>
          <bgColor rgb="FFF16161"/>
        </patternFill>
      </fill>
    </dxf>
    <dxf>
      <fill>
        <patternFill>
          <bgColor rgb="FF56B146"/>
        </patternFill>
      </fill>
    </dxf>
    <dxf>
      <fill>
        <patternFill>
          <bgColor rgb="FF56B146"/>
        </patternFill>
      </fill>
    </dxf>
    <dxf>
      <fill>
        <patternFill>
          <bgColor rgb="FFFFD146"/>
        </patternFill>
      </fill>
    </dxf>
    <dxf>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ill>
        <patternFill>
          <bgColor rgb="FFF1616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font>
      <fill>
        <patternFill>
          <bgColor theme="0"/>
        </patternFill>
      </fill>
      <border>
        <left/>
        <right/>
        <top/>
        <bottom/>
      </border>
    </dxf>
    <dxf>
      <border>
        <left style="thin">
          <color theme="0"/>
        </left>
        <right style="thin">
          <color theme="0"/>
        </right>
        <top style="thin">
          <color theme="0"/>
        </top>
        <bottom style="thin">
          <color theme="0"/>
        </bottom>
        <vertical/>
        <horizontal/>
      </border>
    </dxf>
    <dxf>
      <fill>
        <patternFill>
          <bgColor theme="0"/>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ont>
        <b/>
        <i val="0"/>
        <color rgb="FFFF0000"/>
      </font>
    </dxf>
    <dxf>
      <font>
        <color theme="0"/>
      </font>
      <fill>
        <patternFill>
          <bgColor theme="0"/>
        </patternFill>
      </fill>
    </dxf>
    <dxf>
      <font>
        <b/>
        <i val="0"/>
        <color rgb="FFFF0000"/>
      </font>
    </dxf>
    <dxf>
      <font>
        <b/>
        <i val="0"/>
        <color rgb="FFFF0000"/>
      </font>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1"/>
      </font>
      <fill>
        <patternFill>
          <bgColor theme="0"/>
        </patternFill>
      </fill>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dxf>
    <dxf>
      <font>
        <b/>
        <i val="0"/>
        <color rgb="FFFF0000"/>
      </font>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ont>
        <color theme="0"/>
      </font>
      <fill>
        <patternFill>
          <bgColor theme="0"/>
        </patternFill>
      </fill>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ill>
        <patternFill>
          <bgColor theme="0" tint="-0.14996795556505021"/>
        </patternFill>
      </fill>
    </dxf>
    <dxf>
      <font>
        <b/>
        <i val="0"/>
        <color rgb="FFFF0000"/>
      </font>
    </dxf>
    <dxf>
      <font>
        <color theme="0"/>
      </font>
      <fill>
        <patternFill>
          <bgColor theme="0"/>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theme="0" tint="-0.1499679555650502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FD146"/>
        </patternFill>
      </fill>
    </dxf>
    <dxf>
      <fill>
        <patternFill>
          <bgColor rgb="FF56B146"/>
        </patternFill>
      </fill>
    </dxf>
    <dxf>
      <fill>
        <patternFill>
          <bgColor rgb="FFF16161"/>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rgb="FFFFD146"/>
        </patternFill>
      </fill>
    </dxf>
    <dxf>
      <font>
        <color theme="0"/>
      </font>
      <fill>
        <patternFill>
          <bgColor theme="0"/>
        </patternFill>
      </fill>
      <border>
        <vertical/>
        <horizontal/>
      </border>
    </dxf>
    <dxf>
      <fill>
        <patternFill>
          <bgColor rgb="FF56B146"/>
        </patternFill>
      </fill>
    </dxf>
    <dxf>
      <fill>
        <patternFill>
          <bgColor rgb="FFF16161"/>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border>
        <vertical/>
        <horizontal/>
      </border>
    </dxf>
    <dxf>
      <font>
        <color theme="0"/>
      </font>
      <fill>
        <patternFill>
          <bgColor theme="0"/>
        </patternFill>
      </fill>
      <border>
        <vertical/>
        <horizontal/>
      </border>
    </dxf>
    <dxf>
      <fill>
        <patternFill>
          <bgColor theme="0" tint="-0.14996795556505021"/>
        </patternFill>
      </fill>
    </dxf>
    <dxf>
      <fill>
        <patternFill>
          <bgColor rgb="FF56B146"/>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rgb="FFFFD146"/>
        </patternFill>
      </fill>
    </dxf>
    <dxf>
      <fill>
        <patternFill>
          <bgColor rgb="FF56B146"/>
        </patternFill>
      </fill>
    </dxf>
    <dxf>
      <fill>
        <patternFill>
          <bgColor rgb="FFF1616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16161"/>
        </patternFill>
      </fill>
    </dxf>
    <dxf>
      <font>
        <color theme="0"/>
      </font>
      <fill>
        <patternFill>
          <bgColor theme="0"/>
        </patternFill>
      </fill>
      <border>
        <vertical/>
        <horizontal/>
      </border>
    </dxf>
    <dxf>
      <fill>
        <patternFill>
          <bgColor rgb="FFFFD146"/>
        </patternFill>
      </fill>
    </dxf>
    <dxf>
      <fill>
        <patternFill>
          <bgColor rgb="FF56B146"/>
        </patternFill>
      </fill>
    </dxf>
    <dxf>
      <fill>
        <patternFill>
          <bgColor theme="0" tint="-0.14996795556505021"/>
        </patternFill>
      </fill>
    </dxf>
    <dxf>
      <fill>
        <patternFill>
          <bgColor rgb="FF56B146"/>
        </patternFill>
      </fill>
    </dxf>
    <dxf>
      <fill>
        <patternFill>
          <bgColor rgb="FFF16161"/>
        </patternFill>
      </fill>
    </dxf>
    <dxf>
      <fill>
        <patternFill>
          <bgColor rgb="FFFFD146"/>
        </patternFill>
      </fill>
    </dxf>
    <dxf>
      <fill>
        <patternFill>
          <bgColor theme="0"/>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theme="0" tint="-0.14996795556505021"/>
        </patternFill>
      </fill>
    </dxf>
    <dxf>
      <fill>
        <patternFill>
          <bgColor rgb="FFFFD146"/>
        </patternFill>
      </fill>
    </dxf>
    <dxf>
      <fill>
        <patternFill>
          <bgColor rgb="FFF16161"/>
        </patternFill>
      </fill>
    </dxf>
    <dxf>
      <fill>
        <patternFill>
          <bgColor rgb="FF56B146"/>
        </patternFill>
      </fill>
    </dxf>
    <dxf>
      <font>
        <color theme="0"/>
      </font>
      <fill>
        <patternFill>
          <bgColor theme="0"/>
        </patternFill>
      </fill>
      <border>
        <vertical/>
        <horizontal/>
      </border>
    </dxf>
    <dxf>
      <fill>
        <patternFill>
          <bgColor rgb="FF56B146"/>
        </patternFill>
      </fill>
    </dxf>
    <dxf>
      <fill>
        <patternFill>
          <bgColor rgb="FFF16161"/>
        </patternFill>
      </fill>
    </dxf>
    <dxf>
      <fill>
        <patternFill>
          <bgColor rgb="FFFFD146"/>
        </patternFill>
      </fill>
    </dxf>
    <dxf>
      <fill>
        <patternFill>
          <bgColor rgb="FFFFD146"/>
        </patternFill>
      </fill>
    </dxf>
    <dxf>
      <fill>
        <patternFill>
          <bgColor rgb="FF56B146"/>
        </patternFill>
      </fill>
    </dxf>
    <dxf>
      <fill>
        <patternFill>
          <bgColor rgb="FFF16161"/>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ont>
        <color theme="0"/>
      </font>
      <fill>
        <patternFill>
          <bgColor theme="0"/>
        </patternFill>
      </fill>
      <border>
        <vertical/>
        <horizontal/>
      </border>
    </dxf>
    <dxf>
      <fill>
        <patternFill>
          <bgColor theme="0" tint="-0.14996795556505021"/>
        </patternFill>
      </fill>
    </dxf>
    <dxf>
      <fill>
        <patternFill>
          <bgColor theme="0" tint="-0.14996795556505021"/>
        </patternFill>
      </fill>
    </dxf>
    <dxf>
      <fill>
        <patternFill>
          <bgColor theme="0"/>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theme="0" tint="-0.14996795556505021"/>
        </patternFill>
      </fill>
    </dxf>
    <dxf>
      <font>
        <color theme="0"/>
      </font>
      <fill>
        <patternFill>
          <bgColor theme="0"/>
        </patternFill>
      </fill>
      <border>
        <vertical/>
        <horizontal/>
      </border>
    </dxf>
    <dxf>
      <fill>
        <patternFill>
          <bgColor rgb="FF56B146"/>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F16161"/>
        </patternFill>
      </fill>
    </dxf>
    <dxf>
      <fill>
        <patternFill>
          <bgColor rgb="FF56B146"/>
        </patternFill>
      </fill>
    </dxf>
    <dxf>
      <fill>
        <patternFill>
          <bgColor rgb="FFFFD146"/>
        </patternFill>
      </fill>
    </dxf>
    <dxf>
      <fill>
        <patternFill>
          <bgColor theme="0" tint="-0.1499679555650502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F16161"/>
        </patternFill>
      </fill>
    </dxf>
    <dxf>
      <fill>
        <patternFill>
          <bgColor rgb="FF56B146"/>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FD146"/>
        </patternFill>
      </fill>
    </dxf>
    <dxf>
      <fill>
        <patternFill>
          <bgColor rgb="FFF16161"/>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theme="0" tint="-0.1499679555650502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56B146"/>
        </patternFill>
      </fill>
    </dxf>
    <dxf>
      <fill>
        <patternFill>
          <bgColor rgb="FFF1616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16161"/>
        </patternFill>
      </fill>
    </dxf>
    <dxf>
      <font>
        <color theme="0"/>
      </font>
      <fill>
        <patternFill>
          <bgColor theme="0"/>
        </patternFill>
      </fill>
      <border>
        <vertical/>
        <horizontal/>
      </border>
    </dxf>
    <dxf>
      <fill>
        <patternFill>
          <bgColor rgb="FFFFD146"/>
        </patternFill>
      </fill>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rgb="FFFFD146"/>
        </patternFill>
      </fill>
    </dxf>
    <dxf>
      <font>
        <color theme="0"/>
      </font>
      <fill>
        <patternFill>
          <bgColor theme="0"/>
        </patternFill>
      </fill>
      <border>
        <vertical/>
        <horizontal/>
      </border>
    </dxf>
    <dxf>
      <fill>
        <patternFill>
          <bgColor rgb="FF56B146"/>
        </patternFill>
      </fill>
    </dxf>
    <dxf>
      <fill>
        <patternFill>
          <bgColor rgb="FFF16161"/>
        </patternFill>
      </fill>
    </dxf>
    <dxf>
      <fill>
        <patternFill>
          <bgColor theme="0"/>
        </patternFill>
      </fill>
    </dxf>
    <dxf>
      <fill>
        <patternFill>
          <bgColor rgb="FF56B146"/>
        </patternFill>
      </fill>
    </dxf>
    <dxf>
      <fill>
        <patternFill>
          <bgColor rgb="FFF16161"/>
        </patternFill>
      </fill>
    </dxf>
    <dxf>
      <fill>
        <patternFill>
          <bgColor rgb="FFFFD146"/>
        </patternFill>
      </fill>
    </dxf>
    <dxf>
      <border>
        <left style="thin">
          <color theme="0"/>
        </left>
        <right style="thin">
          <color theme="0"/>
        </right>
        <top style="thin">
          <color theme="0"/>
        </top>
        <bottom style="thin">
          <color theme="0"/>
        </bottom>
        <vertical/>
        <horizontal/>
      </border>
    </dxf>
    <dxf>
      <fill>
        <patternFill>
          <bgColor rgb="FFF16161"/>
        </patternFill>
      </fill>
    </dxf>
    <dxf>
      <fill>
        <patternFill>
          <bgColor rgb="FF56B146"/>
        </patternFill>
      </fill>
    </dxf>
    <dxf>
      <fill>
        <patternFill>
          <bgColor theme="0" tint="-0.14996795556505021"/>
        </patternFill>
      </fill>
    </dxf>
    <dxf>
      <fill>
        <patternFill>
          <bgColor rgb="FFFFD146"/>
        </patternFill>
      </fill>
    </dxf>
    <dxf>
      <font>
        <color theme="0"/>
      </font>
      <fill>
        <patternFill>
          <bgColor theme="0"/>
        </patternFill>
      </fill>
      <border>
        <vertical/>
        <horizontal/>
      </border>
    </dxf>
    <dxf>
      <fill>
        <patternFill>
          <bgColor theme="0"/>
        </patternFill>
      </fill>
    </dxf>
    <dxf>
      <fill>
        <patternFill>
          <bgColor rgb="FFFFD146"/>
        </patternFill>
      </fill>
    </dxf>
    <dxf>
      <fill>
        <patternFill>
          <bgColor rgb="FF56B146"/>
        </patternFill>
      </fill>
    </dxf>
    <dxf>
      <fill>
        <patternFill>
          <bgColor rgb="FFF16161"/>
        </patternFill>
      </fill>
    </dxf>
    <dxf>
      <fill>
        <patternFill>
          <bgColor theme="0" tint="-0.14996795556505021"/>
        </patternFill>
      </fill>
    </dxf>
    <dxf>
      <font>
        <color theme="0"/>
      </font>
      <fill>
        <patternFill>
          <bgColor theme="0"/>
        </patternFill>
      </fill>
      <border>
        <vertical/>
        <horizontal/>
      </border>
    </dxf>
    <dxf>
      <fill>
        <patternFill>
          <bgColor rgb="FFF16161"/>
        </patternFill>
      </fill>
    </dxf>
    <dxf>
      <fill>
        <patternFill>
          <bgColor theme="0"/>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56B146"/>
        </patternFill>
      </fill>
    </dxf>
    <dxf>
      <fill>
        <patternFill>
          <bgColor rgb="FFFFD146"/>
        </patternFill>
      </fill>
    </dxf>
    <dxf>
      <font>
        <color theme="0"/>
      </font>
      <fill>
        <patternFill>
          <bgColor theme="0"/>
        </patternFill>
      </fill>
      <border>
        <vertical/>
        <horizontal/>
      </border>
    </dxf>
    <dxf>
      <font>
        <color theme="0"/>
      </font>
      <fill>
        <patternFill>
          <bgColor theme="0"/>
        </patternFill>
      </fill>
      <border>
        <vertical/>
        <horizontal/>
      </border>
    </dxf>
    <dxf>
      <fill>
        <patternFill>
          <bgColor theme="0" tint="-0.14996795556505021"/>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rgb="FF56B146"/>
        </patternFill>
      </fill>
    </dxf>
    <dxf>
      <fill>
        <patternFill>
          <bgColor rgb="FFFFD146"/>
        </patternFill>
      </fill>
    </dxf>
    <dxf>
      <fill>
        <patternFill>
          <bgColor theme="0"/>
        </patternFill>
      </fill>
    </dxf>
    <dxf>
      <fill>
        <patternFill>
          <bgColor rgb="FF56B146"/>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FFD146"/>
        </patternFill>
      </fill>
    </dxf>
    <dxf>
      <fill>
        <patternFill>
          <bgColor rgb="FFF16161"/>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rgb="FF56B146"/>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16161"/>
        </patternFill>
      </fill>
    </dxf>
    <dxf>
      <font>
        <color theme="0"/>
      </font>
      <fill>
        <patternFill>
          <bgColor theme="0"/>
        </patternFill>
      </fill>
      <border>
        <vertical/>
        <horizontal/>
      </border>
    </dxf>
    <dxf>
      <fill>
        <patternFill>
          <bgColor rgb="FFFFD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F16161"/>
        </patternFill>
      </fill>
    </dxf>
    <dxf>
      <font>
        <color theme="0"/>
      </font>
      <fill>
        <patternFill>
          <bgColor theme="0"/>
        </patternFill>
      </fill>
      <border>
        <vertical/>
        <horizontal/>
      </border>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56B146"/>
        </patternFill>
      </fill>
    </dxf>
    <dxf>
      <font>
        <color theme="0"/>
      </font>
      <fill>
        <patternFill>
          <bgColor theme="0"/>
        </patternFill>
      </fill>
      <border>
        <vertical/>
        <horizontal/>
      </border>
    </dxf>
    <dxf>
      <font>
        <color theme="0"/>
      </font>
      <fill>
        <patternFill>
          <bgColor theme="0"/>
        </patternFill>
      </fill>
      <border>
        <vertical/>
        <horizontal/>
      </border>
    </dxf>
    <dxf>
      <fill>
        <patternFill>
          <bgColor theme="0" tint="-0.14996795556505021"/>
        </patternFill>
      </fill>
    </dxf>
    <dxf>
      <fill>
        <patternFill>
          <bgColor rgb="FFFFD146"/>
        </patternFill>
      </fill>
    </dxf>
    <dxf>
      <fill>
        <patternFill>
          <bgColor rgb="FFF16161"/>
        </patternFill>
      </fill>
    </dxf>
    <dxf>
      <fill>
        <patternFill>
          <bgColor rgb="FF56B146"/>
        </patternFill>
      </fill>
    </dxf>
    <dxf>
      <fill>
        <patternFill>
          <bgColor rgb="FFF16161"/>
        </patternFill>
      </fill>
    </dxf>
    <dxf>
      <fill>
        <patternFill>
          <bgColor rgb="FF56B146"/>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56B146"/>
        </patternFill>
      </fill>
    </dxf>
    <dxf>
      <fill>
        <patternFill>
          <bgColor rgb="FFFFD146"/>
        </patternFill>
      </fill>
    </dxf>
    <dxf>
      <fill>
        <patternFill>
          <bgColor rgb="FFFFD146"/>
        </patternFill>
      </fill>
    </dxf>
    <dxf>
      <fill>
        <patternFill>
          <bgColor rgb="FFF16161"/>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56B146"/>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rgb="FFFFD146"/>
        </patternFill>
      </fill>
    </dxf>
    <dxf>
      <font>
        <color theme="0"/>
      </font>
      <fill>
        <patternFill>
          <bgColor theme="0"/>
        </patternFill>
      </fill>
      <border>
        <vertical/>
        <horizontal/>
      </border>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FFD146"/>
        </patternFill>
      </fill>
    </dxf>
    <dxf>
      <fill>
        <patternFill>
          <bgColor rgb="FFF16161"/>
        </patternFill>
      </fill>
    </dxf>
    <dxf>
      <font>
        <color theme="0"/>
      </font>
      <fill>
        <patternFill>
          <bgColor theme="0"/>
        </patternFill>
      </fill>
      <border>
        <vertical/>
        <horizontal/>
      </border>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56B146"/>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ill>
        <patternFill>
          <bgColor theme="0"/>
        </patternFill>
      </fill>
    </dxf>
    <dxf>
      <fill>
        <patternFill>
          <bgColor rgb="FF56B146"/>
        </patternFill>
      </fill>
    </dxf>
    <dxf>
      <font>
        <color theme="0"/>
      </font>
      <fill>
        <patternFill>
          <bgColor theme="0"/>
        </patternFill>
      </fill>
      <border>
        <vertical/>
        <horizontal/>
      </border>
    </dxf>
    <dxf>
      <fill>
        <patternFill>
          <bgColor rgb="FFFFD146"/>
        </patternFill>
      </fill>
    </dxf>
    <dxf>
      <fill>
        <patternFill>
          <bgColor theme="0"/>
        </patternFill>
      </fill>
    </dxf>
    <dxf>
      <fill>
        <patternFill>
          <bgColor rgb="FFF16161"/>
        </patternFill>
      </fill>
    </dxf>
    <dxf>
      <fill>
        <patternFill>
          <bgColor rgb="FFF16161"/>
        </patternFill>
      </fill>
    </dxf>
    <dxf>
      <fill>
        <patternFill>
          <bgColor rgb="FFFFD146"/>
        </patternFill>
      </fill>
    </dxf>
    <dxf>
      <fill>
        <patternFill>
          <bgColor rgb="FF56B146"/>
        </patternFill>
      </fill>
    </dxf>
    <dxf>
      <fill>
        <patternFill>
          <bgColor theme="0"/>
        </patternFill>
      </fill>
    </dxf>
    <dxf>
      <font>
        <color theme="0"/>
      </font>
      <fill>
        <patternFill>
          <bgColor theme="0"/>
        </patternFill>
      </fill>
      <border>
        <vertical/>
        <horizontal/>
      </border>
    </dxf>
    <dxf>
      <fill>
        <patternFill>
          <bgColor rgb="FFF16161"/>
        </patternFill>
      </fill>
    </dxf>
    <dxf>
      <fill>
        <patternFill>
          <bgColor theme="0"/>
        </patternFill>
      </fill>
    </dxf>
    <dxf>
      <fill>
        <patternFill>
          <bgColor rgb="FFFFD146"/>
        </patternFill>
      </fill>
    </dxf>
    <dxf>
      <font>
        <color theme="0"/>
      </font>
      <fill>
        <patternFill>
          <bgColor theme="0"/>
        </patternFill>
      </fill>
      <border>
        <vertical/>
        <horizontal/>
      </border>
    </dxf>
    <dxf>
      <fill>
        <patternFill>
          <bgColor rgb="FF56B146"/>
        </patternFill>
      </fill>
    </dxf>
    <dxf>
      <fill>
        <patternFill>
          <bgColor rgb="FF56B146"/>
        </patternFill>
      </fill>
    </dxf>
    <dxf>
      <fill>
        <patternFill>
          <bgColor rgb="FFFFD146"/>
        </patternFill>
      </fill>
    </dxf>
    <dxf>
      <fill>
        <patternFill>
          <bgColor theme="0"/>
        </patternFill>
      </fill>
    </dxf>
    <dxf>
      <fill>
        <patternFill>
          <bgColor rgb="FFF16161"/>
        </patternFill>
      </fill>
    </dxf>
    <dxf>
      <font>
        <color theme="0"/>
      </font>
      <fill>
        <patternFill>
          <bgColor theme="0"/>
        </patternFill>
      </fill>
      <border>
        <vertical/>
        <horizontal/>
      </border>
    </dxf>
    <dxf>
      <fill>
        <patternFill>
          <bgColor theme="0"/>
        </patternFill>
      </fill>
    </dxf>
    <dxf>
      <fill>
        <patternFill>
          <bgColor rgb="FFF16161"/>
        </patternFill>
      </fill>
    </dxf>
    <dxf>
      <fill>
        <patternFill>
          <bgColor rgb="FFFFD146"/>
        </patternFill>
      </fill>
    </dxf>
    <dxf>
      <fill>
        <patternFill>
          <bgColor rgb="FF56B146"/>
        </patternFill>
      </fill>
    </dxf>
    <dxf>
      <font>
        <color theme="0"/>
      </font>
      <fill>
        <patternFill>
          <bgColor theme="0"/>
        </patternFill>
      </fill>
      <border>
        <vertical/>
        <horizontal/>
      </border>
    </dxf>
    <dxf>
      <font>
        <color theme="0"/>
      </font>
      <fill>
        <patternFill>
          <bgColor theme="0"/>
        </patternFill>
      </fill>
      <border>
        <vertical/>
        <horizontal/>
      </border>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56B146"/>
        </patternFill>
      </fill>
    </dxf>
    <dxf>
      <fill>
        <patternFill>
          <bgColor rgb="FFF16161"/>
        </patternFill>
      </fill>
    </dxf>
    <dxf>
      <font>
        <color theme="0"/>
      </font>
      <fill>
        <patternFill>
          <bgColor theme="0"/>
        </patternFill>
      </fill>
      <border>
        <vertical/>
        <horizontal/>
      </border>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ont>
        <color theme="0"/>
      </font>
      <fill>
        <patternFill>
          <bgColor theme="0"/>
        </patternFill>
      </fill>
      <border>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border>
        <vertical/>
        <horizontal/>
      </border>
    </dxf>
    <dxf>
      <fill>
        <patternFill>
          <bgColor theme="0"/>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ont>
        <b/>
        <i val="0"/>
        <color rgb="FFFF0000"/>
      </font>
    </dxf>
    <dxf>
      <font>
        <b/>
        <i val="0"/>
        <color rgb="FFFF0000"/>
      </font>
    </dxf>
    <dxf>
      <font>
        <b/>
        <i val="0"/>
        <color rgb="FFFF0000"/>
      </font>
    </dxf>
    <dxf>
      <font>
        <color theme="0"/>
      </font>
      <fill>
        <patternFill>
          <bgColor theme="0"/>
        </patternFill>
      </fill>
      <border>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1"/>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border>
        <vertical/>
        <horizontal/>
      </border>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color theme="0"/>
      </font>
      <fill>
        <patternFill>
          <bgColor theme="0"/>
        </patternFill>
      </fill>
      <border>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ont>
        <color theme="0"/>
      </font>
      <fill>
        <patternFill>
          <bgColor theme="0"/>
        </patternFill>
      </fill>
      <border>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border>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ont>
        <color theme="0"/>
      </font>
      <fill>
        <patternFill>
          <bgColor theme="0"/>
        </patternFill>
      </fill>
      <border>
        <vertical/>
        <horizontal/>
      </border>
    </dxf>
    <dxf>
      <fill>
        <patternFill>
          <bgColor theme="0" tint="-0.14996795556505021"/>
        </patternFill>
      </fill>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b/>
        <i val="0"/>
        <color rgb="FFFF0000"/>
      </font>
    </dxf>
    <dxf>
      <font>
        <color theme="0"/>
      </font>
      <fill>
        <patternFill>
          <bgColor theme="0"/>
        </patternFill>
      </fill>
      <border>
        <vertical/>
        <horizontal/>
      </border>
    </dxf>
    <dxf>
      <fill>
        <patternFill>
          <bgColor theme="0" tint="-0.14996795556505021"/>
        </patternFill>
      </fill>
    </dxf>
    <dxf>
      <fill>
        <patternFill>
          <bgColor theme="0" tint="-0.14996795556505021"/>
        </patternFill>
      </fill>
    </dxf>
    <dxf>
      <font>
        <b/>
        <i val="0"/>
        <color rgb="FFFF0000"/>
      </font>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color theme="0"/>
      </font>
      <fill>
        <patternFill>
          <bgColor theme="0"/>
        </patternFill>
      </fill>
      <border>
        <vertical/>
        <horizontal/>
      </border>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ill>
        <patternFill>
          <bgColor theme="0" tint="-0.14996795556505021"/>
        </patternFill>
      </fill>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ont>
        <b/>
        <i val="0"/>
        <color rgb="FFFF0000"/>
      </font>
    </dxf>
    <dxf>
      <fill>
        <patternFill>
          <bgColor theme="0" tint="-0.14996795556505021"/>
        </patternFill>
      </fill>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vertical/>
        <horizontal/>
      </border>
    </dxf>
    <dxf>
      <border>
        <left style="thin">
          <color theme="0"/>
        </left>
        <right style="thin">
          <color theme="0"/>
        </right>
        <top style="thin">
          <color theme="0"/>
        </top>
        <bottom style="thin">
          <color theme="0"/>
        </bottom>
        <vertical/>
        <horizontal/>
      </border>
    </dxf>
    <dxf>
      <fill>
        <patternFill>
          <bgColor theme="0" tint="-0.14996795556505021"/>
        </patternFill>
      </fill>
    </dxf>
    <dxf>
      <font>
        <b/>
        <i val="0"/>
        <color rgb="FFFF0000"/>
      </font>
    </dxf>
    <dxf>
      <fill>
        <patternFill>
          <bgColor theme="0" tint="-0.14996795556505021"/>
        </patternFill>
      </fill>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56B146"/>
        </patternFill>
      </fill>
    </dxf>
    <dxf>
      <fill>
        <patternFill>
          <bgColor theme="0" tint="-0.14996795556505021"/>
        </patternFill>
      </fill>
    </dxf>
    <dxf>
      <fill>
        <patternFill>
          <bgColor theme="0"/>
        </patternFill>
      </fill>
    </dxf>
    <dxf>
      <fill>
        <patternFill>
          <bgColor rgb="FFF1616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56B146"/>
        </patternFill>
      </fill>
    </dxf>
    <dxf>
      <fill>
        <patternFill>
          <bgColor rgb="FFF16161"/>
        </patternFill>
      </fill>
    </dxf>
    <dxf>
      <fill>
        <patternFill>
          <bgColor theme="0"/>
        </patternFill>
      </fill>
    </dxf>
    <dxf>
      <fill>
        <patternFill>
          <bgColor rgb="FFFFD146"/>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rgb="FFFFD146"/>
        </patternFill>
      </fill>
    </dxf>
    <dxf>
      <fill>
        <patternFill>
          <bgColor theme="0"/>
        </patternFill>
      </fill>
    </dxf>
    <dxf>
      <fill>
        <patternFill>
          <bgColor rgb="FFF16161"/>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rgb="FFF16161"/>
        </patternFill>
      </fill>
    </dxf>
    <dxf>
      <fill>
        <patternFill>
          <bgColor theme="0"/>
        </patternFill>
      </fill>
    </dxf>
    <dxf>
      <fill>
        <patternFill>
          <bgColor theme="0" tint="-0.14996795556505021"/>
        </patternFill>
      </fill>
    </dxf>
    <dxf>
      <fill>
        <patternFill>
          <bgColor rgb="FFFFD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theme="0"/>
        </patternFill>
      </fill>
    </dxf>
    <dxf>
      <fill>
        <patternFill>
          <bgColor rgb="FFFFD146"/>
        </patternFill>
      </fill>
    </dxf>
    <dxf>
      <fill>
        <patternFill>
          <bgColor rgb="FF56B146"/>
        </patternFill>
      </fill>
    </dxf>
    <dxf>
      <fill>
        <patternFill>
          <bgColor rgb="FFF16161"/>
        </patternFill>
      </fill>
    </dxf>
    <dxf>
      <fill>
        <patternFill>
          <bgColor rgb="FFFFD146"/>
        </patternFill>
      </fill>
    </dxf>
    <dxf>
      <fill>
        <patternFill>
          <bgColor rgb="FFF16161"/>
        </patternFill>
      </fill>
    </dxf>
    <dxf>
      <fill>
        <patternFill>
          <bgColor theme="0"/>
        </patternFill>
      </fill>
    </dxf>
    <dxf>
      <fill>
        <patternFill>
          <bgColor rgb="FF56B146"/>
        </patternFill>
      </fill>
    </dxf>
    <dxf>
      <fill>
        <patternFill>
          <bgColor theme="0" tint="-0.14996795556505021"/>
        </patternFill>
      </fill>
    </dxf>
    <dxf>
      <fill>
        <patternFill>
          <bgColor rgb="FFF16161"/>
        </patternFill>
      </fill>
    </dxf>
    <dxf>
      <fill>
        <patternFill>
          <bgColor rgb="FFFFD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theme="0" tint="-0.14996795556505021"/>
        </patternFill>
      </fill>
    </dxf>
    <dxf>
      <fill>
        <patternFill>
          <bgColor rgb="FFFFD146"/>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rgb="FF56B146"/>
        </patternFill>
      </fill>
    </dxf>
    <dxf>
      <fill>
        <patternFill>
          <bgColor rgb="FFF16161"/>
        </patternFill>
      </fill>
    </dxf>
    <dxf>
      <fill>
        <patternFill>
          <bgColor theme="0"/>
        </patternFill>
      </fill>
    </dxf>
    <dxf>
      <fill>
        <patternFill>
          <bgColor theme="0"/>
        </patternFill>
      </fill>
    </dxf>
    <dxf>
      <fill>
        <patternFill>
          <bgColor rgb="FFF16161"/>
        </patternFill>
      </fill>
    </dxf>
    <dxf>
      <fill>
        <patternFill>
          <bgColor rgb="FF56B146"/>
        </patternFill>
      </fill>
    </dxf>
    <dxf>
      <fill>
        <patternFill>
          <bgColor rgb="FFFFD146"/>
        </patternFill>
      </fill>
    </dxf>
    <dxf>
      <fill>
        <patternFill>
          <bgColor theme="0" tint="-0.14996795556505021"/>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theme="0"/>
        </patternFill>
      </fill>
    </dxf>
    <dxf>
      <fill>
        <patternFill>
          <bgColor rgb="FFF16161"/>
        </patternFill>
      </fill>
    </dxf>
    <dxf>
      <fill>
        <patternFill>
          <bgColor rgb="FFFFD146"/>
        </patternFill>
      </fill>
    </dxf>
    <dxf>
      <fill>
        <patternFill>
          <bgColor rgb="FF56B146"/>
        </patternFill>
      </fill>
    </dxf>
    <dxf>
      <fill>
        <patternFill>
          <bgColor theme="0"/>
        </patternFill>
      </fill>
    </dxf>
    <dxf>
      <fill>
        <patternFill>
          <bgColor rgb="FF56B146"/>
        </patternFill>
      </fill>
    </dxf>
    <dxf>
      <fill>
        <patternFill>
          <bgColor rgb="FFFFD146"/>
        </patternFill>
      </fill>
    </dxf>
    <dxf>
      <fill>
        <patternFill>
          <bgColor rgb="FFF16161"/>
        </patternFill>
      </fill>
    </dxf>
    <dxf>
      <fill>
        <patternFill>
          <bgColor theme="0"/>
        </patternFill>
      </fill>
    </dxf>
    <dxf>
      <fill>
        <patternFill>
          <bgColor rgb="FFFFD146"/>
        </patternFill>
      </fill>
    </dxf>
    <dxf>
      <fill>
        <patternFill>
          <bgColor rgb="FFF16161"/>
        </patternFill>
      </fill>
    </dxf>
    <dxf>
      <fill>
        <patternFill>
          <bgColor rgb="FF56B146"/>
        </patternFill>
      </fill>
    </dxf>
    <dxf>
      <fill>
        <patternFill>
          <bgColor rgb="FFF16161"/>
        </patternFill>
      </fill>
    </dxf>
    <dxf>
      <fill>
        <patternFill>
          <bgColor theme="0"/>
        </patternFill>
      </fill>
    </dxf>
    <dxf>
      <fill>
        <patternFill>
          <bgColor theme="0" tint="-0.14996795556505021"/>
        </patternFill>
      </fill>
    </dxf>
    <dxf>
      <fill>
        <patternFill>
          <bgColor rgb="FF56B146"/>
        </patternFill>
      </fill>
    </dxf>
    <dxf>
      <fill>
        <patternFill>
          <bgColor rgb="FFFFD146"/>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ill>
        <patternFill>
          <bgColor theme="0" tint="-0.14996795556505021"/>
        </patternFill>
      </fill>
    </dxf>
    <dxf>
      <font>
        <b/>
        <i val="0"/>
        <color rgb="FFFF0000"/>
      </font>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ill>
        <patternFill>
          <bgColor theme="0" tint="-0.14996795556505021"/>
        </patternFill>
      </fill>
    </dxf>
    <dxf>
      <font>
        <b/>
        <i val="0"/>
        <color rgb="FFFF0000"/>
      </font>
    </dxf>
    <dxf>
      <fill>
        <patternFill>
          <bgColor theme="0" tint="-0.14996795556505021"/>
        </patternFill>
      </fill>
    </dxf>
    <dxf>
      <fill>
        <patternFill>
          <bgColor theme="0" tint="-0.14996795556505021"/>
        </patternFill>
      </fill>
    </dxf>
    <dxf>
      <font>
        <b/>
        <i val="0"/>
        <color rgb="FFFF0000"/>
      </font>
    </dxf>
    <dxf>
      <font>
        <b/>
        <i val="0"/>
        <color rgb="FFFF0000"/>
      </font>
    </dxf>
    <dxf>
      <font>
        <b/>
        <i val="0"/>
        <color rgb="FFFF0000"/>
      </font>
    </dxf>
    <dxf>
      <font>
        <b/>
        <i val="0"/>
        <color rgb="FFFF0000"/>
      </font>
    </dxf>
    <dxf>
      <fill>
        <patternFill>
          <bgColor theme="0" tint="-0.14996795556505021"/>
        </patternFill>
      </fill>
    </dxf>
    <dxf>
      <font>
        <b/>
        <i val="0"/>
        <color rgb="FFFF0000"/>
      </font>
    </dxf>
    <dxf>
      <border>
        <left style="thin">
          <color theme="1"/>
        </left>
        <right style="thin">
          <color theme="1"/>
        </right>
        <top style="thin">
          <color theme="1"/>
        </top>
        <bottom style="thin">
          <color theme="1"/>
        </bottom>
        <vertical/>
        <horizontal/>
      </border>
    </dxf>
    <dxf>
      <border>
        <left style="thin">
          <color theme="1"/>
        </left>
        <right style="thin">
          <color theme="1"/>
        </right>
        <top style="thin">
          <color theme="1"/>
        </top>
        <bottom style="thin">
          <color theme="1"/>
        </bottom>
        <vertical/>
        <horizontal/>
      </border>
    </dxf>
    <dxf>
      <font>
        <color theme="0"/>
      </font>
      <fill>
        <patternFill>
          <bgColor theme="0"/>
        </patternFill>
      </fill>
      <border>
        <left style="thin">
          <color theme="0"/>
        </left>
        <right style="thin">
          <color theme="0"/>
        </right>
        <top style="thin">
          <color theme="1"/>
        </top>
        <bottom style="thin">
          <color theme="1"/>
        </bottom>
      </border>
    </dxf>
    <dxf>
      <font>
        <color theme="0"/>
      </font>
      <fill>
        <patternFill>
          <bgColor theme="0"/>
        </patternFill>
      </fill>
      <border>
        <left/>
        <right/>
        <top style="thin">
          <color auto="1"/>
        </top>
        <bottom style="thin">
          <color auto="1"/>
        </bottom>
        <vertical/>
        <horizontal/>
      </border>
    </dxf>
    <dxf>
      <font>
        <color theme="0"/>
      </font>
      <fill>
        <patternFill>
          <bgColor theme="0"/>
        </patternFill>
      </fill>
      <border>
        <left/>
        <right/>
        <top style="thin">
          <color theme="0"/>
        </top>
        <bottom style="thin">
          <color theme="0"/>
        </bottom>
        <vertical/>
        <horizontal/>
      </border>
    </dxf>
    <dxf>
      <font>
        <color theme="0"/>
      </font>
      <fill>
        <patternFill>
          <bgColor theme="0"/>
        </patternFill>
      </fill>
      <border>
        <left/>
        <right/>
        <top/>
        <bottom style="thin">
          <color auto="1"/>
        </bottom>
        <vertical/>
        <horizontal/>
      </border>
    </dxf>
    <dxf>
      <font>
        <color theme="0"/>
      </font>
      <fill>
        <patternFill>
          <bgColor theme="0"/>
        </patternFill>
      </fill>
      <border>
        <left style="thin">
          <color theme="0"/>
        </left>
        <right style="thin">
          <color theme="0"/>
        </right>
        <top style="thin">
          <color theme="0"/>
        </top>
        <bottom style="thin">
          <color theme="1"/>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style="thin">
          <color theme="0"/>
        </top>
        <bottom style="thin">
          <color theme="0"/>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style="thin">
          <color theme="0"/>
        </top>
        <bottom/>
        <vertical/>
        <horizontal/>
      </border>
    </dxf>
    <dxf>
      <border>
        <top style="thin">
          <color auto="1"/>
        </top>
        <vertical/>
        <horizontal/>
      </border>
    </dxf>
    <dxf>
      <border>
        <top style="thin">
          <color theme="0"/>
        </top>
        <vertical/>
        <horizontal/>
      </border>
    </dxf>
  </dxfs>
  <tableStyles count="0" defaultTableStyle="TableStyleMedium9" defaultPivotStyle="PivotStyleLight16"/>
  <colors>
    <mruColors>
      <color rgb="FF56B146"/>
      <color rgb="FF3D6864"/>
      <color rgb="FFFFD146"/>
      <color rgb="FFF16161"/>
      <color rgb="FFC4BD97"/>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'Summary of Building Performance'!$AC$22</c:f>
              <c:strCache>
                <c:ptCount val="1"/>
                <c:pt idx="0">
                  <c:v>Section score available</c:v>
                </c:pt>
              </c:strCache>
            </c:strRef>
          </c:tx>
          <c:spPr>
            <a:solidFill>
              <a:srgbClr val="406864"/>
            </a:solidFill>
          </c:spPr>
          <c:invertIfNegative val="0"/>
          <c:cat>
            <c:strRef>
              <c:f>'Summary of Building Performance'!$AB$23:$AB$32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Performance'!$AC$23:$AC$32</c:f>
              <c:numCache>
                <c:formatCode>0%</c:formatCode>
                <c:ptCount val="10"/>
                <c:pt idx="0">
                  <c:v>0.13</c:v>
                </c:pt>
                <c:pt idx="1">
                  <c:v>0.16</c:v>
                </c:pt>
                <c:pt idx="2">
                  <c:v>0.14000000000000001</c:v>
                </c:pt>
                <c:pt idx="3">
                  <c:v>0.1</c:v>
                </c:pt>
                <c:pt idx="4">
                  <c:v>0.04</c:v>
                </c:pt>
                <c:pt idx="5">
                  <c:v>0.17</c:v>
                </c:pt>
                <c:pt idx="6">
                  <c:v>7.0000000000000007E-2</c:v>
                </c:pt>
                <c:pt idx="7">
                  <c:v>0.15</c:v>
                </c:pt>
                <c:pt idx="8">
                  <c:v>0.04</c:v>
                </c:pt>
                <c:pt idx="9">
                  <c:v>0.1</c:v>
                </c:pt>
              </c:numCache>
            </c:numRef>
          </c:val>
          <c:extLst>
            <c:ext xmlns:c16="http://schemas.microsoft.com/office/drawing/2014/chart" uri="{C3380CC4-5D6E-409C-BE32-E72D297353CC}">
              <c16:uniqueId val="{00000000-F474-4344-A64F-9500F3F284CF}"/>
            </c:ext>
          </c:extLst>
        </c:ser>
        <c:ser>
          <c:idx val="1"/>
          <c:order val="1"/>
          <c:tx>
            <c:strRef>
              <c:f>'Summary of Building Performance'!$AD$22</c:f>
              <c:strCache>
                <c:ptCount val="1"/>
                <c:pt idx="0">
                  <c:v>Initial target setting</c:v>
                </c:pt>
              </c:strCache>
            </c:strRef>
          </c:tx>
          <c:spPr>
            <a:solidFill>
              <a:srgbClr val="56B146"/>
            </a:solidFill>
          </c:spPr>
          <c:invertIfNegative val="0"/>
          <c:cat>
            <c:strRef>
              <c:f>'Summary of Building Performance'!$AB$23:$AB$32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Performance'!$AD$23:$AD$32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474-4344-A64F-9500F3F284CF}"/>
            </c:ext>
          </c:extLst>
        </c:ser>
        <c:ser>
          <c:idx val="2"/>
          <c:order val="2"/>
          <c:tx>
            <c:strRef>
              <c:f>'Summary of Building Performance'!$AE$22</c:f>
              <c:strCache>
                <c:ptCount val="1"/>
                <c:pt idx="0">
                  <c:v>Design phase</c:v>
                </c:pt>
              </c:strCache>
            </c:strRef>
          </c:tx>
          <c:spPr>
            <a:solidFill>
              <a:schemeClr val="accent1">
                <a:lumMod val="40000"/>
                <a:lumOff val="60000"/>
              </a:schemeClr>
            </a:solidFill>
          </c:spPr>
          <c:invertIfNegative val="0"/>
          <c:cat>
            <c:strRef>
              <c:f>'Summary of Building Performance'!$AB$23:$AB$32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Performance'!$AE$23:$AE$32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F474-4344-A64F-9500F3F284CF}"/>
            </c:ext>
          </c:extLst>
        </c:ser>
        <c:ser>
          <c:idx val="3"/>
          <c:order val="3"/>
          <c:tx>
            <c:strRef>
              <c:f>'Summary of Building Performance'!$AF$22</c:f>
              <c:strCache>
                <c:ptCount val="1"/>
                <c:pt idx="0">
                  <c:v>Construction phase</c:v>
                </c:pt>
              </c:strCache>
            </c:strRef>
          </c:tx>
          <c:spPr>
            <a:solidFill>
              <a:schemeClr val="bg2">
                <a:lumMod val="75000"/>
              </a:schemeClr>
            </a:solidFill>
          </c:spPr>
          <c:invertIfNegative val="0"/>
          <c:cat>
            <c:strRef>
              <c:f>'Summary of Building Performance'!$AB$23:$AB$32</c:f>
              <c:strCache>
                <c:ptCount val="10"/>
                <c:pt idx="0">
                  <c:v>Man</c:v>
                </c:pt>
                <c:pt idx="1">
                  <c:v>Hea</c:v>
                </c:pt>
                <c:pt idx="2">
                  <c:v>Ene</c:v>
                </c:pt>
                <c:pt idx="3">
                  <c:v>Tra</c:v>
                </c:pt>
                <c:pt idx="4">
                  <c:v>Wat</c:v>
                </c:pt>
                <c:pt idx="5">
                  <c:v>Mat</c:v>
                </c:pt>
                <c:pt idx="6">
                  <c:v>Wst</c:v>
                </c:pt>
                <c:pt idx="7">
                  <c:v>LE</c:v>
                </c:pt>
                <c:pt idx="8">
                  <c:v>Pol</c:v>
                </c:pt>
                <c:pt idx="9">
                  <c:v>Inn</c:v>
                </c:pt>
              </c:strCache>
            </c:strRef>
          </c:cat>
          <c:val>
            <c:numRef>
              <c:f>'Summary of Building Performance'!$AF$23:$AF$32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F474-4344-A64F-9500F3F284CF}"/>
            </c:ext>
          </c:extLst>
        </c:ser>
        <c:dLbls>
          <c:showLegendKey val="0"/>
          <c:showVal val="0"/>
          <c:showCatName val="0"/>
          <c:showSerName val="0"/>
          <c:showPercent val="0"/>
          <c:showBubbleSize val="0"/>
        </c:dLbls>
        <c:gapWidth val="75"/>
        <c:overlap val="-25"/>
        <c:axId val="621716544"/>
        <c:axId val="621717720"/>
      </c:barChart>
      <c:catAx>
        <c:axId val="62171654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7720"/>
        <c:crosses val="autoZero"/>
        <c:auto val="1"/>
        <c:lblAlgn val="ctr"/>
        <c:lblOffset val="100"/>
        <c:noMultiLvlLbl val="0"/>
      </c:catAx>
      <c:valAx>
        <c:axId val="621717720"/>
        <c:scaling>
          <c:orientation val="minMax"/>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nb-NO"/>
          </a:p>
        </c:txPr>
        <c:crossAx val="621716544"/>
        <c:crosses val="autoZero"/>
        <c:crossBetween val="between"/>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6350">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66029043955481"/>
          <c:y val="4.2195507462141082E-2"/>
          <c:w val="0.85957557632275794"/>
          <c:h val="0.722508509326657"/>
        </c:manualLayout>
      </c:layout>
      <c:barChart>
        <c:barDir val="col"/>
        <c:grouping val="clustered"/>
        <c:varyColors val="0"/>
        <c:ser>
          <c:idx val="0"/>
          <c:order val="0"/>
          <c:tx>
            <c:strRef>
              <c:f>'Summary of Building Performance'!$AC$36</c:f>
              <c:strCache>
                <c:ptCount val="1"/>
                <c:pt idx="0">
                  <c:v>Initial target setting</c:v>
                </c:pt>
              </c:strCache>
            </c:strRef>
          </c:tx>
          <c:spPr>
            <a:solidFill>
              <a:srgbClr val="56B146"/>
            </a:solidFill>
          </c:spPr>
          <c:invertIfNegative val="0"/>
          <c:cat>
            <c:strRef>
              <c:f>'Summary of Building Performance'!$AB$37:$AB$58</c:f>
              <c:strCache>
                <c:ptCount val="22"/>
                <c:pt idx="0">
                  <c:v>Man 01</c:v>
                </c:pt>
                <c:pt idx="1">
                  <c:v>Man 03</c:v>
                </c:pt>
                <c:pt idx="2">
                  <c:v>Man 04</c:v>
                </c:pt>
                <c:pt idx="3">
                  <c:v>Man 05</c:v>
                </c:pt>
                <c:pt idx="4">
                  <c:v>Hea 01</c:v>
                </c:pt>
                <c:pt idx="5">
                  <c:v>Hea 02</c:v>
                </c:pt>
                <c:pt idx="6">
                  <c:v>Ene 01</c:v>
                </c:pt>
                <c:pt idx="7">
                  <c:v>Ene 07</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'Summary of Building Performance'!$AC$37:$AC$58</c:f>
              <c:numCache>
                <c:formatCode>General</c:formatCode>
                <c:ptCount val="22"/>
                <c:pt idx="0">
                  <c:v>3</c:v>
                </c:pt>
                <c:pt idx="1">
                  <c:v>0</c:v>
                </c:pt>
                <c:pt idx="2">
                  <c:v>0</c:v>
                </c:pt>
                <c:pt idx="3">
                  <c:v>3</c:v>
                </c:pt>
                <c:pt idx="4">
                  <c:v>0</c:v>
                </c:pt>
                <c:pt idx="5">
                  <c:v>0</c:v>
                </c:pt>
                <c:pt idx="6">
                  <c:v>3</c:v>
                </c:pt>
                <c:pt idx="7">
                  <c:v>0</c:v>
                </c:pt>
                <c:pt idx="8">
                  <c:v>3</c:v>
                </c:pt>
                <c:pt idx="9">
                  <c:v>3</c:v>
                </c:pt>
                <c:pt idx="10">
                  <c:v>0</c:v>
                </c:pt>
                <c:pt idx="11">
                  <c:v>0</c:v>
                </c:pt>
                <c:pt idx="12">
                  <c:v>0</c:v>
                </c:pt>
                <c:pt idx="13">
                  <c:v>3</c:v>
                </c:pt>
                <c:pt idx="14">
                  <c:v>0</c:v>
                </c:pt>
                <c:pt idx="15">
                  <c:v>3</c:v>
                </c:pt>
                <c:pt idx="16">
                  <c:v>2</c:v>
                </c:pt>
                <c:pt idx="17">
                  <c:v>3</c:v>
                </c:pt>
                <c:pt idx="18">
                  <c:v>3</c:v>
                </c:pt>
                <c:pt idx="19">
                  <c:v>2</c:v>
                </c:pt>
                <c:pt idx="20">
                  <c:v>4</c:v>
                </c:pt>
                <c:pt idx="21">
                  <c:v>3</c:v>
                </c:pt>
              </c:numCache>
            </c:numRef>
          </c:val>
          <c:extLst>
            <c:ext xmlns:c16="http://schemas.microsoft.com/office/drawing/2014/chart" uri="{C3380CC4-5D6E-409C-BE32-E72D297353CC}">
              <c16:uniqueId val="{00000000-F474-4344-A64F-9500F3F284CF}"/>
            </c:ext>
          </c:extLst>
        </c:ser>
        <c:ser>
          <c:idx val="1"/>
          <c:order val="1"/>
          <c:tx>
            <c:strRef>
              <c:f>'Summary of Building Performance'!$AD$36</c:f>
              <c:strCache>
                <c:ptCount val="1"/>
                <c:pt idx="0">
                  <c:v>Design phase</c:v>
                </c:pt>
              </c:strCache>
            </c:strRef>
          </c:tx>
          <c:spPr>
            <a:solidFill>
              <a:srgbClr val="B9CDE5"/>
            </a:solidFill>
          </c:spPr>
          <c:invertIfNegative val="0"/>
          <c:cat>
            <c:strRef>
              <c:f>'Summary of Building Performance'!$AB$37:$AB$58</c:f>
              <c:strCache>
                <c:ptCount val="22"/>
                <c:pt idx="0">
                  <c:v>Man 01</c:v>
                </c:pt>
                <c:pt idx="1">
                  <c:v>Man 03</c:v>
                </c:pt>
                <c:pt idx="2">
                  <c:v>Man 04</c:v>
                </c:pt>
                <c:pt idx="3">
                  <c:v>Man 05</c:v>
                </c:pt>
                <c:pt idx="4">
                  <c:v>Hea 01</c:v>
                </c:pt>
                <c:pt idx="5">
                  <c:v>Hea 02</c:v>
                </c:pt>
                <c:pt idx="6">
                  <c:v>Ene 01</c:v>
                </c:pt>
                <c:pt idx="7">
                  <c:v>Ene 07</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'Summary of Building Performance'!$AD$37:$AD$58</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1-F474-4344-A64F-9500F3F284CF}"/>
            </c:ext>
          </c:extLst>
        </c:ser>
        <c:ser>
          <c:idx val="2"/>
          <c:order val="2"/>
          <c:tx>
            <c:strRef>
              <c:f>'Summary of Building Performance'!$AE$36</c:f>
              <c:strCache>
                <c:ptCount val="1"/>
                <c:pt idx="0">
                  <c:v>Construction phase</c:v>
                </c:pt>
              </c:strCache>
            </c:strRef>
          </c:tx>
          <c:spPr>
            <a:solidFill>
              <a:srgbClr val="C4BD97"/>
            </a:solidFill>
          </c:spPr>
          <c:invertIfNegative val="0"/>
          <c:cat>
            <c:strRef>
              <c:f>'Summary of Building Performance'!$AB$37:$AB$58</c:f>
              <c:strCache>
                <c:ptCount val="22"/>
                <c:pt idx="0">
                  <c:v>Man 01</c:v>
                </c:pt>
                <c:pt idx="1">
                  <c:v>Man 03</c:v>
                </c:pt>
                <c:pt idx="2">
                  <c:v>Man 04</c:v>
                </c:pt>
                <c:pt idx="3">
                  <c:v>Man 05</c:v>
                </c:pt>
                <c:pt idx="4">
                  <c:v>Hea 01</c:v>
                </c:pt>
                <c:pt idx="5">
                  <c:v>Hea 02</c:v>
                </c:pt>
                <c:pt idx="6">
                  <c:v>Ene 01</c:v>
                </c:pt>
                <c:pt idx="7">
                  <c:v>Ene 07</c:v>
                </c:pt>
                <c:pt idx="8">
                  <c:v>Tra 01</c:v>
                </c:pt>
                <c:pt idx="9">
                  <c:v>Wat 01</c:v>
                </c:pt>
                <c:pt idx="10">
                  <c:v>Mat 01</c:v>
                </c:pt>
                <c:pt idx="11">
                  <c:v>Mat 02</c:v>
                </c:pt>
                <c:pt idx="12">
                  <c:v>Mat 03</c:v>
                </c:pt>
                <c:pt idx="13">
                  <c:v>Mat 05</c:v>
                </c:pt>
                <c:pt idx="14">
                  <c:v>Mat 06</c:v>
                </c:pt>
                <c:pt idx="15">
                  <c:v>Mat 07</c:v>
                </c:pt>
                <c:pt idx="16">
                  <c:v>Wst 01</c:v>
                </c:pt>
                <c:pt idx="17">
                  <c:v>Wst 03</c:v>
                </c:pt>
                <c:pt idx="18">
                  <c:v>LE 01</c:v>
                </c:pt>
                <c:pt idx="19">
                  <c:v>LE 02</c:v>
                </c:pt>
                <c:pt idx="20">
                  <c:v>LE 04</c:v>
                </c:pt>
                <c:pt idx="21">
                  <c:v>LE 06</c:v>
                </c:pt>
              </c:strCache>
            </c:strRef>
          </c:cat>
          <c:val>
            <c:numRef>
              <c:f>'Summary of Building Performance'!$AE$37:$AE$58</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2-F474-4344-A64F-9500F3F284CF}"/>
            </c:ext>
          </c:extLst>
        </c:ser>
        <c:dLbls>
          <c:showLegendKey val="0"/>
          <c:showVal val="0"/>
          <c:showCatName val="0"/>
          <c:showSerName val="0"/>
          <c:showPercent val="0"/>
          <c:showBubbleSize val="0"/>
        </c:dLbls>
        <c:gapWidth val="75"/>
        <c:overlap val="-25"/>
        <c:axId val="621713800"/>
        <c:axId val="621718504"/>
      </c:barChart>
      <c:catAx>
        <c:axId val="62171380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621718504"/>
        <c:crosses val="autoZero"/>
        <c:auto val="1"/>
        <c:lblAlgn val="ctr"/>
        <c:lblOffset val="100"/>
        <c:noMultiLvlLbl val="0"/>
      </c:catAx>
      <c:valAx>
        <c:axId val="621718504"/>
        <c:scaling>
          <c:orientation val="minMax"/>
          <c:max val="5"/>
        </c:scaling>
        <c:delete val="1"/>
        <c:axPos val="l"/>
        <c:majorGridlines/>
        <c:numFmt formatCode="0%" sourceLinked="0"/>
        <c:majorTickMark val="none"/>
        <c:minorTickMark val="none"/>
        <c:tickLblPos val="nextTo"/>
        <c:crossAx val="621713800"/>
        <c:crosses val="autoZero"/>
        <c:crossBetween val="between"/>
        <c:majorUnit val="1"/>
      </c:valAx>
    </c:plotArea>
    <c:legend>
      <c:legendPos val="b"/>
      <c:legendEntry>
        <c:idx val="1"/>
        <c:txPr>
          <a:bodyPr/>
          <a:lstStyle/>
          <a:p>
            <a:pPr>
              <a:defRPr sz="1000" b="0" i="0" u="none" strike="noStrike" baseline="0">
                <a:solidFill>
                  <a:srgbClr val="000000"/>
                </a:solidFill>
                <a:latin typeface="Calibri"/>
                <a:ea typeface="Calibri"/>
                <a:cs typeface="Calibri"/>
              </a:defRPr>
            </a:pPr>
            <a:endParaRPr lang="nb-NO"/>
          </a:p>
        </c:txPr>
      </c:legendEntry>
      <c:layout>
        <c:manualLayout>
          <c:xMode val="edge"/>
          <c:yMode val="edge"/>
          <c:x val="0.10425054779133901"/>
          <c:y val="0.88460329124958204"/>
          <c:w val="0.78340991326686749"/>
          <c:h val="9.2380977407431883E-2"/>
        </c:manualLayout>
      </c:layout>
      <c:overlay val="0"/>
      <c:txPr>
        <a:bodyPr/>
        <a:lstStyle/>
        <a:p>
          <a:pPr>
            <a:defRPr sz="1000" b="0" i="0" u="none" strike="noStrike" baseline="0">
              <a:solidFill>
                <a:srgbClr val="000000"/>
              </a:solidFill>
              <a:latin typeface="Calibri"/>
              <a:ea typeface="Calibri"/>
              <a:cs typeface="Calibri"/>
            </a:defRPr>
          </a:pPr>
          <a:endParaRPr lang="nb-NO"/>
        </a:p>
      </c:txPr>
    </c:legend>
    <c:plotVisOnly val="0"/>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000000000000733" l="0.70000000000000062" r="0.70000000000000062" t="0.7500000000000073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47944</xdr:colOff>
      <xdr:row>9</xdr:row>
      <xdr:rowOff>9524</xdr:rowOff>
    </xdr:from>
    <xdr:to>
      <xdr:col>3</xdr:col>
      <xdr:colOff>970683</xdr:colOff>
      <xdr:row>18</xdr:row>
      <xdr:rowOff>95249</xdr:rowOff>
    </xdr:to>
    <xdr:pic>
      <xdr:nvPicPr>
        <xdr:cNvPr id="8" name="Picture 7">
          <a:extLst>
            <a:ext uri="{FF2B5EF4-FFF2-40B4-BE49-F238E27FC236}">
              <a16:creationId xmlns:a16="http://schemas.microsoft.com/office/drawing/2014/main" id="{514DB9FE-E69C-44D8-90E6-192BCA61C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544" y="4724399"/>
          <a:ext cx="2199089" cy="1724025"/>
        </a:xfrm>
        <a:prstGeom prst="rect">
          <a:avLst/>
        </a:prstGeom>
      </xdr:spPr>
    </xdr:pic>
    <xdr:clientData/>
  </xdr:twoCellAnchor>
  <xdr:twoCellAnchor editAs="oneCell">
    <xdr:from>
      <xdr:col>11</xdr:col>
      <xdr:colOff>352425</xdr:colOff>
      <xdr:row>0</xdr:row>
      <xdr:rowOff>142875</xdr:rowOff>
    </xdr:from>
    <xdr:to>
      <xdr:col>16</xdr:col>
      <xdr:colOff>51435</xdr:colOff>
      <xdr:row>4</xdr:row>
      <xdr:rowOff>32138</xdr:rowOff>
    </xdr:to>
    <xdr:pic>
      <xdr:nvPicPr>
        <xdr:cNvPr id="9" name="Bilde 7">
          <a:extLst>
            <a:ext uri="{FF2B5EF4-FFF2-40B4-BE49-F238E27FC236}">
              <a16:creationId xmlns:a16="http://schemas.microsoft.com/office/drawing/2014/main" id="{2E416739-5696-4333-80A2-9773A284A95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38975" y="142875"/>
          <a:ext cx="2823210" cy="670313"/>
        </a:xfrm>
        <a:prstGeom prst="rect">
          <a:avLst/>
        </a:prstGeom>
      </xdr:spPr>
    </xdr:pic>
    <xdr:clientData/>
  </xdr:twoCellAnchor>
  <xdr:twoCellAnchor editAs="oneCell">
    <xdr:from>
      <xdr:col>5</xdr:col>
      <xdr:colOff>219074</xdr:colOff>
      <xdr:row>14</xdr:row>
      <xdr:rowOff>96843</xdr:rowOff>
    </xdr:from>
    <xdr:to>
      <xdr:col>8</xdr:col>
      <xdr:colOff>542925</xdr:colOff>
      <xdr:row>19</xdr:row>
      <xdr:rowOff>59076</xdr:rowOff>
    </xdr:to>
    <xdr:pic>
      <xdr:nvPicPr>
        <xdr:cNvPr id="3" name="Picture 2">
          <a:extLst>
            <a:ext uri="{FF2B5EF4-FFF2-40B4-BE49-F238E27FC236}">
              <a16:creationId xmlns:a16="http://schemas.microsoft.com/office/drawing/2014/main" id="{AA1CBD4F-DC3B-4EE6-AD68-16DE5317B1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62324" y="6307143"/>
          <a:ext cx="2095501" cy="914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71718</xdr:colOff>
      <xdr:row>40</xdr:row>
      <xdr:rowOff>56899</xdr:rowOff>
    </xdr:from>
    <xdr:to>
      <xdr:col>2</xdr:col>
      <xdr:colOff>2442173</xdr:colOff>
      <xdr:row>41</xdr:row>
      <xdr:rowOff>186238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72336" y="9974105"/>
          <a:ext cx="2374265" cy="538242"/>
        </a:xfrm>
        <a:prstGeom prst="rect">
          <a:avLst/>
        </a:prstGeom>
      </xdr:spPr>
    </xdr:pic>
    <xdr:clientData/>
  </xdr:twoCellAnchor>
  <xdr:twoCellAnchor>
    <xdr:from>
      <xdr:col>2</xdr:col>
      <xdr:colOff>3390900</xdr:colOff>
      <xdr:row>52</xdr:row>
      <xdr:rowOff>180975</xdr:rowOff>
    </xdr:from>
    <xdr:to>
      <xdr:col>4</xdr:col>
      <xdr:colOff>19050</xdr:colOff>
      <xdr:row>54</xdr:row>
      <xdr:rowOff>57150</xdr:rowOff>
    </xdr:to>
    <xdr:sp macro="" textlink="">
      <xdr:nvSpPr>
        <xdr:cNvPr id="6" name="TextBox 5">
          <a:extLst>
            <a:ext uri="{FF2B5EF4-FFF2-40B4-BE49-F238E27FC236}">
              <a16:creationId xmlns:a16="http://schemas.microsoft.com/office/drawing/2014/main" id="{A26ADC79-7EC8-47E4-B5D3-1CCBDADB2BE3}"/>
            </a:ext>
          </a:extLst>
        </xdr:cNvPr>
        <xdr:cNvSpPr txBox="1"/>
      </xdr:nvSpPr>
      <xdr:spPr>
        <a:xfrm>
          <a:off x="6096000" y="13611225"/>
          <a:ext cx="99060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nb-NO" sz="1100">
              <a:solidFill>
                <a:sysClr val="windowText" lastClr="000000"/>
              </a:solidFill>
            </a:rPr>
            <a:t>Tool date:</a:t>
          </a:r>
        </a:p>
      </xdr:txBody>
    </xdr:sp>
    <xdr:clientData/>
  </xdr:twoCellAnchor>
  <xdr:twoCellAnchor editAs="oneCell">
    <xdr:from>
      <xdr:col>5</xdr:col>
      <xdr:colOff>981075</xdr:colOff>
      <xdr:row>0</xdr:row>
      <xdr:rowOff>123825</xdr:rowOff>
    </xdr:from>
    <xdr:to>
      <xdr:col>35</xdr:col>
      <xdr:colOff>33655</xdr:colOff>
      <xdr:row>2</xdr:row>
      <xdr:rowOff>71508</xdr:rowOff>
    </xdr:to>
    <xdr:pic>
      <xdr:nvPicPr>
        <xdr:cNvPr id="5" name="Bilde 6">
          <a:extLst>
            <a:ext uri="{FF2B5EF4-FFF2-40B4-BE49-F238E27FC236}">
              <a16:creationId xmlns:a16="http://schemas.microsoft.com/office/drawing/2014/main" id="{D6381F30-8EEF-46F6-8E0F-07F579C38F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59000" y="123825"/>
          <a:ext cx="2815590" cy="670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572498</xdr:colOff>
      <xdr:row>0</xdr:row>
      <xdr:rowOff>38100</xdr:rowOff>
    </xdr:from>
    <xdr:to>
      <xdr:col>54</xdr:col>
      <xdr:colOff>30510</xdr:colOff>
      <xdr:row>2</xdr:row>
      <xdr:rowOff>1247</xdr:rowOff>
    </xdr:to>
    <xdr:pic>
      <xdr:nvPicPr>
        <xdr:cNvPr id="3" name="Bilde 2">
          <a:extLst>
            <a:ext uri="{FF2B5EF4-FFF2-40B4-BE49-F238E27FC236}">
              <a16:creationId xmlns:a16="http://schemas.microsoft.com/office/drawing/2014/main" id="{D95C09B3-24AB-4E08-9EEA-97C0984520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799"/>
        <a:stretch/>
      </xdr:blipFill>
      <xdr:spPr>
        <a:xfrm>
          <a:off x="18071604" y="38100"/>
          <a:ext cx="2921003" cy="5817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64</xdr:col>
      <xdr:colOff>69476</xdr:colOff>
      <xdr:row>271</xdr:row>
      <xdr:rowOff>80902</xdr:rowOff>
    </xdr:from>
    <xdr:to>
      <xdr:col>72</xdr:col>
      <xdr:colOff>119005</xdr:colOff>
      <xdr:row>276</xdr:row>
      <xdr:rowOff>229682</xdr:rowOff>
    </xdr:to>
    <xdr:pic>
      <xdr:nvPicPr>
        <xdr:cNvPr id="2" name="Picture 1">
          <a:extLst>
            <a:ext uri="{FF2B5EF4-FFF2-40B4-BE49-F238E27FC236}">
              <a16:creationId xmlns:a16="http://schemas.microsoft.com/office/drawing/2014/main" id="{855A0ECF-4CAF-4CEB-806C-D2BD151BA4A2}"/>
            </a:ext>
          </a:extLst>
        </xdr:cNvPr>
        <xdr:cNvPicPr>
          <a:picLocks noChangeAspect="1"/>
        </xdr:cNvPicPr>
      </xdr:nvPicPr>
      <xdr:blipFill>
        <a:blip xmlns:r="http://schemas.openxmlformats.org/officeDocument/2006/relationships" r:embed="rId1"/>
        <a:stretch>
          <a:fillRect/>
        </a:stretch>
      </xdr:blipFill>
      <xdr:spPr>
        <a:xfrm>
          <a:off x="42371682" y="58127373"/>
          <a:ext cx="5654374" cy="10917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8967</xdr:colOff>
      <xdr:row>14</xdr:row>
      <xdr:rowOff>96932</xdr:rowOff>
    </xdr:from>
    <xdr:to>
      <xdr:col>7</xdr:col>
      <xdr:colOff>259773</xdr:colOff>
      <xdr:row>31</xdr:row>
      <xdr:rowOff>141755</xdr:rowOff>
    </xdr:to>
    <xdr:graphicFrame macro="">
      <xdr:nvGraphicFramePr>
        <xdr:cNvPr id="6" name="Chart 4">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376152</xdr:colOff>
      <xdr:row>14</xdr:row>
      <xdr:rowOff>83594</xdr:rowOff>
    </xdr:from>
    <xdr:to>
      <xdr:col>15</xdr:col>
      <xdr:colOff>441960</xdr:colOff>
      <xdr:row>31</xdr:row>
      <xdr:rowOff>155873</xdr:rowOff>
    </xdr:to>
    <xdr:graphicFrame macro="">
      <xdr:nvGraphicFramePr>
        <xdr:cNvPr id="8" name="Chart 4">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412173</xdr:colOff>
      <xdr:row>27</xdr:row>
      <xdr:rowOff>9525</xdr:rowOff>
    </xdr:from>
    <xdr:to>
      <xdr:col>8</xdr:col>
      <xdr:colOff>688398</xdr:colOff>
      <xdr:row>28</xdr:row>
      <xdr:rowOff>47625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5685559" y="6010275"/>
          <a:ext cx="101224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Unclassified</a:t>
          </a:r>
        </a:p>
      </xdr:txBody>
    </xdr:sp>
    <xdr:clientData/>
  </xdr:twoCellAnchor>
  <xdr:twoCellAnchor>
    <xdr:from>
      <xdr:col>8</xdr:col>
      <xdr:colOff>40698</xdr:colOff>
      <xdr:row>24</xdr:row>
      <xdr:rowOff>76199</xdr:rowOff>
    </xdr:from>
    <xdr:to>
      <xdr:col>8</xdr:col>
      <xdr:colOff>516948</xdr:colOff>
      <xdr:row>25</xdr:row>
      <xdr:rowOff>142874</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6050107" y="5505449"/>
          <a:ext cx="4762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Pass</a:t>
          </a:r>
        </a:p>
      </xdr:txBody>
    </xdr:sp>
    <xdr:clientData/>
  </xdr:twoCellAnchor>
  <xdr:twoCellAnchor>
    <xdr:from>
      <xdr:col>8</xdr:col>
      <xdr:colOff>12123</xdr:colOff>
      <xdr:row>21</xdr:row>
      <xdr:rowOff>190499</xdr:rowOff>
    </xdr:from>
    <xdr:to>
      <xdr:col>8</xdr:col>
      <xdr:colOff>497898</xdr:colOff>
      <xdr:row>23</xdr:row>
      <xdr:rowOff>66674</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6021532" y="5048249"/>
          <a:ext cx="4857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Good</a:t>
          </a:r>
        </a:p>
      </xdr:txBody>
    </xdr:sp>
    <xdr:clientData/>
  </xdr:twoCellAnchor>
  <xdr:twoCellAnchor>
    <xdr:from>
      <xdr:col>7</xdr:col>
      <xdr:colOff>497898</xdr:colOff>
      <xdr:row>19</xdr:row>
      <xdr:rowOff>85725</xdr:rowOff>
    </xdr:from>
    <xdr:to>
      <xdr:col>8</xdr:col>
      <xdr:colOff>535998</xdr:colOff>
      <xdr:row>20</xdr:row>
      <xdr:rowOff>180975</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5771284" y="4562475"/>
          <a:ext cx="77412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Very Good</a:t>
          </a:r>
        </a:p>
      </xdr:txBody>
    </xdr:sp>
    <xdr:clientData/>
  </xdr:twoCellAnchor>
  <xdr:twoCellAnchor>
    <xdr:from>
      <xdr:col>7</xdr:col>
      <xdr:colOff>574098</xdr:colOff>
      <xdr:row>17</xdr:row>
      <xdr:rowOff>9525</xdr:rowOff>
    </xdr:from>
    <xdr:to>
      <xdr:col>8</xdr:col>
      <xdr:colOff>516948</xdr:colOff>
      <xdr:row>18</xdr:row>
      <xdr:rowOff>66675</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5847484" y="4105275"/>
          <a:ext cx="678873"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Excellent</a:t>
          </a:r>
        </a:p>
      </xdr:txBody>
    </xdr:sp>
    <xdr:clientData/>
  </xdr:twoCellAnchor>
  <xdr:twoCellAnchor>
    <xdr:from>
      <xdr:col>7</xdr:col>
      <xdr:colOff>421698</xdr:colOff>
      <xdr:row>14</xdr:row>
      <xdr:rowOff>95250</xdr:rowOff>
    </xdr:from>
    <xdr:to>
      <xdr:col>8</xdr:col>
      <xdr:colOff>697923</xdr:colOff>
      <xdr:row>15</xdr:row>
      <xdr:rowOff>133350</xdr:rowOff>
    </xdr:to>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5695084" y="3619500"/>
          <a:ext cx="1012248"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a:t>Outstanding</a:t>
          </a:r>
        </a:p>
      </xdr:txBody>
    </xdr:sp>
    <xdr:clientData/>
  </xdr:twoCellAnchor>
  <xdr:twoCellAnchor editAs="oneCell">
    <xdr:from>
      <xdr:col>12</xdr:col>
      <xdr:colOff>347052</xdr:colOff>
      <xdr:row>0</xdr:row>
      <xdr:rowOff>116898</xdr:rowOff>
    </xdr:from>
    <xdr:to>
      <xdr:col>15</xdr:col>
      <xdr:colOff>414303</xdr:colOff>
      <xdr:row>2</xdr:row>
      <xdr:rowOff>77281</xdr:rowOff>
    </xdr:to>
    <xdr:pic>
      <xdr:nvPicPr>
        <xdr:cNvPr id="14" name="Bilde 14">
          <a:extLst>
            <a:ext uri="{FF2B5EF4-FFF2-40B4-BE49-F238E27FC236}">
              <a16:creationId xmlns:a16="http://schemas.microsoft.com/office/drawing/2014/main" id="{1C2864DC-DD23-4B28-9CDE-E141AEDE13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63492" y="116898"/>
          <a:ext cx="2837121" cy="6842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1376228</xdr:colOff>
      <xdr:row>0</xdr:row>
      <xdr:rowOff>68036</xdr:rowOff>
    </xdr:from>
    <xdr:to>
      <xdr:col>26</xdr:col>
      <xdr:colOff>1278799</xdr:colOff>
      <xdr:row>1</xdr:row>
      <xdr:rowOff>58537</xdr:rowOff>
    </xdr:to>
    <xdr:pic>
      <xdr:nvPicPr>
        <xdr:cNvPr id="3" name="Bilde 3">
          <a:extLst>
            <a:ext uri="{FF2B5EF4-FFF2-40B4-BE49-F238E27FC236}">
              <a16:creationId xmlns:a16="http://schemas.microsoft.com/office/drawing/2014/main" id="{5E8C092E-9A9A-47F0-A1C5-F1236DAD70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98"/>
        <a:stretch/>
      </xdr:blipFill>
      <xdr:spPr>
        <a:xfrm>
          <a:off x="35258014" y="68036"/>
          <a:ext cx="2828107" cy="6028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247650</xdr:colOff>
      <xdr:row>0</xdr:row>
      <xdr:rowOff>142875</xdr:rowOff>
    </xdr:from>
    <xdr:to>
      <xdr:col>16</xdr:col>
      <xdr:colOff>48260</xdr:colOff>
      <xdr:row>2</xdr:row>
      <xdr:rowOff>86113</xdr:rowOff>
    </xdr:to>
    <xdr:pic>
      <xdr:nvPicPr>
        <xdr:cNvPr id="4" name="Bilde 2">
          <a:extLst>
            <a:ext uri="{FF2B5EF4-FFF2-40B4-BE49-F238E27FC236}">
              <a16:creationId xmlns:a16="http://schemas.microsoft.com/office/drawing/2014/main" id="{BAD9EE81-3374-42DE-8AFE-1DDEF62D0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6175" y="142875"/>
          <a:ext cx="2846070" cy="6626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17"/>
  <sheetViews>
    <sheetView showGridLines="0" zoomScaleNormal="100" workbookViewId="0">
      <selection activeCell="B6" sqref="B6:P6"/>
    </sheetView>
  </sheetViews>
  <sheetFormatPr baseColWidth="10" defaultColWidth="8.85546875" defaultRowHeight="15" x14ac:dyDescent="0.25"/>
  <cols>
    <col min="1" max="1" width="3.42578125" style="540" customWidth="1"/>
    <col min="2" max="2" width="10.28515625" style="540" customWidth="1"/>
    <col min="3" max="3" width="8.85546875" style="540"/>
    <col min="4" max="4" width="15.7109375" style="540" bestFit="1" customWidth="1"/>
    <col min="5" max="11" width="8.85546875" style="540"/>
    <col min="12" max="12" width="11.42578125" style="540" customWidth="1"/>
    <col min="13" max="17" width="8.85546875" style="540"/>
    <col min="18" max="18" width="7.42578125" style="540" customWidth="1"/>
    <col min="19" max="16384" width="8.85546875" style="540"/>
  </cols>
  <sheetData>
    <row r="2" spans="2:16" ht="21" x14ac:dyDescent="0.25">
      <c r="B2" s="628" t="s">
        <v>1160</v>
      </c>
      <c r="C2" s="542"/>
      <c r="D2" s="542"/>
      <c r="E2" s="542"/>
      <c r="F2" s="542"/>
      <c r="G2" s="542"/>
      <c r="H2" s="542"/>
      <c r="I2" s="542"/>
      <c r="J2" s="542"/>
      <c r="K2" s="542"/>
      <c r="L2" s="543"/>
      <c r="M2" s="543"/>
      <c r="N2" s="543"/>
      <c r="O2" s="543"/>
      <c r="P2" s="551" t="str">
        <f>IF('Manuell filtrering og justering'!I2='Manuell filtrering og justering'!J2,"Bespoke","")</f>
        <v/>
      </c>
    </row>
    <row r="3" spans="2:16" ht="21" x14ac:dyDescent="0.25">
      <c r="B3" s="541" t="s">
        <v>4</v>
      </c>
      <c r="C3" s="544" t="str">
        <f>TVC_current_version</f>
        <v>1.02</v>
      </c>
      <c r="D3" s="545">
        <f>TVC_current_date</f>
        <v>45832</v>
      </c>
      <c r="E3" s="542"/>
      <c r="F3" s="542"/>
      <c r="G3" s="542"/>
      <c r="H3" s="542"/>
      <c r="I3" s="542"/>
      <c r="J3" s="542"/>
      <c r="K3" s="542"/>
      <c r="L3" s="543"/>
      <c r="M3" s="543"/>
      <c r="N3" s="543"/>
      <c r="O3" s="543"/>
      <c r="P3" s="543"/>
    </row>
    <row r="4" spans="2:16" ht="4.5" customHeight="1" x14ac:dyDescent="0.25">
      <c r="B4" s="546"/>
    </row>
    <row r="5" spans="2:16" ht="126.75" customHeight="1" x14ac:dyDescent="0.25">
      <c r="B5" s="1104" t="s">
        <v>1165</v>
      </c>
      <c r="C5" s="1105"/>
      <c r="D5" s="1105"/>
      <c r="E5" s="1105"/>
      <c r="F5" s="1105"/>
      <c r="G5" s="1105"/>
      <c r="H5" s="1105"/>
      <c r="I5" s="1105"/>
      <c r="J5" s="1105"/>
      <c r="K5" s="1105"/>
      <c r="L5" s="1105"/>
      <c r="M5" s="1105"/>
      <c r="N5" s="1105"/>
      <c r="O5" s="1105"/>
      <c r="P5" s="1105"/>
    </row>
    <row r="6" spans="2:16" ht="85.5" customHeight="1" x14ac:dyDescent="0.25">
      <c r="B6" s="1104" t="s">
        <v>1164</v>
      </c>
      <c r="C6" s="1105"/>
      <c r="D6" s="1105"/>
      <c r="E6" s="1105"/>
      <c r="F6" s="1105"/>
      <c r="G6" s="1105"/>
      <c r="H6" s="1105"/>
      <c r="I6" s="1105"/>
      <c r="J6" s="1105"/>
      <c r="K6" s="1105"/>
      <c r="L6" s="1105"/>
      <c r="M6" s="1105"/>
      <c r="N6" s="1105"/>
      <c r="O6" s="1105"/>
      <c r="P6" s="1105"/>
    </row>
    <row r="7" spans="2:16" ht="80.25" customHeight="1" x14ac:dyDescent="0.25">
      <c r="B7" s="1104" t="s">
        <v>1166</v>
      </c>
      <c r="C7" s="1105"/>
      <c r="D7" s="1105"/>
      <c r="E7" s="1105"/>
      <c r="F7" s="1105"/>
      <c r="G7" s="1105"/>
      <c r="H7" s="1105"/>
      <c r="I7" s="1105"/>
      <c r="J7" s="1105"/>
      <c r="K7" s="1105"/>
      <c r="L7" s="1105"/>
      <c r="M7" s="1105"/>
      <c r="N7" s="1105"/>
      <c r="O7" s="1105"/>
      <c r="P7" s="1105"/>
    </row>
    <row r="8" spans="2:16" ht="2.25" customHeight="1" x14ac:dyDescent="0.25">
      <c r="P8" s="546"/>
    </row>
    <row r="9" spans="2:16" x14ac:dyDescent="0.25">
      <c r="B9" s="121" t="s">
        <v>1012</v>
      </c>
    </row>
    <row r="10" spans="2:16" ht="9" customHeight="1" x14ac:dyDescent="0.25"/>
    <row r="17" spans="9:9" x14ac:dyDescent="0.25">
      <c r="I17" s="547"/>
    </row>
  </sheetData>
  <sheetProtection algorithmName="SHA-512" hashValue="qmsZt0Dg9P9IXmvZFkGc1OMm3X7YPDwuOOaqVIkblvitH4WcbGqckXD76XbJ717DmMwx8TwA9wll3qWhSM02ZQ==" saltValue="ux34usTFOyjyIyjGyocZSA==" spinCount="100000" sheet="1" objects="1" scenarios="1"/>
  <mergeCells count="3">
    <mergeCell ref="B5:P5"/>
    <mergeCell ref="B6:P6"/>
    <mergeCell ref="B7:P7"/>
  </mergeCells>
  <pageMargins left="0.7" right="0.7" top="0.75" bottom="0.75" header="0.3" footer="0.3"/>
  <pageSetup paperSize="9" scale="91" orientation="landscape" r:id="rId1"/>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13" workbookViewId="0">
      <selection activeCell="P43" sqref="P43"/>
    </sheetView>
  </sheetViews>
  <sheetFormatPr baseColWidth="10" defaultColWidth="8.85546875" defaultRowHeight="15" x14ac:dyDescent="0.25"/>
  <cols>
    <col min="2" max="2" width="9.140625" customWidth="1"/>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Q28" sqref="Q28"/>
    </sheetView>
  </sheetViews>
  <sheetFormatPr baseColWidth="10" defaultColWidth="8.85546875"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36" sqref="L36:L37"/>
    </sheetView>
  </sheetViews>
  <sheetFormatPr baseColWidth="10" defaultColWidth="8.8554687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BACD-C024-4ADC-B854-BB0FD004EC57}">
  <dimension ref="B3:N142"/>
  <sheetViews>
    <sheetView topLeftCell="A115" workbookViewId="0">
      <selection activeCell="B141" sqref="B141:C142"/>
    </sheetView>
  </sheetViews>
  <sheetFormatPr baseColWidth="10" defaultColWidth="9.140625" defaultRowHeight="15" x14ac:dyDescent="0.25"/>
  <cols>
    <col min="2" max="2" width="13.5703125" customWidth="1"/>
    <col min="3" max="3" width="72.42578125" bestFit="1" customWidth="1"/>
  </cols>
  <sheetData>
    <row r="3" spans="2:5" x14ac:dyDescent="0.25">
      <c r="B3" s="1062">
        <v>44789</v>
      </c>
      <c r="C3" s="61" t="s">
        <v>1059</v>
      </c>
      <c r="D3" s="61"/>
      <c r="E3" s="61"/>
    </row>
    <row r="4" spans="2:5" x14ac:dyDescent="0.25">
      <c r="B4" s="1062">
        <v>44796</v>
      </c>
      <c r="C4" s="61" t="s">
        <v>1067</v>
      </c>
      <c r="D4" s="61"/>
      <c r="E4" s="61"/>
    </row>
    <row r="5" spans="2:5" x14ac:dyDescent="0.25">
      <c r="B5" s="1062">
        <v>44796</v>
      </c>
      <c r="C5" s="61" t="s">
        <v>1060</v>
      </c>
      <c r="D5" s="61"/>
      <c r="E5" s="61"/>
    </row>
    <row r="6" spans="2:5" x14ac:dyDescent="0.25">
      <c r="B6" s="1062">
        <v>44796</v>
      </c>
      <c r="C6" s="61" t="s">
        <v>1065</v>
      </c>
      <c r="D6" s="61"/>
      <c r="E6" s="61"/>
    </row>
    <row r="7" spans="2:5" x14ac:dyDescent="0.25">
      <c r="B7" s="1062">
        <v>44796</v>
      </c>
      <c r="C7" s="61" t="s">
        <v>1066</v>
      </c>
      <c r="D7" s="61"/>
      <c r="E7" s="61"/>
    </row>
    <row r="8" spans="2:5" x14ac:dyDescent="0.25">
      <c r="B8" s="43"/>
      <c r="C8" s="43"/>
      <c r="D8" s="43"/>
      <c r="E8" s="43"/>
    </row>
    <row r="9" spans="2:5" x14ac:dyDescent="0.25">
      <c r="B9" s="43"/>
      <c r="C9" s="43"/>
      <c r="D9" s="43"/>
      <c r="E9" s="43"/>
    </row>
    <row r="10" spans="2:5" x14ac:dyDescent="0.25">
      <c r="B10" s="43"/>
      <c r="C10" s="43"/>
      <c r="D10" s="43"/>
      <c r="E10" s="43"/>
    </row>
    <row r="11" spans="2:5" ht="75" x14ac:dyDescent="0.25">
      <c r="B11" s="1062">
        <v>44805</v>
      </c>
      <c r="C11" s="1063" t="s">
        <v>1068</v>
      </c>
      <c r="D11" s="43"/>
      <c r="E11" s="43"/>
    </row>
    <row r="12" spans="2:5" x14ac:dyDescent="0.25">
      <c r="B12" s="1062">
        <v>44805</v>
      </c>
      <c r="C12" s="61" t="s">
        <v>1069</v>
      </c>
      <c r="D12" s="43"/>
      <c r="E12" s="43"/>
    </row>
    <row r="13" spans="2:5" x14ac:dyDescent="0.25">
      <c r="B13" s="1062">
        <v>44805</v>
      </c>
      <c r="C13" s="61" t="s">
        <v>1070</v>
      </c>
      <c r="D13" s="43"/>
      <c r="E13" s="43"/>
    </row>
    <row r="14" spans="2:5" x14ac:dyDescent="0.25">
      <c r="B14" s="1062">
        <v>44805</v>
      </c>
      <c r="C14" s="61" t="s">
        <v>1071</v>
      </c>
      <c r="D14" s="43"/>
      <c r="E14" s="43"/>
    </row>
    <row r="15" spans="2:5" x14ac:dyDescent="0.25">
      <c r="B15" s="1062">
        <v>44805</v>
      </c>
      <c r="C15" s="745" t="s">
        <v>1072</v>
      </c>
      <c r="D15" s="43"/>
      <c r="E15" s="43"/>
    </row>
    <row r="16" spans="2:5" x14ac:dyDescent="0.25">
      <c r="B16" s="1062">
        <v>44805</v>
      </c>
      <c r="C16" s="745" t="s">
        <v>1073</v>
      </c>
      <c r="D16" s="43"/>
      <c r="E16" s="43"/>
    </row>
    <row r="17" spans="2:5" x14ac:dyDescent="0.25">
      <c r="B17" s="43"/>
      <c r="C17" s="43"/>
      <c r="D17" s="43"/>
      <c r="E17" s="43"/>
    </row>
    <row r="18" spans="2:5" x14ac:dyDescent="0.25">
      <c r="B18" s="43"/>
      <c r="C18" s="43"/>
      <c r="D18" s="43"/>
      <c r="E18" s="43"/>
    </row>
    <row r="19" spans="2:5" x14ac:dyDescent="0.25">
      <c r="B19" s="1059"/>
      <c r="C19" s="43"/>
      <c r="D19" s="43"/>
      <c r="E19" s="43"/>
    </row>
    <row r="20" spans="2:5" x14ac:dyDescent="0.25">
      <c r="B20" s="43"/>
      <c r="C20" s="43"/>
      <c r="D20" s="43"/>
      <c r="E20" s="43"/>
    </row>
    <row r="21" spans="2:5" x14ac:dyDescent="0.25">
      <c r="B21" s="43"/>
      <c r="C21" s="43"/>
      <c r="D21" s="43"/>
      <c r="E21" s="43"/>
    </row>
    <row r="22" spans="2:5" x14ac:dyDescent="0.25">
      <c r="B22" s="43"/>
      <c r="C22" s="43"/>
      <c r="D22" s="43"/>
      <c r="E22" s="43"/>
    </row>
    <row r="23" spans="2:5" x14ac:dyDescent="0.25">
      <c r="B23" s="43"/>
      <c r="C23" s="43"/>
      <c r="D23" s="43"/>
      <c r="E23" s="43"/>
    </row>
    <row r="24" spans="2:5" x14ac:dyDescent="0.25">
      <c r="B24" s="61"/>
      <c r="C24" s="725" t="s">
        <v>1076</v>
      </c>
      <c r="D24" s="204"/>
      <c r="E24" s="43"/>
    </row>
    <row r="25" spans="2:5" x14ac:dyDescent="0.25">
      <c r="B25" s="1062">
        <v>44879</v>
      </c>
      <c r="C25" s="61" t="s">
        <v>1077</v>
      </c>
      <c r="D25" s="204"/>
      <c r="E25" s="43"/>
    </row>
    <row r="26" spans="2:5" x14ac:dyDescent="0.25">
      <c r="B26" s="1062">
        <v>44879</v>
      </c>
      <c r="C26" s="61" t="s">
        <v>1078</v>
      </c>
      <c r="D26" s="204"/>
      <c r="E26" s="43"/>
    </row>
    <row r="27" spans="2:5" x14ac:dyDescent="0.25">
      <c r="B27" s="1062">
        <v>44879</v>
      </c>
      <c r="C27" s="61" t="s">
        <v>1079</v>
      </c>
      <c r="D27" s="204"/>
      <c r="E27" s="43"/>
    </row>
    <row r="28" spans="2:5" x14ac:dyDescent="0.25">
      <c r="B28" s="1062">
        <v>44879</v>
      </c>
      <c r="C28" s="61" t="s">
        <v>1080</v>
      </c>
      <c r="D28" s="204"/>
      <c r="E28" s="43"/>
    </row>
    <row r="29" spans="2:5" x14ac:dyDescent="0.25">
      <c r="B29" s="1062">
        <v>44879</v>
      </c>
      <c r="C29" s="61" t="s">
        <v>1081</v>
      </c>
      <c r="D29" s="204"/>
      <c r="E29" s="43"/>
    </row>
    <row r="30" spans="2:5" x14ac:dyDescent="0.25">
      <c r="B30" s="1062">
        <v>44879</v>
      </c>
      <c r="C30" s="61" t="s">
        <v>1082</v>
      </c>
      <c r="D30" s="204"/>
      <c r="E30" s="43"/>
    </row>
    <row r="31" spans="2:5" x14ac:dyDescent="0.25">
      <c r="B31" s="1062">
        <v>44879</v>
      </c>
      <c r="C31" s="61" t="s">
        <v>1083</v>
      </c>
    </row>
    <row r="32" spans="2:5" x14ac:dyDescent="0.25">
      <c r="B32" s="1062">
        <v>44879</v>
      </c>
      <c r="C32" s="61" t="s">
        <v>1084</v>
      </c>
    </row>
    <row r="35" spans="2:5" x14ac:dyDescent="0.25">
      <c r="B35" s="1062">
        <v>44885</v>
      </c>
      <c r="C35" s="61" t="s">
        <v>1085</v>
      </c>
      <c r="D35" s="43"/>
      <c r="E35" s="43"/>
    </row>
    <row r="36" spans="2:5" x14ac:dyDescent="0.25">
      <c r="B36" s="1062">
        <v>44885</v>
      </c>
      <c r="C36" s="62" t="s">
        <v>1086</v>
      </c>
    </row>
    <row r="37" spans="2:5" x14ac:dyDescent="0.25">
      <c r="B37" s="1062">
        <v>44885</v>
      </c>
      <c r="C37" s="62" t="s">
        <v>1087</v>
      </c>
    </row>
    <row r="38" spans="2:5" x14ac:dyDescent="0.25">
      <c r="B38" s="1062">
        <v>44885</v>
      </c>
      <c r="C38" s="62" t="s">
        <v>1089</v>
      </c>
    </row>
    <row r="41" spans="2:5" x14ac:dyDescent="0.25">
      <c r="B41" s="121" t="s">
        <v>1090</v>
      </c>
      <c r="C41" s="121">
        <v>120423</v>
      </c>
    </row>
    <row r="42" spans="2:5" x14ac:dyDescent="0.25">
      <c r="B42" s="62" t="s">
        <v>134</v>
      </c>
      <c r="C42" s="121" t="s">
        <v>1091</v>
      </c>
    </row>
    <row r="43" spans="2:5" x14ac:dyDescent="0.25">
      <c r="C43" s="192" t="s">
        <v>1092</v>
      </c>
    </row>
    <row r="44" spans="2:5" x14ac:dyDescent="0.25">
      <c r="C44" s="192" t="s">
        <v>1093</v>
      </c>
    </row>
    <row r="46" spans="2:5" x14ac:dyDescent="0.25">
      <c r="B46" s="62" t="s">
        <v>116</v>
      </c>
      <c r="C46" t="s">
        <v>1094</v>
      </c>
    </row>
    <row r="47" spans="2:5" x14ac:dyDescent="0.25">
      <c r="C47" t="s">
        <v>1095</v>
      </c>
    </row>
    <row r="50" spans="2:14" x14ac:dyDescent="0.25">
      <c r="B50" s="62" t="s">
        <v>117</v>
      </c>
      <c r="C50" s="1067" t="s">
        <v>1096</v>
      </c>
    </row>
    <row r="51" spans="2:14" x14ac:dyDescent="0.25">
      <c r="C51" t="s">
        <v>1097</v>
      </c>
    </row>
    <row r="55" spans="2:14" x14ac:dyDescent="0.25">
      <c r="C55" s="1215" t="s">
        <v>1116</v>
      </c>
      <c r="D55" s="1215"/>
      <c r="E55" s="1215"/>
      <c r="F55" s="1215"/>
      <c r="G55" s="1215"/>
      <c r="H55" s="1215"/>
      <c r="I55" s="1215"/>
      <c r="J55" s="1215"/>
      <c r="K55" s="1215"/>
      <c r="L55" s="1215"/>
      <c r="M55" s="1215"/>
      <c r="N55" s="1215"/>
    </row>
    <row r="56" spans="2:14" x14ac:dyDescent="0.25">
      <c r="C56" s="1215"/>
      <c r="D56" s="1215"/>
      <c r="E56" s="1215"/>
      <c r="F56" s="1215"/>
      <c r="G56" s="1215"/>
      <c r="H56" s="1215"/>
      <c r="I56" s="1215"/>
      <c r="J56" s="1215"/>
      <c r="K56" s="1215"/>
      <c r="L56" s="1215"/>
      <c r="M56" s="1215"/>
      <c r="N56" s="1215"/>
    </row>
    <row r="57" spans="2:14" x14ac:dyDescent="0.25">
      <c r="C57" s="1215"/>
      <c r="D57" s="1215"/>
      <c r="E57" s="1215"/>
      <c r="F57" s="1215"/>
      <c r="G57" s="1215"/>
      <c r="H57" s="1215"/>
      <c r="I57" s="1215"/>
      <c r="J57" s="1215"/>
      <c r="K57" s="1215"/>
      <c r="L57" s="1215"/>
      <c r="M57" s="1215"/>
      <c r="N57" s="1215"/>
    </row>
    <row r="58" spans="2:14" x14ac:dyDescent="0.25">
      <c r="C58" s="1215"/>
      <c r="D58" s="1215"/>
      <c r="E58" s="1215"/>
      <c r="F58" s="1215"/>
      <c r="G58" s="1215"/>
      <c r="H58" s="1215"/>
      <c r="I58" s="1215"/>
      <c r="J58" s="1215"/>
      <c r="K58" s="1215"/>
      <c r="L58" s="1215"/>
      <c r="M58" s="1215"/>
      <c r="N58" s="1215"/>
    </row>
    <row r="59" spans="2:14" x14ac:dyDescent="0.25">
      <c r="C59" s="62"/>
      <c r="D59" s="62"/>
      <c r="E59" s="62"/>
      <c r="F59" s="62"/>
      <c r="G59" s="62"/>
      <c r="H59" s="62"/>
      <c r="I59" s="62"/>
      <c r="J59" s="62"/>
      <c r="K59" s="62"/>
      <c r="L59" s="62"/>
      <c r="M59" s="62"/>
      <c r="N59" s="62"/>
    </row>
    <row r="60" spans="2:14" x14ac:dyDescent="0.25">
      <c r="C60" s="62"/>
      <c r="D60" s="62"/>
      <c r="E60" s="62"/>
      <c r="F60" s="62"/>
      <c r="G60" s="62"/>
      <c r="H60" s="62"/>
      <c r="I60" s="62"/>
      <c r="J60" s="62"/>
      <c r="K60" s="62"/>
      <c r="L60" s="62"/>
      <c r="M60" s="62"/>
      <c r="N60" s="62"/>
    </row>
    <row r="61" spans="2:14" x14ac:dyDescent="0.25">
      <c r="C61" s="62"/>
      <c r="D61" s="62"/>
      <c r="E61" s="62"/>
      <c r="F61" s="62"/>
      <c r="G61" s="62"/>
      <c r="H61" s="62"/>
      <c r="I61" s="62"/>
      <c r="J61" s="62"/>
      <c r="K61" s="62"/>
      <c r="L61" s="62"/>
      <c r="M61" s="62"/>
      <c r="N61" s="62"/>
    </row>
    <row r="62" spans="2:14" x14ac:dyDescent="0.25">
      <c r="C62" s="1069" t="s">
        <v>1117</v>
      </c>
      <c r="D62" s="62"/>
      <c r="E62" s="62"/>
      <c r="F62" s="62"/>
      <c r="G62" s="62"/>
      <c r="H62" s="62"/>
      <c r="I62" s="62"/>
      <c r="J62" s="62"/>
      <c r="K62" s="62"/>
      <c r="L62" s="62"/>
      <c r="M62" s="62"/>
      <c r="N62" s="62"/>
    </row>
    <row r="63" spans="2:14" x14ac:dyDescent="0.25">
      <c r="C63" s="1069" t="s">
        <v>1118</v>
      </c>
      <c r="D63" s="62"/>
      <c r="E63" s="62"/>
      <c r="F63" s="62"/>
      <c r="G63" s="62"/>
      <c r="H63" s="62"/>
      <c r="I63" s="62"/>
      <c r="J63" s="62"/>
      <c r="K63" s="62"/>
      <c r="L63" s="62"/>
      <c r="M63" s="62"/>
      <c r="N63" s="62"/>
    </row>
    <row r="70" spans="2:3" x14ac:dyDescent="0.25">
      <c r="B70" s="62" t="s">
        <v>168</v>
      </c>
      <c r="C70" t="s">
        <v>1098</v>
      </c>
    </row>
    <row r="71" spans="2:3" x14ac:dyDescent="0.25">
      <c r="C71" s="192" t="s">
        <v>1099</v>
      </c>
    </row>
    <row r="76" spans="2:3" x14ac:dyDescent="0.25">
      <c r="B76" s="62" t="s">
        <v>176</v>
      </c>
      <c r="C76" t="s">
        <v>1100</v>
      </c>
    </row>
    <row r="77" spans="2:3" x14ac:dyDescent="0.25">
      <c r="C77" t="s">
        <v>1101</v>
      </c>
    </row>
    <row r="78" spans="2:3" x14ac:dyDescent="0.25">
      <c r="C78" t="s">
        <v>1102</v>
      </c>
    </row>
    <row r="80" spans="2:3" x14ac:dyDescent="0.25">
      <c r="B80" s="62" t="s">
        <v>176</v>
      </c>
      <c r="C80" t="s">
        <v>1104</v>
      </c>
    </row>
    <row r="83" spans="2:3" x14ac:dyDescent="0.25">
      <c r="B83" s="62"/>
      <c r="C83" s="1068" t="s">
        <v>1105</v>
      </c>
    </row>
    <row r="84" spans="2:3" x14ac:dyDescent="0.25">
      <c r="C84" s="1067" t="s">
        <v>1106</v>
      </c>
    </row>
    <row r="86" spans="2:3" x14ac:dyDescent="0.25">
      <c r="C86" t="s">
        <v>1107</v>
      </c>
    </row>
    <row r="89" spans="2:3" x14ac:dyDescent="0.25">
      <c r="B89" s="62" t="s">
        <v>93</v>
      </c>
      <c r="C89" t="s">
        <v>1037</v>
      </c>
    </row>
    <row r="90" spans="2:3" x14ac:dyDescent="0.25">
      <c r="C90" t="s">
        <v>1109</v>
      </c>
    </row>
    <row r="94" spans="2:3" x14ac:dyDescent="0.25">
      <c r="B94" s="62" t="s">
        <v>117</v>
      </c>
      <c r="C94" t="s">
        <v>1111</v>
      </c>
    </row>
    <row r="95" spans="2:3" x14ac:dyDescent="0.25">
      <c r="C95" t="s">
        <v>1110</v>
      </c>
    </row>
    <row r="100" spans="2:3" x14ac:dyDescent="0.25">
      <c r="B100" s="62" t="s">
        <v>170</v>
      </c>
      <c r="C100" t="s">
        <v>1114</v>
      </c>
    </row>
    <row r="101" spans="2:3" x14ac:dyDescent="0.25">
      <c r="C101" t="s">
        <v>1115</v>
      </c>
    </row>
    <row r="103" spans="2:3" x14ac:dyDescent="0.25">
      <c r="C103" t="s">
        <v>1112</v>
      </c>
    </row>
    <row r="104" spans="2:3" x14ac:dyDescent="0.25">
      <c r="C104" t="s">
        <v>1113</v>
      </c>
    </row>
    <row r="108" spans="2:3" x14ac:dyDescent="0.25">
      <c r="B108" s="62" t="s">
        <v>134</v>
      </c>
      <c r="C108" t="s">
        <v>1119</v>
      </c>
    </row>
    <row r="109" spans="2:3" x14ac:dyDescent="0.25">
      <c r="B109" s="1070">
        <v>45229</v>
      </c>
      <c r="C109" t="s">
        <v>1123</v>
      </c>
    </row>
    <row r="110" spans="2:3" x14ac:dyDescent="0.25">
      <c r="C110" t="s">
        <v>1120</v>
      </c>
    </row>
    <row r="111" spans="2:3" x14ac:dyDescent="0.25">
      <c r="C111" t="s">
        <v>1121</v>
      </c>
    </row>
    <row r="112" spans="2:3" x14ac:dyDescent="0.25">
      <c r="C112" t="s">
        <v>1122</v>
      </c>
    </row>
    <row r="113" spans="2:3" x14ac:dyDescent="0.25">
      <c r="C113" t="s">
        <v>1124</v>
      </c>
    </row>
    <row r="114" spans="2:3" x14ac:dyDescent="0.25">
      <c r="C114" t="s">
        <v>1125</v>
      </c>
    </row>
    <row r="116" spans="2:3" x14ac:dyDescent="0.25">
      <c r="C116" t="s">
        <v>1128</v>
      </c>
    </row>
    <row r="117" spans="2:3" x14ac:dyDescent="0.25">
      <c r="C117" t="s">
        <v>1130</v>
      </c>
    </row>
    <row r="118" spans="2:3" x14ac:dyDescent="0.25">
      <c r="C118" t="s">
        <v>1135</v>
      </c>
    </row>
    <row r="119" spans="2:3" x14ac:dyDescent="0.25">
      <c r="C119" t="s">
        <v>1137</v>
      </c>
    </row>
    <row r="121" spans="2:3" x14ac:dyDescent="0.25">
      <c r="B121" s="62" t="s">
        <v>874</v>
      </c>
      <c r="C121" t="s">
        <v>1129</v>
      </c>
    </row>
    <row r="123" spans="2:3" x14ac:dyDescent="0.25">
      <c r="C123" t="s">
        <v>1132</v>
      </c>
    </row>
    <row r="125" spans="2:3" x14ac:dyDescent="0.25">
      <c r="C125" t="s">
        <v>1133</v>
      </c>
    </row>
    <row r="126" spans="2:3" x14ac:dyDescent="0.25">
      <c r="C126" t="s">
        <v>1139</v>
      </c>
    </row>
    <row r="128" spans="2:3" x14ac:dyDescent="0.25">
      <c r="C128" t="s">
        <v>1140</v>
      </c>
    </row>
    <row r="130" spans="2:3" x14ac:dyDescent="0.25">
      <c r="B130" s="62" t="s">
        <v>175</v>
      </c>
      <c r="C130" t="s">
        <v>1141</v>
      </c>
    </row>
    <row r="131" spans="2:3" x14ac:dyDescent="0.25">
      <c r="C131" t="s">
        <v>1149</v>
      </c>
    </row>
    <row r="132" spans="2:3" x14ac:dyDescent="0.25">
      <c r="C132" t="s">
        <v>1143</v>
      </c>
    </row>
    <row r="133" spans="2:3" x14ac:dyDescent="0.25">
      <c r="C133" t="s">
        <v>1145</v>
      </c>
    </row>
    <row r="134" spans="2:3" x14ac:dyDescent="0.25">
      <c r="C134" t="s">
        <v>1147</v>
      </c>
    </row>
    <row r="135" spans="2:3" x14ac:dyDescent="0.25">
      <c r="C135" t="s">
        <v>1148</v>
      </c>
    </row>
    <row r="136" spans="2:3" x14ac:dyDescent="0.25">
      <c r="C136" t="s">
        <v>1150</v>
      </c>
    </row>
    <row r="141" spans="2:3" x14ac:dyDescent="0.25">
      <c r="B141" s="1074">
        <v>45327</v>
      </c>
    </row>
    <row r="142" spans="2:3" x14ac:dyDescent="0.25">
      <c r="C142" s="62" t="s">
        <v>1151</v>
      </c>
    </row>
  </sheetData>
  <sheetProtection algorithmName="SHA-512" hashValue="THm6vJmXB0wtAyXg9VKcqZxRWqT8VV2dQ13Y7PMS0W/eoYukBVU8/NNQ8xeOshnEwFeJDs2OiSAhc0hXYITQ4Q==" saltValue="jhKNmG4mDxGw1+mkoPwWKg==" spinCount="100000" sheet="1" objects="1" scenarios="1"/>
  <mergeCells count="1">
    <mergeCell ref="C55:N5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I186"/>
  <sheetViews>
    <sheetView showGridLines="0" zoomScaleNormal="100" zoomScalePageLayoutView="90" workbookViewId="0">
      <pane ySplit="3" topLeftCell="A4" activePane="bottomLeft" state="frozen"/>
      <selection activeCell="H9" sqref="H9:I9"/>
      <selection pane="bottomLeft" activeCell="E15" sqref="E15"/>
    </sheetView>
  </sheetViews>
  <sheetFormatPr baseColWidth="10" defaultColWidth="9.140625" defaultRowHeight="15" x14ac:dyDescent="0.25"/>
  <cols>
    <col min="1" max="1" width="2.7109375" style="14" customWidth="1"/>
    <col min="2" max="2" width="37.85546875" style="14" customWidth="1"/>
    <col min="3" max="3" width="59.85546875" style="14" customWidth="1"/>
    <col min="4" max="4" width="5.5703125" style="14" customWidth="1"/>
    <col min="5" max="5" width="102.140625" style="14" customWidth="1"/>
    <col min="6" max="6" width="56.5703125" style="14" customWidth="1"/>
    <col min="7" max="7" width="7.28515625" style="14" hidden="1" customWidth="1"/>
    <col min="8" max="8" width="11.42578125" style="14" hidden="1" customWidth="1"/>
    <col min="9" max="9" width="12.140625" style="14" hidden="1" customWidth="1"/>
    <col min="10" max="11" width="17" style="14" hidden="1" customWidth="1"/>
    <col min="12" max="12" width="42.140625" style="14" hidden="1" customWidth="1"/>
    <col min="13" max="13" width="30.85546875" style="14" hidden="1" customWidth="1"/>
    <col min="14" max="14" width="16.5703125" style="14" hidden="1" customWidth="1"/>
    <col min="15" max="15" width="34.5703125" style="14" hidden="1" customWidth="1"/>
    <col min="16" max="16" width="6.140625" style="14" hidden="1" customWidth="1"/>
    <col min="17" max="17" width="74.7109375" style="14" hidden="1" customWidth="1"/>
    <col min="18" max="18" width="30.28515625" style="14" hidden="1" customWidth="1"/>
    <col min="19" max="19" width="41.140625" style="14" hidden="1" customWidth="1"/>
    <col min="20" max="20" width="32" style="14" hidden="1" customWidth="1"/>
    <col min="21" max="25" width="31.140625" style="14" hidden="1" customWidth="1"/>
    <col min="26" max="26" width="60.7109375" style="14" hidden="1" customWidth="1"/>
    <col min="27" max="30" width="31.140625" style="14" hidden="1" customWidth="1"/>
    <col min="31" max="31" width="11.42578125" style="14" hidden="1" customWidth="1"/>
    <col min="32" max="35" width="9.140625" style="14" hidden="1" customWidth="1"/>
    <col min="36" max="120" width="9.140625" style="14" customWidth="1"/>
    <col min="121" max="16384" width="9.140625" style="14"/>
  </cols>
  <sheetData>
    <row r="1" spans="2:32" s="1" customFormat="1" x14ac:dyDescent="0.25">
      <c r="B1" s="357"/>
      <c r="C1" s="357"/>
      <c r="G1" s="14"/>
      <c r="H1" s="14"/>
      <c r="I1" s="14"/>
      <c r="O1" s="14"/>
      <c r="P1" s="14"/>
      <c r="Q1" s="14"/>
      <c r="R1" s="14"/>
      <c r="S1" s="14"/>
      <c r="T1" s="14"/>
      <c r="U1" s="14"/>
      <c r="V1" s="14"/>
      <c r="W1" s="14"/>
      <c r="X1" s="14"/>
      <c r="Y1" s="14"/>
      <c r="Z1" s="14"/>
      <c r="AA1" s="14"/>
      <c r="AB1" s="14"/>
      <c r="AC1" s="14"/>
      <c r="AD1" s="14"/>
    </row>
    <row r="2" spans="2:32" s="1" customFormat="1" ht="42" customHeight="1" x14ac:dyDescent="0.25">
      <c r="B2" s="450" t="s">
        <v>1161</v>
      </c>
      <c r="C2" s="451"/>
      <c r="D2" s="451"/>
      <c r="E2" s="451"/>
      <c r="F2" s="552" t="str">
        <f>IF('Manuell filtrering og justering'!I2='Manuell filtrering og justering'!J2,"Bespoke","")</f>
        <v/>
      </c>
      <c r="G2" s="14"/>
      <c r="H2" s="14"/>
      <c r="I2" s="14"/>
      <c r="O2" s="14"/>
      <c r="P2" s="14"/>
      <c r="Q2" s="14"/>
      <c r="R2" s="14"/>
      <c r="S2" s="14"/>
      <c r="T2" s="14"/>
      <c r="U2" s="14"/>
      <c r="V2" s="14"/>
      <c r="W2" s="14"/>
      <c r="X2" s="14"/>
      <c r="Y2" s="14"/>
      <c r="Z2" s="14"/>
      <c r="AA2" s="14"/>
      <c r="AB2" s="14"/>
      <c r="AC2" s="14"/>
      <c r="AD2" s="14"/>
    </row>
    <row r="3" spans="2:32" s="1" customFormat="1" x14ac:dyDescent="0.25">
      <c r="B3" s="452"/>
      <c r="C3" s="452"/>
      <c r="F3" s="453"/>
      <c r="G3" s="14"/>
      <c r="H3" s="14"/>
      <c r="I3" s="14"/>
      <c r="O3" s="14"/>
      <c r="P3" s="14"/>
      <c r="Q3" s="14"/>
      <c r="R3" s="40"/>
      <c r="S3" s="40"/>
      <c r="T3" s="40"/>
      <c r="U3" s="40"/>
      <c r="V3" s="40"/>
      <c r="W3" s="40"/>
      <c r="X3" s="40"/>
      <c r="Y3" s="40"/>
      <c r="Z3" s="40"/>
      <c r="AA3" s="40"/>
      <c r="AB3" s="40"/>
      <c r="AC3" s="40"/>
      <c r="AD3" s="40"/>
      <c r="AE3" s="40"/>
    </row>
    <row r="4" spans="2:32" s="1" customFormat="1" ht="18.75" x14ac:dyDescent="0.3">
      <c r="B4" s="454" t="s">
        <v>46</v>
      </c>
      <c r="C4" s="5"/>
      <c r="E4" s="454" t="s">
        <v>19</v>
      </c>
      <c r="F4" s="454"/>
      <c r="G4" s="14"/>
      <c r="H4" s="14"/>
      <c r="I4" s="14"/>
      <c r="L4" s="10"/>
      <c r="M4" s="10"/>
      <c r="N4" s="10"/>
      <c r="O4" s="14"/>
      <c r="P4" s="14"/>
      <c r="Q4" s="14"/>
      <c r="R4" s="14"/>
      <c r="S4" s="14"/>
      <c r="T4" s="14"/>
      <c r="U4" s="14"/>
      <c r="V4" s="14"/>
      <c r="W4" s="14"/>
      <c r="X4" s="14"/>
      <c r="Y4" s="14"/>
      <c r="Z4" s="14"/>
      <c r="AA4" s="14"/>
      <c r="AB4" s="14"/>
      <c r="AC4" s="14"/>
      <c r="AD4" s="14"/>
    </row>
    <row r="5" spans="2:32" s="1" customFormat="1" ht="15.75" x14ac:dyDescent="0.25">
      <c r="B5" s="455" t="s">
        <v>15</v>
      </c>
      <c r="C5" s="529"/>
      <c r="D5" s="14"/>
      <c r="E5" s="457" t="s">
        <v>51</v>
      </c>
      <c r="F5" s="456" t="s">
        <v>29</v>
      </c>
      <c r="G5" s="14"/>
      <c r="H5" s="14"/>
      <c r="I5" s="14"/>
      <c r="J5" s="14"/>
      <c r="K5" s="14"/>
      <c r="L5" s="85" t="str">
        <f>IF('Manuell filtrering og justering'!I2='Manuell filtrering og justering'!J2,'Manuell filtrering og justering'!H2,M6)</f>
        <v>Industrial</v>
      </c>
      <c r="M5" t="s">
        <v>29</v>
      </c>
      <c r="N5" s="10"/>
      <c r="O5" s="85" t="str">
        <f t="shared" ref="O5:O13" si="0">IF(HLOOKUP(ADBT0,$R$5:$AE$14,AF6,FALSE)=0,"",HLOOKUP(ADBT0,$R$5:$AE$14,AF6,FALSE))</f>
        <v>General office buildings</v>
      </c>
      <c r="P5" s="14"/>
      <c r="Q5" s="85" t="s">
        <v>41</v>
      </c>
      <c r="R5" s="83" t="s">
        <v>30</v>
      </c>
      <c r="S5" s="83" t="s">
        <v>29</v>
      </c>
      <c r="T5" s="83" t="s">
        <v>31</v>
      </c>
      <c r="U5" s="83" t="s">
        <v>32</v>
      </c>
      <c r="V5" s="83" t="s">
        <v>8</v>
      </c>
      <c r="W5" s="83" t="s">
        <v>482</v>
      </c>
      <c r="X5" s="83" t="s">
        <v>483</v>
      </c>
      <c r="Y5" s="83" t="s">
        <v>484</v>
      </c>
      <c r="Z5" s="83" t="s">
        <v>485</v>
      </c>
      <c r="AA5" s="83" t="s">
        <v>486</v>
      </c>
      <c r="AB5" s="83" t="s">
        <v>487</v>
      </c>
      <c r="AC5" s="83" t="s">
        <v>488</v>
      </c>
      <c r="AD5" s="989" t="s">
        <v>1000</v>
      </c>
      <c r="AE5" s="83" t="s">
        <v>334</v>
      </c>
      <c r="AF5" s="1">
        <v>1</v>
      </c>
    </row>
    <row r="6" spans="2:32" s="1" customFormat="1" ht="15.75" x14ac:dyDescent="0.25">
      <c r="B6" s="458" t="s">
        <v>16</v>
      </c>
      <c r="C6" s="529"/>
      <c r="D6" s="14"/>
      <c r="E6" s="459" t="s">
        <v>22</v>
      </c>
      <c r="F6" s="460" t="s">
        <v>489</v>
      </c>
      <c r="G6" s="14"/>
      <c r="H6" s="14"/>
      <c r="I6" s="14"/>
      <c r="J6" s="14"/>
      <c r="K6" s="14"/>
      <c r="L6" s="85" t="str">
        <f>IF('Manuell filtrering og justering'!I2='Manuell filtrering og justering'!J2,"",M5)</f>
        <v>Office</v>
      </c>
      <c r="M6" t="s">
        <v>30</v>
      </c>
      <c r="N6" s="10"/>
      <c r="O6" s="85" t="str">
        <f t="shared" si="0"/>
        <v>Offices with research and development areas (i.e. category 1 labs only)</v>
      </c>
      <c r="P6" s="14"/>
      <c r="Q6" s="14"/>
      <c r="R6" s="14" t="s">
        <v>491</v>
      </c>
      <c r="S6" s="14" t="s">
        <v>489</v>
      </c>
      <c r="T6" s="14" t="s">
        <v>493</v>
      </c>
      <c r="U6" s="1" t="s">
        <v>497</v>
      </c>
      <c r="V6" s="1" t="s">
        <v>324</v>
      </c>
      <c r="W6" s="1" t="s">
        <v>501</v>
      </c>
      <c r="X6" s="1" t="s">
        <v>506</v>
      </c>
      <c r="Y6" s="1" t="s">
        <v>511</v>
      </c>
      <c r="Z6" s="1" t="s">
        <v>519</v>
      </c>
      <c r="AA6" s="1" t="s">
        <v>525</v>
      </c>
      <c r="AB6" s="1" t="s">
        <v>528</v>
      </c>
      <c r="AC6" s="1" t="s">
        <v>532</v>
      </c>
      <c r="AD6" s="1" t="s">
        <v>1001</v>
      </c>
      <c r="AE6" s="14" t="s">
        <v>334</v>
      </c>
      <c r="AF6" s="1">
        <v>2</v>
      </c>
    </row>
    <row r="7" spans="2:32" s="1" customFormat="1" ht="15.75" x14ac:dyDescent="0.25">
      <c r="B7" s="458" t="s">
        <v>17</v>
      </c>
      <c r="C7" s="529"/>
      <c r="D7" s="14"/>
      <c r="E7" s="462" t="s">
        <v>23</v>
      </c>
      <c r="F7" s="1072" t="s">
        <v>34</v>
      </c>
      <c r="G7" s="14"/>
      <c r="H7" s="14"/>
      <c r="I7" s="14"/>
      <c r="J7" s="14"/>
      <c r="K7" s="14"/>
      <c r="L7" s="85" t="str">
        <f>IF('Manuell filtrering og justering'!I2='Manuell filtrering og justering'!J2,"",M7)</f>
        <v>Retail</v>
      </c>
      <c r="M7" t="s">
        <v>31</v>
      </c>
      <c r="N7" s="10"/>
      <c r="O7" s="85" t="str">
        <f t="shared" si="0"/>
        <v/>
      </c>
      <c r="P7" s="14"/>
      <c r="Q7" s="14"/>
      <c r="R7" s="14" t="s">
        <v>492</v>
      </c>
      <c r="S7" s="1" t="s">
        <v>490</v>
      </c>
      <c r="T7" s="14" t="s">
        <v>494</v>
      </c>
      <c r="U7" s="1" t="s">
        <v>498</v>
      </c>
      <c r="V7" s="1" t="s">
        <v>325</v>
      </c>
      <c r="W7" s="1" t="s">
        <v>502</v>
      </c>
      <c r="X7" s="1" t="s">
        <v>507</v>
      </c>
      <c r="Y7" s="1" t="s">
        <v>512</v>
      </c>
      <c r="Z7" s="1" t="s">
        <v>520</v>
      </c>
      <c r="AA7" s="1" t="s">
        <v>526</v>
      </c>
      <c r="AB7" s="1" t="s">
        <v>529</v>
      </c>
      <c r="AC7" s="1" t="s">
        <v>533</v>
      </c>
      <c r="AD7" s="1" t="s">
        <v>1002</v>
      </c>
      <c r="AF7" s="1">
        <v>3</v>
      </c>
    </row>
    <row r="8" spans="2:32" s="1" customFormat="1" ht="15.75" x14ac:dyDescent="0.25">
      <c r="B8" s="458" t="s">
        <v>18</v>
      </c>
      <c r="C8" s="529"/>
      <c r="D8" s="14"/>
      <c r="G8" s="14"/>
      <c r="H8" s="14"/>
      <c r="I8" s="14"/>
      <c r="J8" s="14"/>
      <c r="K8" s="14"/>
      <c r="L8" s="85" t="str">
        <f>IF('Manuell filtrering og justering'!I2='Manuell filtrering og justering'!J2,"",M8)</f>
        <v>Education</v>
      </c>
      <c r="M8" t="s">
        <v>32</v>
      </c>
      <c r="N8" s="10"/>
      <c r="O8" s="85" t="str">
        <f t="shared" si="0"/>
        <v/>
      </c>
      <c r="P8" s="14"/>
      <c r="Q8" s="21" t="s">
        <v>538</v>
      </c>
      <c r="T8" s="14" t="s">
        <v>495</v>
      </c>
      <c r="U8" s="1" t="s">
        <v>499</v>
      </c>
      <c r="V8" s="1" t="s">
        <v>323</v>
      </c>
      <c r="W8" s="1" t="s">
        <v>503</v>
      </c>
      <c r="X8" s="1" t="s">
        <v>508</v>
      </c>
      <c r="Y8" s="1" t="s">
        <v>513</v>
      </c>
      <c r="Z8" s="1" t="s">
        <v>521</v>
      </c>
      <c r="AA8" s="1" t="s">
        <v>527</v>
      </c>
      <c r="AB8" s="1" t="s">
        <v>530</v>
      </c>
      <c r="AC8" s="1" t="s">
        <v>534</v>
      </c>
      <c r="AD8" s="1" t="s">
        <v>1003</v>
      </c>
      <c r="AE8" s="14"/>
      <c r="AF8" s="1">
        <v>4</v>
      </c>
    </row>
    <row r="9" spans="2:32" s="1" customFormat="1" ht="15.75" x14ac:dyDescent="0.25">
      <c r="B9" s="458" t="s">
        <v>40</v>
      </c>
      <c r="C9" s="529"/>
      <c r="D9" s="14"/>
      <c r="G9" s="14"/>
      <c r="H9" s="14"/>
      <c r="I9" s="14"/>
      <c r="J9" s="14"/>
      <c r="K9" s="14"/>
      <c r="L9" s="85" t="str">
        <f>IF('Manuell filtrering og justering'!I2='Manuell filtrering og justering'!J2,"",M16)</f>
        <v>Residential</v>
      </c>
      <c r="M9" t="s">
        <v>482</v>
      </c>
      <c r="N9" s="10"/>
      <c r="O9" s="85" t="str">
        <f t="shared" si="0"/>
        <v/>
      </c>
      <c r="P9" s="14"/>
      <c r="Q9" s="14"/>
      <c r="T9" s="1" t="s">
        <v>322</v>
      </c>
      <c r="U9" s="1" t="s">
        <v>536</v>
      </c>
      <c r="W9" s="1" t="s">
        <v>504</v>
      </c>
      <c r="X9" s="1" t="s">
        <v>509</v>
      </c>
      <c r="Y9" s="1" t="s">
        <v>514</v>
      </c>
      <c r="Z9" s="1" t="s">
        <v>522</v>
      </c>
      <c r="AB9" s="1" t="s">
        <v>531</v>
      </c>
      <c r="AC9" s="1" t="s">
        <v>535</v>
      </c>
      <c r="AD9" s="1" t="s">
        <v>1004</v>
      </c>
      <c r="AF9" s="1">
        <v>5</v>
      </c>
    </row>
    <row r="10" spans="2:32" s="1" customFormat="1" ht="15.75" x14ac:dyDescent="0.25">
      <c r="B10" s="462" t="s">
        <v>196</v>
      </c>
      <c r="C10" s="529"/>
      <c r="D10" s="14"/>
      <c r="F10" s="225"/>
      <c r="G10" s="14"/>
      <c r="H10" s="14"/>
      <c r="I10" s="14"/>
      <c r="J10" s="14"/>
      <c r="K10" s="14"/>
      <c r="L10" s="85" t="str">
        <f>IF('Manuell filtrering og justering'!$I$2='Manuell filtrering og justering'!$J$2,"",M9)</f>
        <v>Healthcare</v>
      </c>
      <c r="M10" t="s">
        <v>483</v>
      </c>
      <c r="N10" s="10"/>
      <c r="O10" s="85" t="str">
        <f t="shared" si="0"/>
        <v/>
      </c>
      <c r="P10" s="14"/>
      <c r="Q10" s="14"/>
      <c r="T10" s="1" t="s">
        <v>496</v>
      </c>
      <c r="U10" s="1" t="s">
        <v>500</v>
      </c>
      <c r="W10" s="1" t="s">
        <v>505</v>
      </c>
      <c r="X10" s="1" t="s">
        <v>510</v>
      </c>
      <c r="Y10" s="1" t="s">
        <v>515</v>
      </c>
      <c r="Z10" s="1" t="s">
        <v>523</v>
      </c>
      <c r="AD10" s="1" t="s">
        <v>1005</v>
      </c>
      <c r="AF10" s="1">
        <v>6</v>
      </c>
    </row>
    <row r="11" spans="2:32" s="1" customFormat="1" ht="15.75" customHeight="1" x14ac:dyDescent="0.25">
      <c r="C11"/>
      <c r="E11" s="464" t="s">
        <v>303</v>
      </c>
      <c r="F11" s="531"/>
      <c r="G11" s="14"/>
      <c r="H11" s="14"/>
      <c r="I11" s="14"/>
      <c r="J11" s="14"/>
      <c r="K11" s="14"/>
      <c r="L11" s="85" t="str">
        <f>IF('Manuell filtrering og justering'!$I$2='Manuell filtrering og justering'!$J$2,"",M10)</f>
        <v>Prison</v>
      </c>
      <c r="M11" t="s">
        <v>484</v>
      </c>
      <c r="N11" s="10"/>
      <c r="O11" s="85" t="str">
        <f t="shared" si="0"/>
        <v/>
      </c>
      <c r="P11" s="14"/>
      <c r="Q11" s="85" t="s">
        <v>34</v>
      </c>
      <c r="T11" s="14" t="s">
        <v>326</v>
      </c>
      <c r="Y11" s="1" t="s">
        <v>516</v>
      </c>
      <c r="Z11" s="1" t="s">
        <v>524</v>
      </c>
      <c r="AF11" s="1">
        <v>7</v>
      </c>
    </row>
    <row r="12" spans="2:32" s="1" customFormat="1" ht="15" customHeight="1" x14ac:dyDescent="0.3">
      <c r="B12" s="454" t="s">
        <v>19</v>
      </c>
      <c r="C12" s="530"/>
      <c r="E12" s="458" t="s">
        <v>302</v>
      </c>
      <c r="F12" s="531"/>
      <c r="G12" s="14"/>
      <c r="H12" s="14"/>
      <c r="I12" s="14"/>
      <c r="J12" s="14"/>
      <c r="K12" s="14"/>
      <c r="L12" s="85" t="str">
        <f>IF('Manuell filtrering og justering'!$I$2='Manuell filtrering og justering'!$J$2,"",M11)</f>
        <v>Law Court</v>
      </c>
      <c r="M12" t="s">
        <v>485</v>
      </c>
      <c r="N12" s="10"/>
      <c r="O12" s="85" t="str">
        <f t="shared" si="0"/>
        <v/>
      </c>
      <c r="P12" s="14"/>
      <c r="Q12" s="85" t="str">
        <f>IF(ADBT0=ADBT12,"","New Construction (shell and core)")</f>
        <v>New Construction (shell and core)</v>
      </c>
      <c r="T12" s="14"/>
      <c r="U12" s="14"/>
      <c r="V12" s="14"/>
      <c r="W12" s="14"/>
      <c r="X12" s="14"/>
      <c r="Y12" s="14" t="s">
        <v>517</v>
      </c>
      <c r="Z12" s="14"/>
      <c r="AA12" s="14"/>
      <c r="AB12" s="14"/>
      <c r="AC12" s="14"/>
      <c r="AD12" s="14"/>
      <c r="AF12" s="1">
        <v>8</v>
      </c>
    </row>
    <row r="13" spans="2:32" s="1" customFormat="1" ht="15.75" customHeight="1" x14ac:dyDescent="0.25">
      <c r="B13" s="455" t="s">
        <v>20</v>
      </c>
      <c r="C13" s="531"/>
      <c r="E13" s="1064" t="s">
        <v>304</v>
      </c>
      <c r="F13" s="531"/>
      <c r="G13" s="14"/>
      <c r="H13" s="14"/>
      <c r="I13" s="299" t="s">
        <v>1007</v>
      </c>
      <c r="J13" s="14"/>
      <c r="K13" s="14"/>
      <c r="L13" s="85" t="str">
        <f>IF('Manuell filtrering og justering'!$I$2='Manuell filtrering og justering'!$J$2,"",M12)</f>
        <v>Residential institution (long term stay)</v>
      </c>
      <c r="M13" t="s">
        <v>486</v>
      </c>
      <c r="N13" s="10"/>
      <c r="O13" s="85" t="str">
        <f t="shared" si="0"/>
        <v/>
      </c>
      <c r="P13" s="14"/>
      <c r="Q13" s="85" t="str">
        <f>IF(ADBT0=ADBT12,"","New Construction (shell only)")</f>
        <v>New Construction (shell only)</v>
      </c>
      <c r="T13" s="14"/>
      <c r="U13" s="14"/>
      <c r="V13" s="14"/>
      <c r="W13" s="14"/>
      <c r="X13" s="14"/>
      <c r="Y13" s="14" t="s">
        <v>518</v>
      </c>
      <c r="Z13" s="14"/>
      <c r="AA13" s="14"/>
      <c r="AB13" s="14"/>
      <c r="AC13" s="14"/>
      <c r="AD13" s="14"/>
      <c r="AF13" s="1">
        <v>9</v>
      </c>
    </row>
    <row r="14" spans="2:32" s="1" customFormat="1" ht="15.75" x14ac:dyDescent="0.25">
      <c r="B14" s="465" t="s">
        <v>21</v>
      </c>
      <c r="C14" s="532"/>
      <c r="E14" s="1065"/>
      <c r="G14" s="14"/>
      <c r="H14" s="14"/>
      <c r="I14" s="299"/>
      <c r="J14" s="14"/>
      <c r="K14" s="14"/>
      <c r="L14" s="85" t="str">
        <f>IF('Manuell filtrering og justering'!$I$2='Manuell filtrering og justering'!$J$2,"",M13)</f>
        <v>Residential institution (short term stay)</v>
      </c>
      <c r="M14" t="s">
        <v>487</v>
      </c>
      <c r="N14" s="10"/>
      <c r="O14" s="14"/>
      <c r="P14" s="14"/>
      <c r="Q14" s="85" t="s">
        <v>35</v>
      </c>
      <c r="T14" s="14"/>
      <c r="U14" s="14"/>
      <c r="V14" s="14"/>
      <c r="W14" s="14"/>
      <c r="X14" s="14"/>
      <c r="Y14" s="14"/>
      <c r="Z14" s="14"/>
      <c r="AA14" s="14"/>
      <c r="AB14" s="14"/>
      <c r="AC14" s="14"/>
      <c r="AD14" s="14"/>
      <c r="AF14" s="1">
        <v>10</v>
      </c>
    </row>
    <row r="15" spans="2:32" s="1" customFormat="1" ht="16.5" customHeight="1" x14ac:dyDescent="0.25">
      <c r="B15" s="466"/>
      <c r="C15" s="533"/>
      <c r="E15" s="455" t="s">
        <v>1088</v>
      </c>
      <c r="F15" s="460"/>
      <c r="G15" s="14"/>
      <c r="H15" s="14"/>
      <c r="I15" s="299">
        <f>IF(ADBT0=ADBT16,1,0)</f>
        <v>0</v>
      </c>
      <c r="K15" s="14"/>
      <c r="L15" s="85" t="str">
        <f>IF('Manuell filtrering og justering'!$I$2='Manuell filtrering og justering'!$J$2,"",M14)</f>
        <v>Non-residential institution</v>
      </c>
      <c r="M15" t="s">
        <v>488</v>
      </c>
      <c r="N15" s="10"/>
      <c r="O15" s="14"/>
      <c r="P15" s="14"/>
      <c r="Q15" s="85" t="str">
        <f>IF(ADBT0=ADBT12,"","Major Refurbishment (shell and core)")</f>
        <v>Major Refurbishment (shell and core)</v>
      </c>
      <c r="U15" s="14"/>
      <c r="V15" s="14"/>
      <c r="W15" s="14"/>
      <c r="X15" s="14"/>
      <c r="Y15" s="14"/>
      <c r="Z15" s="14"/>
      <c r="AA15" s="14"/>
      <c r="AB15" s="14"/>
      <c r="AC15" s="14"/>
      <c r="AD15" s="14"/>
      <c r="AF15" s="1">
        <v>11</v>
      </c>
    </row>
    <row r="16" spans="2:32" s="1" customFormat="1" ht="15.75" x14ac:dyDescent="0.25">
      <c r="B16" s="469"/>
      <c r="C16" s="534"/>
      <c r="E16" s="458" t="s">
        <v>1008</v>
      </c>
      <c r="F16" s="461"/>
      <c r="H16" s="40" t="str">
        <f>IF(ADBT0&lt;&gt;ADBT1,AD_Yes,F16)</f>
        <v>Yes</v>
      </c>
      <c r="I16" s="299">
        <f>IF(Pol05_credits=0,0,1)</f>
        <v>1</v>
      </c>
      <c r="J16" s="990" t="s">
        <v>266</v>
      </c>
      <c r="K16" s="14"/>
      <c r="L16" s="85" t="str">
        <f>IF('Manuell filtrering og justering'!$I$2='Manuell filtrering og justering'!$J$2,"",M15)</f>
        <v>Assembly and leisure</v>
      </c>
      <c r="M16" t="s">
        <v>8</v>
      </c>
      <c r="N16" s="10"/>
      <c r="O16" s="14"/>
      <c r="P16" s="14"/>
      <c r="Q16" s="85" t="str">
        <f>IF(ADBT0=ADBT12,"","Major Refurbishment (shell only)")</f>
        <v>Major Refurbishment (shell only)</v>
      </c>
      <c r="U16" s="14"/>
      <c r="V16" s="14"/>
      <c r="W16" s="14"/>
      <c r="X16" s="14"/>
      <c r="Y16" s="14"/>
      <c r="Z16" s="14"/>
      <c r="AA16" s="14"/>
      <c r="AB16" s="14"/>
      <c r="AC16" s="14"/>
      <c r="AD16" s="14"/>
      <c r="AF16" s="1">
        <v>12</v>
      </c>
    </row>
    <row r="17" spans="2:34" s="1" customFormat="1" ht="15.75" x14ac:dyDescent="0.25">
      <c r="B17" s="470" t="str">
        <f>IF('Manuell filtrering og justering'!I2='Manuell filtrering og justering'!J2,"Building type (main description)","")</f>
        <v/>
      </c>
      <c r="C17" s="535"/>
      <c r="E17" s="459" t="s">
        <v>1027</v>
      </c>
      <c r="F17" s="461"/>
      <c r="H17" s="40"/>
      <c r="I17" s="299"/>
      <c r="J17" s="990" t="s">
        <v>267</v>
      </c>
      <c r="K17" s="14"/>
      <c r="L17" s="85" t="str">
        <f>IF('Manuell filtrering og justering'!$I$2='Manuell filtrering og justering'!$J$2,"",M17)</f>
        <v>Other</v>
      </c>
      <c r="M17" s="1" t="s">
        <v>1000</v>
      </c>
      <c r="N17" s="10"/>
      <c r="O17" s="14"/>
      <c r="P17" s="14"/>
      <c r="Q17" s="1073" t="str">
        <f>IF(OR(F7=ADPT01,F7=ADPT03),ADPT01,IF(OR(F7=Q12,F7=Q15),Q12,ADPT02))</f>
        <v>New Construction (fully fitted)</v>
      </c>
      <c r="U17" s="14"/>
      <c r="V17" s="14"/>
      <c r="W17" s="14"/>
      <c r="X17" s="14"/>
      <c r="Y17" s="14"/>
      <c r="Z17" s="14"/>
      <c r="AA17" s="14"/>
      <c r="AB17" s="14"/>
      <c r="AC17" s="14"/>
      <c r="AD17" s="14"/>
      <c r="AF17" s="1">
        <v>13</v>
      </c>
      <c r="AH17" s="40" t="s">
        <v>564</v>
      </c>
    </row>
    <row r="18" spans="2:34" s="1" customFormat="1" ht="15.75" x14ac:dyDescent="0.25">
      <c r="B18" s="458" t="s">
        <v>197</v>
      </c>
      <c r="C18" s="536"/>
      <c r="E18" s="459" t="s">
        <v>1006</v>
      </c>
      <c r="F18" s="460"/>
      <c r="G18" s="1026" t="s">
        <v>334</v>
      </c>
      <c r="I18" s="64">
        <f>IF(Ene03_credits+Pol04_credits=0,0,1)</f>
        <v>1</v>
      </c>
      <c r="J18" s="990" t="s">
        <v>219</v>
      </c>
      <c r="K18" s="14"/>
      <c r="L18" s="33"/>
      <c r="N18" s="10"/>
      <c r="O18" s="14"/>
      <c r="P18" s="14"/>
      <c r="Q18" s="85" t="s">
        <v>82</v>
      </c>
      <c r="U18" s="14"/>
      <c r="V18" s="14"/>
      <c r="W18" s="14"/>
      <c r="X18" s="14"/>
      <c r="Y18" s="14"/>
      <c r="Z18" s="14"/>
      <c r="AA18" s="14"/>
      <c r="AB18" s="14"/>
      <c r="AC18" s="14"/>
      <c r="AD18" s="14"/>
      <c r="AH18" s="40" t="s">
        <v>565</v>
      </c>
    </row>
    <row r="19" spans="2:34" s="1" customFormat="1" ht="15.75" x14ac:dyDescent="0.25">
      <c r="B19" s="458" t="s">
        <v>198</v>
      </c>
      <c r="C19" s="537"/>
      <c r="E19" s="459" t="s">
        <v>923</v>
      </c>
      <c r="F19" s="467"/>
      <c r="G19" s="40"/>
      <c r="H19" s="14"/>
      <c r="I19" s="299">
        <f>IF(ADBT0='Manuell filtrering og justering'!H2,0,IF(Poeng!Y84+Poeng!Y85=2,0,1))</f>
        <v>1</v>
      </c>
      <c r="J19" s="990" t="s">
        <v>269</v>
      </c>
      <c r="K19" s="14"/>
      <c r="L19" s="33"/>
      <c r="M19" s="10"/>
      <c r="N19" s="10"/>
      <c r="O19" s="14"/>
      <c r="P19" s="14"/>
      <c r="Q19" s="85" t="s">
        <v>33</v>
      </c>
      <c r="U19" s="14"/>
      <c r="V19" s="14"/>
      <c r="W19" s="14"/>
      <c r="X19" s="14"/>
      <c r="Y19" s="14"/>
      <c r="Z19" s="14"/>
      <c r="AA19" s="14"/>
      <c r="AB19" s="14"/>
      <c r="AC19" s="14"/>
      <c r="AD19" s="14"/>
    </row>
    <row r="20" spans="2:34" s="1" customFormat="1" ht="15.75" x14ac:dyDescent="0.25">
      <c r="B20" s="462" t="s">
        <v>199</v>
      </c>
      <c r="C20" s="537"/>
      <c r="E20" s="459" t="s">
        <v>924</v>
      </c>
      <c r="F20" s="460"/>
      <c r="G20" s="14"/>
      <c r="H20" s="14"/>
      <c r="I20" s="299">
        <v>1</v>
      </c>
      <c r="J20" s="990" t="s">
        <v>219</v>
      </c>
      <c r="K20" s="14"/>
      <c r="L20" s="33"/>
      <c r="M20" s="10"/>
      <c r="N20" s="10"/>
      <c r="O20" s="14"/>
      <c r="P20" s="14"/>
      <c r="Q20" s="14"/>
      <c r="U20" s="14"/>
      <c r="V20" s="14"/>
      <c r="W20" s="14"/>
      <c r="X20" s="14"/>
      <c r="Y20" s="14"/>
      <c r="Z20" s="14"/>
      <c r="AA20" s="14"/>
      <c r="AB20" s="14"/>
      <c r="AC20" s="14"/>
      <c r="AD20" s="14"/>
    </row>
    <row r="21" spans="2:34" s="1" customFormat="1" ht="15.75" x14ac:dyDescent="0.25">
      <c r="C21" s="87"/>
      <c r="E21" s="459" t="s">
        <v>1015</v>
      </c>
      <c r="F21" s="460"/>
      <c r="G21" s="1026" t="s">
        <v>952</v>
      </c>
      <c r="H21" s="14">
        <f>IF(ADBT0=AE5,1,IF(OR(ADBT0=ADBT13,ADBT0=AD5,ADBT0=ADBT1,ADBT0=ADBT2,AND(ADBT0=ADBT8,OR(F6=U9,F6=U10))),1,0))</f>
        <v>1</v>
      </c>
      <c r="I21" s="299">
        <f>IF(Poeng!Y91+Poeng!Y92=Poeng!T91+Poeng!T92,0,1)</f>
        <v>1</v>
      </c>
      <c r="J21" s="990" t="s">
        <v>219</v>
      </c>
      <c r="K21" s="14">
        <f>Poeng!AB91</f>
        <v>1</v>
      </c>
      <c r="L21" s="33"/>
      <c r="M21" s="10"/>
      <c r="N21" s="10"/>
      <c r="P21" s="14"/>
      <c r="Q21" s="14"/>
      <c r="U21" s="14"/>
      <c r="V21" s="14"/>
      <c r="W21" s="14"/>
      <c r="X21" s="14"/>
      <c r="Y21" s="14"/>
      <c r="Z21" s="14"/>
      <c r="AA21" s="14"/>
      <c r="AB21" s="14"/>
      <c r="AC21" s="14"/>
      <c r="AD21" s="14"/>
    </row>
    <row r="22" spans="2:34" s="1" customFormat="1" ht="15" customHeight="1" x14ac:dyDescent="0.3">
      <c r="B22" s="454" t="s">
        <v>25</v>
      </c>
      <c r="C22" s="538"/>
      <c r="E22" s="473" t="s">
        <v>999</v>
      </c>
      <c r="F22" s="460"/>
      <c r="I22" s="64">
        <f>IF(Poeng!Y94=Poeng!T94,0,1)</f>
        <v>1</v>
      </c>
      <c r="J22" s="990" t="s">
        <v>219</v>
      </c>
      <c r="K22" s="14">
        <f>Poeng!AB92</f>
        <v>4</v>
      </c>
      <c r="L22" s="33"/>
      <c r="M22" s="10"/>
      <c r="N22" s="10" t="s">
        <v>278</v>
      </c>
      <c r="O22" s="14"/>
      <c r="P22" s="14"/>
      <c r="Q22" s="85" t="s">
        <v>11</v>
      </c>
      <c r="R22" s="1" t="s">
        <v>1112</v>
      </c>
      <c r="U22" s="14"/>
      <c r="V22" s="14"/>
      <c r="W22" s="14"/>
      <c r="X22" s="14"/>
      <c r="Y22" s="14"/>
      <c r="Z22" s="14"/>
      <c r="AA22" s="14"/>
      <c r="AB22" s="14"/>
      <c r="AC22" s="14"/>
      <c r="AD22" s="14"/>
    </row>
    <row r="23" spans="2:34" s="1" customFormat="1" ht="15" customHeight="1" x14ac:dyDescent="0.25">
      <c r="B23" s="471" t="s">
        <v>26</v>
      </c>
      <c r="C23" s="529"/>
      <c r="E23" s="931" t="s">
        <v>990</v>
      </c>
      <c r="F23" s="460"/>
      <c r="G23" s="40"/>
      <c r="H23" s="14"/>
      <c r="I23" s="299">
        <f>IF(ADBT0='Manuell filtrering og justering'!H2,0,1)</f>
        <v>1</v>
      </c>
      <c r="J23" s="990" t="s">
        <v>219</v>
      </c>
      <c r="M23" s="10"/>
      <c r="N23" s="10"/>
      <c r="O23" s="14"/>
      <c r="P23" s="14"/>
      <c r="Q23" s="85" t="s">
        <v>12</v>
      </c>
      <c r="R23" s="1" t="s">
        <v>1113</v>
      </c>
      <c r="T23" s="14"/>
      <c r="U23" s="14"/>
      <c r="V23" s="14"/>
      <c r="W23" s="14"/>
      <c r="X23" s="14"/>
      <c r="Y23" s="14"/>
      <c r="Z23" s="14"/>
      <c r="AA23" s="14"/>
      <c r="AB23" s="14"/>
      <c r="AC23" s="14"/>
      <c r="AD23" s="14"/>
    </row>
    <row r="24" spans="2:34" s="1" customFormat="1" ht="15" customHeight="1" x14ac:dyDescent="0.25">
      <c r="B24" s="472" t="s">
        <v>27</v>
      </c>
      <c r="C24" s="529"/>
      <c r="E24" s="473" t="s">
        <v>919</v>
      </c>
      <c r="F24" s="460"/>
      <c r="G24" s="1026" t="s">
        <v>334</v>
      </c>
      <c r="H24" s="40"/>
      <c r="I24" s="299">
        <f>IF(Pol01_credits=0,0,1)</f>
        <v>1</v>
      </c>
      <c r="J24" s="990" t="s">
        <v>219</v>
      </c>
      <c r="K24" s="14"/>
      <c r="L24" s="33"/>
      <c r="M24" s="10"/>
      <c r="N24" s="10"/>
      <c r="O24" s="85" t="s">
        <v>272</v>
      </c>
      <c r="P24" s="14"/>
      <c r="Q24" s="85" t="s">
        <v>45</v>
      </c>
      <c r="T24" s="14"/>
      <c r="U24" s="14"/>
      <c r="V24" s="14"/>
      <c r="W24" s="14"/>
      <c r="X24" s="14"/>
      <c r="Y24" s="14"/>
      <c r="Z24" s="14"/>
      <c r="AA24" s="14"/>
      <c r="AB24" s="14"/>
      <c r="AC24" s="14"/>
      <c r="AD24" s="14"/>
    </row>
    <row r="25" spans="2:34" s="1" customFormat="1" ht="15" customHeight="1" x14ac:dyDescent="0.25">
      <c r="B25" s="472" t="s">
        <v>264</v>
      </c>
      <c r="C25" s="529"/>
      <c r="E25" s="473" t="s">
        <v>1016</v>
      </c>
      <c r="F25" s="460"/>
      <c r="G25" s="1026" t="s">
        <v>334</v>
      </c>
      <c r="H25" s="40"/>
      <c r="I25" s="299">
        <f>IF(Poeng!Y205+Poeng!Y206=Poeng!T205+Poeng!T206,0,1)</f>
        <v>1</v>
      </c>
      <c r="J25" s="990" t="s">
        <v>219</v>
      </c>
      <c r="K25" s="14"/>
      <c r="L25" s="33"/>
      <c r="M25" s="10"/>
      <c r="N25" s="10"/>
      <c r="O25" s="85" t="s">
        <v>270</v>
      </c>
      <c r="P25" s="14"/>
      <c r="Q25" s="14"/>
      <c r="T25" s="14"/>
      <c r="U25" s="14"/>
      <c r="V25" s="14"/>
      <c r="W25" s="14"/>
      <c r="X25" s="14"/>
      <c r="Y25" s="14"/>
      <c r="Z25" s="14"/>
      <c r="AA25" s="14"/>
      <c r="AB25" s="14"/>
      <c r="AC25" s="14"/>
      <c r="AD25" s="14"/>
    </row>
    <row r="26" spans="2:34" s="1" customFormat="1" ht="15.75" x14ac:dyDescent="0.25">
      <c r="B26" s="472" t="s">
        <v>28</v>
      </c>
      <c r="C26" s="529"/>
      <c r="E26" s="458" t="s">
        <v>988</v>
      </c>
      <c r="F26" s="460"/>
      <c r="G26" s="40"/>
      <c r="H26" s="14"/>
      <c r="I26" s="299">
        <f>IF(ADBT0='Manuell filtrering og justering'!H2,0,IF(Mat06_credits=0,0,1))</f>
        <v>1</v>
      </c>
      <c r="J26" s="990" t="s">
        <v>277</v>
      </c>
      <c r="K26" s="14"/>
      <c r="L26" s="33"/>
      <c r="M26" s="10"/>
      <c r="N26" s="10"/>
      <c r="O26" s="85" t="s">
        <v>273</v>
      </c>
      <c r="P26" s="14"/>
      <c r="Q26" s="85" t="s">
        <v>290</v>
      </c>
      <c r="T26" s="14"/>
      <c r="U26" s="14"/>
      <c r="V26" s="14"/>
      <c r="W26" s="14"/>
      <c r="X26" s="14"/>
      <c r="Y26" s="14"/>
      <c r="Z26" s="14"/>
      <c r="AA26" s="14"/>
      <c r="AB26" s="14"/>
      <c r="AC26" s="14"/>
      <c r="AD26" s="14"/>
    </row>
    <row r="27" spans="2:34" s="1" customFormat="1" ht="15.75" x14ac:dyDescent="0.25">
      <c r="B27" s="472" t="s">
        <v>319</v>
      </c>
      <c r="C27" s="529"/>
      <c r="E27" s="992" t="s">
        <v>922</v>
      </c>
      <c r="F27" s="460"/>
      <c r="G27" s="1026" t="s">
        <v>334</v>
      </c>
      <c r="H27" s="14"/>
      <c r="I27" s="299">
        <f>IF(Pol05_credits=0,0,1)</f>
        <v>1</v>
      </c>
      <c r="J27" s="990" t="s">
        <v>219</v>
      </c>
      <c r="K27" s="14"/>
      <c r="L27" s="33"/>
      <c r="M27" s="10"/>
      <c r="N27" s="10"/>
      <c r="O27" s="85" t="s">
        <v>274</v>
      </c>
      <c r="P27" s="14"/>
      <c r="Q27" s="85" t="s">
        <v>291</v>
      </c>
      <c r="S27" s="14"/>
      <c r="T27" s="14"/>
      <c r="U27" s="14"/>
      <c r="V27" s="14"/>
      <c r="W27" s="14"/>
      <c r="X27" s="14"/>
      <c r="Y27" s="14"/>
      <c r="Z27" s="14"/>
      <c r="AA27" s="14"/>
      <c r="AB27" s="14"/>
      <c r="AC27" s="14"/>
      <c r="AD27" s="14"/>
    </row>
    <row r="28" spans="2:34" s="1" customFormat="1" ht="15.75" x14ac:dyDescent="0.25">
      <c r="B28" s="472" t="s">
        <v>318</v>
      </c>
      <c r="C28" s="529"/>
      <c r="E28" s="991" t="s">
        <v>1026</v>
      </c>
      <c r="F28" s="460"/>
      <c r="G28" s="14"/>
      <c r="H28" s="14"/>
      <c r="I28" s="299">
        <f>IF(Inn05_credits=0,0,IF(OR(F6=U6,F6=U7,F6=V8,F5=Y5,F5=X5,F5=Z5),1,0))</f>
        <v>0</v>
      </c>
      <c r="J28" s="990" t="s">
        <v>219</v>
      </c>
      <c r="K28" s="14"/>
      <c r="L28" s="35"/>
      <c r="M28" s="10"/>
      <c r="N28" s="10"/>
      <c r="O28" s="85" t="s">
        <v>275</v>
      </c>
      <c r="P28" s="14"/>
      <c r="Q28" s="85" t="s">
        <v>292</v>
      </c>
      <c r="T28" s="14"/>
      <c r="U28" s="14"/>
      <c r="V28" s="14"/>
      <c r="W28" s="14"/>
      <c r="X28" s="14"/>
      <c r="Y28" s="14"/>
      <c r="Z28" s="14"/>
      <c r="AA28" s="14"/>
      <c r="AB28" s="14"/>
      <c r="AC28" s="14"/>
      <c r="AD28" s="14"/>
    </row>
    <row r="29" spans="2:34" s="1" customFormat="1" ht="15.75" x14ac:dyDescent="0.25">
      <c r="B29" s="472" t="s">
        <v>317</v>
      </c>
      <c r="C29" s="529"/>
      <c r="E29" s="857"/>
      <c r="F29" s="468"/>
      <c r="G29" s="14"/>
      <c r="H29" s="14"/>
      <c r="I29" s="299"/>
      <c r="M29" s="10"/>
      <c r="N29" s="10"/>
      <c r="O29" s="85" t="s">
        <v>271</v>
      </c>
      <c r="P29" s="14"/>
      <c r="Q29" s="85" t="s">
        <v>36</v>
      </c>
      <c r="T29" s="14"/>
      <c r="U29" s="14"/>
      <c r="V29" s="14"/>
      <c r="W29" s="14"/>
      <c r="X29" s="14"/>
      <c r="Y29" s="14"/>
      <c r="Z29" s="14"/>
      <c r="AA29" s="14"/>
      <c r="AB29" s="14"/>
      <c r="AC29" s="14"/>
      <c r="AD29" s="14"/>
    </row>
    <row r="30" spans="2:34" s="1" customFormat="1" ht="15.75" x14ac:dyDescent="0.25">
      <c r="B30" s="472" t="s">
        <v>315</v>
      </c>
      <c r="C30" s="529"/>
      <c r="E30" s="474" t="s">
        <v>286</v>
      </c>
      <c r="F30" s="475">
        <f>Poeng_tot</f>
        <v>153</v>
      </c>
      <c r="G30" s="14"/>
      <c r="H30" s="14"/>
      <c r="I30" s="14"/>
      <c r="J30" s="85" t="s">
        <v>920</v>
      </c>
      <c r="L30" s="35"/>
      <c r="M30" s="10"/>
      <c r="N30" s="10"/>
      <c r="O30" s="85" t="s">
        <v>276</v>
      </c>
      <c r="P30" s="14"/>
      <c r="Q30" s="14"/>
      <c r="T30" s="14"/>
      <c r="U30" s="14"/>
      <c r="V30" s="14"/>
      <c r="W30" s="14"/>
      <c r="X30" s="14"/>
      <c r="Y30" s="14"/>
      <c r="Z30" s="14"/>
      <c r="AA30" s="14"/>
      <c r="AB30" s="14"/>
      <c r="AC30" s="14"/>
      <c r="AD30" s="14"/>
    </row>
    <row r="31" spans="2:34" s="1" customFormat="1" ht="15.75" x14ac:dyDescent="0.25">
      <c r="B31" s="472" t="s">
        <v>316</v>
      </c>
      <c r="C31" s="529"/>
      <c r="E31" s="459" t="s">
        <v>287</v>
      </c>
      <c r="F31" s="475">
        <f>Poeng_bort</f>
        <v>0</v>
      </c>
      <c r="G31" s="14"/>
      <c r="H31" s="14"/>
      <c r="I31" s="14"/>
      <c r="J31" s="85" t="s">
        <v>921</v>
      </c>
      <c r="L31" s="35"/>
      <c r="M31" s="10"/>
      <c r="N31" s="10"/>
      <c r="O31" s="14"/>
      <c r="P31" s="14"/>
      <c r="Q31" s="85" t="s">
        <v>39</v>
      </c>
      <c r="S31" s="14"/>
      <c r="T31" s="14"/>
      <c r="U31" s="14"/>
      <c r="V31" s="14"/>
      <c r="W31" s="14"/>
      <c r="X31" s="14"/>
      <c r="Y31" s="14"/>
      <c r="Z31" s="14"/>
      <c r="AA31" s="14"/>
      <c r="AB31" s="14"/>
      <c r="AC31" s="14"/>
      <c r="AD31" s="14"/>
    </row>
    <row r="32" spans="2:34" s="1" customFormat="1" ht="15.75" x14ac:dyDescent="0.25">
      <c r="B32" s="476" t="s">
        <v>330</v>
      </c>
      <c r="C32" s="529"/>
      <c r="E32" s="477" t="s">
        <v>63</v>
      </c>
      <c r="F32" s="475">
        <f>Poeng_tilgj</f>
        <v>153</v>
      </c>
      <c r="G32" s="14"/>
      <c r="H32" s="14"/>
      <c r="I32" s="14"/>
      <c r="L32" s="35"/>
      <c r="M32" s="11"/>
      <c r="N32" s="11"/>
      <c r="O32" s="14"/>
      <c r="P32" s="14"/>
      <c r="Q32" s="85" t="s">
        <v>37</v>
      </c>
      <c r="R32" s="14"/>
      <c r="S32" s="14"/>
      <c r="T32" s="14"/>
      <c r="U32" s="14"/>
      <c r="V32" s="14"/>
      <c r="W32" s="14"/>
      <c r="X32" s="14"/>
      <c r="Y32" s="14"/>
      <c r="Z32" s="14"/>
      <c r="AA32" s="14"/>
      <c r="AB32" s="14"/>
      <c r="AC32" s="14"/>
      <c r="AD32" s="14"/>
    </row>
    <row r="33" spans="2:30" s="1" customFormat="1" ht="15.75" x14ac:dyDescent="0.25">
      <c r="G33" s="14"/>
      <c r="H33" s="14"/>
      <c r="I33" s="14"/>
      <c r="J33" s="7"/>
      <c r="K33" s="7"/>
      <c r="L33" s="33"/>
      <c r="M33" s="11"/>
      <c r="N33" s="11"/>
      <c r="O33" s="40" t="s">
        <v>1013</v>
      </c>
      <c r="P33" s="14"/>
      <c r="Q33" s="85" t="s">
        <v>38</v>
      </c>
      <c r="R33" s="14"/>
      <c r="S33" s="14"/>
      <c r="T33" s="14"/>
      <c r="U33" s="14"/>
      <c r="V33" s="14"/>
      <c r="W33" s="14"/>
      <c r="X33" s="14"/>
      <c r="Y33" s="14"/>
      <c r="Z33" s="14"/>
      <c r="AA33" s="14"/>
      <c r="AB33" s="14"/>
      <c r="AC33" s="14"/>
      <c r="AD33" s="14"/>
    </row>
    <row r="34" spans="2:30" s="1" customFormat="1" ht="18.75" x14ac:dyDescent="0.3">
      <c r="B34" s="478" t="s">
        <v>398</v>
      </c>
      <c r="E34" s="478" t="s">
        <v>397</v>
      </c>
      <c r="G34" s="14"/>
      <c r="H34" s="14"/>
      <c r="I34" s="14"/>
      <c r="J34" s="7"/>
      <c r="K34" s="7"/>
      <c r="L34" s="33"/>
      <c r="M34" s="11"/>
      <c r="N34" s="11"/>
      <c r="O34" s="40" t="s">
        <v>279</v>
      </c>
      <c r="P34" s="14"/>
      <c r="Q34" s="40"/>
      <c r="R34" s="14"/>
      <c r="S34" s="14"/>
      <c r="T34" s="14"/>
      <c r="U34" s="14"/>
      <c r="V34" s="14"/>
      <c r="W34" s="14"/>
      <c r="X34" s="14"/>
      <c r="Y34" s="14"/>
      <c r="Z34" s="14"/>
      <c r="AA34" s="14"/>
      <c r="AB34" s="14"/>
      <c r="AC34" s="14"/>
      <c r="AD34" s="14"/>
    </row>
    <row r="35" spans="2:30" s="1" customFormat="1" ht="80.25" customHeight="1" x14ac:dyDescent="0.25">
      <c r="B35" s="1109"/>
      <c r="C35" s="1110"/>
      <c r="E35" s="1109"/>
      <c r="F35" s="1110"/>
      <c r="G35" s="14"/>
      <c r="H35" s="14"/>
      <c r="I35" s="14"/>
      <c r="J35" s="83"/>
      <c r="K35" s="83"/>
      <c r="L35" s="10"/>
      <c r="M35" s="10"/>
      <c r="N35" s="10"/>
      <c r="O35" s="14"/>
      <c r="P35" s="14"/>
      <c r="Q35" s="14"/>
      <c r="R35" s="14"/>
      <c r="S35" s="14"/>
      <c r="T35" s="14"/>
      <c r="U35" s="14"/>
      <c r="V35" s="14"/>
      <c r="W35" s="14"/>
      <c r="X35" s="14"/>
      <c r="Y35" s="14"/>
      <c r="Z35" s="14"/>
      <c r="AA35" s="14"/>
      <c r="AB35" s="14"/>
      <c r="AC35" s="14"/>
      <c r="AD35" s="14"/>
    </row>
    <row r="36" spans="2:30" s="1" customFormat="1" ht="15.75" x14ac:dyDescent="0.25">
      <c r="E36" s="83"/>
      <c r="F36" s="83"/>
      <c r="G36" s="14"/>
      <c r="H36" s="14"/>
      <c r="I36" s="14"/>
      <c r="J36" s="83"/>
      <c r="K36" s="83"/>
      <c r="L36" s="10"/>
      <c r="M36" s="10"/>
      <c r="N36" s="10"/>
      <c r="O36" s="14"/>
      <c r="P36" s="14"/>
      <c r="Q36" s="14"/>
      <c r="R36" s="14"/>
      <c r="S36" s="14"/>
      <c r="T36" s="14"/>
      <c r="U36" s="14"/>
      <c r="V36" s="14"/>
      <c r="W36" s="14"/>
      <c r="X36" s="14"/>
      <c r="Y36" s="14"/>
      <c r="Z36" s="14"/>
      <c r="AA36" s="14"/>
      <c r="AB36" s="14"/>
      <c r="AC36" s="14"/>
      <c r="AD36" s="14"/>
    </row>
    <row r="37" spans="2:30" s="1" customFormat="1" ht="15.75" x14ac:dyDescent="0.25">
      <c r="B37" s="14" t="s">
        <v>1203</v>
      </c>
      <c r="E37" s="83"/>
      <c r="F37" s="83"/>
      <c r="G37" s="14"/>
      <c r="H37" s="14"/>
      <c r="I37" s="14"/>
      <c r="J37" s="83"/>
      <c r="K37" s="83"/>
      <c r="L37" s="10"/>
      <c r="M37" s="10"/>
      <c r="N37" s="10"/>
      <c r="O37" s="14"/>
      <c r="P37" s="14"/>
      <c r="Q37"/>
      <c r="R37" s="14"/>
      <c r="S37" s="14"/>
      <c r="T37" s="14"/>
      <c r="U37" s="14"/>
      <c r="V37" s="14"/>
      <c r="W37" s="14"/>
      <c r="X37" s="14"/>
      <c r="Y37" s="14"/>
      <c r="Z37" s="14"/>
      <c r="AA37" s="14"/>
      <c r="AB37" s="14"/>
      <c r="AC37" s="14"/>
      <c r="AD37" s="14"/>
    </row>
    <row r="38" spans="2:30" s="1" customFormat="1" ht="15.75" x14ac:dyDescent="0.25">
      <c r="E38" s="83"/>
      <c r="F38" s="83"/>
      <c r="G38" s="14"/>
      <c r="H38" s="14"/>
      <c r="I38" s="14"/>
      <c r="J38" s="83"/>
      <c r="K38" s="83"/>
      <c r="L38" s="10"/>
      <c r="M38" s="10"/>
      <c r="N38" s="10"/>
      <c r="O38" s="14"/>
      <c r="P38" s="14"/>
      <c r="Q38"/>
      <c r="R38" s="14"/>
      <c r="S38" s="14"/>
      <c r="T38" s="14"/>
      <c r="U38" s="14"/>
      <c r="V38" s="14"/>
      <c r="W38" s="14"/>
      <c r="X38" s="14"/>
      <c r="Y38" s="14"/>
      <c r="Z38" s="14"/>
      <c r="AA38" s="14"/>
      <c r="AB38" s="14"/>
      <c r="AC38" s="14"/>
      <c r="AD38" s="14"/>
    </row>
    <row r="39" spans="2:30" s="1" customFormat="1" ht="18.75" x14ac:dyDescent="0.3">
      <c r="B39" s="454" t="s">
        <v>47</v>
      </c>
      <c r="C39" s="5"/>
      <c r="D39" s="5"/>
      <c r="E39" s="5"/>
      <c r="F39" s="479"/>
      <c r="G39" s="14"/>
      <c r="H39" s="14"/>
      <c r="I39" s="14"/>
      <c r="L39" s="10"/>
      <c r="M39" s="10"/>
      <c r="N39" s="10"/>
      <c r="O39" s="14"/>
      <c r="P39" s="14"/>
      <c r="Q39"/>
      <c r="R39" s="14"/>
      <c r="S39" s="14"/>
      <c r="T39" s="14"/>
      <c r="U39" s="14"/>
      <c r="V39" s="14"/>
      <c r="W39" s="14"/>
      <c r="X39" s="14"/>
      <c r="Y39" s="14"/>
      <c r="Z39" s="14"/>
      <c r="AA39" s="14"/>
      <c r="AB39" s="14"/>
      <c r="AC39" s="14"/>
      <c r="AD39" s="14"/>
    </row>
    <row r="40" spans="2:30" s="1" customFormat="1" ht="64.5" customHeight="1" x14ac:dyDescent="0.25">
      <c r="B40" s="1108" t="str">
        <f>"I, "&amp;AD_assessor&amp;O33</f>
        <v>I, , a qualified BREEAM-NOR assessor working on behalf of  confirm that the content of this report is to the best of my knowledge a true and accurate reflection of the performance of the above named building, as measured against the assessment criteria and reporting requirements of the BREEAM-NOR Scheme Document (SD5076NOR). Furthermore, I confirm that this assessment and the information on which it is based has been checked and verified in accordance with NGBC/BRE Group Ltd's UKAS accredited BREEAM-NOR operating procedures for BREEAM-NOR assessments and assessors, as described in the  technical scheme document (SD5076NOR) and associated BREEAM-NOR operational documents.</v>
      </c>
      <c r="C40" s="1108"/>
      <c r="D40" s="1108"/>
      <c r="E40" s="1108"/>
      <c r="F40" s="1108"/>
      <c r="G40" s="14"/>
      <c r="H40" s="14"/>
      <c r="I40" s="14"/>
      <c r="L40" s="12"/>
      <c r="M40" s="12"/>
      <c r="N40" s="10"/>
      <c r="O40" s="1" t="s">
        <v>268</v>
      </c>
      <c r="R40" s="14"/>
      <c r="S40" s="14"/>
      <c r="T40" s="14"/>
      <c r="U40" s="14"/>
      <c r="V40" s="14"/>
      <c r="W40" s="14"/>
      <c r="X40" s="14"/>
      <c r="Y40" s="14"/>
      <c r="Z40" s="14"/>
      <c r="AA40" s="14"/>
      <c r="AB40" s="14"/>
      <c r="AC40" s="14"/>
      <c r="AD40" s="14"/>
    </row>
    <row r="41" spans="2:30" s="1" customFormat="1" ht="32.25" customHeight="1" x14ac:dyDescent="0.25">
      <c r="B41" s="480"/>
      <c r="C41" s="480"/>
      <c r="D41" s="480"/>
      <c r="E41" s="480"/>
      <c r="F41" s="480"/>
      <c r="G41" s="14"/>
      <c r="H41" s="14"/>
      <c r="I41" s="14"/>
      <c r="L41" s="12"/>
      <c r="M41" s="12"/>
      <c r="N41" s="10"/>
      <c r="R41" s="14"/>
      <c r="S41" s="14"/>
      <c r="T41" s="14"/>
      <c r="U41" s="14"/>
      <c r="V41" s="14"/>
      <c r="W41" s="14"/>
      <c r="X41" s="14"/>
      <c r="Y41" s="14"/>
      <c r="Z41" s="14"/>
      <c r="AA41" s="14"/>
      <c r="AB41" s="14"/>
      <c r="AC41" s="14"/>
      <c r="AD41" s="14"/>
    </row>
    <row r="42" spans="2:30" s="1" customFormat="1" ht="15.75" x14ac:dyDescent="0.25">
      <c r="B42" s="481" t="s">
        <v>311</v>
      </c>
      <c r="C42" s="539"/>
      <c r="D42" s="225"/>
      <c r="E42" s="482"/>
      <c r="F42" s="483"/>
      <c r="G42" s="14"/>
      <c r="H42" s="14"/>
      <c r="I42" s="14"/>
      <c r="J42" s="10"/>
      <c r="K42" s="10"/>
      <c r="L42" s="10"/>
      <c r="M42" s="10"/>
      <c r="N42" s="10"/>
      <c r="O42" s="84" t="s">
        <v>252</v>
      </c>
      <c r="P42" s="41" t="s">
        <v>9</v>
      </c>
      <c r="Q42" s="475"/>
      <c r="R42" s="14"/>
      <c r="S42" s="14"/>
      <c r="T42" s="14"/>
      <c r="U42" s="14"/>
      <c r="V42" s="14"/>
      <c r="W42" s="14"/>
      <c r="X42" s="14"/>
      <c r="Y42" s="14"/>
      <c r="Z42" s="14"/>
      <c r="AA42" s="14"/>
      <c r="AB42" s="14"/>
      <c r="AC42" s="14"/>
      <c r="AD42" s="14"/>
    </row>
    <row r="43" spans="2:30" s="1" customFormat="1" ht="15.75" x14ac:dyDescent="0.25">
      <c r="B43" s="240" t="s">
        <v>7</v>
      </c>
      <c r="C43" s="539"/>
      <c r="D43" s="225"/>
      <c r="E43" s="482"/>
      <c r="F43" s="483"/>
      <c r="G43" s="14"/>
      <c r="H43" s="14"/>
      <c r="I43" s="14"/>
      <c r="J43" s="10"/>
      <c r="K43" s="10"/>
      <c r="L43" s="10"/>
      <c r="M43" s="10"/>
      <c r="N43" s="10"/>
      <c r="O43" s="41" t="s">
        <v>288</v>
      </c>
      <c r="P43" s="475"/>
      <c r="Q43" s="14"/>
      <c r="R43" s="34" t="s">
        <v>263</v>
      </c>
      <c r="S43" s="14"/>
      <c r="T43" s="14"/>
      <c r="U43" s="14"/>
      <c r="V43" s="14"/>
      <c r="W43" s="14"/>
      <c r="X43" s="14"/>
      <c r="Y43" s="14"/>
      <c r="Z43" s="14"/>
      <c r="AA43" s="14"/>
      <c r="AB43" s="14"/>
      <c r="AC43" s="14"/>
      <c r="AD43" s="14"/>
    </row>
    <row r="44" spans="2:30" s="1" customFormat="1" ht="16.5" thickBot="1" x14ac:dyDescent="0.3">
      <c r="C44" s="225"/>
      <c r="D44" s="225"/>
      <c r="E44" s="484"/>
      <c r="F44" s="484"/>
      <c r="G44" s="14"/>
      <c r="H44" s="14"/>
      <c r="I44" s="14"/>
      <c r="J44" s="24"/>
      <c r="K44" s="24"/>
      <c r="L44" s="24"/>
      <c r="M44" s="24"/>
      <c r="N44" s="24"/>
      <c r="P44" s="14"/>
      <c r="Q44" s="14"/>
      <c r="R44" s="14"/>
      <c r="S44" s="14"/>
      <c r="T44" s="14"/>
      <c r="U44" s="14"/>
      <c r="V44" s="14"/>
      <c r="W44" s="14"/>
      <c r="X44" s="14"/>
      <c r="Y44" s="14"/>
      <c r="Z44" s="14"/>
      <c r="AA44" s="14"/>
      <c r="AB44" s="14"/>
      <c r="AC44" s="14"/>
      <c r="AD44" s="14"/>
    </row>
    <row r="45" spans="2:30" s="1" customFormat="1" ht="28.5" customHeight="1" x14ac:dyDescent="0.3">
      <c r="B45" s="454" t="s">
        <v>200</v>
      </c>
      <c r="C45" s="5"/>
      <c r="D45" s="5"/>
      <c r="E45" s="485"/>
      <c r="F45" s="485"/>
      <c r="G45" s="14"/>
      <c r="H45" s="14"/>
      <c r="I45" s="14"/>
      <c r="J45" s="24"/>
      <c r="K45" s="24"/>
      <c r="L45" s="24"/>
      <c r="M45" s="24"/>
      <c r="N45" s="230"/>
      <c r="O45" s="486" t="s">
        <v>293</v>
      </c>
      <c r="P45" s="67">
        <v>1</v>
      </c>
      <c r="Q45" s="14"/>
      <c r="R45" s="14"/>
      <c r="S45" s="14"/>
      <c r="T45" s="14"/>
      <c r="U45" s="14"/>
      <c r="V45" s="14"/>
      <c r="W45" s="14"/>
      <c r="X45" s="14"/>
      <c r="Y45" s="14"/>
      <c r="Z45" s="14"/>
      <c r="AA45" s="14"/>
      <c r="AB45" s="14"/>
      <c r="AC45" s="14"/>
      <c r="AD45" s="14"/>
    </row>
    <row r="46" spans="2:30" s="1" customFormat="1" ht="73.5" customHeight="1" x14ac:dyDescent="0.25">
      <c r="B46" s="1106" t="s">
        <v>1014</v>
      </c>
      <c r="C46" s="1106"/>
      <c r="D46" s="1106"/>
      <c r="E46" s="1106"/>
      <c r="F46" s="1106"/>
      <c r="G46" s="14"/>
      <c r="H46" s="14"/>
      <c r="I46" s="14"/>
      <c r="J46" s="24"/>
      <c r="K46" s="24"/>
      <c r="L46" s="24"/>
      <c r="M46" s="24"/>
      <c r="N46" s="229"/>
      <c r="O46" s="487" t="s">
        <v>294</v>
      </c>
      <c r="P46" s="68">
        <v>2</v>
      </c>
      <c r="Q46" s="14"/>
      <c r="R46" s="14"/>
      <c r="S46" s="14"/>
      <c r="T46" s="14"/>
      <c r="U46" s="14"/>
      <c r="V46" s="14"/>
      <c r="W46" s="14"/>
      <c r="X46" s="14"/>
      <c r="Y46" s="14"/>
      <c r="Z46" s="14"/>
      <c r="AA46" s="14"/>
      <c r="AB46" s="14"/>
      <c r="AC46" s="14"/>
      <c r="AD46" s="14"/>
    </row>
    <row r="47" spans="2:30" s="1" customFormat="1" ht="15.75" x14ac:dyDescent="0.25">
      <c r="D47" s="488"/>
      <c r="E47" s="24"/>
      <c r="F47" s="24"/>
      <c r="G47" s="14"/>
      <c r="H47" s="14"/>
      <c r="I47" s="14"/>
      <c r="J47" s="24"/>
      <c r="K47" s="24"/>
      <c r="L47" s="24"/>
      <c r="M47" s="24"/>
      <c r="N47" s="228"/>
      <c r="O47" s="489" t="s">
        <v>295</v>
      </c>
      <c r="P47" s="68">
        <v>3</v>
      </c>
      <c r="Q47" s="14"/>
      <c r="R47" s="14"/>
      <c r="S47" s="14"/>
      <c r="T47" s="14"/>
      <c r="U47" s="14"/>
      <c r="V47" s="14"/>
      <c r="W47" s="14"/>
      <c r="X47" s="14"/>
      <c r="Y47" s="14"/>
      <c r="Z47" s="14"/>
      <c r="AA47" s="14"/>
      <c r="AB47" s="14"/>
      <c r="AC47" s="14"/>
      <c r="AD47" s="14"/>
    </row>
    <row r="48" spans="2:30" s="1" customFormat="1" ht="19.5" thickBot="1" x14ac:dyDescent="0.35">
      <c r="B48" s="454" t="s">
        <v>6</v>
      </c>
      <c r="C48" s="5"/>
      <c r="D48" s="5"/>
      <c r="E48" s="485"/>
      <c r="F48" s="490"/>
      <c r="G48" s="14"/>
      <c r="H48" s="14"/>
      <c r="I48" s="14"/>
      <c r="J48" s="10"/>
      <c r="K48" s="10"/>
      <c r="L48" s="10"/>
      <c r="M48" s="10"/>
      <c r="N48" s="10"/>
      <c r="O48" s="69" t="s">
        <v>0</v>
      </c>
      <c r="P48" s="70">
        <v>4</v>
      </c>
      <c r="Q48" s="14"/>
      <c r="R48" s="14"/>
      <c r="S48" s="14"/>
      <c r="T48" s="14"/>
      <c r="U48" s="14"/>
      <c r="V48" s="14"/>
      <c r="W48" s="14"/>
      <c r="X48" s="14"/>
      <c r="Y48" s="14"/>
      <c r="Z48" s="14"/>
      <c r="AA48" s="14"/>
      <c r="AB48" s="14"/>
      <c r="AC48" s="14"/>
      <c r="AD48" s="14"/>
    </row>
    <row r="49" spans="2:30" s="1" customFormat="1" ht="15.75" x14ac:dyDescent="0.25">
      <c r="B49" s="1107" t="s">
        <v>310</v>
      </c>
      <c r="C49" s="1107"/>
      <c r="D49" s="1107"/>
      <c r="E49" s="1107"/>
      <c r="F49" s="1107"/>
      <c r="G49" s="14"/>
      <c r="H49" s="14"/>
      <c r="I49" s="14"/>
      <c r="J49" s="10"/>
      <c r="K49" s="10"/>
      <c r="L49" s="10"/>
      <c r="M49" s="10"/>
      <c r="N49" s="10"/>
      <c r="Q49" s="14"/>
      <c r="R49" s="14"/>
      <c r="S49" s="14"/>
      <c r="T49" s="14"/>
      <c r="U49" s="14"/>
      <c r="V49" s="14"/>
      <c r="W49" s="14"/>
      <c r="X49" s="14"/>
      <c r="Y49" s="14"/>
      <c r="Z49" s="14"/>
      <c r="AA49" s="14"/>
      <c r="AB49" s="14"/>
      <c r="AC49" s="14"/>
      <c r="AD49" s="14"/>
    </row>
    <row r="50" spans="2:30" s="1" customFormat="1" ht="15.75" x14ac:dyDescent="0.25">
      <c r="E50" s="491"/>
      <c r="F50" s="492"/>
      <c r="G50" s="14"/>
      <c r="H50" s="14"/>
      <c r="I50" s="14"/>
      <c r="J50" s="10"/>
      <c r="K50" s="10"/>
      <c r="L50" s="10"/>
      <c r="M50" s="10"/>
      <c r="N50" s="10"/>
      <c r="O50" s="73" t="s">
        <v>49</v>
      </c>
      <c r="Q50" s="633" t="s">
        <v>139</v>
      </c>
      <c r="R50" s="633" t="s">
        <v>117</v>
      </c>
      <c r="S50" s="633" t="s">
        <v>93</v>
      </c>
      <c r="T50" s="633" t="s">
        <v>548</v>
      </c>
      <c r="U50" s="633" t="s">
        <v>549</v>
      </c>
      <c r="V50" s="633" t="s">
        <v>3</v>
      </c>
      <c r="W50" s="633" t="s">
        <v>550</v>
      </c>
      <c r="X50" s="633" t="s">
        <v>551</v>
      </c>
      <c r="Y50" s="633" t="s">
        <v>552</v>
      </c>
      <c r="Z50" s="14"/>
      <c r="AA50" s="14"/>
      <c r="AB50" s="14"/>
      <c r="AC50" s="14"/>
      <c r="AD50" s="14"/>
    </row>
    <row r="51" spans="2:30" s="1" customFormat="1" ht="15.75" x14ac:dyDescent="0.25">
      <c r="B51" s="491" t="s">
        <v>400</v>
      </c>
      <c r="E51" s="491"/>
      <c r="F51" s="492"/>
      <c r="G51" s="14"/>
      <c r="H51" s="14"/>
      <c r="I51" s="14"/>
      <c r="J51" s="10"/>
      <c r="K51" s="10"/>
      <c r="L51" s="10"/>
      <c r="M51" s="10"/>
      <c r="N51" s="10"/>
      <c r="O51" s="64" t="s">
        <v>11</v>
      </c>
      <c r="Q51" s="299" t="s">
        <v>939</v>
      </c>
      <c r="R51" s="299" t="s">
        <v>543</v>
      </c>
      <c r="S51" s="299" t="s">
        <v>553</v>
      </c>
      <c r="T51" s="299" t="s">
        <v>577</v>
      </c>
      <c r="U51" s="299"/>
      <c r="V51" s="299" t="s">
        <v>566</v>
      </c>
      <c r="W51" s="299"/>
      <c r="X51" s="299"/>
      <c r="Y51" s="299" t="s">
        <v>560</v>
      </c>
      <c r="Z51" s="14"/>
      <c r="AA51" s="14"/>
      <c r="AB51" s="14"/>
      <c r="AC51" s="14"/>
      <c r="AD51" s="14"/>
    </row>
    <row r="52" spans="2:30" s="1" customFormat="1" ht="15.75" x14ac:dyDescent="0.25">
      <c r="C52" s="16"/>
      <c r="D52" s="16"/>
      <c r="E52" s="493"/>
      <c r="F52" s="494"/>
      <c r="G52" s="14"/>
      <c r="H52" s="14"/>
      <c r="I52" s="14"/>
      <c r="J52" s="10"/>
      <c r="K52" s="10"/>
      <c r="L52" s="10"/>
      <c r="M52" s="10"/>
      <c r="N52" s="10"/>
      <c r="O52" s="64" t="s">
        <v>12</v>
      </c>
      <c r="Q52" s="299" t="s">
        <v>941</v>
      </c>
      <c r="R52" s="299" t="s">
        <v>544</v>
      </c>
      <c r="S52" s="299" t="s">
        <v>554</v>
      </c>
      <c r="T52" s="299" t="s">
        <v>576</v>
      </c>
      <c r="U52" s="299"/>
      <c r="V52" s="299" t="s">
        <v>567</v>
      </c>
      <c r="W52" s="299"/>
      <c r="X52" s="299"/>
      <c r="Y52" s="299" t="s">
        <v>561</v>
      </c>
      <c r="Z52" s="14"/>
      <c r="AA52" s="14"/>
      <c r="AB52" s="14"/>
      <c r="AC52" s="14"/>
      <c r="AD52" s="14"/>
    </row>
    <row r="53" spans="2:30" s="1" customFormat="1" ht="15.75" x14ac:dyDescent="0.25">
      <c r="F53" s="33"/>
      <c r="G53" s="14"/>
      <c r="H53" s="14"/>
      <c r="I53" s="14"/>
      <c r="J53" s="10"/>
      <c r="K53" s="10"/>
      <c r="L53" s="10"/>
      <c r="M53" s="10"/>
      <c r="N53" s="10"/>
      <c r="O53" s="14" t="s">
        <v>328</v>
      </c>
      <c r="P53" s="14"/>
      <c r="Q53" s="299" t="s">
        <v>940</v>
      </c>
      <c r="R53" s="299" t="s">
        <v>12</v>
      </c>
      <c r="S53" s="299" t="s">
        <v>555</v>
      </c>
      <c r="T53" s="299" t="s">
        <v>12</v>
      </c>
      <c r="U53" s="299"/>
      <c r="V53" s="299" t="s">
        <v>12</v>
      </c>
      <c r="W53" s="299"/>
      <c r="X53" s="299"/>
      <c r="Y53" s="299" t="s">
        <v>562</v>
      </c>
      <c r="Z53" s="14"/>
      <c r="AA53" s="14"/>
      <c r="AB53" s="14"/>
      <c r="AC53" s="14"/>
      <c r="AD53" s="14"/>
    </row>
    <row r="54" spans="2:30" s="1" customFormat="1" ht="15.75" x14ac:dyDescent="0.25">
      <c r="B54" s="495" t="s">
        <v>399</v>
      </c>
      <c r="C54" s="496" t="str">
        <f>TVC_current_version</f>
        <v>1.02</v>
      </c>
      <c r="E54" s="497">
        <f>TVC_current_date</f>
        <v>45832</v>
      </c>
      <c r="F54" s="33"/>
      <c r="G54" s="14"/>
      <c r="H54" s="14"/>
      <c r="I54" s="14"/>
      <c r="J54" s="10"/>
      <c r="K54" s="10"/>
      <c r="L54" s="10"/>
      <c r="M54" s="10"/>
      <c r="N54" s="10"/>
      <c r="O54" s="14"/>
      <c r="P54" s="14"/>
      <c r="Q54" s="299" t="s">
        <v>12</v>
      </c>
      <c r="R54" s="299"/>
      <c r="S54" s="299" t="s">
        <v>12</v>
      </c>
      <c r="T54" s="299"/>
      <c r="U54" s="299"/>
      <c r="V54" s="299"/>
      <c r="W54" s="299"/>
      <c r="X54" s="299"/>
      <c r="Y54" s="299" t="s">
        <v>12</v>
      </c>
      <c r="Z54" s="14"/>
      <c r="AA54" s="14"/>
      <c r="AB54" s="14"/>
      <c r="AC54" s="14"/>
      <c r="AD54" s="14"/>
    </row>
    <row r="55" spans="2:30" s="1" customFormat="1" ht="15.75" x14ac:dyDescent="0.25">
      <c r="E55" s="2"/>
      <c r="F55" s="33"/>
      <c r="G55" s="14"/>
      <c r="H55" s="14"/>
      <c r="I55" s="14"/>
      <c r="J55" s="10"/>
      <c r="K55" s="10"/>
      <c r="L55" s="10"/>
      <c r="M55" s="10"/>
      <c r="N55" s="10"/>
      <c r="O55" s="64" t="s">
        <v>332</v>
      </c>
      <c r="P55" s="14"/>
      <c r="Q55" s="299"/>
      <c r="R55" s="299"/>
      <c r="S55" s="299"/>
      <c r="T55" s="299"/>
      <c r="U55" s="299"/>
      <c r="V55" s="299"/>
      <c r="W55" s="299"/>
      <c r="X55" s="299"/>
      <c r="Y55" s="299"/>
      <c r="Z55" s="14"/>
      <c r="AA55" s="14"/>
      <c r="AB55" s="14"/>
      <c r="AC55" s="14"/>
      <c r="AD55" s="14"/>
    </row>
    <row r="56" spans="2:30" x14ac:dyDescent="0.25">
      <c r="C56" s="15"/>
      <c r="O56" s="299" t="s">
        <v>333</v>
      </c>
    </row>
    <row r="57" spans="2:30" s="1" customFormat="1" ht="15.75" x14ac:dyDescent="0.25">
      <c r="B57" s="14"/>
      <c r="C57" s="14"/>
      <c r="D57" s="14"/>
      <c r="E57" s="13"/>
      <c r="F57" s="10"/>
      <c r="G57" s="14"/>
      <c r="H57" s="14"/>
      <c r="I57" s="14"/>
      <c r="J57" s="10"/>
      <c r="K57" s="10"/>
      <c r="L57" s="10"/>
      <c r="M57" s="10"/>
      <c r="N57" s="10"/>
      <c r="O57" s="299" t="s">
        <v>11</v>
      </c>
      <c r="P57" s="14"/>
      <c r="Q57" s="14"/>
      <c r="R57" s="14"/>
      <c r="S57" s="14"/>
      <c r="T57" s="14"/>
      <c r="U57" s="14"/>
      <c r="V57" s="14"/>
      <c r="W57" s="14"/>
      <c r="X57" s="14"/>
      <c r="Y57" s="14"/>
      <c r="Z57" s="14"/>
      <c r="AA57" s="14"/>
      <c r="AB57" s="14"/>
      <c r="AC57" s="14"/>
      <c r="AD57" s="14"/>
    </row>
    <row r="58" spans="2:30" s="1" customFormat="1" ht="15.75" x14ac:dyDescent="0.25">
      <c r="B58" s="14"/>
      <c r="C58" s="14"/>
      <c r="D58" s="14"/>
      <c r="E58" s="13"/>
      <c r="F58" s="10"/>
      <c r="G58" s="14"/>
      <c r="H58" s="14"/>
      <c r="I58" s="14"/>
      <c r="J58" s="10"/>
      <c r="K58" s="10"/>
      <c r="L58" s="10"/>
      <c r="M58" s="10"/>
      <c r="N58" s="10"/>
      <c r="O58" s="299" t="s">
        <v>327</v>
      </c>
      <c r="P58" s="14"/>
      <c r="Q58" s="14"/>
      <c r="R58" s="14"/>
      <c r="S58" s="14"/>
      <c r="T58" s="14"/>
      <c r="U58" s="14"/>
      <c r="V58" s="14"/>
      <c r="W58" s="14"/>
      <c r="X58" s="14"/>
      <c r="Y58" s="14"/>
      <c r="Z58" s="14"/>
      <c r="AA58" s="14"/>
      <c r="AB58" s="14"/>
      <c r="AC58" s="14"/>
      <c r="AD58" s="14"/>
    </row>
    <row r="59" spans="2:30" s="1" customFormat="1" ht="15.75" x14ac:dyDescent="0.25">
      <c r="C59" s="28"/>
      <c r="E59" s="14"/>
      <c r="F59" s="14"/>
      <c r="G59" s="14"/>
      <c r="H59" s="14"/>
      <c r="I59" s="14"/>
      <c r="J59" s="14"/>
      <c r="K59" s="14"/>
      <c r="L59" s="14"/>
      <c r="M59" s="14"/>
      <c r="N59" s="14"/>
      <c r="O59" s="299" t="s">
        <v>328</v>
      </c>
      <c r="P59" s="86"/>
      <c r="Q59" s="14"/>
      <c r="R59" s="14"/>
      <c r="S59" s="14"/>
      <c r="T59" s="14"/>
      <c r="U59" s="14"/>
      <c r="V59" s="14"/>
      <c r="W59" s="14"/>
      <c r="X59" s="14"/>
      <c r="Y59" s="14"/>
      <c r="Z59" s="14"/>
      <c r="AA59" s="14"/>
      <c r="AB59" s="14"/>
      <c r="AC59" s="14"/>
      <c r="AD59" s="14"/>
    </row>
    <row r="60" spans="2:30" s="1" customFormat="1" ht="15.75" x14ac:dyDescent="0.25">
      <c r="B60" s="32"/>
      <c r="C60" s="29" t="s">
        <v>7</v>
      </c>
      <c r="E60" s="13"/>
      <c r="F60" s="10"/>
      <c r="G60" s="14"/>
      <c r="H60" s="14"/>
      <c r="I60" s="14"/>
      <c r="J60" s="10"/>
      <c r="K60" s="10"/>
      <c r="L60" s="10"/>
      <c r="M60" s="10"/>
      <c r="N60" s="10"/>
      <c r="O60" s="14"/>
      <c r="P60" s="86"/>
      <c r="Q60" s="14"/>
      <c r="R60" s="14"/>
      <c r="S60" s="14"/>
      <c r="T60" s="14"/>
      <c r="U60" s="14"/>
      <c r="V60" s="14"/>
      <c r="W60" s="14"/>
      <c r="X60" s="14"/>
      <c r="Y60" s="14"/>
      <c r="Z60" s="14"/>
      <c r="AA60" s="14"/>
      <c r="AB60" s="14"/>
      <c r="AC60" s="14"/>
      <c r="AD60" s="14"/>
    </row>
    <row r="61" spans="2:30" s="1" customFormat="1" ht="15.75" x14ac:dyDescent="0.25">
      <c r="C61" s="498"/>
      <c r="E61" s="13"/>
      <c r="F61" s="10"/>
      <c r="G61" s="14"/>
      <c r="H61" s="14"/>
      <c r="I61" s="14"/>
      <c r="J61" s="10"/>
      <c r="K61" s="10"/>
      <c r="L61" s="10"/>
      <c r="M61" s="10"/>
      <c r="N61" s="10"/>
      <c r="O61" s="299" t="s">
        <v>13</v>
      </c>
      <c r="P61" s="86"/>
      <c r="Q61" s="14"/>
      <c r="R61" s="14"/>
      <c r="S61" s="14"/>
      <c r="T61" s="14"/>
      <c r="U61" s="14"/>
      <c r="V61" s="14"/>
      <c r="W61" s="14"/>
      <c r="X61" s="14"/>
      <c r="Y61" s="14"/>
      <c r="Z61" s="14"/>
      <c r="AA61" s="14"/>
      <c r="AB61" s="14"/>
      <c r="AC61" s="14"/>
      <c r="AD61" s="14"/>
    </row>
    <row r="62" spans="2:30" s="1" customFormat="1" ht="15.75" x14ac:dyDescent="0.25">
      <c r="E62" s="13"/>
      <c r="F62" s="10"/>
      <c r="G62" s="14"/>
      <c r="H62" s="14"/>
      <c r="I62" s="14"/>
      <c r="J62" s="10"/>
      <c r="K62" s="10"/>
      <c r="L62" s="10"/>
      <c r="M62" s="10"/>
      <c r="N62" s="10"/>
      <c r="O62" s="14"/>
      <c r="P62" s="14"/>
      <c r="Q62" s="14"/>
      <c r="R62" s="14"/>
      <c r="S62" s="14"/>
      <c r="T62" s="14"/>
      <c r="U62" s="14"/>
      <c r="V62" s="14"/>
      <c r="W62" s="14"/>
      <c r="X62" s="14"/>
      <c r="Y62" s="14"/>
      <c r="Z62" s="14"/>
      <c r="AA62" s="14"/>
      <c r="AB62" s="14"/>
      <c r="AC62" s="14"/>
      <c r="AD62" s="14"/>
    </row>
    <row r="63" spans="2:30" s="1" customFormat="1" ht="15.75" x14ac:dyDescent="0.25">
      <c r="B63" s="19"/>
      <c r="C63" s="30"/>
      <c r="E63" s="25"/>
      <c r="F63" s="25"/>
      <c r="G63" s="14"/>
      <c r="H63" s="14"/>
      <c r="I63" s="14"/>
      <c r="J63" s="25"/>
      <c r="K63" s="25"/>
      <c r="L63" s="25"/>
      <c r="M63" s="25"/>
      <c r="N63" s="25"/>
      <c r="O63" s="14"/>
      <c r="P63" s="14"/>
      <c r="Q63" s="14"/>
      <c r="R63" s="14"/>
      <c r="S63" s="14"/>
      <c r="T63" s="14"/>
      <c r="U63" s="14"/>
      <c r="V63" s="14"/>
      <c r="W63" s="14"/>
      <c r="X63" s="14"/>
      <c r="Y63" s="14"/>
      <c r="Z63" s="14"/>
      <c r="AA63" s="14"/>
      <c r="AB63" s="14"/>
      <c r="AC63" s="14"/>
      <c r="AD63" s="14"/>
    </row>
    <row r="64" spans="2:30" s="1" customFormat="1" ht="15" customHeight="1" x14ac:dyDescent="0.25">
      <c r="B64" s="8"/>
      <c r="C64" s="31"/>
      <c r="E64" s="22"/>
      <c r="F64" s="12"/>
      <c r="G64" s="14"/>
      <c r="H64" s="14"/>
      <c r="I64" s="14"/>
      <c r="J64" s="12"/>
      <c r="K64" s="12"/>
      <c r="L64" s="12"/>
      <c r="M64" s="12"/>
      <c r="N64" s="12"/>
      <c r="O64" s="42" t="s">
        <v>289</v>
      </c>
      <c r="P64" s="460" t="s">
        <v>276</v>
      </c>
      <c r="Q64" s="14"/>
      <c r="R64" s="14"/>
      <c r="S64" s="14"/>
      <c r="T64" s="14"/>
      <c r="U64" s="14"/>
      <c r="V64" s="14"/>
      <c r="W64" s="14"/>
      <c r="X64" s="14"/>
      <c r="Y64" s="14"/>
      <c r="Z64" s="14"/>
      <c r="AA64" s="14"/>
      <c r="AB64" s="14"/>
      <c r="AC64" s="14"/>
      <c r="AD64" s="14"/>
    </row>
    <row r="65" spans="2:30" s="1" customFormat="1" ht="15.75" x14ac:dyDescent="0.25">
      <c r="B65" s="9"/>
      <c r="C65" s="31"/>
      <c r="E65" s="22"/>
      <c r="F65" s="12"/>
      <c r="G65" s="14"/>
      <c r="H65" s="14"/>
      <c r="I65" s="14"/>
      <c r="J65" s="12"/>
      <c r="K65" s="12"/>
      <c r="L65" s="12"/>
      <c r="M65" s="12"/>
      <c r="N65" s="12"/>
      <c r="O65" s="14"/>
      <c r="P65" s="14"/>
      <c r="Q65" s="14"/>
      <c r="R65" s="14"/>
      <c r="S65" s="14"/>
      <c r="T65" s="14"/>
      <c r="U65" s="14"/>
      <c r="V65" s="14"/>
      <c r="W65" s="14"/>
      <c r="X65" s="14"/>
      <c r="Y65" s="14"/>
      <c r="Z65" s="14"/>
      <c r="AA65" s="14"/>
      <c r="AB65" s="14"/>
      <c r="AC65" s="14"/>
      <c r="AD65" s="14"/>
    </row>
    <row r="66" spans="2:30" s="1" customFormat="1" ht="15.75" x14ac:dyDescent="0.25">
      <c r="B66" s="18"/>
      <c r="C66" s="30"/>
      <c r="E66" s="13"/>
      <c r="F66" s="10"/>
      <c r="G66" s="14"/>
      <c r="H66" s="14"/>
      <c r="I66" s="14"/>
      <c r="J66" s="10"/>
      <c r="K66" s="10"/>
      <c r="L66" s="10"/>
      <c r="M66" s="10"/>
      <c r="N66" s="10"/>
      <c r="O66" s="14"/>
      <c r="P66" s="14"/>
      <c r="Q66" s="14"/>
      <c r="R66" s="14"/>
      <c r="S66" s="14"/>
      <c r="T66" s="14"/>
      <c r="U66" s="14"/>
      <c r="V66" s="14"/>
      <c r="W66" s="14"/>
      <c r="X66" s="14"/>
      <c r="Y66" s="14"/>
      <c r="Z66" s="14"/>
      <c r="AA66" s="14"/>
      <c r="AB66" s="14"/>
      <c r="AC66" s="14"/>
      <c r="AD66" s="14"/>
    </row>
    <row r="67" spans="2:30" s="1" customFormat="1" ht="15.75" x14ac:dyDescent="0.25">
      <c r="B67" s="8"/>
      <c r="C67" s="31"/>
      <c r="E67" s="13"/>
      <c r="F67" s="10"/>
      <c r="G67" s="14"/>
      <c r="H67" s="14"/>
      <c r="I67" s="14"/>
      <c r="J67" s="10"/>
      <c r="K67" s="10"/>
      <c r="L67" s="10"/>
      <c r="M67" s="10"/>
      <c r="N67" s="10"/>
      <c r="O67" s="14"/>
      <c r="Q67" s="14"/>
      <c r="R67" s="14"/>
      <c r="S67" s="14"/>
      <c r="T67" s="14"/>
      <c r="U67" s="14"/>
      <c r="V67" s="14"/>
      <c r="W67" s="14"/>
      <c r="X67" s="14"/>
      <c r="Y67" s="14"/>
      <c r="Z67" s="14"/>
      <c r="AA67" s="14"/>
      <c r="AB67" s="14"/>
      <c r="AC67" s="14"/>
      <c r="AD67" s="14"/>
    </row>
    <row r="68" spans="2:30" s="1" customFormat="1" ht="15.75" x14ac:dyDescent="0.25">
      <c r="B68" s="3"/>
      <c r="C68" s="15"/>
      <c r="E68" s="13"/>
      <c r="F68" s="10"/>
      <c r="G68" s="14"/>
      <c r="H68" s="14"/>
      <c r="I68" s="14"/>
      <c r="J68" s="10"/>
      <c r="K68" s="10"/>
      <c r="L68" s="10"/>
      <c r="M68" s="10"/>
      <c r="N68" s="10"/>
      <c r="O68" s="14"/>
      <c r="P68" s="14"/>
      <c r="Q68" s="14"/>
      <c r="R68" s="14"/>
      <c r="S68" s="14"/>
      <c r="T68" s="14"/>
      <c r="U68" s="14"/>
      <c r="V68" s="14"/>
      <c r="W68" s="14"/>
      <c r="X68" s="14"/>
      <c r="Y68" s="14"/>
      <c r="Z68" s="14"/>
      <c r="AA68" s="14"/>
      <c r="AB68" s="14"/>
      <c r="AC68" s="14"/>
      <c r="AD68" s="14"/>
    </row>
    <row r="69" spans="2:30" s="1" customFormat="1" ht="15.75" x14ac:dyDescent="0.25">
      <c r="C69" s="15"/>
      <c r="E69" s="13"/>
      <c r="F69" s="10"/>
      <c r="G69" s="14"/>
      <c r="H69" s="14"/>
      <c r="I69" s="14"/>
      <c r="J69" s="10"/>
      <c r="K69" s="10"/>
      <c r="L69" s="10"/>
      <c r="M69" s="10"/>
      <c r="N69" s="10"/>
      <c r="O69" s="459" t="s">
        <v>329</v>
      </c>
      <c r="P69" s="460" t="s">
        <v>11</v>
      </c>
      <c r="Q69" s="14"/>
      <c r="R69" s="14"/>
      <c r="S69" s="14"/>
      <c r="T69" s="14"/>
      <c r="U69" s="14"/>
      <c r="V69" s="14"/>
      <c r="W69" s="14"/>
      <c r="X69" s="14"/>
      <c r="Y69" s="14"/>
      <c r="Z69" s="14"/>
      <c r="AA69" s="14"/>
      <c r="AB69" s="14"/>
      <c r="AC69" s="14"/>
      <c r="AD69" s="14"/>
    </row>
    <row r="70" spans="2:30" s="1" customFormat="1" x14ac:dyDescent="0.25">
      <c r="C70" s="15"/>
      <c r="G70" s="14"/>
      <c r="H70" s="14"/>
      <c r="I70" s="14"/>
      <c r="O70" s="14"/>
      <c r="P70" s="14"/>
      <c r="Q70" s="14"/>
      <c r="R70" s="14"/>
      <c r="S70" s="14"/>
      <c r="T70" s="14"/>
      <c r="U70" s="14"/>
      <c r="V70" s="14"/>
      <c r="W70" s="14"/>
      <c r="X70" s="14"/>
      <c r="Y70" s="14"/>
      <c r="Z70" s="14"/>
      <c r="AA70" s="14"/>
      <c r="AB70" s="14"/>
      <c r="AC70" s="14"/>
      <c r="AD70" s="14"/>
    </row>
    <row r="71" spans="2:30" s="1" customFormat="1" x14ac:dyDescent="0.25">
      <c r="C71" s="15"/>
      <c r="G71" s="14"/>
      <c r="H71" s="14"/>
      <c r="I71" s="14"/>
      <c r="O71" s="14"/>
      <c r="P71" s="14"/>
      <c r="Q71" s="14"/>
      <c r="R71" s="14"/>
      <c r="S71" s="14"/>
      <c r="T71" s="14"/>
      <c r="U71" s="14"/>
      <c r="V71" s="14"/>
      <c r="W71" s="14"/>
      <c r="X71" s="14"/>
      <c r="Y71" s="14"/>
      <c r="Z71" s="14"/>
      <c r="AA71" s="14"/>
      <c r="AB71" s="14"/>
      <c r="AC71" s="14"/>
      <c r="AD71" s="14"/>
    </row>
    <row r="72" spans="2:30" s="1" customFormat="1" x14ac:dyDescent="0.25">
      <c r="C72" s="15"/>
      <c r="G72" s="14"/>
      <c r="H72" s="14"/>
      <c r="I72" s="14"/>
      <c r="O72" s="14"/>
      <c r="P72" s="14"/>
      <c r="Q72" s="14"/>
      <c r="R72" s="14"/>
      <c r="S72" s="14"/>
      <c r="T72" s="14"/>
      <c r="U72" s="14"/>
      <c r="V72" s="14"/>
      <c r="W72" s="14"/>
      <c r="X72" s="14"/>
      <c r="Y72" s="14"/>
      <c r="Z72" s="14"/>
      <c r="AA72" s="14"/>
      <c r="AB72" s="14"/>
      <c r="AC72" s="14"/>
      <c r="AD72" s="14"/>
    </row>
    <row r="73" spans="2:30" s="1" customFormat="1" x14ac:dyDescent="0.25">
      <c r="G73" s="14"/>
      <c r="H73" s="14"/>
      <c r="I73" s="14"/>
      <c r="O73" s="14"/>
      <c r="P73" s="14"/>
      <c r="Q73" s="14"/>
      <c r="R73" s="14"/>
      <c r="S73" s="14"/>
      <c r="T73" s="14"/>
      <c r="U73" s="14"/>
      <c r="V73" s="14"/>
      <c r="W73" s="14"/>
      <c r="X73" s="14"/>
      <c r="Y73" s="14"/>
      <c r="Z73" s="14"/>
      <c r="AA73" s="14"/>
      <c r="AB73" s="14"/>
      <c r="AC73" s="14"/>
      <c r="AD73" s="14"/>
    </row>
    <row r="74" spans="2:30" s="1" customFormat="1" x14ac:dyDescent="0.25">
      <c r="C74" s="15"/>
      <c r="G74" s="14"/>
      <c r="H74" s="14"/>
      <c r="I74" s="14"/>
      <c r="O74" s="14"/>
      <c r="P74" s="14"/>
      <c r="Q74" s="14"/>
      <c r="R74" s="14"/>
      <c r="S74" s="14"/>
      <c r="T74" s="14"/>
      <c r="U74" s="14"/>
      <c r="V74" s="14"/>
      <c r="W74" s="14"/>
      <c r="X74" s="14"/>
      <c r="Y74" s="14"/>
      <c r="Z74" s="14"/>
      <c r="AA74" s="14"/>
      <c r="AB74" s="14"/>
      <c r="AC74" s="14"/>
      <c r="AD74" s="14"/>
    </row>
    <row r="75" spans="2:30" s="1" customFormat="1" x14ac:dyDescent="0.25">
      <c r="C75" s="15"/>
      <c r="G75" s="14"/>
      <c r="H75" s="14"/>
      <c r="I75" s="14"/>
      <c r="O75" s="14"/>
      <c r="P75" s="14"/>
      <c r="Q75" s="14"/>
      <c r="R75" s="14"/>
      <c r="S75" s="14"/>
      <c r="T75" s="14"/>
      <c r="U75" s="14"/>
      <c r="V75" s="14"/>
      <c r="W75" s="14"/>
      <c r="X75" s="14"/>
      <c r="Y75" s="14"/>
      <c r="Z75" s="14"/>
      <c r="AA75" s="14"/>
      <c r="AB75" s="14"/>
      <c r="AC75" s="14"/>
      <c r="AD75" s="14"/>
    </row>
    <row r="76" spans="2:30" s="1" customFormat="1" x14ac:dyDescent="0.25">
      <c r="C76" s="15"/>
      <c r="G76" s="14"/>
      <c r="H76" s="14"/>
      <c r="I76" s="14"/>
      <c r="O76" s="14"/>
      <c r="P76" s="14"/>
      <c r="Q76" s="14"/>
      <c r="R76" s="14"/>
      <c r="S76" s="14"/>
      <c r="T76" s="14"/>
      <c r="U76" s="14"/>
      <c r="V76" s="14"/>
      <c r="W76" s="14"/>
      <c r="X76" s="14"/>
      <c r="Y76" s="14"/>
      <c r="Z76" s="14"/>
      <c r="AA76" s="14"/>
      <c r="AB76" s="14"/>
      <c r="AC76" s="14"/>
      <c r="AD76" s="14"/>
    </row>
    <row r="77" spans="2:30" s="1" customFormat="1" x14ac:dyDescent="0.25">
      <c r="C77" s="15"/>
      <c r="G77" s="14"/>
      <c r="H77" s="14"/>
      <c r="I77" s="14"/>
      <c r="O77" s="14"/>
      <c r="P77" s="14"/>
      <c r="Q77" s="14"/>
      <c r="R77" s="14"/>
      <c r="S77" s="14"/>
      <c r="T77" s="14"/>
      <c r="U77" s="14"/>
      <c r="V77" s="14"/>
      <c r="W77" s="14"/>
      <c r="X77" s="14"/>
      <c r="Y77" s="14"/>
      <c r="Z77" s="14"/>
      <c r="AA77" s="14"/>
      <c r="AB77" s="14"/>
      <c r="AC77" s="14"/>
      <c r="AD77" s="14"/>
    </row>
    <row r="78" spans="2:30" s="1" customFormat="1" x14ac:dyDescent="0.25">
      <c r="C78" s="15"/>
      <c r="G78" s="14"/>
      <c r="H78" s="14"/>
      <c r="I78" s="14"/>
      <c r="O78" s="14"/>
      <c r="P78" s="14"/>
      <c r="Q78" s="14"/>
      <c r="R78" s="14"/>
      <c r="S78" s="14"/>
      <c r="T78" s="14"/>
      <c r="U78" s="14"/>
      <c r="V78" s="14"/>
      <c r="W78" s="14"/>
      <c r="X78" s="14"/>
      <c r="Y78" s="14"/>
      <c r="Z78" s="14"/>
      <c r="AA78" s="14"/>
      <c r="AB78" s="14"/>
      <c r="AC78" s="14"/>
      <c r="AD78" s="14"/>
    </row>
    <row r="79" spans="2:30" s="1" customFormat="1" x14ac:dyDescent="0.25">
      <c r="C79" s="15"/>
      <c r="G79" s="14"/>
      <c r="H79" s="14"/>
      <c r="I79" s="14"/>
      <c r="O79" s="14"/>
      <c r="P79" s="14"/>
      <c r="Q79" s="14"/>
      <c r="R79" s="14"/>
      <c r="S79" s="14"/>
      <c r="T79" s="14"/>
      <c r="U79" s="14"/>
      <c r="V79" s="14"/>
      <c r="W79" s="14"/>
      <c r="X79" s="14"/>
      <c r="Y79" s="14"/>
      <c r="Z79" s="14"/>
      <c r="AA79" s="14"/>
      <c r="AB79" s="14"/>
      <c r="AC79" s="14"/>
      <c r="AD79" s="14"/>
    </row>
    <row r="80" spans="2:30" s="1" customFormat="1" x14ac:dyDescent="0.25">
      <c r="C80" s="15"/>
      <c r="G80" s="14"/>
      <c r="H80" s="14"/>
      <c r="I80" s="14"/>
      <c r="O80" s="14"/>
      <c r="P80" s="14"/>
      <c r="Q80" s="459" t="s">
        <v>24</v>
      </c>
      <c r="R80" s="460" t="s">
        <v>82</v>
      </c>
      <c r="S80" s="14"/>
      <c r="T80" s="14"/>
      <c r="U80" s="14"/>
      <c r="V80" s="14"/>
      <c r="W80" s="14"/>
      <c r="X80" s="14"/>
      <c r="Y80" s="14"/>
      <c r="Z80" s="14"/>
      <c r="AA80" s="14"/>
      <c r="AB80" s="14"/>
      <c r="AC80" s="14"/>
      <c r="AD80" s="14"/>
    </row>
    <row r="81" spans="3:30" s="1" customFormat="1" x14ac:dyDescent="0.25">
      <c r="C81" s="15"/>
      <c r="G81" s="14"/>
      <c r="H81" s="14"/>
      <c r="I81" s="14"/>
      <c r="O81" s="14"/>
      <c r="P81" s="14"/>
      <c r="Q81" s="459" t="s">
        <v>320</v>
      </c>
      <c r="R81" s="461" t="s">
        <v>41</v>
      </c>
      <c r="S81" s="14"/>
      <c r="T81" s="14"/>
      <c r="U81" s="14"/>
      <c r="V81" s="14"/>
      <c r="W81" s="14"/>
      <c r="X81" s="14"/>
      <c r="Y81" s="14"/>
      <c r="Z81" s="14"/>
      <c r="AA81" s="14"/>
      <c r="AB81" s="14"/>
      <c r="AC81" s="14"/>
      <c r="AD81" s="14"/>
    </row>
    <row r="82" spans="3:30" s="1" customFormat="1" x14ac:dyDescent="0.25">
      <c r="C82" s="15"/>
      <c r="G82" s="14"/>
      <c r="H82" s="14"/>
      <c r="I82" s="14"/>
      <c r="O82" s="14"/>
      <c r="P82" s="14"/>
      <c r="Q82" s="463" t="s">
        <v>321</v>
      </c>
      <c r="R82" s="461" t="s">
        <v>538</v>
      </c>
      <c r="S82" s="14"/>
      <c r="T82" s="14"/>
      <c r="U82" s="14"/>
      <c r="V82" s="14"/>
      <c r="W82" s="14"/>
      <c r="X82" s="14"/>
      <c r="Y82" s="14"/>
      <c r="Z82" s="14"/>
      <c r="AA82" s="14"/>
      <c r="AB82" s="14"/>
      <c r="AC82" s="14"/>
      <c r="AD82" s="14"/>
    </row>
    <row r="83" spans="3:30" s="1" customFormat="1" x14ac:dyDescent="0.25">
      <c r="C83" s="15"/>
      <c r="G83" s="14"/>
      <c r="H83" s="14"/>
      <c r="I83" s="14"/>
      <c r="O83" s="14"/>
      <c r="P83" s="14"/>
      <c r="Q83" s="14"/>
      <c r="R83" s="14"/>
      <c r="S83" s="14"/>
      <c r="T83" s="14"/>
      <c r="U83" s="14"/>
      <c r="V83" s="14"/>
      <c r="W83" s="14"/>
      <c r="X83" s="14"/>
      <c r="Y83" s="14"/>
      <c r="Z83" s="14"/>
      <c r="AA83" s="14"/>
      <c r="AB83" s="14"/>
      <c r="AC83" s="14"/>
      <c r="AD83" s="14"/>
    </row>
    <row r="84" spans="3:30" s="1" customFormat="1" x14ac:dyDescent="0.25">
      <c r="G84" s="14"/>
      <c r="H84" s="14"/>
      <c r="I84" s="14"/>
      <c r="O84" s="14"/>
      <c r="P84" s="14"/>
      <c r="Q84" s="14"/>
      <c r="R84" s="14"/>
      <c r="S84" s="14"/>
      <c r="T84" s="14"/>
      <c r="U84" s="14"/>
      <c r="V84" s="14"/>
      <c r="W84" s="14"/>
      <c r="X84" s="14"/>
      <c r="Y84" s="14"/>
      <c r="Z84" s="14"/>
      <c r="AA84" s="14"/>
      <c r="AB84" s="14"/>
      <c r="AC84" s="14"/>
      <c r="AD84" s="14"/>
    </row>
    <row r="85" spans="3:30" s="1" customFormat="1" x14ac:dyDescent="0.25">
      <c r="G85" s="14"/>
      <c r="H85" s="14"/>
      <c r="I85" s="14"/>
      <c r="O85" s="14"/>
      <c r="P85" s="14"/>
      <c r="Q85" s="14"/>
      <c r="R85" s="14"/>
      <c r="S85" s="14"/>
      <c r="T85" s="14"/>
      <c r="U85" s="14"/>
      <c r="V85" s="14"/>
      <c r="W85" s="14"/>
      <c r="X85" s="14"/>
      <c r="Y85" s="14"/>
      <c r="Z85" s="14"/>
      <c r="AA85" s="14"/>
      <c r="AB85" s="14"/>
      <c r="AC85" s="14"/>
      <c r="AD85" s="14"/>
    </row>
    <row r="86" spans="3:30" s="1" customFormat="1" x14ac:dyDescent="0.25">
      <c r="G86" s="14"/>
      <c r="H86" s="14"/>
      <c r="I86" s="14"/>
      <c r="O86" s="14"/>
      <c r="P86" s="14"/>
      <c r="Q86" s="14"/>
      <c r="R86" s="14"/>
      <c r="S86" s="14"/>
      <c r="T86" s="14"/>
      <c r="U86" s="14"/>
      <c r="V86" s="14"/>
      <c r="W86" s="14"/>
      <c r="X86" s="14"/>
      <c r="Y86" s="14"/>
      <c r="Z86" s="14"/>
      <c r="AA86" s="14"/>
      <c r="AB86" s="14"/>
      <c r="AC86" s="14"/>
      <c r="AD86" s="14"/>
    </row>
    <row r="87" spans="3:30" s="1" customFormat="1" x14ac:dyDescent="0.25">
      <c r="G87" s="14"/>
      <c r="H87" s="14"/>
      <c r="I87" s="14"/>
      <c r="O87" s="14"/>
      <c r="P87" s="14"/>
      <c r="Q87" s="14"/>
      <c r="R87" s="14"/>
      <c r="S87" s="14"/>
      <c r="T87" s="14"/>
      <c r="U87" s="14"/>
      <c r="V87" s="14"/>
      <c r="W87" s="14"/>
      <c r="X87" s="14"/>
      <c r="Y87" s="14"/>
      <c r="Z87" s="14"/>
      <c r="AA87" s="14"/>
      <c r="AB87" s="14"/>
      <c r="AC87" s="14"/>
      <c r="AD87" s="14"/>
    </row>
    <row r="88" spans="3:30" s="1" customFormat="1" x14ac:dyDescent="0.25">
      <c r="G88" s="14"/>
      <c r="H88" s="14"/>
      <c r="I88" s="14"/>
      <c r="O88" s="14"/>
      <c r="P88" s="14"/>
      <c r="Q88" s="14"/>
      <c r="R88" s="14"/>
      <c r="S88" s="14"/>
      <c r="T88" s="14"/>
      <c r="U88" s="14"/>
      <c r="V88" s="14"/>
      <c r="W88" s="14"/>
      <c r="X88" s="14"/>
      <c r="Y88" s="14"/>
      <c r="Z88" s="14"/>
      <c r="AA88" s="14"/>
      <c r="AB88" s="14"/>
      <c r="AC88" s="14"/>
      <c r="AD88" s="14"/>
    </row>
    <row r="89" spans="3:30" s="1" customFormat="1" x14ac:dyDescent="0.25">
      <c r="G89" s="14"/>
      <c r="H89" s="14"/>
      <c r="I89" s="14"/>
      <c r="O89" s="14"/>
      <c r="P89" s="14"/>
      <c r="Q89" s="14"/>
      <c r="R89" s="14"/>
      <c r="S89" s="14"/>
      <c r="T89" s="14"/>
      <c r="U89" s="14"/>
      <c r="V89" s="14"/>
      <c r="W89" s="14"/>
      <c r="X89" s="14"/>
      <c r="Y89" s="14"/>
      <c r="Z89" s="14"/>
      <c r="AA89" s="14"/>
      <c r="AB89" s="14"/>
      <c r="AC89" s="14"/>
      <c r="AD89" s="14"/>
    </row>
    <row r="90" spans="3:30" s="1" customFormat="1" x14ac:dyDescent="0.25">
      <c r="G90" s="14"/>
      <c r="H90" s="14"/>
      <c r="I90" s="14"/>
      <c r="O90" s="14"/>
      <c r="P90" s="14"/>
      <c r="Q90" s="14"/>
      <c r="R90" s="14"/>
      <c r="S90" s="14"/>
      <c r="T90" s="14"/>
      <c r="U90" s="14"/>
      <c r="V90" s="14"/>
      <c r="W90" s="14"/>
      <c r="X90" s="14"/>
      <c r="Y90" s="14"/>
      <c r="Z90" s="14"/>
      <c r="AA90" s="14"/>
      <c r="AB90" s="14"/>
      <c r="AC90" s="14"/>
      <c r="AD90" s="14"/>
    </row>
    <row r="91" spans="3:30" s="1" customFormat="1" x14ac:dyDescent="0.25">
      <c r="G91" s="14"/>
      <c r="H91" s="14"/>
      <c r="I91" s="14"/>
      <c r="O91" s="14"/>
      <c r="P91" s="14"/>
      <c r="Q91" s="14"/>
      <c r="R91" s="14"/>
      <c r="S91" s="14"/>
      <c r="T91" s="14"/>
      <c r="U91" s="14"/>
      <c r="V91" s="14"/>
      <c r="W91" s="14"/>
      <c r="X91" s="14"/>
      <c r="Y91" s="14"/>
      <c r="Z91" s="14"/>
      <c r="AA91" s="14"/>
      <c r="AB91" s="14"/>
      <c r="AC91" s="14"/>
      <c r="AD91" s="14"/>
    </row>
    <row r="92" spans="3:30" s="1" customFormat="1" x14ac:dyDescent="0.25">
      <c r="G92" s="14"/>
      <c r="H92" s="14"/>
      <c r="I92" s="14"/>
      <c r="O92" s="14"/>
      <c r="P92" s="14"/>
      <c r="Q92" s="14"/>
      <c r="R92" s="14"/>
      <c r="S92" s="14"/>
      <c r="T92" s="14"/>
      <c r="U92" s="14"/>
      <c r="V92" s="14"/>
      <c r="W92" s="14"/>
      <c r="X92" s="14"/>
      <c r="Y92" s="14"/>
      <c r="Z92" s="14"/>
      <c r="AA92" s="14"/>
      <c r="AB92" s="14"/>
      <c r="AC92" s="14"/>
      <c r="AD92" s="14"/>
    </row>
    <row r="93" spans="3:30" s="1" customFormat="1" x14ac:dyDescent="0.25">
      <c r="G93" s="14"/>
      <c r="H93" s="14"/>
      <c r="I93" s="14"/>
      <c r="O93" s="14"/>
      <c r="P93" s="14"/>
      <c r="Q93" s="14"/>
      <c r="R93" s="14"/>
      <c r="S93" s="14"/>
      <c r="T93" s="14"/>
      <c r="U93" s="14"/>
      <c r="V93" s="14"/>
      <c r="W93" s="14"/>
      <c r="X93" s="14"/>
      <c r="Y93" s="14"/>
      <c r="Z93" s="14"/>
      <c r="AA93" s="14"/>
      <c r="AB93" s="14"/>
      <c r="AC93" s="14"/>
      <c r="AD93" s="14"/>
    </row>
    <row r="94" spans="3:30" s="1" customFormat="1" x14ac:dyDescent="0.25">
      <c r="G94" s="14"/>
      <c r="H94" s="14"/>
      <c r="I94" s="14"/>
      <c r="O94" s="14"/>
      <c r="P94" s="14"/>
      <c r="Q94" s="14"/>
      <c r="R94" s="14"/>
      <c r="S94" s="14"/>
      <c r="T94" s="14"/>
      <c r="U94" s="14"/>
      <c r="V94" s="14"/>
      <c r="W94" s="14"/>
      <c r="X94" s="14"/>
      <c r="Y94" s="14"/>
      <c r="Z94" s="14"/>
      <c r="AA94" s="14"/>
      <c r="AB94" s="14"/>
      <c r="AC94" s="14"/>
      <c r="AD94" s="14"/>
    </row>
    <row r="95" spans="3:30" s="1" customFormat="1" x14ac:dyDescent="0.25">
      <c r="G95" s="14"/>
      <c r="H95" s="14"/>
      <c r="I95" s="14"/>
      <c r="O95" s="14"/>
      <c r="P95" s="14"/>
      <c r="Q95" s="14"/>
      <c r="R95" s="14"/>
      <c r="S95" s="14"/>
      <c r="T95" s="14"/>
      <c r="U95" s="14"/>
      <c r="V95" s="14"/>
      <c r="W95" s="14"/>
      <c r="X95" s="14"/>
      <c r="Y95" s="14"/>
      <c r="Z95" s="14"/>
      <c r="AA95" s="14"/>
      <c r="AB95" s="14"/>
      <c r="AC95" s="14"/>
      <c r="AD95" s="14"/>
    </row>
    <row r="96" spans="3:30" s="1" customFormat="1" x14ac:dyDescent="0.25">
      <c r="G96" s="14"/>
      <c r="H96" s="14"/>
      <c r="I96" s="14"/>
      <c r="O96" s="14"/>
      <c r="P96" s="14"/>
      <c r="Q96" s="14"/>
      <c r="R96" s="14"/>
      <c r="S96" s="14"/>
      <c r="T96" s="14"/>
      <c r="U96" s="14"/>
      <c r="V96" s="14"/>
      <c r="W96" s="14"/>
      <c r="X96" s="14"/>
      <c r="Y96" s="14"/>
      <c r="Z96" s="14"/>
      <c r="AA96" s="14"/>
      <c r="AB96" s="14"/>
      <c r="AC96" s="14"/>
      <c r="AD96" s="14"/>
    </row>
    <row r="97" spans="7:30" s="1" customFormat="1" x14ac:dyDescent="0.25">
      <c r="G97" s="14"/>
      <c r="H97" s="14"/>
      <c r="I97" s="14"/>
      <c r="O97" s="14"/>
      <c r="P97" s="14"/>
      <c r="Q97" s="14"/>
      <c r="R97" s="14"/>
      <c r="S97" s="14"/>
      <c r="T97" s="14"/>
      <c r="U97" s="14"/>
      <c r="V97" s="14"/>
      <c r="W97" s="14"/>
      <c r="X97" s="14"/>
      <c r="Y97" s="14"/>
      <c r="Z97" s="14"/>
      <c r="AA97" s="14"/>
      <c r="AB97" s="14"/>
      <c r="AC97" s="14"/>
      <c r="AD97" s="14"/>
    </row>
    <row r="98" spans="7:30" s="1" customFormat="1" x14ac:dyDescent="0.25">
      <c r="G98" s="14"/>
      <c r="H98" s="14"/>
      <c r="I98" s="14"/>
      <c r="O98" s="14"/>
      <c r="P98" s="14"/>
      <c r="Q98" s="14"/>
      <c r="R98" s="14"/>
      <c r="S98" s="14"/>
      <c r="T98" s="14"/>
      <c r="U98" s="14"/>
      <c r="V98" s="14"/>
      <c r="W98" s="14"/>
      <c r="X98" s="14"/>
      <c r="Y98" s="14"/>
      <c r="Z98" s="14"/>
      <c r="AA98" s="14"/>
      <c r="AB98" s="14"/>
      <c r="AC98" s="14"/>
      <c r="AD98" s="14"/>
    </row>
    <row r="99" spans="7:30" s="1" customFormat="1" x14ac:dyDescent="0.25">
      <c r="G99" s="14"/>
      <c r="H99" s="14"/>
      <c r="I99" s="14"/>
      <c r="O99" s="14"/>
      <c r="P99" s="14"/>
      <c r="Q99" s="14"/>
      <c r="R99" s="14"/>
      <c r="S99" s="14"/>
      <c r="T99" s="14"/>
      <c r="U99" s="14"/>
      <c r="V99" s="14"/>
      <c r="W99" s="14"/>
      <c r="X99" s="14"/>
      <c r="Y99" s="14"/>
      <c r="Z99" s="14"/>
      <c r="AA99" s="14"/>
      <c r="AB99" s="14"/>
      <c r="AC99" s="14"/>
      <c r="AD99" s="14"/>
    </row>
    <row r="100" spans="7:30" s="1" customFormat="1" x14ac:dyDescent="0.25">
      <c r="G100" s="14"/>
      <c r="H100" s="14"/>
      <c r="I100" s="14"/>
      <c r="O100" s="14"/>
      <c r="P100" s="14"/>
      <c r="Q100" s="14"/>
      <c r="R100" s="14"/>
      <c r="S100" s="14"/>
      <c r="T100" s="14"/>
      <c r="U100" s="14"/>
      <c r="V100" s="14"/>
      <c r="W100" s="14"/>
      <c r="X100" s="14"/>
      <c r="Y100" s="14"/>
      <c r="Z100" s="14"/>
      <c r="AA100" s="14"/>
      <c r="AB100" s="14"/>
      <c r="AC100" s="14"/>
      <c r="AD100" s="14"/>
    </row>
    <row r="101" spans="7:30" s="1" customFormat="1" x14ac:dyDescent="0.25">
      <c r="G101" s="14"/>
      <c r="H101" s="14"/>
      <c r="I101" s="14"/>
      <c r="O101" s="14"/>
      <c r="P101" s="14"/>
      <c r="Q101" s="14"/>
      <c r="R101" s="14"/>
      <c r="S101" s="14"/>
      <c r="T101" s="14"/>
      <c r="U101" s="14"/>
      <c r="V101" s="14"/>
      <c r="W101" s="14"/>
      <c r="X101" s="14"/>
      <c r="Y101" s="14"/>
      <c r="Z101" s="14"/>
      <c r="AA101" s="14"/>
      <c r="AB101" s="14"/>
      <c r="AC101" s="14"/>
      <c r="AD101" s="14"/>
    </row>
    <row r="102" spans="7:30" s="1" customFormat="1" x14ac:dyDescent="0.25">
      <c r="G102" s="14"/>
      <c r="H102" s="14"/>
      <c r="I102" s="14"/>
      <c r="O102" s="14"/>
      <c r="P102" s="14"/>
      <c r="Q102" s="14"/>
      <c r="R102" s="14"/>
      <c r="S102" s="14"/>
      <c r="T102" s="14"/>
      <c r="U102" s="14"/>
      <c r="V102" s="14"/>
      <c r="W102" s="14"/>
      <c r="X102" s="14"/>
      <c r="Y102" s="14"/>
      <c r="Z102" s="14"/>
      <c r="AA102" s="14"/>
      <c r="AB102" s="14"/>
      <c r="AC102" s="14"/>
      <c r="AD102" s="14"/>
    </row>
    <row r="103" spans="7:30" s="1" customFormat="1" x14ac:dyDescent="0.25">
      <c r="G103" s="14"/>
      <c r="H103" s="14"/>
      <c r="I103" s="14"/>
      <c r="O103" s="14"/>
      <c r="P103" s="14"/>
      <c r="Q103" s="14"/>
      <c r="R103" s="14"/>
      <c r="S103" s="14"/>
      <c r="T103" s="14"/>
      <c r="U103" s="14"/>
      <c r="V103" s="14"/>
      <c r="W103" s="14"/>
      <c r="X103" s="14"/>
      <c r="Y103" s="14"/>
      <c r="Z103" s="14"/>
      <c r="AA103" s="14"/>
      <c r="AB103" s="14"/>
      <c r="AC103" s="14"/>
      <c r="AD103" s="14"/>
    </row>
    <row r="104" spans="7:30" s="1" customFormat="1" x14ac:dyDescent="0.25">
      <c r="G104" s="14"/>
      <c r="H104" s="14"/>
      <c r="I104" s="14"/>
      <c r="O104" s="14"/>
      <c r="P104" s="14"/>
      <c r="Q104" s="14"/>
      <c r="R104" s="14"/>
      <c r="S104" s="14"/>
      <c r="T104" s="14"/>
      <c r="U104" s="14"/>
      <c r="V104" s="14"/>
      <c r="W104" s="14"/>
      <c r="X104" s="14"/>
      <c r="Y104" s="14"/>
      <c r="Z104" s="14"/>
      <c r="AA104" s="14"/>
      <c r="AB104" s="14"/>
      <c r="AC104" s="14"/>
      <c r="AD104" s="14"/>
    </row>
    <row r="105" spans="7:30" s="1" customFormat="1" x14ac:dyDescent="0.25">
      <c r="G105" s="14"/>
      <c r="H105" s="14"/>
      <c r="I105" s="14"/>
      <c r="O105" s="14"/>
      <c r="P105" s="14"/>
      <c r="Q105" s="14"/>
      <c r="R105" s="14"/>
      <c r="S105" s="14"/>
      <c r="T105" s="14"/>
      <c r="U105" s="14"/>
      <c r="V105" s="14"/>
      <c r="W105" s="14"/>
      <c r="X105" s="14"/>
      <c r="Y105" s="14"/>
      <c r="Z105" s="14"/>
      <c r="AA105" s="14"/>
      <c r="AB105" s="14"/>
      <c r="AC105" s="14"/>
      <c r="AD105" s="14"/>
    </row>
    <row r="106" spans="7:30" s="1" customFormat="1" x14ac:dyDescent="0.25">
      <c r="G106" s="14"/>
      <c r="H106" s="14"/>
      <c r="I106" s="14"/>
      <c r="O106" s="14"/>
      <c r="P106" s="14"/>
      <c r="Q106" s="14"/>
      <c r="R106" s="14"/>
      <c r="S106" s="14"/>
      <c r="T106" s="14"/>
      <c r="U106" s="14"/>
      <c r="V106" s="14"/>
      <c r="W106" s="14"/>
      <c r="X106" s="14"/>
      <c r="Y106" s="14"/>
      <c r="Z106" s="14"/>
      <c r="AA106" s="14"/>
      <c r="AB106" s="14"/>
      <c r="AC106" s="14"/>
      <c r="AD106" s="14"/>
    </row>
    <row r="107" spans="7:30" s="1" customFormat="1" x14ac:dyDescent="0.25">
      <c r="G107" s="14"/>
      <c r="H107" s="14"/>
      <c r="I107" s="14"/>
      <c r="O107" s="14"/>
      <c r="P107" s="14"/>
      <c r="Q107" s="14"/>
      <c r="R107" s="14"/>
      <c r="S107" s="14"/>
      <c r="T107" s="14"/>
      <c r="U107" s="14"/>
      <c r="V107" s="14"/>
      <c r="W107" s="14"/>
      <c r="X107" s="14"/>
      <c r="Y107" s="14"/>
      <c r="Z107" s="14"/>
      <c r="AA107" s="14"/>
      <c r="AB107" s="14"/>
      <c r="AC107" s="14"/>
      <c r="AD107" s="14"/>
    </row>
    <row r="108" spans="7:30" s="1" customFormat="1" x14ac:dyDescent="0.25">
      <c r="G108" s="14"/>
      <c r="H108" s="14"/>
      <c r="I108" s="14"/>
      <c r="O108" s="14"/>
      <c r="P108" s="14"/>
      <c r="Q108" s="14"/>
      <c r="R108" s="14"/>
      <c r="S108" s="14"/>
      <c r="T108" s="14"/>
      <c r="U108" s="14"/>
      <c r="V108" s="14"/>
      <c r="W108" s="14"/>
      <c r="X108" s="14"/>
      <c r="Y108" s="14"/>
      <c r="Z108" s="14"/>
      <c r="AA108" s="14"/>
      <c r="AB108" s="14"/>
      <c r="AC108" s="14"/>
      <c r="AD108" s="14"/>
    </row>
    <row r="109" spans="7:30" s="1" customFormat="1" x14ac:dyDescent="0.25">
      <c r="G109" s="14"/>
      <c r="H109" s="14"/>
      <c r="I109" s="14"/>
      <c r="O109" s="14"/>
      <c r="P109" s="14"/>
      <c r="Q109" s="14"/>
      <c r="R109" s="14"/>
      <c r="S109" s="14"/>
      <c r="T109" s="14"/>
      <c r="U109" s="14"/>
      <c r="V109" s="14"/>
      <c r="W109" s="14"/>
      <c r="X109" s="14"/>
      <c r="Y109" s="14"/>
      <c r="Z109" s="14"/>
      <c r="AA109" s="14"/>
      <c r="AB109" s="14"/>
      <c r="AC109" s="14"/>
      <c r="AD109" s="14"/>
    </row>
    <row r="110" spans="7:30" s="1" customFormat="1" x14ac:dyDescent="0.25">
      <c r="G110" s="14"/>
      <c r="H110" s="14"/>
      <c r="I110" s="14"/>
      <c r="O110" s="14"/>
      <c r="P110" s="14"/>
      <c r="Q110" s="14"/>
      <c r="R110" s="14"/>
      <c r="S110" s="14"/>
      <c r="T110" s="14"/>
      <c r="U110" s="14"/>
      <c r="V110" s="14"/>
      <c r="W110" s="14"/>
      <c r="X110" s="14"/>
      <c r="Y110" s="14"/>
      <c r="Z110" s="14"/>
      <c r="AA110" s="14"/>
      <c r="AB110" s="14"/>
      <c r="AC110" s="14"/>
      <c r="AD110" s="14"/>
    </row>
    <row r="111" spans="7:30" s="1" customFormat="1" x14ac:dyDescent="0.25">
      <c r="G111" s="14"/>
      <c r="H111" s="14"/>
      <c r="I111" s="14"/>
      <c r="O111" s="14"/>
      <c r="P111" s="14"/>
      <c r="Q111" s="14"/>
      <c r="R111" s="14"/>
      <c r="S111" s="14"/>
      <c r="T111" s="14"/>
      <c r="U111" s="14"/>
      <c r="V111" s="14"/>
      <c r="W111" s="14"/>
      <c r="X111" s="14"/>
      <c r="Y111" s="14"/>
      <c r="Z111" s="14"/>
      <c r="AA111" s="14"/>
      <c r="AB111" s="14"/>
      <c r="AC111" s="14"/>
      <c r="AD111" s="14"/>
    </row>
    <row r="112" spans="7:30" s="1" customFormat="1" x14ac:dyDescent="0.25">
      <c r="G112" s="14"/>
      <c r="H112" s="14"/>
      <c r="I112" s="14"/>
      <c r="O112" s="14"/>
      <c r="P112" s="14"/>
      <c r="Q112" s="14"/>
      <c r="R112" s="14"/>
      <c r="S112" s="14"/>
      <c r="T112" s="14"/>
      <c r="U112" s="14"/>
      <c r="V112" s="14"/>
      <c r="W112" s="14"/>
      <c r="X112" s="14"/>
      <c r="Y112" s="14"/>
      <c r="Z112" s="14"/>
      <c r="AA112" s="14"/>
      <c r="AB112" s="14"/>
      <c r="AC112" s="14"/>
      <c r="AD112" s="14"/>
    </row>
    <row r="113" spans="7:30" s="1" customFormat="1" x14ac:dyDescent="0.25">
      <c r="G113" s="14"/>
      <c r="H113" s="14"/>
      <c r="I113" s="14"/>
      <c r="O113" s="14"/>
      <c r="P113" s="14"/>
      <c r="Q113" s="14"/>
      <c r="R113" s="14"/>
      <c r="S113" s="14"/>
      <c r="T113" s="14"/>
      <c r="U113" s="14"/>
      <c r="V113" s="14"/>
      <c r="W113" s="14"/>
      <c r="X113" s="14"/>
      <c r="Y113" s="14"/>
      <c r="Z113" s="14"/>
      <c r="AA113" s="14"/>
      <c r="AB113" s="14"/>
      <c r="AC113" s="14"/>
      <c r="AD113" s="14"/>
    </row>
    <row r="114" spans="7:30" s="1" customFormat="1" x14ac:dyDescent="0.25">
      <c r="G114" s="14"/>
      <c r="H114" s="14"/>
      <c r="I114" s="14"/>
      <c r="O114" s="14"/>
      <c r="P114" s="14"/>
      <c r="Q114" s="14"/>
      <c r="R114" s="14"/>
      <c r="S114" s="14"/>
      <c r="T114" s="14"/>
      <c r="U114" s="14"/>
      <c r="V114" s="14"/>
      <c r="W114" s="14"/>
      <c r="X114" s="14"/>
      <c r="Y114" s="14"/>
      <c r="Z114" s="14"/>
      <c r="AA114" s="14"/>
      <c r="AB114" s="14"/>
      <c r="AC114" s="14"/>
      <c r="AD114" s="14"/>
    </row>
    <row r="115" spans="7:30" s="1" customFormat="1" x14ac:dyDescent="0.25">
      <c r="G115" s="14"/>
      <c r="H115" s="14"/>
      <c r="I115" s="14"/>
      <c r="O115" s="14"/>
      <c r="P115" s="14"/>
      <c r="Q115" s="14"/>
      <c r="R115" s="14"/>
      <c r="S115" s="14"/>
      <c r="T115" s="14"/>
      <c r="U115" s="14"/>
      <c r="V115" s="14"/>
      <c r="W115" s="14"/>
      <c r="X115" s="14"/>
      <c r="Y115" s="14"/>
      <c r="Z115" s="14"/>
      <c r="AA115" s="14"/>
      <c r="AB115" s="14"/>
      <c r="AC115" s="14"/>
      <c r="AD115" s="14"/>
    </row>
    <row r="116" spans="7:30" s="1" customFormat="1" x14ac:dyDescent="0.25">
      <c r="G116" s="14"/>
      <c r="H116" s="14"/>
      <c r="I116" s="14"/>
      <c r="O116" s="14"/>
      <c r="P116" s="14"/>
      <c r="Q116" s="14"/>
      <c r="R116" s="14"/>
      <c r="S116" s="14"/>
      <c r="T116" s="14"/>
      <c r="U116" s="14"/>
      <c r="V116" s="14"/>
      <c r="W116" s="14"/>
      <c r="X116" s="14"/>
      <c r="Y116" s="14"/>
      <c r="Z116" s="14"/>
      <c r="AA116" s="14"/>
      <c r="AB116" s="14"/>
      <c r="AC116" s="14"/>
      <c r="AD116" s="14"/>
    </row>
    <row r="117" spans="7:30" s="1" customFormat="1" x14ac:dyDescent="0.25">
      <c r="G117" s="14"/>
      <c r="H117" s="14"/>
      <c r="I117" s="14"/>
      <c r="O117" s="14"/>
      <c r="P117" s="14"/>
      <c r="Q117" s="14"/>
      <c r="R117" s="14"/>
      <c r="S117" s="14"/>
      <c r="T117" s="14"/>
      <c r="U117" s="14"/>
      <c r="V117" s="14"/>
      <c r="W117" s="14"/>
      <c r="X117" s="14"/>
      <c r="Y117" s="14"/>
      <c r="Z117" s="14"/>
      <c r="AA117" s="14"/>
      <c r="AB117" s="14"/>
      <c r="AC117" s="14"/>
      <c r="AD117" s="14"/>
    </row>
    <row r="118" spans="7:30" s="1" customFormat="1" x14ac:dyDescent="0.25">
      <c r="G118" s="14"/>
      <c r="H118" s="14"/>
      <c r="I118" s="14"/>
      <c r="O118" s="14"/>
      <c r="P118" s="14"/>
      <c r="Q118" s="14"/>
      <c r="R118" s="14"/>
      <c r="S118" s="14"/>
      <c r="T118" s="14"/>
      <c r="U118" s="14"/>
      <c r="V118" s="14"/>
      <c r="W118" s="14"/>
      <c r="X118" s="14"/>
      <c r="Y118" s="14"/>
      <c r="Z118" s="14"/>
      <c r="AA118" s="14"/>
      <c r="AB118" s="14"/>
      <c r="AC118" s="14"/>
      <c r="AD118" s="14"/>
    </row>
    <row r="119" spans="7:30" s="1" customFormat="1" x14ac:dyDescent="0.25">
      <c r="G119" s="14"/>
      <c r="H119" s="14"/>
      <c r="I119" s="14"/>
      <c r="O119" s="14"/>
      <c r="P119" s="14"/>
      <c r="Q119" s="14"/>
      <c r="R119" s="14"/>
      <c r="S119" s="14"/>
      <c r="T119" s="14"/>
      <c r="U119" s="14"/>
      <c r="V119" s="14"/>
      <c r="W119" s="14"/>
      <c r="X119" s="14"/>
      <c r="Y119" s="14"/>
      <c r="Z119" s="14"/>
      <c r="AA119" s="14"/>
      <c r="AB119" s="14"/>
      <c r="AC119" s="14"/>
      <c r="AD119" s="14"/>
    </row>
    <row r="120" spans="7:30" s="1" customFormat="1" x14ac:dyDescent="0.25">
      <c r="G120" s="14"/>
      <c r="H120" s="14"/>
      <c r="I120" s="14"/>
      <c r="O120" s="14"/>
      <c r="P120" s="14"/>
      <c r="Q120" s="14"/>
      <c r="R120" s="14"/>
      <c r="S120" s="14"/>
      <c r="T120" s="14"/>
      <c r="U120" s="14"/>
      <c r="V120" s="14"/>
      <c r="W120" s="14"/>
      <c r="X120" s="14"/>
      <c r="Y120" s="14"/>
      <c r="Z120" s="14"/>
      <c r="AA120" s="14"/>
      <c r="AB120" s="14"/>
      <c r="AC120" s="14"/>
      <c r="AD120" s="14"/>
    </row>
    <row r="121" spans="7:30" s="1" customFormat="1" x14ac:dyDescent="0.25">
      <c r="G121" s="14"/>
      <c r="H121" s="14"/>
      <c r="I121" s="14"/>
      <c r="O121" s="14"/>
      <c r="P121" s="14"/>
      <c r="Q121" s="14"/>
      <c r="R121" s="14"/>
      <c r="S121" s="14"/>
      <c r="T121" s="14"/>
      <c r="U121" s="14"/>
      <c r="V121" s="14"/>
      <c r="W121" s="14"/>
      <c r="X121" s="14"/>
      <c r="Y121" s="14"/>
      <c r="Z121" s="14"/>
      <c r="AA121" s="14"/>
      <c r="AB121" s="14"/>
      <c r="AC121" s="14"/>
      <c r="AD121" s="14"/>
    </row>
    <row r="122" spans="7:30" s="1" customFormat="1" x14ac:dyDescent="0.25">
      <c r="G122" s="14"/>
      <c r="H122" s="14"/>
      <c r="I122" s="14"/>
      <c r="O122" s="14"/>
      <c r="P122" s="14"/>
      <c r="Q122" s="14"/>
      <c r="R122" s="14"/>
      <c r="S122" s="14"/>
      <c r="T122" s="14"/>
      <c r="U122" s="14"/>
      <c r="V122" s="14"/>
      <c r="W122" s="14"/>
      <c r="X122" s="14"/>
      <c r="Y122" s="14"/>
      <c r="Z122" s="14"/>
      <c r="AA122" s="14"/>
      <c r="AB122" s="14"/>
      <c r="AC122" s="14"/>
      <c r="AD122" s="14"/>
    </row>
    <row r="123" spans="7:30" s="1" customFormat="1" x14ac:dyDescent="0.25">
      <c r="G123" s="14"/>
      <c r="H123" s="14"/>
      <c r="I123" s="14"/>
      <c r="O123" s="14"/>
      <c r="P123" s="14"/>
      <c r="Q123" s="14"/>
      <c r="R123" s="14"/>
      <c r="S123" s="14"/>
      <c r="T123" s="14"/>
      <c r="U123" s="14"/>
      <c r="V123" s="14"/>
      <c r="W123" s="14"/>
      <c r="X123" s="14"/>
      <c r="Y123" s="14"/>
      <c r="Z123" s="14"/>
      <c r="AA123" s="14"/>
      <c r="AB123" s="14"/>
      <c r="AC123" s="14"/>
      <c r="AD123" s="14"/>
    </row>
    <row r="124" spans="7:30" s="1" customFormat="1" x14ac:dyDescent="0.25">
      <c r="G124" s="14"/>
      <c r="H124" s="14"/>
      <c r="I124" s="14"/>
      <c r="O124" s="14"/>
      <c r="P124" s="14"/>
      <c r="Q124" s="14"/>
      <c r="R124" s="14"/>
      <c r="S124" s="14"/>
      <c r="T124" s="14"/>
      <c r="U124" s="14"/>
      <c r="V124" s="14"/>
      <c r="W124" s="14"/>
      <c r="X124" s="14"/>
      <c r="Y124" s="14"/>
      <c r="Z124" s="14"/>
      <c r="AA124" s="14"/>
      <c r="AB124" s="14"/>
      <c r="AC124" s="14"/>
      <c r="AD124" s="14"/>
    </row>
    <row r="125" spans="7:30" s="1" customFormat="1" x14ac:dyDescent="0.25">
      <c r="G125" s="14"/>
      <c r="H125" s="14"/>
      <c r="I125" s="14"/>
      <c r="O125" s="14"/>
      <c r="P125" s="14"/>
      <c r="Q125" s="14"/>
      <c r="R125" s="14"/>
      <c r="S125" s="14"/>
      <c r="T125" s="14"/>
      <c r="U125" s="14"/>
      <c r="V125" s="14"/>
      <c r="W125" s="14"/>
      <c r="X125" s="14"/>
      <c r="Y125" s="14"/>
      <c r="Z125" s="14"/>
      <c r="AA125" s="14"/>
      <c r="AB125" s="14"/>
      <c r="AC125" s="14"/>
      <c r="AD125" s="14"/>
    </row>
    <row r="126" spans="7:30" s="1" customFormat="1" x14ac:dyDescent="0.25">
      <c r="G126" s="14"/>
      <c r="H126" s="14"/>
      <c r="I126" s="14"/>
      <c r="O126" s="14"/>
      <c r="P126" s="14"/>
      <c r="Q126" s="14"/>
      <c r="R126" s="14"/>
      <c r="S126" s="14"/>
      <c r="T126" s="14"/>
      <c r="U126" s="14"/>
      <c r="V126" s="14"/>
      <c r="W126" s="14"/>
      <c r="X126" s="14"/>
      <c r="Y126" s="14"/>
      <c r="Z126" s="14"/>
      <c r="AA126" s="14"/>
      <c r="AB126" s="14"/>
      <c r="AC126" s="14"/>
      <c r="AD126" s="14"/>
    </row>
    <row r="127" spans="7:30" s="1" customFormat="1" x14ac:dyDescent="0.25">
      <c r="G127" s="14"/>
      <c r="H127" s="14"/>
      <c r="I127" s="14"/>
      <c r="O127" s="14"/>
      <c r="P127" s="14"/>
      <c r="Q127" s="14"/>
      <c r="R127" s="14"/>
      <c r="S127" s="14"/>
      <c r="T127" s="14"/>
      <c r="U127" s="14"/>
      <c r="V127" s="14"/>
      <c r="W127" s="14"/>
      <c r="X127" s="14"/>
      <c r="Y127" s="14"/>
      <c r="Z127" s="14"/>
      <c r="AA127" s="14"/>
      <c r="AB127" s="14"/>
      <c r="AC127" s="14"/>
      <c r="AD127" s="14"/>
    </row>
    <row r="128" spans="7:30" s="1" customFormat="1" x14ac:dyDescent="0.25">
      <c r="G128" s="14"/>
      <c r="H128" s="14"/>
      <c r="I128" s="14"/>
      <c r="O128" s="14"/>
      <c r="P128" s="14"/>
      <c r="Q128" s="14"/>
      <c r="R128" s="14"/>
      <c r="S128" s="14"/>
      <c r="T128" s="14"/>
      <c r="U128" s="14"/>
      <c r="V128" s="14"/>
      <c r="W128" s="14"/>
      <c r="X128" s="14"/>
      <c r="Y128" s="14"/>
      <c r="Z128" s="14"/>
      <c r="AA128" s="14"/>
      <c r="AB128" s="14"/>
      <c r="AC128" s="14"/>
      <c r="AD128" s="14"/>
    </row>
    <row r="129" spans="7:30" s="1" customFormat="1" x14ac:dyDescent="0.25">
      <c r="G129" s="14"/>
      <c r="H129" s="14"/>
      <c r="I129" s="14"/>
      <c r="O129" s="14"/>
      <c r="P129" s="14"/>
      <c r="Q129" s="14"/>
      <c r="R129" s="14"/>
      <c r="S129" s="14"/>
      <c r="T129" s="14"/>
      <c r="U129" s="14"/>
      <c r="V129" s="14"/>
      <c r="W129" s="14"/>
      <c r="X129" s="14"/>
      <c r="Y129" s="14"/>
      <c r="Z129" s="14"/>
      <c r="AA129" s="14"/>
      <c r="AB129" s="14"/>
      <c r="AC129" s="14"/>
      <c r="AD129" s="14"/>
    </row>
    <row r="130" spans="7:30" s="1" customFormat="1" x14ac:dyDescent="0.25">
      <c r="G130" s="14"/>
      <c r="H130" s="14"/>
      <c r="I130" s="14"/>
      <c r="O130" s="14"/>
      <c r="P130" s="14"/>
      <c r="Q130" s="14"/>
      <c r="R130" s="14"/>
      <c r="S130" s="14"/>
      <c r="T130" s="14"/>
      <c r="U130" s="14"/>
      <c r="V130" s="14"/>
      <c r="W130" s="14"/>
      <c r="X130" s="14"/>
      <c r="Y130" s="14"/>
      <c r="Z130" s="14"/>
      <c r="AA130" s="14"/>
      <c r="AB130" s="14"/>
      <c r="AC130" s="14"/>
      <c r="AD130" s="14"/>
    </row>
    <row r="131" spans="7:30" s="1" customFormat="1" x14ac:dyDescent="0.25">
      <c r="G131" s="14"/>
      <c r="H131" s="14"/>
      <c r="I131" s="14"/>
      <c r="O131" s="14"/>
      <c r="P131" s="14"/>
      <c r="Q131" s="14"/>
      <c r="R131" s="14"/>
      <c r="S131" s="14"/>
      <c r="T131" s="14"/>
      <c r="U131" s="14"/>
      <c r="V131" s="14"/>
      <c r="W131" s="14"/>
      <c r="X131" s="14"/>
      <c r="Y131" s="14"/>
      <c r="Z131" s="14"/>
      <c r="AA131" s="14"/>
      <c r="AB131" s="14"/>
      <c r="AC131" s="14"/>
      <c r="AD131" s="14"/>
    </row>
    <row r="132" spans="7:30" s="1" customFormat="1" x14ac:dyDescent="0.25">
      <c r="G132" s="14"/>
      <c r="H132" s="14"/>
      <c r="I132" s="14"/>
      <c r="O132" s="14"/>
      <c r="P132" s="14"/>
      <c r="Q132" s="14"/>
      <c r="R132" s="14"/>
      <c r="S132" s="14"/>
      <c r="T132" s="14"/>
      <c r="U132" s="14"/>
      <c r="V132" s="14"/>
      <c r="W132" s="14"/>
      <c r="X132" s="14"/>
      <c r="Y132" s="14"/>
      <c r="Z132" s="14"/>
      <c r="AA132" s="14"/>
      <c r="AB132" s="14"/>
      <c r="AC132" s="14"/>
      <c r="AD132" s="14"/>
    </row>
    <row r="133" spans="7:30" s="1" customFormat="1" x14ac:dyDescent="0.25">
      <c r="G133" s="14"/>
      <c r="H133" s="14"/>
      <c r="I133" s="14"/>
      <c r="O133" s="14"/>
      <c r="P133" s="14"/>
      <c r="Q133" s="14"/>
      <c r="R133" s="14"/>
      <c r="S133" s="14"/>
      <c r="T133" s="14"/>
      <c r="U133" s="14"/>
      <c r="V133" s="14"/>
      <c r="W133" s="14"/>
      <c r="X133" s="14"/>
      <c r="Y133" s="14"/>
      <c r="Z133" s="14"/>
      <c r="AA133" s="14"/>
      <c r="AB133" s="14"/>
      <c r="AC133" s="14"/>
      <c r="AD133" s="14"/>
    </row>
    <row r="134" spans="7:30" s="1" customFormat="1" x14ac:dyDescent="0.25">
      <c r="G134" s="14"/>
      <c r="H134" s="14"/>
      <c r="I134" s="14"/>
      <c r="O134" s="14"/>
      <c r="P134" s="14"/>
      <c r="Q134" s="14"/>
      <c r="R134" s="14"/>
      <c r="S134" s="14"/>
      <c r="T134" s="14"/>
      <c r="U134" s="14"/>
      <c r="V134" s="14"/>
      <c r="W134" s="14"/>
      <c r="X134" s="14"/>
      <c r="Y134" s="14"/>
      <c r="Z134" s="14"/>
      <c r="AA134" s="14"/>
      <c r="AB134" s="14"/>
      <c r="AC134" s="14"/>
      <c r="AD134" s="14"/>
    </row>
    <row r="135" spans="7:30" s="1" customFormat="1" x14ac:dyDescent="0.25">
      <c r="G135" s="14"/>
      <c r="H135" s="14"/>
      <c r="I135" s="14"/>
      <c r="O135" s="14"/>
      <c r="P135" s="14"/>
      <c r="Q135" s="14"/>
      <c r="R135" s="14"/>
      <c r="S135" s="14"/>
      <c r="T135" s="14"/>
      <c r="U135" s="14"/>
      <c r="V135" s="14"/>
      <c r="W135" s="14"/>
      <c r="X135" s="14"/>
      <c r="Y135" s="14"/>
      <c r="Z135" s="14"/>
      <c r="AA135" s="14"/>
      <c r="AB135" s="14"/>
      <c r="AC135" s="14"/>
      <c r="AD135" s="14"/>
    </row>
    <row r="136" spans="7:30" s="1" customFormat="1" x14ac:dyDescent="0.25">
      <c r="G136" s="14"/>
      <c r="H136" s="14"/>
      <c r="I136" s="14"/>
      <c r="O136" s="14"/>
      <c r="P136" s="14"/>
      <c r="Q136" s="14"/>
      <c r="R136" s="14"/>
      <c r="S136" s="14"/>
      <c r="T136" s="14"/>
      <c r="U136" s="14"/>
      <c r="V136" s="14"/>
      <c r="W136" s="14"/>
      <c r="X136" s="14"/>
      <c r="Y136" s="14"/>
      <c r="Z136" s="14"/>
      <c r="AA136" s="14"/>
      <c r="AB136" s="14"/>
      <c r="AC136" s="14"/>
      <c r="AD136" s="14"/>
    </row>
    <row r="137" spans="7:30" s="1" customFormat="1" x14ac:dyDescent="0.25">
      <c r="G137" s="14"/>
      <c r="H137" s="14"/>
      <c r="I137" s="14"/>
      <c r="O137" s="14"/>
      <c r="P137" s="14"/>
      <c r="Q137" s="14"/>
      <c r="R137" s="14"/>
      <c r="S137" s="14"/>
      <c r="T137" s="14"/>
      <c r="U137" s="14"/>
      <c r="V137" s="14"/>
      <c r="W137" s="14"/>
      <c r="X137" s="14"/>
      <c r="Y137" s="14"/>
      <c r="Z137" s="14"/>
      <c r="AA137" s="14"/>
      <c r="AB137" s="14"/>
      <c r="AC137" s="14"/>
      <c r="AD137" s="14"/>
    </row>
    <row r="138" spans="7:30" s="1" customFormat="1" x14ac:dyDescent="0.25">
      <c r="G138" s="14"/>
      <c r="H138" s="14"/>
      <c r="I138" s="14"/>
      <c r="O138" s="14"/>
      <c r="P138" s="14"/>
      <c r="Q138" s="14"/>
      <c r="R138" s="14"/>
      <c r="S138" s="14"/>
      <c r="T138" s="14"/>
      <c r="U138" s="14"/>
      <c r="V138" s="14"/>
      <c r="W138" s="14"/>
      <c r="X138" s="14"/>
      <c r="Y138" s="14"/>
      <c r="Z138" s="14"/>
      <c r="AA138" s="14"/>
      <c r="AB138" s="14"/>
      <c r="AC138" s="14"/>
      <c r="AD138" s="14"/>
    </row>
    <row r="139" spans="7:30" s="1" customFormat="1" x14ac:dyDescent="0.25">
      <c r="G139" s="14"/>
      <c r="H139" s="14"/>
      <c r="I139" s="14"/>
      <c r="O139" s="14"/>
      <c r="P139" s="14"/>
      <c r="Q139" s="14"/>
      <c r="R139" s="14"/>
      <c r="S139" s="14"/>
      <c r="T139" s="14"/>
      <c r="U139" s="14"/>
      <c r="V139" s="14"/>
      <c r="W139" s="14"/>
      <c r="X139" s="14"/>
      <c r="Y139" s="14"/>
      <c r="Z139" s="14"/>
      <c r="AA139" s="14"/>
      <c r="AB139" s="14"/>
      <c r="AC139" s="14"/>
      <c r="AD139" s="14"/>
    </row>
    <row r="140" spans="7:30" s="1" customFormat="1" x14ac:dyDescent="0.25">
      <c r="G140" s="14"/>
      <c r="H140" s="14"/>
      <c r="I140" s="14"/>
      <c r="O140" s="14"/>
      <c r="P140" s="14"/>
      <c r="Q140" s="14"/>
      <c r="R140" s="14"/>
      <c r="S140" s="14"/>
      <c r="T140" s="14"/>
      <c r="U140" s="14"/>
      <c r="V140" s="14"/>
      <c r="W140" s="14"/>
      <c r="X140" s="14"/>
      <c r="Y140" s="14"/>
      <c r="Z140" s="14"/>
      <c r="AA140" s="14"/>
      <c r="AB140" s="14"/>
      <c r="AC140" s="14"/>
      <c r="AD140" s="14"/>
    </row>
    <row r="141" spans="7:30" s="1" customFormat="1" x14ac:dyDescent="0.25">
      <c r="G141" s="14"/>
      <c r="H141" s="14"/>
      <c r="I141" s="14"/>
      <c r="O141" s="14"/>
      <c r="P141" s="14"/>
      <c r="Q141" s="14"/>
      <c r="R141" s="14"/>
      <c r="S141" s="14"/>
      <c r="T141" s="14"/>
      <c r="U141" s="14"/>
      <c r="V141" s="14"/>
      <c r="W141" s="14"/>
      <c r="X141" s="14"/>
      <c r="Y141" s="14"/>
      <c r="Z141" s="14"/>
      <c r="AA141" s="14"/>
      <c r="AB141" s="14"/>
      <c r="AC141" s="14"/>
      <c r="AD141" s="14"/>
    </row>
    <row r="142" spans="7:30" s="1" customFormat="1" x14ac:dyDescent="0.25">
      <c r="G142" s="14"/>
      <c r="H142" s="14"/>
      <c r="I142" s="14"/>
      <c r="O142" s="14"/>
      <c r="P142" s="14"/>
      <c r="Q142" s="14"/>
      <c r="R142" s="14"/>
      <c r="S142" s="14"/>
      <c r="T142" s="14"/>
      <c r="U142" s="14"/>
      <c r="V142" s="14"/>
      <c r="W142" s="14"/>
      <c r="X142" s="14"/>
      <c r="Y142" s="14"/>
      <c r="Z142" s="14"/>
      <c r="AA142" s="14"/>
      <c r="AB142" s="14"/>
      <c r="AC142" s="14"/>
      <c r="AD142" s="14"/>
    </row>
    <row r="143" spans="7:30" s="1" customFormat="1" x14ac:dyDescent="0.25">
      <c r="G143" s="14"/>
      <c r="H143" s="14"/>
      <c r="I143" s="14"/>
      <c r="O143" s="14"/>
      <c r="P143" s="14"/>
      <c r="Q143" s="14"/>
      <c r="R143" s="14"/>
      <c r="S143" s="14"/>
      <c r="T143" s="14"/>
      <c r="U143" s="14"/>
      <c r="V143" s="14"/>
      <c r="W143" s="14"/>
      <c r="X143" s="14"/>
      <c r="Y143" s="14"/>
      <c r="Z143" s="14"/>
      <c r="AA143" s="14"/>
      <c r="AB143" s="14"/>
      <c r="AC143" s="14"/>
      <c r="AD143" s="14"/>
    </row>
    <row r="144" spans="7:30" s="1" customFormat="1" x14ac:dyDescent="0.25">
      <c r="G144" s="14"/>
      <c r="H144" s="14"/>
      <c r="I144" s="14"/>
      <c r="O144" s="14"/>
      <c r="P144" s="14"/>
      <c r="Q144" s="14"/>
      <c r="R144" s="14"/>
      <c r="S144" s="14"/>
      <c r="T144" s="14"/>
      <c r="U144" s="14"/>
      <c r="V144" s="14"/>
      <c r="W144" s="14"/>
      <c r="X144" s="14"/>
      <c r="Y144" s="14"/>
      <c r="Z144" s="14"/>
      <c r="AA144" s="14"/>
      <c r="AB144" s="14"/>
      <c r="AC144" s="14"/>
      <c r="AD144" s="14"/>
    </row>
    <row r="145" spans="7:30" s="1" customFormat="1" x14ac:dyDescent="0.25">
      <c r="G145" s="14"/>
      <c r="H145" s="14"/>
      <c r="I145" s="14"/>
      <c r="O145" s="14"/>
      <c r="P145" s="14"/>
      <c r="Q145" s="14"/>
      <c r="R145" s="14"/>
      <c r="S145" s="14"/>
      <c r="T145" s="14"/>
      <c r="U145" s="14"/>
      <c r="V145" s="14"/>
      <c r="W145" s="14"/>
      <c r="X145" s="14"/>
      <c r="Y145" s="14"/>
      <c r="Z145" s="14"/>
      <c r="AA145" s="14"/>
      <c r="AB145" s="14"/>
      <c r="AC145" s="14"/>
      <c r="AD145" s="14"/>
    </row>
    <row r="146" spans="7:30" s="1" customFormat="1" x14ac:dyDescent="0.25">
      <c r="G146" s="14"/>
      <c r="H146" s="14"/>
      <c r="I146" s="14"/>
      <c r="O146" s="14"/>
      <c r="P146" s="14"/>
      <c r="Q146" s="14"/>
      <c r="R146" s="14"/>
      <c r="S146" s="14"/>
      <c r="T146" s="14"/>
      <c r="U146" s="14"/>
      <c r="V146" s="14"/>
      <c r="W146" s="14"/>
      <c r="X146" s="14"/>
      <c r="Y146" s="14"/>
      <c r="Z146" s="14"/>
      <c r="AA146" s="14"/>
      <c r="AB146" s="14"/>
      <c r="AC146" s="14"/>
      <c r="AD146" s="14"/>
    </row>
    <row r="147" spans="7:30" s="1" customFormat="1" x14ac:dyDescent="0.25">
      <c r="G147" s="14"/>
      <c r="H147" s="14"/>
      <c r="I147" s="14"/>
      <c r="O147" s="14"/>
      <c r="P147" s="14"/>
      <c r="Q147" s="14"/>
      <c r="R147" s="14"/>
      <c r="S147" s="14"/>
      <c r="T147" s="14"/>
      <c r="U147" s="14"/>
      <c r="V147" s="14"/>
      <c r="W147" s="14"/>
      <c r="X147" s="14"/>
      <c r="Y147" s="14"/>
      <c r="Z147" s="14"/>
      <c r="AA147" s="14"/>
      <c r="AB147" s="14"/>
      <c r="AC147" s="14"/>
      <c r="AD147" s="14"/>
    </row>
    <row r="148" spans="7:30" s="1" customFormat="1" x14ac:dyDescent="0.25">
      <c r="G148" s="14"/>
      <c r="H148" s="14"/>
      <c r="I148" s="14"/>
      <c r="O148" s="14"/>
      <c r="P148" s="14"/>
      <c r="Q148" s="14"/>
      <c r="R148" s="14"/>
      <c r="S148" s="14"/>
      <c r="T148" s="14"/>
      <c r="U148" s="14"/>
      <c r="V148" s="14"/>
      <c r="W148" s="14"/>
      <c r="X148" s="14"/>
      <c r="Y148" s="14"/>
      <c r="Z148" s="14"/>
      <c r="AA148" s="14"/>
      <c r="AB148" s="14"/>
      <c r="AC148" s="14"/>
      <c r="AD148" s="14"/>
    </row>
    <row r="149" spans="7:30" s="1" customFormat="1" x14ac:dyDescent="0.25">
      <c r="G149" s="14"/>
      <c r="H149" s="14"/>
      <c r="I149" s="14"/>
      <c r="O149" s="14"/>
      <c r="P149" s="14"/>
      <c r="Q149" s="14"/>
      <c r="R149" s="14"/>
      <c r="S149" s="14"/>
      <c r="T149" s="14"/>
      <c r="U149" s="14"/>
      <c r="V149" s="14"/>
      <c r="W149" s="14"/>
      <c r="X149" s="14"/>
      <c r="Y149" s="14"/>
      <c r="Z149" s="14"/>
      <c r="AA149" s="14"/>
      <c r="AB149" s="14"/>
      <c r="AC149" s="14"/>
      <c r="AD149" s="14"/>
    </row>
    <row r="150" spans="7:30" s="1" customFormat="1" x14ac:dyDescent="0.25">
      <c r="G150" s="14"/>
      <c r="H150" s="14"/>
      <c r="I150" s="14"/>
      <c r="O150" s="14"/>
      <c r="P150" s="14"/>
      <c r="Q150" s="14"/>
      <c r="R150" s="14"/>
      <c r="S150" s="14"/>
      <c r="T150" s="14"/>
      <c r="U150" s="14"/>
      <c r="V150" s="14"/>
      <c r="W150" s="14"/>
      <c r="X150" s="14"/>
      <c r="Y150" s="14"/>
      <c r="Z150" s="14"/>
      <c r="AA150" s="14"/>
      <c r="AB150" s="14"/>
      <c r="AC150" s="14"/>
      <c r="AD150" s="14"/>
    </row>
    <row r="151" spans="7:30" s="1" customFormat="1" x14ac:dyDescent="0.25">
      <c r="G151" s="14"/>
      <c r="H151" s="14"/>
      <c r="I151" s="14"/>
      <c r="O151" s="14"/>
      <c r="P151" s="14"/>
      <c r="Q151" s="14"/>
      <c r="R151" s="14"/>
      <c r="S151" s="14"/>
      <c r="T151" s="14"/>
      <c r="U151" s="14"/>
      <c r="V151" s="14"/>
      <c r="W151" s="14"/>
      <c r="X151" s="14"/>
      <c r="Y151" s="14"/>
      <c r="Z151" s="14"/>
      <c r="AA151" s="14"/>
      <c r="AB151" s="14"/>
      <c r="AC151" s="14"/>
      <c r="AD151" s="14"/>
    </row>
    <row r="152" spans="7:30" s="1" customFormat="1" x14ac:dyDescent="0.25">
      <c r="G152" s="14"/>
      <c r="H152" s="14"/>
      <c r="I152" s="14"/>
      <c r="O152" s="14"/>
      <c r="P152" s="14"/>
      <c r="Q152" s="14"/>
      <c r="R152" s="14"/>
      <c r="S152" s="14"/>
      <c r="T152" s="14"/>
      <c r="U152" s="14"/>
      <c r="V152" s="14"/>
      <c r="W152" s="14"/>
      <c r="X152" s="14"/>
      <c r="Y152" s="14"/>
      <c r="Z152" s="14"/>
      <c r="AA152" s="14"/>
      <c r="AB152" s="14"/>
      <c r="AC152" s="14"/>
      <c r="AD152" s="14"/>
    </row>
    <row r="153" spans="7:30" s="1" customFormat="1" x14ac:dyDescent="0.25">
      <c r="G153" s="14"/>
      <c r="H153" s="14"/>
      <c r="I153" s="14"/>
      <c r="O153" s="14"/>
      <c r="P153" s="14"/>
      <c r="Q153" s="14"/>
      <c r="R153" s="14"/>
      <c r="S153" s="14"/>
      <c r="T153" s="14"/>
      <c r="U153" s="14"/>
      <c r="V153" s="14"/>
      <c r="W153" s="14"/>
      <c r="X153" s="14"/>
      <c r="Y153" s="14"/>
      <c r="Z153" s="14"/>
      <c r="AA153" s="14"/>
      <c r="AB153" s="14"/>
      <c r="AC153" s="14"/>
      <c r="AD153" s="14"/>
    </row>
    <row r="154" spans="7:30" s="1" customFormat="1" x14ac:dyDescent="0.25">
      <c r="G154" s="14"/>
      <c r="H154" s="14"/>
      <c r="I154" s="14"/>
      <c r="O154" s="14"/>
      <c r="P154" s="14"/>
      <c r="Q154" s="14"/>
      <c r="R154" s="14"/>
      <c r="S154" s="14"/>
      <c r="T154" s="14"/>
      <c r="U154" s="14"/>
      <c r="V154" s="14"/>
      <c r="W154" s="14"/>
      <c r="X154" s="14"/>
      <c r="Y154" s="14"/>
      <c r="Z154" s="14"/>
      <c r="AA154" s="14"/>
      <c r="AB154" s="14"/>
      <c r="AC154" s="14"/>
      <c r="AD154" s="14"/>
    </row>
    <row r="155" spans="7:30" s="1" customFormat="1" x14ac:dyDescent="0.25">
      <c r="G155" s="14"/>
      <c r="H155" s="14"/>
      <c r="I155" s="14"/>
      <c r="O155" s="14"/>
      <c r="P155" s="14"/>
      <c r="Q155" s="14"/>
      <c r="R155" s="14"/>
      <c r="S155" s="14"/>
      <c r="T155" s="14"/>
      <c r="U155" s="14"/>
      <c r="V155" s="14"/>
      <c r="W155" s="14"/>
      <c r="X155" s="14"/>
      <c r="Y155" s="14"/>
      <c r="Z155" s="14"/>
      <c r="AA155" s="14"/>
      <c r="AB155" s="14"/>
      <c r="AC155" s="14"/>
      <c r="AD155" s="14"/>
    </row>
    <row r="156" spans="7:30" s="1" customFormat="1" x14ac:dyDescent="0.25">
      <c r="G156" s="14"/>
      <c r="H156" s="14"/>
      <c r="I156" s="14"/>
      <c r="O156" s="14"/>
      <c r="P156" s="14"/>
      <c r="Q156" s="14"/>
      <c r="R156" s="14"/>
      <c r="S156" s="14"/>
      <c r="T156" s="14"/>
      <c r="U156" s="14"/>
      <c r="V156" s="14"/>
      <c r="W156" s="14"/>
      <c r="X156" s="14"/>
      <c r="Y156" s="14"/>
      <c r="Z156" s="14"/>
      <c r="AA156" s="14"/>
      <c r="AB156" s="14"/>
      <c r="AC156" s="14"/>
      <c r="AD156" s="14"/>
    </row>
    <row r="157" spans="7:30" s="1" customFormat="1" x14ac:dyDescent="0.25">
      <c r="G157" s="14"/>
      <c r="H157" s="14"/>
      <c r="I157" s="14"/>
      <c r="O157" s="14"/>
      <c r="P157" s="14"/>
      <c r="Q157" s="14"/>
      <c r="R157" s="14"/>
      <c r="S157" s="14"/>
      <c r="T157" s="14"/>
      <c r="U157" s="14"/>
      <c r="V157" s="14"/>
      <c r="W157" s="14"/>
      <c r="X157" s="14"/>
      <c r="Y157" s="14"/>
      <c r="Z157" s="14"/>
      <c r="AA157" s="14"/>
      <c r="AB157" s="14"/>
      <c r="AC157" s="14"/>
      <c r="AD157" s="14"/>
    </row>
    <row r="158" spans="7:30" s="1" customFormat="1" x14ac:dyDescent="0.25">
      <c r="G158" s="14"/>
      <c r="H158" s="14"/>
      <c r="I158" s="14"/>
      <c r="O158" s="14"/>
      <c r="P158" s="14"/>
      <c r="Q158" s="14"/>
      <c r="R158" s="14"/>
      <c r="S158" s="14"/>
      <c r="T158" s="14"/>
      <c r="U158" s="14"/>
      <c r="V158" s="14"/>
      <c r="W158" s="14"/>
      <c r="X158" s="14"/>
      <c r="Y158" s="14"/>
      <c r="Z158" s="14"/>
      <c r="AA158" s="14"/>
      <c r="AB158" s="14"/>
      <c r="AC158" s="14"/>
      <c r="AD158" s="14"/>
    </row>
    <row r="159" spans="7:30" s="1" customFormat="1" x14ac:dyDescent="0.25">
      <c r="G159" s="14"/>
      <c r="H159" s="14"/>
      <c r="I159" s="14"/>
      <c r="O159" s="14"/>
      <c r="P159" s="14"/>
      <c r="Q159" s="14"/>
      <c r="R159" s="14"/>
      <c r="S159" s="14"/>
      <c r="T159" s="14"/>
      <c r="U159" s="14"/>
      <c r="V159" s="14"/>
      <c r="W159" s="14"/>
      <c r="X159" s="14"/>
      <c r="Y159" s="14"/>
      <c r="Z159" s="14"/>
      <c r="AA159" s="14"/>
      <c r="AB159" s="14"/>
      <c r="AC159" s="14"/>
      <c r="AD159" s="14"/>
    </row>
    <row r="160" spans="7:30" s="1" customFormat="1" x14ac:dyDescent="0.25">
      <c r="G160" s="14"/>
      <c r="H160" s="14"/>
      <c r="I160" s="14"/>
      <c r="O160" s="14"/>
      <c r="P160" s="14"/>
      <c r="Q160" s="14"/>
      <c r="R160" s="14"/>
      <c r="S160" s="14"/>
      <c r="T160" s="14"/>
      <c r="U160" s="14"/>
      <c r="V160" s="14"/>
      <c r="W160" s="14"/>
      <c r="X160" s="14"/>
      <c r="Y160" s="14"/>
      <c r="Z160" s="14"/>
      <c r="AA160" s="14"/>
      <c r="AB160" s="14"/>
      <c r="AC160" s="14"/>
      <c r="AD160" s="14"/>
    </row>
    <row r="161" spans="7:30" s="1" customFormat="1" x14ac:dyDescent="0.25">
      <c r="G161" s="14"/>
      <c r="H161" s="14"/>
      <c r="I161" s="14"/>
      <c r="O161" s="14"/>
      <c r="P161" s="14"/>
      <c r="Q161" s="14"/>
      <c r="R161" s="14"/>
      <c r="S161" s="14"/>
      <c r="T161" s="14"/>
      <c r="U161" s="14"/>
      <c r="V161" s="14"/>
      <c r="W161" s="14"/>
      <c r="X161" s="14"/>
      <c r="Y161" s="14"/>
      <c r="Z161" s="14"/>
      <c r="AA161" s="14"/>
      <c r="AB161" s="14"/>
      <c r="AC161" s="14"/>
      <c r="AD161" s="14"/>
    </row>
    <row r="162" spans="7:30" s="1" customFormat="1" x14ac:dyDescent="0.25">
      <c r="G162" s="14"/>
      <c r="H162" s="14"/>
      <c r="I162" s="14"/>
      <c r="O162" s="14"/>
      <c r="P162" s="14"/>
      <c r="Q162" s="14"/>
      <c r="R162" s="14"/>
      <c r="S162" s="14"/>
      <c r="T162" s="14"/>
      <c r="U162" s="14"/>
      <c r="V162" s="14"/>
      <c r="W162" s="14"/>
      <c r="X162" s="14"/>
      <c r="Y162" s="14"/>
      <c r="Z162" s="14"/>
      <c r="AA162" s="14"/>
      <c r="AB162" s="14"/>
      <c r="AC162" s="14"/>
      <c r="AD162" s="14"/>
    </row>
    <row r="163" spans="7:30" s="1" customFormat="1" x14ac:dyDescent="0.25">
      <c r="G163" s="14"/>
      <c r="H163" s="14"/>
      <c r="I163" s="14"/>
      <c r="O163" s="14"/>
      <c r="P163" s="14"/>
      <c r="Q163" s="14"/>
      <c r="R163" s="14"/>
      <c r="S163" s="14"/>
      <c r="T163" s="14"/>
      <c r="U163" s="14"/>
      <c r="V163" s="14"/>
      <c r="W163" s="14"/>
      <c r="X163" s="14"/>
      <c r="Y163" s="14"/>
      <c r="Z163" s="14"/>
      <c r="AA163" s="14"/>
      <c r="AB163" s="14"/>
      <c r="AC163" s="14"/>
      <c r="AD163" s="14"/>
    </row>
    <row r="164" spans="7:30" s="1" customFormat="1" x14ac:dyDescent="0.25">
      <c r="G164" s="14"/>
      <c r="H164" s="14"/>
      <c r="I164" s="14"/>
      <c r="O164" s="14"/>
      <c r="P164" s="14"/>
      <c r="Q164" s="14"/>
      <c r="R164" s="14"/>
      <c r="S164" s="14"/>
      <c r="T164" s="14"/>
      <c r="U164" s="14"/>
      <c r="V164" s="14"/>
      <c r="W164" s="14"/>
      <c r="X164" s="14"/>
      <c r="Y164" s="14"/>
      <c r="Z164" s="14"/>
      <c r="AA164" s="14"/>
      <c r="AB164" s="14"/>
      <c r="AC164" s="14"/>
      <c r="AD164" s="14"/>
    </row>
    <row r="165" spans="7:30" s="1" customFormat="1" x14ac:dyDescent="0.25">
      <c r="G165" s="14"/>
      <c r="H165" s="14"/>
      <c r="I165" s="14"/>
      <c r="O165" s="14"/>
      <c r="P165" s="14"/>
      <c r="Q165" s="14"/>
      <c r="R165" s="14"/>
      <c r="S165" s="14"/>
      <c r="T165" s="14"/>
      <c r="U165" s="14"/>
      <c r="V165" s="14"/>
      <c r="W165" s="14"/>
      <c r="X165" s="14"/>
      <c r="Y165" s="14"/>
      <c r="Z165" s="14"/>
      <c r="AA165" s="14"/>
      <c r="AB165" s="14"/>
      <c r="AC165" s="14"/>
      <c r="AD165" s="14"/>
    </row>
    <row r="166" spans="7:30" s="1" customFormat="1" x14ac:dyDescent="0.25">
      <c r="G166" s="14"/>
      <c r="H166" s="14"/>
      <c r="I166" s="14"/>
      <c r="O166" s="14"/>
      <c r="P166" s="14"/>
      <c r="Q166" s="14"/>
      <c r="R166" s="14"/>
      <c r="S166" s="14"/>
      <c r="T166" s="14"/>
      <c r="U166" s="14"/>
      <c r="V166" s="14"/>
      <c r="W166" s="14"/>
      <c r="X166" s="14"/>
      <c r="Y166" s="14"/>
      <c r="Z166" s="14"/>
      <c r="AA166" s="14"/>
      <c r="AB166" s="14"/>
      <c r="AC166" s="14"/>
      <c r="AD166" s="14"/>
    </row>
    <row r="167" spans="7:30" s="1" customFormat="1" x14ac:dyDescent="0.25">
      <c r="G167" s="14"/>
      <c r="H167" s="14"/>
      <c r="I167" s="14"/>
      <c r="O167" s="14"/>
      <c r="P167" s="14"/>
      <c r="Q167" s="14"/>
      <c r="R167" s="14"/>
      <c r="S167" s="14"/>
      <c r="T167" s="14"/>
      <c r="U167" s="14"/>
      <c r="V167" s="14"/>
      <c r="W167" s="14"/>
      <c r="X167" s="14"/>
      <c r="Y167" s="14"/>
      <c r="Z167" s="14"/>
      <c r="AA167" s="14"/>
      <c r="AB167" s="14"/>
      <c r="AC167" s="14"/>
      <c r="AD167" s="14"/>
    </row>
    <row r="168" spans="7:30" s="1" customFormat="1" x14ac:dyDescent="0.25">
      <c r="G168" s="14"/>
      <c r="H168" s="14"/>
      <c r="I168" s="14"/>
      <c r="O168" s="14"/>
      <c r="P168" s="14"/>
      <c r="Q168" s="14"/>
      <c r="R168" s="14"/>
      <c r="S168" s="14"/>
      <c r="T168" s="14"/>
      <c r="U168" s="14"/>
      <c r="V168" s="14"/>
      <c r="W168" s="14"/>
      <c r="X168" s="14"/>
      <c r="Y168" s="14"/>
      <c r="Z168" s="14"/>
      <c r="AA168" s="14"/>
      <c r="AB168" s="14"/>
      <c r="AC168" s="14"/>
      <c r="AD168" s="14"/>
    </row>
    <row r="169" spans="7:30" s="1" customFormat="1" x14ac:dyDescent="0.25">
      <c r="G169" s="14"/>
      <c r="H169" s="14"/>
      <c r="I169" s="14"/>
      <c r="O169" s="14"/>
      <c r="P169" s="14"/>
      <c r="Q169" s="14"/>
      <c r="R169" s="14"/>
      <c r="S169" s="14"/>
      <c r="T169" s="14"/>
      <c r="U169" s="14"/>
      <c r="V169" s="14"/>
      <c r="W169" s="14"/>
      <c r="X169" s="14"/>
      <c r="Y169" s="14"/>
      <c r="Z169" s="14"/>
      <c r="AA169" s="14"/>
      <c r="AB169" s="14"/>
      <c r="AC169" s="14"/>
      <c r="AD169" s="14"/>
    </row>
    <row r="170" spans="7:30" s="1" customFormat="1" x14ac:dyDescent="0.25">
      <c r="G170" s="14"/>
      <c r="H170" s="14"/>
      <c r="I170" s="14"/>
      <c r="O170" s="14"/>
      <c r="P170" s="14"/>
      <c r="Q170" s="14"/>
      <c r="R170" s="14"/>
      <c r="S170" s="14"/>
      <c r="T170" s="14"/>
      <c r="U170" s="14"/>
      <c r="V170" s="14"/>
      <c r="W170" s="14"/>
      <c r="X170" s="14"/>
      <c r="Y170" s="14"/>
      <c r="Z170" s="14"/>
      <c r="AA170" s="14"/>
      <c r="AB170" s="14"/>
      <c r="AC170" s="14"/>
      <c r="AD170" s="14"/>
    </row>
    <row r="171" spans="7:30" s="1" customFormat="1" x14ac:dyDescent="0.25">
      <c r="G171" s="14"/>
      <c r="H171" s="14"/>
      <c r="I171" s="14"/>
      <c r="O171" s="14"/>
      <c r="P171" s="14"/>
      <c r="Q171" s="14"/>
      <c r="R171" s="14"/>
      <c r="S171" s="14"/>
      <c r="T171" s="14"/>
      <c r="U171" s="14"/>
      <c r="V171" s="14"/>
      <c r="W171" s="14"/>
      <c r="X171" s="14"/>
      <c r="Y171" s="14"/>
      <c r="Z171" s="14"/>
      <c r="AA171" s="14"/>
      <c r="AB171" s="14"/>
      <c r="AC171" s="14"/>
      <c r="AD171" s="14"/>
    </row>
    <row r="172" spans="7:30" s="1" customFormat="1" x14ac:dyDescent="0.25">
      <c r="G172" s="14"/>
      <c r="H172" s="14"/>
      <c r="I172" s="14"/>
      <c r="O172" s="14"/>
      <c r="P172" s="14"/>
      <c r="Q172" s="14"/>
      <c r="R172" s="14"/>
      <c r="S172" s="14"/>
      <c r="T172" s="14"/>
      <c r="U172" s="14"/>
      <c r="V172" s="14"/>
      <c r="W172" s="14"/>
      <c r="X172" s="14"/>
      <c r="Y172" s="14"/>
      <c r="Z172" s="14"/>
      <c r="AA172" s="14"/>
      <c r="AB172" s="14"/>
      <c r="AC172" s="14"/>
      <c r="AD172" s="14"/>
    </row>
    <row r="173" spans="7:30" s="1" customFormat="1" x14ac:dyDescent="0.25">
      <c r="G173" s="14"/>
      <c r="H173" s="14"/>
      <c r="I173" s="14"/>
      <c r="O173" s="14"/>
      <c r="P173" s="14"/>
      <c r="Q173" s="14"/>
      <c r="R173" s="14"/>
      <c r="S173" s="14"/>
      <c r="T173" s="14"/>
      <c r="U173" s="14"/>
      <c r="V173" s="14"/>
      <c r="W173" s="14"/>
      <c r="X173" s="14"/>
      <c r="Y173" s="14"/>
      <c r="Z173" s="14"/>
      <c r="AA173" s="14"/>
      <c r="AB173" s="14"/>
      <c r="AC173" s="14"/>
      <c r="AD173" s="14"/>
    </row>
    <row r="174" spans="7:30" s="1" customFormat="1" x14ac:dyDescent="0.25">
      <c r="G174" s="14"/>
      <c r="H174" s="14"/>
      <c r="I174" s="14"/>
      <c r="O174" s="14"/>
      <c r="P174" s="14"/>
      <c r="Q174" s="14"/>
      <c r="R174" s="14"/>
      <c r="S174" s="14"/>
      <c r="T174" s="14"/>
      <c r="U174" s="14"/>
      <c r="V174" s="14"/>
      <c r="W174" s="14"/>
      <c r="X174" s="14"/>
      <c r="Y174" s="14"/>
      <c r="Z174" s="14"/>
      <c r="AA174" s="14"/>
      <c r="AB174" s="14"/>
      <c r="AC174" s="14"/>
      <c r="AD174" s="14"/>
    </row>
    <row r="175" spans="7:30" s="1" customFormat="1" x14ac:dyDescent="0.25">
      <c r="G175" s="14"/>
      <c r="H175" s="14"/>
      <c r="I175" s="14"/>
      <c r="O175" s="14"/>
      <c r="P175" s="14"/>
      <c r="Q175" s="14"/>
      <c r="R175" s="14"/>
      <c r="S175" s="14"/>
      <c r="T175" s="14"/>
      <c r="U175" s="14"/>
      <c r="V175" s="14"/>
      <c r="W175" s="14"/>
      <c r="X175" s="14"/>
      <c r="Y175" s="14"/>
      <c r="Z175" s="14"/>
      <c r="AA175" s="14"/>
      <c r="AB175" s="14"/>
      <c r="AC175" s="14"/>
      <c r="AD175" s="14"/>
    </row>
    <row r="176" spans="7:30" s="1" customFormat="1" x14ac:dyDescent="0.25">
      <c r="G176" s="14"/>
      <c r="H176" s="14"/>
      <c r="I176" s="14"/>
      <c r="O176" s="14"/>
      <c r="P176" s="14"/>
      <c r="Q176" s="14"/>
      <c r="R176" s="14"/>
      <c r="S176" s="14"/>
      <c r="T176" s="14"/>
      <c r="U176" s="14"/>
      <c r="V176" s="14"/>
      <c r="W176" s="14"/>
      <c r="X176" s="14"/>
      <c r="Y176" s="14"/>
      <c r="Z176" s="14"/>
      <c r="AA176" s="14"/>
      <c r="AB176" s="14"/>
      <c r="AC176" s="14"/>
      <c r="AD176" s="14"/>
    </row>
    <row r="177" spans="7:30" s="1" customFormat="1" x14ac:dyDescent="0.25">
      <c r="G177" s="14"/>
      <c r="H177" s="14"/>
      <c r="I177" s="14"/>
      <c r="O177" s="14"/>
      <c r="P177" s="14"/>
      <c r="Q177" s="14"/>
      <c r="R177" s="14"/>
      <c r="S177" s="14"/>
      <c r="T177" s="14"/>
      <c r="U177" s="14"/>
      <c r="V177" s="14"/>
      <c r="W177" s="14"/>
      <c r="X177" s="14"/>
      <c r="Y177" s="14"/>
      <c r="Z177" s="14"/>
      <c r="AA177" s="14"/>
      <c r="AB177" s="14"/>
      <c r="AC177" s="14"/>
      <c r="AD177" s="14"/>
    </row>
    <row r="178" spans="7:30" s="1" customFormat="1" x14ac:dyDescent="0.25">
      <c r="G178" s="14"/>
      <c r="H178" s="14"/>
      <c r="I178" s="14"/>
      <c r="O178" s="14"/>
      <c r="P178" s="14"/>
      <c r="Q178" s="14"/>
      <c r="R178" s="14"/>
      <c r="S178" s="14"/>
      <c r="T178" s="14"/>
      <c r="U178" s="14"/>
      <c r="V178" s="14"/>
      <c r="W178" s="14"/>
      <c r="X178" s="14"/>
      <c r="Y178" s="14"/>
      <c r="Z178" s="14"/>
      <c r="AA178" s="14"/>
      <c r="AB178" s="14"/>
      <c r="AC178" s="14"/>
      <c r="AD178" s="14"/>
    </row>
    <row r="179" spans="7:30" s="1" customFormat="1" x14ac:dyDescent="0.25">
      <c r="G179" s="14"/>
      <c r="H179" s="14"/>
      <c r="I179" s="14"/>
      <c r="O179" s="14"/>
      <c r="P179" s="14"/>
      <c r="Q179" s="14"/>
      <c r="R179" s="14"/>
      <c r="S179" s="14"/>
      <c r="T179" s="14"/>
      <c r="U179" s="14"/>
      <c r="V179" s="14"/>
      <c r="W179" s="14"/>
      <c r="X179" s="14"/>
      <c r="Y179" s="14"/>
      <c r="Z179" s="14"/>
      <c r="AA179" s="14"/>
      <c r="AB179" s="14"/>
      <c r="AC179" s="14"/>
      <c r="AD179" s="14"/>
    </row>
    <row r="180" spans="7:30" s="1" customFormat="1" x14ac:dyDescent="0.25">
      <c r="G180" s="14"/>
      <c r="H180" s="14"/>
      <c r="I180" s="14"/>
      <c r="O180" s="14"/>
      <c r="P180" s="14"/>
      <c r="Q180" s="14"/>
      <c r="R180" s="14"/>
      <c r="S180" s="14"/>
      <c r="T180" s="14"/>
      <c r="U180" s="14"/>
      <c r="V180" s="14"/>
      <c r="W180" s="14"/>
      <c r="X180" s="14"/>
      <c r="Y180" s="14"/>
      <c r="Z180" s="14"/>
      <c r="AA180" s="14"/>
      <c r="AB180" s="14"/>
      <c r="AC180" s="14"/>
      <c r="AD180" s="14"/>
    </row>
    <row r="181" spans="7:30" s="1" customFormat="1" x14ac:dyDescent="0.25">
      <c r="G181" s="14"/>
      <c r="H181" s="14"/>
      <c r="I181" s="14"/>
      <c r="O181" s="14"/>
      <c r="P181" s="14"/>
      <c r="Q181" s="14"/>
      <c r="R181" s="14"/>
      <c r="S181" s="14"/>
      <c r="T181" s="14"/>
      <c r="U181" s="14"/>
      <c r="V181" s="14"/>
      <c r="W181" s="14"/>
      <c r="X181" s="14"/>
      <c r="Y181" s="14"/>
      <c r="Z181" s="14"/>
      <c r="AA181" s="14"/>
      <c r="AB181" s="14"/>
      <c r="AC181" s="14"/>
      <c r="AD181" s="14"/>
    </row>
    <row r="182" spans="7:30" s="1" customFormat="1" x14ac:dyDescent="0.25">
      <c r="G182" s="14"/>
      <c r="H182" s="14"/>
      <c r="I182" s="14"/>
      <c r="O182" s="14"/>
      <c r="P182" s="14"/>
      <c r="Q182" s="14"/>
      <c r="R182" s="14"/>
      <c r="S182" s="14"/>
      <c r="T182" s="14"/>
      <c r="U182" s="14"/>
      <c r="V182" s="14"/>
      <c r="W182" s="14"/>
      <c r="X182" s="14"/>
      <c r="Y182" s="14"/>
      <c r="Z182" s="14"/>
      <c r="AA182" s="14"/>
      <c r="AB182" s="14"/>
      <c r="AC182" s="14"/>
      <c r="AD182" s="14"/>
    </row>
    <row r="183" spans="7:30" s="1" customFormat="1" x14ac:dyDescent="0.25">
      <c r="G183" s="14"/>
      <c r="H183" s="14"/>
      <c r="I183" s="14"/>
      <c r="O183" s="14"/>
      <c r="P183" s="14"/>
      <c r="Q183" s="14"/>
      <c r="R183" s="14"/>
      <c r="S183" s="14"/>
      <c r="T183" s="14"/>
      <c r="U183" s="14"/>
      <c r="V183" s="14"/>
      <c r="W183" s="14"/>
      <c r="X183" s="14"/>
      <c r="Y183" s="14"/>
      <c r="Z183" s="14"/>
      <c r="AA183" s="14"/>
      <c r="AB183" s="14"/>
      <c r="AC183" s="14"/>
      <c r="AD183" s="14"/>
    </row>
    <row r="184" spans="7:30" s="1" customFormat="1" x14ac:dyDescent="0.25">
      <c r="G184" s="14"/>
      <c r="H184" s="14"/>
      <c r="I184" s="14"/>
      <c r="O184" s="14"/>
      <c r="P184" s="14"/>
      <c r="Q184" s="14"/>
      <c r="R184" s="14"/>
      <c r="S184" s="14"/>
      <c r="T184" s="14"/>
      <c r="U184" s="14"/>
      <c r="V184" s="14"/>
      <c r="W184" s="14"/>
      <c r="X184" s="14"/>
      <c r="Y184" s="14"/>
      <c r="Z184" s="14"/>
      <c r="AA184" s="14"/>
      <c r="AB184" s="14"/>
      <c r="AC184" s="14"/>
      <c r="AD184" s="14"/>
    </row>
    <row r="185" spans="7:30" s="1" customFormat="1" x14ac:dyDescent="0.25">
      <c r="G185" s="14"/>
      <c r="H185" s="14"/>
      <c r="I185" s="14"/>
      <c r="O185" s="14"/>
      <c r="P185" s="14"/>
      <c r="Q185" s="14"/>
      <c r="R185" s="14"/>
      <c r="S185" s="14"/>
      <c r="T185" s="14"/>
      <c r="U185" s="14"/>
      <c r="V185" s="14"/>
      <c r="W185" s="14"/>
      <c r="X185" s="14"/>
      <c r="Y185" s="14"/>
      <c r="Z185" s="14"/>
      <c r="AA185" s="14"/>
      <c r="AB185" s="14"/>
      <c r="AC185" s="14"/>
      <c r="AD185" s="14"/>
    </row>
    <row r="186" spans="7:30" s="1" customFormat="1" x14ac:dyDescent="0.25">
      <c r="G186" s="14"/>
      <c r="H186" s="14"/>
      <c r="I186" s="14"/>
      <c r="O186" s="14"/>
      <c r="P186" s="14"/>
      <c r="Q186" s="14"/>
      <c r="R186" s="14"/>
      <c r="S186" s="14"/>
      <c r="T186" s="14"/>
      <c r="U186" s="14"/>
      <c r="V186" s="14"/>
      <c r="W186" s="14"/>
      <c r="X186" s="14"/>
      <c r="Y186" s="14"/>
      <c r="Z186" s="14"/>
      <c r="AA186" s="14"/>
      <c r="AB186" s="14"/>
      <c r="AC186" s="14"/>
      <c r="AD186" s="14"/>
    </row>
  </sheetData>
  <sheetProtection algorithmName="SHA-512" hashValue="NZ2nGofnNqO7L6clwrSawwGbLQpv3j+FC+d9hlxaxJjxI4nPMXugIfXaSXrmcVunYARMb3/UHVJDHzUCg9IUJA==" saltValue="NVWBGsUEbARGAzyicTDGHQ==" spinCount="100000" sheet="1" formatCells="0"/>
  <sortState xmlns:xlrd2="http://schemas.microsoft.com/office/spreadsheetml/2017/richdata2" ref="AF82:AF86">
    <sortCondition ref="AF82"/>
  </sortState>
  <dataConsolidate/>
  <mergeCells count="5">
    <mergeCell ref="B46:F46"/>
    <mergeCell ref="B49:F49"/>
    <mergeCell ref="B40:F40"/>
    <mergeCell ref="B35:C35"/>
    <mergeCell ref="E35:F35"/>
  </mergeCells>
  <phoneticPr fontId="22" type="noConversion"/>
  <conditionalFormatting sqref="E17 E16:F16">
    <cfRule type="expression" dxfId="1759" priority="600">
      <formula>$F$5&lt;&gt;$L$5</formula>
    </cfRule>
  </conditionalFormatting>
  <conditionalFormatting sqref="E13:F13">
    <cfRule type="expression" dxfId="1758" priority="603">
      <formula>$F$5&lt;&gt;$L$9</formula>
    </cfRule>
  </conditionalFormatting>
  <conditionalFormatting sqref="E15:F15">
    <cfRule type="expression" dxfId="1757" priority="2">
      <formula>$I15=0</formula>
    </cfRule>
  </conditionalFormatting>
  <conditionalFormatting sqref="E16:F16">
    <cfRule type="expression" dxfId="1756" priority="11">
      <formula>$F$5=$AE$5</formula>
    </cfRule>
  </conditionalFormatting>
  <conditionalFormatting sqref="E17:F17">
    <cfRule type="expression" dxfId="1755" priority="10">
      <formula>$F$5=$AE$5</formula>
    </cfRule>
    <cfRule type="expression" dxfId="1754" priority="598">
      <formula>$F$5&lt;&gt;$L$5</formula>
    </cfRule>
  </conditionalFormatting>
  <conditionalFormatting sqref="E18:F28">
    <cfRule type="expression" dxfId="1753" priority="6">
      <formula>$I18=0</formula>
    </cfRule>
  </conditionalFormatting>
  <conditionalFormatting sqref="E20:F20 E22:F22">
    <cfRule type="expression" dxfId="1752" priority="9">
      <formula>$F$5=$AE$5</formula>
    </cfRule>
  </conditionalFormatting>
  <conditionalFormatting sqref="E21:F21">
    <cfRule type="expression" dxfId="1751" priority="20">
      <formula>$H$21=0</formula>
    </cfRule>
  </conditionalFormatting>
  <conditionalFormatting sqref="F15">
    <cfRule type="expression" dxfId="1750" priority="1">
      <formula>$I15=1</formula>
    </cfRule>
  </conditionalFormatting>
  <conditionalFormatting sqref="F18:F28">
    <cfRule type="expression" dxfId="1749" priority="5">
      <formula>$I18=1</formula>
    </cfRule>
  </conditionalFormatting>
  <dataValidations xWindow="982" yWindow="379" count="29">
    <dataValidation type="list" allowBlank="1" showInputMessage="1" showErrorMessage="1" sqref="P98" xr:uid="{00000000-0002-0000-0100-000000000000}">
      <formula1>$P$96:$P$97</formula1>
    </dataValidation>
    <dataValidation allowBlank="1" showErrorMessage="1" sqref="F12:F13 C6 C14:C17 C23:C32 E34" xr:uid="{00000000-0002-0000-0100-000001000000}"/>
    <dataValidation allowBlank="1" showInputMessage="1" showErrorMessage="1" prompt="This is the building address that will appear on the BREEAM certificate and GreenBook Live listing." sqref="B16" xr:uid="{00000000-0002-0000-0100-000002000000}"/>
    <dataValidation allowBlank="1" showInputMessage="1" showErrorMessage="1" prompt="This is a unique reference number supplied by BRE at project registration. If you wish to use this tool to begin an assessment but do not have a reference number, then enter &quot;to be confirmed&quot; in this field (and enter the reference number at a later date)." sqref="C5" xr:uid="{00000000-0002-0000-0100-000003000000}"/>
    <dataValidation allowBlank="1" showInputMessage="1" showErrorMessage="1" promptTitle="Building name" prompt="If you are unable to confirm this information at present, then enter &quot;to be confirmed&quot; in this field (and confirm at a later date)" sqref="C13" xr:uid="{00000000-0002-0000-0100-000004000000}"/>
    <dataValidation type="list" allowBlank="1" showErrorMessage="1" error="Incorrect entry, please re-try." sqref="R80" xr:uid="{00000000-0002-0000-0100-000005000000}">
      <formula1>ADAS01</formula1>
    </dataValidation>
    <dataValidation allowBlank="1" showInputMessage="1" showErrorMessage="1" error="Invalid data entry, please retry." prompt="This information will determine, in part, the applicability of BREEAM issue Ene07 and the number of credits available for BREEAM issue Hea02, when the criteria have been finalised for laboratory facilities." sqref="P43" xr:uid="{00000000-0002-0000-0100-000006000000}"/>
    <dataValidation type="list" allowBlank="1" showErrorMessage="1" error="Invalid data entry, please retry." sqref="F21" xr:uid="{00000000-0002-0000-0100-000007000000}">
      <formula1>AD_Labsize_list</formula1>
    </dataValidation>
    <dataValidation type="list" showErrorMessage="1" error="Invalid data entry, please retry." sqref="F16:F17" xr:uid="{00000000-0002-0000-0100-000009000000}">
      <formula1>AD_YesNo</formula1>
    </dataValidation>
    <dataValidation type="list" allowBlank="1" showErrorMessage="1" error="Invalid data entry, please retry." sqref="F18:F19 P69 F22:F24 F26:F28" xr:uid="{00000000-0002-0000-0100-00000A000000}">
      <formula1>AD_YesNo</formula1>
    </dataValidation>
    <dataValidation type="list" allowBlank="1" showInputMessage="1" showErrorMessage="1" sqref="P64" xr:uid="{00000000-0002-0000-0100-00000B000000}">
      <formula1>TRA01_BuildType</formula1>
    </dataValidation>
    <dataValidation allowBlank="1" showInputMessage="1" showErrorMessage="1" prompt="Insert an electornic signature here." sqref="C61" xr:uid="{00000000-0002-0000-0100-00000C000000}"/>
    <dataValidation type="list" allowBlank="1" showInputMessage="1" showErrorMessage="1" error="Invalid data entry, please re-try" sqref="R81" xr:uid="{00000000-0002-0000-0100-00000D000000}">
      <formula1>AD_BREEAM_stage</formula1>
    </dataValidation>
    <dataValidation allowBlank="1" showInputMessage="1" showErrorMessage="1" error="Invalid data entry, please retry." sqref="F30:F32" xr:uid="{00000000-0002-0000-0100-00000E000000}"/>
    <dataValidation type="list" allowBlank="1" showInputMessage="1" showErrorMessage="1" error="Invalid data entry, please re-try" sqref="R82" xr:uid="{00000000-0002-0000-0100-000010000000}">
      <formula1>$Q$8</formula1>
    </dataValidation>
    <dataValidation allowBlank="1" showErrorMessage="1" prompt=" " sqref="F11" xr:uid="{00000000-0002-0000-0100-000011000000}"/>
    <dataValidation allowBlank="1" showInputMessage="1" showErrorMessage="1" prompt="Bruksareal (BRA) er arealet innenfor omsluttede vegger, ref NS 3940:2012" sqref="E11" xr:uid="{00000000-0002-0000-0100-000012000000}"/>
    <dataValidation allowBlank="1" showInputMessage="1" showErrorMessage="1" prompt="Bruttoareal (BTA) er arealet begrenset av ytterveggens utside eller midt i delevegg, ref NS 3940:2012" sqref="E12" xr:uid="{00000000-0002-0000-0100-000013000000}"/>
    <dataValidation allowBlank="1" showInputMessage="1" showErrorMessage="1" prompt="Det er ingen definisjon av BRAs (salgbart bruksareal) iht. NS 3940:2012. BRAs er den enkelte leilighets BRA, det vil si areal innenfor omsluttende vegger i leiligheten. " sqref="E13" xr:uid="{00000000-0002-0000-0100-000014000000}"/>
    <dataValidation type="list" allowBlank="1" showErrorMessage="1" error="Please review, your data entry is invalid." sqref="F6" xr:uid="{00000000-0002-0000-0100-000015000000}">
      <formula1>$O$5:$O$13</formula1>
    </dataValidation>
    <dataValidation type="list" allowBlank="1" showInputMessage="1" showErrorMessage="1" error="Invalid data entry, please retry." prompt="This information determines the applicability of BREEAM issue Ene02a." sqref="G77:I77 Q42" xr:uid="{00000000-0002-0000-0100-000017000000}">
      <formula1>AD_YesNo</formula1>
    </dataValidation>
    <dataValidation allowBlank="1" showErrorMessage="1" prompt="Please state the company name." sqref="B35" xr:uid="{00000000-0002-0000-0100-000019000000}"/>
    <dataValidation allowBlank="1" showInputMessage="1" showErrorMessage="1" promptTitle="Building description" prompt="Include a brief description og the building (layout, number of floors, etc.). Indicate what is included and if there are any areas excluded from the assessment." sqref="E35:F35" xr:uid="{00000000-0002-0000-0100-00001B000000}"/>
    <dataValidation type="list" allowBlank="1" showErrorMessage="1" error="Please review, your data entry is invalid." sqref="F5" xr:uid="{00000000-0002-0000-0100-00000F000000}">
      <formula1>$L$5:$L$17</formula1>
    </dataValidation>
    <dataValidation type="list" allowBlank="1" showErrorMessage="1" error="Invalid data entry, please retry." sqref="F20" xr:uid="{7FC0A853-413C-49C1-B2DE-3EAE9BFE3F89}">
      <formula1>$Q$51:$Q$54</formula1>
    </dataValidation>
    <dataValidation type="list" allowBlank="1" showErrorMessage="1" error="Invalid data entry, please retry." sqref="F25" xr:uid="{10067917-375C-485B-8027-3530AE81B846}">
      <formula1>$J$30:$J$31</formula1>
    </dataValidation>
    <dataValidation type="list" allowBlank="1" showErrorMessage="1" error="Incorrect entry, please retry." sqref="Q17" xr:uid="{00000000-0002-0000-0100-000016000000}">
      <formula1>$Q$11:$Q$13</formula1>
    </dataValidation>
    <dataValidation type="list" allowBlank="1" showErrorMessage="1" error="Invalid data entry, please retry." sqref="F15" xr:uid="{564102FE-95DE-4AC4-BF96-683EC33772D0}">
      <formula1>$R$22:$R$23</formula1>
    </dataValidation>
    <dataValidation type="list" allowBlank="1" showInputMessage="1" showErrorMessage="1" sqref="F7" xr:uid="{15ABCB03-5731-4FFE-9EEF-4CD143A54E86}">
      <formula1>$Q$11:$Q$16</formula1>
    </dataValidation>
  </dataValidations>
  <printOptions horizontalCentered="1"/>
  <pageMargins left="0.23622047244094491" right="0.23622047244094491" top="0.32" bottom="0.41" header="0.31496062992125984" footer="0.31496062992125984"/>
  <pageSetup paperSize="9" scale="52" orientation="landscape" errors="blank" r:id="rId1"/>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25" id="{240F26BE-6750-453C-920D-0E16B2A89131}">
            <xm:f>'Manuell filtrering og justering'!$I$2='Manuell filtrering og justering'!$J$2</xm:f>
            <x14:dxf>
              <border>
                <top style="thin">
                  <color theme="0"/>
                </top>
                <vertical/>
                <horizontal/>
              </border>
            </x14:dxf>
          </x14:cfRule>
          <xm:sqref>B17</xm:sqref>
        </x14:conditionalFormatting>
        <x14:conditionalFormatting xmlns:xm="http://schemas.microsoft.com/office/excel/2006/main">
          <x14:cfRule type="expression" priority="24" id="{15BD1200-67FE-42E0-955A-22C5BFC5B389}">
            <xm:f>'Manuell filtrering og justering'!$I$2='Manuell filtrering og justering'!$J$2</xm:f>
            <x14:dxf>
              <border>
                <top style="thin">
                  <color auto="1"/>
                </top>
                <vertical/>
                <horizontal/>
              </border>
            </x14:dxf>
          </x14:cfRule>
          <xm:sqref>C17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G385"/>
  <sheetViews>
    <sheetView zoomScaleNormal="100" zoomScalePageLayoutView="30" workbookViewId="0">
      <pane ySplit="9" topLeftCell="A10" activePane="bottomLeft" state="frozen"/>
      <selection pane="bottomLeft" activeCell="H12" sqref="H12"/>
    </sheetView>
  </sheetViews>
  <sheetFormatPr baseColWidth="10" defaultColWidth="9.140625" defaultRowHeight="15" x14ac:dyDescent="0.25"/>
  <cols>
    <col min="1" max="1" width="3.28515625" style="16" customWidth="1"/>
    <col min="2" max="2" width="3.42578125" style="16" customWidth="1"/>
    <col min="3" max="3" width="7.85546875" style="16" customWidth="1"/>
    <col min="4" max="4" width="9.5703125" style="58" hidden="1" customWidth="1"/>
    <col min="5" max="5" width="8.7109375" style="1087" customWidth="1"/>
    <col min="6" max="6" width="74.140625" style="1" customWidth="1"/>
    <col min="7" max="7" width="9.42578125" style="1" customWidth="1"/>
    <col min="8" max="8" width="7.42578125" style="1" customWidth="1"/>
    <col min="9" max="9" width="9.5703125" style="1" customWidth="1"/>
    <col min="10" max="10" width="13.140625" style="1" customWidth="1"/>
    <col min="11" max="11" width="8.140625" style="1" customWidth="1"/>
    <col min="12" max="12" width="5.140625" style="1" customWidth="1"/>
    <col min="13" max="13" width="30" style="657" customWidth="1"/>
    <col min="14" max="14" width="1" style="106" customWidth="1"/>
    <col min="15" max="15" width="8.5703125" style="660" customWidth="1"/>
    <col min="16" max="16" width="9.5703125" style="660" customWidth="1"/>
    <col min="17" max="17" width="12.42578125" style="660" bestFit="1" customWidth="1"/>
    <col min="18" max="18" width="9" style="660" customWidth="1"/>
    <col min="19" max="19" width="4.85546875" style="660" customWidth="1"/>
    <col min="20" max="20" width="24.28515625" style="660" customWidth="1"/>
    <col min="21" max="21" width="1" style="117" customWidth="1"/>
    <col min="22" max="23" width="9.28515625" style="226" customWidth="1"/>
    <col min="24" max="24" width="12.42578125" style="226" bestFit="1" customWidth="1"/>
    <col min="25" max="25" width="7.7109375" style="226" customWidth="1"/>
    <col min="26" max="26" width="4.85546875" style="226" customWidth="1"/>
    <col min="27" max="27" width="26.7109375" style="660" customWidth="1"/>
    <col min="28" max="28" width="3.5703125" style="20" hidden="1" customWidth="1"/>
    <col min="29" max="29" width="21.42578125" style="20" hidden="1" customWidth="1"/>
    <col min="30" max="30" width="6.42578125" style="116" hidden="1" customWidth="1"/>
    <col min="31" max="31" width="15.7109375" style="225" hidden="1" customWidth="1"/>
    <col min="32" max="33" width="9.140625" style="225" hidden="1" customWidth="1"/>
    <col min="34" max="35" width="9.140625" style="1" hidden="1" customWidth="1"/>
    <col min="36" max="36" width="7.140625" style="1" hidden="1" customWidth="1"/>
    <col min="37" max="37" width="43" style="1" hidden="1" customWidth="1"/>
    <col min="38" max="38" width="11.85546875" style="1" hidden="1" customWidth="1"/>
    <col min="39" max="39" width="27" style="1" hidden="1" customWidth="1"/>
    <col min="40" max="43" width="8.5703125" style="1" hidden="1" customWidth="1"/>
    <col min="44" max="52" width="9.140625" style="1" hidden="1" customWidth="1"/>
    <col min="53" max="53" width="7" style="1" hidden="1" customWidth="1"/>
    <col min="54" max="54" width="9.140625" style="1" hidden="1" customWidth="1"/>
    <col min="55" max="87" width="9.140625" style="1" customWidth="1"/>
    <col min="88" max="16384" width="9.140625" style="1"/>
  </cols>
  <sheetData>
    <row r="1" spans="1:59" ht="42" customHeight="1" x14ac:dyDescent="0.35">
      <c r="A1" s="885"/>
      <c r="B1" s="885"/>
      <c r="C1" s="885"/>
      <c r="D1" s="636"/>
      <c r="E1" s="1086"/>
      <c r="F1" s="231" t="s">
        <v>1162</v>
      </c>
      <c r="G1" s="232"/>
      <c r="H1" s="232"/>
      <c r="I1" s="231"/>
      <c r="J1" s="232"/>
      <c r="K1" s="232"/>
      <c r="L1" s="232"/>
      <c r="M1" s="957"/>
      <c r="N1" s="232"/>
      <c r="O1" s="232"/>
      <c r="P1" s="232"/>
      <c r="Q1" s="232"/>
      <c r="R1" s="232"/>
      <c r="S1" s="232"/>
      <c r="T1" s="232"/>
      <c r="U1" s="232"/>
      <c r="V1" s="232"/>
      <c r="W1" s="232"/>
      <c r="X1" s="232"/>
      <c r="Y1" s="232"/>
      <c r="Z1" s="232"/>
      <c r="AA1" s="553" t="str">
        <f>IF('Manuell filtrering og justering'!I2='Manuell filtrering og justering'!J2,"Bespoke","")</f>
        <v/>
      </c>
      <c r="AB1" s="232"/>
      <c r="AC1" s="232"/>
      <c r="AD1" s="232"/>
      <c r="AE1" s="1"/>
      <c r="AF1" s="1"/>
      <c r="AG1" s="1"/>
      <c r="AJ1" s="581" t="s">
        <v>425</v>
      </c>
      <c r="AK1" s="580"/>
      <c r="AL1" s="580"/>
      <c r="AM1" s="580"/>
      <c r="AN1" s="580"/>
      <c r="AO1" s="580"/>
      <c r="AP1" s="580"/>
      <c r="AQ1" s="580"/>
      <c r="AR1" s="580"/>
      <c r="AS1" s="580"/>
      <c r="AT1" s="580"/>
      <c r="AU1" s="580"/>
      <c r="AV1" s="580"/>
      <c r="AW1" s="580"/>
      <c r="AX1" s="580"/>
      <c r="AY1" s="580"/>
      <c r="AZ1" s="580"/>
      <c r="BA1" s="580"/>
      <c r="BB1" s="580"/>
    </row>
    <row r="2" spans="1:59" s="58" customFormat="1" ht="6" customHeight="1" x14ac:dyDescent="0.25">
      <c r="A2" s="16"/>
      <c r="B2" s="16"/>
      <c r="C2" s="16"/>
      <c r="E2" s="1087"/>
      <c r="F2" s="88">
        <v>1</v>
      </c>
      <c r="G2" s="89">
        <v>2</v>
      </c>
      <c r="H2" s="88">
        <v>3</v>
      </c>
      <c r="I2" s="89">
        <v>4</v>
      </c>
      <c r="J2" s="88">
        <v>5</v>
      </c>
      <c r="K2" s="89">
        <v>6</v>
      </c>
      <c r="L2" s="88">
        <v>7</v>
      </c>
      <c r="M2" s="89">
        <v>8</v>
      </c>
      <c r="N2" s="88">
        <v>9</v>
      </c>
      <c r="O2" s="89">
        <v>10</v>
      </c>
      <c r="P2" s="88">
        <v>11</v>
      </c>
      <c r="Q2" s="89">
        <v>12</v>
      </c>
      <c r="R2" s="88">
        <v>13</v>
      </c>
      <c r="S2" s="89">
        <v>14</v>
      </c>
      <c r="T2" s="88">
        <v>15</v>
      </c>
      <c r="U2" s="89">
        <v>16</v>
      </c>
      <c r="V2" s="88">
        <v>17</v>
      </c>
      <c r="W2" s="89">
        <v>18</v>
      </c>
      <c r="X2" s="88">
        <v>19</v>
      </c>
      <c r="Y2" s="89">
        <v>20</v>
      </c>
      <c r="Z2" s="88">
        <v>21</v>
      </c>
      <c r="AA2" s="89">
        <v>22</v>
      </c>
      <c r="AB2" s="88">
        <v>23</v>
      </c>
      <c r="AC2" s="89">
        <v>24</v>
      </c>
      <c r="AD2" s="88">
        <v>25</v>
      </c>
      <c r="AE2" s="89">
        <v>26</v>
      </c>
      <c r="AF2" s="88">
        <v>27</v>
      </c>
      <c r="AG2" s="89">
        <v>28</v>
      </c>
      <c r="AH2" s="88">
        <v>29</v>
      </c>
      <c r="AI2" s="89">
        <v>30</v>
      </c>
      <c r="AJ2" s="88">
        <v>31</v>
      </c>
      <c r="AK2" s="89">
        <v>32</v>
      </c>
      <c r="AL2" s="88">
        <v>33</v>
      </c>
      <c r="AM2" s="89">
        <v>34</v>
      </c>
      <c r="AN2" s="88">
        <v>35</v>
      </c>
      <c r="AO2" s="89">
        <v>36</v>
      </c>
      <c r="AP2" s="88">
        <v>37</v>
      </c>
      <c r="AQ2" s="89">
        <v>38</v>
      </c>
      <c r="AR2" s="88">
        <v>39</v>
      </c>
      <c r="AS2" s="89">
        <v>40</v>
      </c>
      <c r="AT2" s="88">
        <v>41</v>
      </c>
      <c r="AU2" s="89">
        <v>42</v>
      </c>
      <c r="AV2" s="88">
        <v>43</v>
      </c>
      <c r="AW2" s="89">
        <v>44</v>
      </c>
      <c r="AX2" s="88">
        <v>45</v>
      </c>
      <c r="AY2" s="89">
        <v>46</v>
      </c>
      <c r="AZ2" s="88">
        <v>47</v>
      </c>
      <c r="BA2" s="89">
        <v>48</v>
      </c>
      <c r="BB2" s="88">
        <v>49</v>
      </c>
    </row>
    <row r="3" spans="1:59" ht="20.25" customHeight="1" x14ac:dyDescent="0.4">
      <c r="F3" s="246"/>
      <c r="G3" s="90"/>
      <c r="H3" s="1113" t="s">
        <v>215</v>
      </c>
      <c r="I3" s="1114"/>
      <c r="J3" s="1114"/>
      <c r="K3" s="1114"/>
      <c r="L3" s="1114"/>
      <c r="M3" s="639"/>
      <c r="N3" s="698"/>
      <c r="O3" s="1113" t="s">
        <v>220</v>
      </c>
      <c r="P3" s="1114"/>
      <c r="Q3" s="1114"/>
      <c r="R3" s="1114"/>
      <c r="S3" s="1114"/>
      <c r="T3" s="1115"/>
      <c r="U3" s="587"/>
      <c r="V3" s="1113" t="s">
        <v>221</v>
      </c>
      <c r="W3" s="1114"/>
      <c r="X3" s="1114"/>
      <c r="Y3" s="1114"/>
      <c r="Z3" s="1114"/>
      <c r="AA3" s="1115"/>
      <c r="AB3" s="587"/>
      <c r="AC3" s="594" t="s">
        <v>423</v>
      </c>
      <c r="AD3" s="554"/>
      <c r="AE3" s="554"/>
      <c r="AF3" s="554"/>
      <c r="AG3" s="555"/>
      <c r="AK3" s="1" t="s">
        <v>402</v>
      </c>
      <c r="AL3" s="1" t="str">
        <f>ADPT</f>
        <v>New Construction (fully fitted)</v>
      </c>
    </row>
    <row r="4" spans="1:59" ht="15" customHeight="1" x14ac:dyDescent="0.25">
      <c r="F4" s="91" t="s">
        <v>20</v>
      </c>
      <c r="G4" s="87"/>
      <c r="H4" s="92" t="s">
        <v>312</v>
      </c>
      <c r="I4" s="93"/>
      <c r="J4" s="858"/>
      <c r="K4" s="858"/>
      <c r="L4" s="859"/>
      <c r="M4" s="94" t="str">
        <f>BP_BREEAMRating</f>
        <v>Unclassified</v>
      </c>
      <c r="N4" s="640"/>
      <c r="O4" s="807" t="str">
        <f>IF(T8=Poeng!D277,Poeng!E277,Poeng!F277)</f>
        <v>Indicative BREEAM-NOR rating</v>
      </c>
      <c r="P4" s="699"/>
      <c r="Q4" s="699"/>
      <c r="R4" s="699"/>
      <c r="S4" s="699"/>
      <c r="T4" s="700" t="str">
        <f>IF(T8=AD_no,"",Poeng!BH264)</f>
        <v>Unclassified</v>
      </c>
      <c r="U4" s="76"/>
      <c r="V4" s="809" t="str">
        <f>IF(AA8=Poeng!D277,Poeng!E278,Poeng!F278)</f>
        <v>Indicative BREEAM-NOR rating</v>
      </c>
      <c r="W4" s="701"/>
      <c r="X4" s="701"/>
      <c r="Y4" s="701"/>
      <c r="Z4" s="701"/>
      <c r="AA4" s="700" t="str">
        <f>IF(AA8=AD_no,"",Poeng!BK264)</f>
        <v>Unclassified</v>
      </c>
      <c r="AB4" s="87"/>
      <c r="AC4" s="1116" t="s">
        <v>459</v>
      </c>
      <c r="AD4" s="20"/>
      <c r="AE4" s="15"/>
      <c r="AF4" s="15"/>
      <c r="AG4" s="15"/>
      <c r="AH4" s="15"/>
      <c r="AK4" s="40" t="str">
        <f>IF(OR(AL3=AL4,AL3=AL5),ais_ja,ais_nei)</f>
        <v>Nei</v>
      </c>
      <c r="AL4" s="1" t="str">
        <f>ADPT02</f>
        <v>New Construction (shell only)</v>
      </c>
      <c r="AV4" s="17"/>
      <c r="AW4" s="17"/>
      <c r="AX4" s="17"/>
      <c r="AY4" s="17"/>
    </row>
    <row r="5" spans="1:59" ht="15" customHeight="1" x14ac:dyDescent="0.25">
      <c r="F5" s="95" t="str">
        <f>IF(ISBLANK(ADBN),"",ADBN)</f>
        <v/>
      </c>
      <c r="G5" s="87"/>
      <c r="H5" s="96" t="s">
        <v>84</v>
      </c>
      <c r="I5" s="97"/>
      <c r="J5" s="860"/>
      <c r="K5" s="860"/>
      <c r="L5" s="98"/>
      <c r="M5" s="235">
        <f>Score_Initial</f>
        <v>0</v>
      </c>
      <c r="N5" s="640"/>
      <c r="O5" s="808" t="s">
        <v>84</v>
      </c>
      <c r="P5" s="702"/>
      <c r="Q5" s="702"/>
      <c r="R5" s="702"/>
      <c r="S5" s="702"/>
      <c r="T5" s="703">
        <f>IF(T8=AD_no,"",Score_design)</f>
        <v>0</v>
      </c>
      <c r="U5" s="76"/>
      <c r="V5" s="810" t="s">
        <v>84</v>
      </c>
      <c r="W5" s="704"/>
      <c r="X5" s="704"/>
      <c r="Y5" s="704"/>
      <c r="Z5" s="704"/>
      <c r="AA5" s="703">
        <f>IF(AA8=AD_no,"",Score_const)</f>
        <v>0</v>
      </c>
      <c r="AB5" s="87"/>
      <c r="AC5" s="1117"/>
      <c r="AD5" s="20"/>
      <c r="AE5" s="237"/>
      <c r="AF5" s="237"/>
      <c r="AG5" s="237"/>
      <c r="AH5" s="237"/>
      <c r="AL5" s="559" t="str">
        <f>ADPT04</f>
        <v>Major Refurbishment (shell and core)</v>
      </c>
    </row>
    <row r="6" spans="1:59" ht="15" customHeight="1" x14ac:dyDescent="0.25">
      <c r="F6" s="951" t="str">
        <f>"Pre-Assessment Estimator Version: "&amp;TVC_current_version</f>
        <v>Pre-Assessment Estimator Version: 1.02</v>
      </c>
      <c r="G6" s="87"/>
      <c r="H6" s="96" t="s">
        <v>79</v>
      </c>
      <c r="I6" s="97"/>
      <c r="J6" s="860"/>
      <c r="K6" s="860"/>
      <c r="L6" s="98"/>
      <c r="M6" s="99" t="str">
        <f>Poeng!BE258</f>
        <v>Unclassified &lt;30%</v>
      </c>
      <c r="N6" s="640"/>
      <c r="O6" s="808" t="s">
        <v>79</v>
      </c>
      <c r="P6" s="702"/>
      <c r="Q6" s="702"/>
      <c r="R6" s="702"/>
      <c r="S6" s="702"/>
      <c r="T6" s="705" t="str">
        <f>IF(T8=AD_no,"",Poeng!BH258)</f>
        <v>Unclassified &lt;30%</v>
      </c>
      <c r="U6" s="76"/>
      <c r="V6" s="810" t="s">
        <v>79</v>
      </c>
      <c r="W6" s="704"/>
      <c r="X6" s="704"/>
      <c r="Y6" s="704"/>
      <c r="Z6" s="704"/>
      <c r="AA6" s="705" t="str">
        <f>IF(AA8=AD_no,"",Poeng!BK258)</f>
        <v>Unclassified &lt;30%</v>
      </c>
      <c r="AB6" s="87"/>
      <c r="AC6" s="1117"/>
      <c r="AD6" s="20"/>
      <c r="AE6" s="237"/>
      <c r="AF6" s="237"/>
      <c r="AG6" s="237"/>
      <c r="AH6" s="237"/>
      <c r="AK6" s="1" t="s">
        <v>408</v>
      </c>
      <c r="AL6"/>
      <c r="AM6"/>
      <c r="AN6"/>
      <c r="AO6"/>
      <c r="AP6"/>
      <c r="AQ6"/>
      <c r="AR6" s="20"/>
      <c r="AS6" s="20"/>
      <c r="AT6" s="20"/>
      <c r="AU6" s="20"/>
      <c r="AV6" s="20"/>
      <c r="AW6" s="20"/>
      <c r="AX6" s="20"/>
      <c r="AY6" s="20"/>
      <c r="AZ6" s="20"/>
      <c r="BA6" s="20"/>
      <c r="BB6" s="20"/>
      <c r="BC6" s="20"/>
      <c r="BD6" s="20"/>
      <c r="BE6" s="359"/>
      <c r="BF6" s="359"/>
      <c r="BG6" s="359"/>
    </row>
    <row r="7" spans="1:59" ht="15" customHeight="1" thickBot="1" x14ac:dyDescent="0.3">
      <c r="F7" s="95" t="str">
        <f>ADPT</f>
        <v>New Construction (fully fitted)</v>
      </c>
      <c r="G7" s="87"/>
      <c r="H7" s="948" t="s">
        <v>970</v>
      </c>
      <c r="I7" s="949"/>
      <c r="J7" s="949"/>
      <c r="K7" s="949"/>
      <c r="L7" s="949"/>
      <c r="M7" s="950" t="str">
        <f>Poeng!BR258</f>
        <v>No</v>
      </c>
      <c r="N7" s="640"/>
      <c r="O7" s="808" t="str">
        <f>H7</f>
        <v xml:space="preserve">Requirements for EU taxonomy </v>
      </c>
      <c r="P7" s="702"/>
      <c r="Q7" s="702"/>
      <c r="R7" s="702"/>
      <c r="S7" s="702"/>
      <c r="T7" s="705" t="str">
        <f>IF(T8=AD_no,"",Poeng!BS258)</f>
        <v>No</v>
      </c>
      <c r="U7" s="76"/>
      <c r="V7" s="810" t="str">
        <f>H7</f>
        <v xml:space="preserve">Requirements for EU taxonomy </v>
      </c>
      <c r="W7" s="704"/>
      <c r="X7" s="704"/>
      <c r="Y7" s="704"/>
      <c r="Z7" s="704"/>
      <c r="AA7" s="705" t="str">
        <f>IF(AA8=AD_no,"",Poeng!BT258)</f>
        <v>No</v>
      </c>
      <c r="AB7" s="87"/>
      <c r="AC7" s="1117"/>
      <c r="AD7" s="20"/>
      <c r="AE7" s="237"/>
      <c r="AF7" s="237"/>
      <c r="AG7" s="237"/>
      <c r="AH7" s="237"/>
      <c r="AL7"/>
      <c r="AM7"/>
      <c r="AN7"/>
      <c r="AO7"/>
      <c r="AP7"/>
      <c r="AQ7"/>
      <c r="AR7" s="20"/>
      <c r="AS7" s="20"/>
      <c r="AT7" s="20"/>
      <c r="AU7" s="20"/>
      <c r="AV7" s="20"/>
      <c r="AW7" s="20"/>
      <c r="AX7" s="20"/>
      <c r="AY7" s="20"/>
      <c r="AZ7" s="20"/>
      <c r="BA7" s="20"/>
      <c r="BB7" s="20"/>
      <c r="BC7" s="20"/>
      <c r="BD7" s="20"/>
      <c r="BE7" s="359"/>
      <c r="BF7" s="359"/>
      <c r="BG7" s="359"/>
    </row>
    <row r="8" spans="1:59" ht="15" customHeight="1" x14ac:dyDescent="0.25">
      <c r="F8" s="952" t="str">
        <f>IF(OR(Poeng!BF264=1,Poeng!BI264=1,Poeng!BL264=1),Poeng!AX269,"")</f>
        <v/>
      </c>
      <c r="G8" s="87"/>
      <c r="H8" s="100"/>
      <c r="I8" s="87"/>
      <c r="J8" s="20"/>
      <c r="K8" s="20"/>
      <c r="L8" s="20"/>
      <c r="M8" s="806"/>
      <c r="N8" s="640"/>
      <c r="O8" s="808" t="s">
        <v>301</v>
      </c>
      <c r="P8" s="702"/>
      <c r="Q8" s="702"/>
      <c r="R8" s="702"/>
      <c r="S8" s="702"/>
      <c r="T8" s="706" t="s">
        <v>11</v>
      </c>
      <c r="U8" s="76"/>
      <c r="V8" s="810" t="s">
        <v>301</v>
      </c>
      <c r="W8" s="704"/>
      <c r="X8" s="704"/>
      <c r="Y8" s="704"/>
      <c r="Z8" s="704"/>
      <c r="AA8" s="706" t="s">
        <v>11</v>
      </c>
      <c r="AB8" s="87"/>
      <c r="AC8" s="1117"/>
      <c r="AD8" s="20"/>
      <c r="AE8" s="1111" t="s">
        <v>255</v>
      </c>
      <c r="AF8" s="1112"/>
      <c r="AG8" s="1112"/>
      <c r="AH8" s="237"/>
      <c r="AK8" s="40" t="str">
        <f>IF(ADBT0=ADBT12,ais_nei,ais_ja)</f>
        <v>Ja</v>
      </c>
      <c r="AL8" s="210"/>
      <c r="AM8" s="210"/>
      <c r="AN8" s="210"/>
      <c r="AO8"/>
      <c r="AP8"/>
      <c r="AQ8"/>
      <c r="AR8" s="20"/>
      <c r="AS8" s="20"/>
      <c r="AT8" s="20"/>
      <c r="AU8" s="20"/>
      <c r="AV8" s="20"/>
      <c r="AW8" s="20"/>
      <c r="AX8" s="20"/>
      <c r="AY8" s="20"/>
      <c r="AZ8" s="20"/>
      <c r="BA8" s="20"/>
      <c r="BB8" s="20"/>
      <c r="BC8" s="20"/>
      <c r="BD8" s="20"/>
      <c r="BE8" s="15"/>
      <c r="BF8" s="15"/>
      <c r="BG8" s="15"/>
    </row>
    <row r="9" spans="1:59" ht="37.5" x14ac:dyDescent="0.3">
      <c r="A9" s="637" t="s">
        <v>217</v>
      </c>
      <c r="B9" s="637" t="s">
        <v>218</v>
      </c>
      <c r="C9" s="637"/>
      <c r="D9" s="637"/>
      <c r="E9" s="101" t="s">
        <v>1167</v>
      </c>
      <c r="F9" s="993" t="s">
        <v>1126</v>
      </c>
      <c r="G9" s="234" t="s">
        <v>100</v>
      </c>
      <c r="H9" s="101" t="s">
        <v>42</v>
      </c>
      <c r="I9" s="102" t="s">
        <v>825</v>
      </c>
      <c r="J9" s="103" t="s">
        <v>880</v>
      </c>
      <c r="K9" s="233" t="s">
        <v>299</v>
      </c>
      <c r="L9" s="244" t="s">
        <v>259</v>
      </c>
      <c r="M9" s="245" t="s">
        <v>260</v>
      </c>
      <c r="N9" s="640"/>
      <c r="O9" s="769" t="s">
        <v>42</v>
      </c>
      <c r="P9" s="768" t="s">
        <v>825</v>
      </c>
      <c r="Q9" s="768" t="s">
        <v>880</v>
      </c>
      <c r="R9" s="104" t="s">
        <v>299</v>
      </c>
      <c r="S9" s="104" t="s">
        <v>259</v>
      </c>
      <c r="T9" s="105" t="s">
        <v>260</v>
      </c>
      <c r="U9" s="106"/>
      <c r="V9" s="769" t="s">
        <v>42</v>
      </c>
      <c r="W9" s="768" t="s">
        <v>825</v>
      </c>
      <c r="X9" s="768" t="s">
        <v>880</v>
      </c>
      <c r="Y9" s="104" t="s">
        <v>299</v>
      </c>
      <c r="Z9" s="104" t="s">
        <v>259</v>
      </c>
      <c r="AA9" s="105" t="s">
        <v>260</v>
      </c>
      <c r="AC9" s="607" t="str">
        <f>IF(AK4=ais_ja,"Shell/core compliance?","")</f>
        <v/>
      </c>
      <c r="AD9" s="20"/>
      <c r="AE9" s="66" t="s">
        <v>256</v>
      </c>
      <c r="AF9" s="65" t="s">
        <v>257</v>
      </c>
      <c r="AG9" s="65" t="s">
        <v>258</v>
      </c>
      <c r="AJ9" s="64" t="s">
        <v>426</v>
      </c>
      <c r="AZ9" s="20"/>
      <c r="BA9" s="20"/>
      <c r="BB9" s="20"/>
      <c r="BC9" s="20"/>
      <c r="BD9" s="20"/>
      <c r="BE9" s="15"/>
      <c r="BF9" s="15"/>
      <c r="BG9" s="15"/>
    </row>
    <row r="10" spans="1:59" ht="34.5" customHeight="1" x14ac:dyDescent="0.25">
      <c r="A10" s="893">
        <v>1</v>
      </c>
      <c r="B10" s="892" t="s">
        <v>61</v>
      </c>
      <c r="C10" s="891"/>
      <c r="D10" s="716"/>
      <c r="E10" s="1076"/>
      <c r="F10" s="1075" t="s">
        <v>10</v>
      </c>
      <c r="G10" s="758"/>
      <c r="H10" s="759"/>
      <c r="I10" s="758"/>
      <c r="J10" s="758"/>
      <c r="K10" s="760"/>
      <c r="L10" s="761"/>
      <c r="M10" s="762"/>
      <c r="N10" s="707"/>
      <c r="O10" s="708"/>
      <c r="P10" s="651"/>
      <c r="Q10" s="651"/>
      <c r="R10" s="709"/>
      <c r="S10" s="709"/>
      <c r="T10" s="643"/>
      <c r="U10" s="277"/>
      <c r="V10" s="290"/>
      <c r="W10" s="289"/>
      <c r="X10" s="289"/>
      <c r="Y10" s="710"/>
      <c r="Z10" s="710"/>
      <c r="AA10" s="711"/>
      <c r="AB10" s="116"/>
      <c r="AC10" s="561"/>
      <c r="AD10" s="20">
        <f t="shared" ref="AD10:AD76" si="0">IF(G10="",1,IF(G10=0,2,1))</f>
        <v>1</v>
      </c>
      <c r="AE10" s="238">
        <v>0</v>
      </c>
      <c r="AF10" s="238">
        <v>0</v>
      </c>
      <c r="AG10" s="238">
        <v>0</v>
      </c>
      <c r="AJ10" s="64"/>
      <c r="AK10" s="582" t="s">
        <v>10</v>
      </c>
      <c r="AL10" s="560"/>
      <c r="AM10" s="560"/>
      <c r="AN10" s="560"/>
      <c r="AO10" s="560"/>
      <c r="AP10" s="560"/>
      <c r="AQ10" s="560"/>
      <c r="AS10" s="560"/>
      <c r="AT10" s="560"/>
      <c r="AU10" s="560"/>
      <c r="AV10" s="560"/>
      <c r="AW10" s="215"/>
      <c r="AX10" s="215"/>
      <c r="AY10" s="215"/>
      <c r="AZ10" s="20"/>
      <c r="BA10" s="275"/>
      <c r="BB10" s="20"/>
      <c r="BC10" s="20"/>
      <c r="BD10" s="20"/>
      <c r="BE10" s="15"/>
      <c r="BF10" s="15"/>
      <c r="BG10" s="15"/>
    </row>
    <row r="11" spans="1:59" x14ac:dyDescent="0.25">
      <c r="A11" s="893">
        <v>2</v>
      </c>
      <c r="B11" s="892" t="s">
        <v>61</v>
      </c>
      <c r="C11" s="802" t="s">
        <v>91</v>
      </c>
      <c r="D11" s="717" t="s">
        <v>91</v>
      </c>
      <c r="E11" s="1077"/>
      <c r="F11" s="750" t="str">
        <f>VLOOKUP(D11,Poeng!$B$10:$R$252,Poeng!E$1,FALSE)</f>
        <v>Man 01 Project brief and design</v>
      </c>
      <c r="G11" s="755">
        <f>VLOOKUP(D11,Poeng!$B$10:$AB$252,Poeng!AB$1,FALSE)</f>
        <v>5</v>
      </c>
      <c r="H11" s="846"/>
      <c r="I11" s="756" t="str">
        <f>VLOOKUP(D11,Poeng!$B$10:$AI$252,Poeng!AI$1,FALSE)&amp;" c. "&amp;ROUND(VLOOKUP(D11,Poeng!$B$10:$AE$252,Poeng!AE$1,FALSE)*100,1)&amp;" %"</f>
        <v>0 c. 0 %</v>
      </c>
      <c r="J11" s="801" t="str">
        <f>VLOOKUP(D11,Poeng!$B$10:$BE$252,Poeng!BE$1,FALSE)</f>
        <v>N/A</v>
      </c>
      <c r="K11" s="763"/>
      <c r="L11" s="764"/>
      <c r="M11" s="765"/>
      <c r="N11" s="712"/>
      <c r="O11" s="847"/>
      <c r="P11" s="766" t="str">
        <f>VLOOKUP(D11,Poeng!$B$10:$BC$252,Poeng!AJ$1,FALSE)&amp;" c. "&amp;ROUND(VLOOKUP(D11,Poeng!$B$10:$BC$252,Poeng!AF$1,FALSE)*100,1)&amp;" %"</f>
        <v>0 c. 0 %</v>
      </c>
      <c r="Q11" s="766" t="str">
        <f>VLOOKUP(D11,Poeng!$B$10:$BE$252,Poeng!BE$1,FALSE)</f>
        <v>N/A</v>
      </c>
      <c r="R11" s="644"/>
      <c r="S11" s="645"/>
      <c r="T11" s="638"/>
      <c r="U11" s="277"/>
      <c r="V11" s="847"/>
      <c r="W11" s="766" t="str">
        <f>VLOOKUP(D11,Poeng!$B$10:$BC$252,Poeng!AK$1,FALSE)&amp;" c. "&amp;ROUND(VLOOKUP(D11,Poeng!$B$10:$BC$252,Poeng!AG$1,FALSE)*100,1)&amp;" %"</f>
        <v>0 c. 0 %</v>
      </c>
      <c r="X11" s="766" t="str">
        <f>VLOOKUP(D11,Poeng!$B$10:$BK$252,Poeng!BK$1,FALSE)</f>
        <v>N/A</v>
      </c>
      <c r="Y11" s="75"/>
      <c r="Z11" s="74"/>
      <c r="AA11" s="638"/>
      <c r="AB11" s="117"/>
      <c r="AC11" s="556" t="s">
        <v>12</v>
      </c>
      <c r="AD11" s="20">
        <f t="shared" si="0"/>
        <v>1</v>
      </c>
      <c r="AE11" s="1" t="e">
        <f>VLOOKUP(L11,'Assessment Details'!$O$45:$P$48,2,FALSE)</f>
        <v>#N/A</v>
      </c>
      <c r="AF11" s="1" t="e">
        <f>VLOOKUP(S11,'Assessment Details'!$O$45:$P$48,2,FALSE)</f>
        <v>#N/A</v>
      </c>
      <c r="AG11" s="1" t="e">
        <f>VLOOKUP(Z11,'Assessment Details'!$O$45:$P$48,2,FALSE)</f>
        <v>#N/A</v>
      </c>
      <c r="AJ11" s="64"/>
      <c r="AK11" s="582" t="s">
        <v>305</v>
      </c>
      <c r="AL11" s="562" t="s">
        <v>12</v>
      </c>
      <c r="AM11" s="564" t="s">
        <v>11</v>
      </c>
      <c r="AN11" s="64"/>
      <c r="AO11" s="64"/>
      <c r="AP11" s="64"/>
      <c r="AQ11" s="64"/>
      <c r="AT11" s="20" t="str">
        <f>IF($AK$4=ais_nei,AIS_NA,IF(AL11="",AIS_NA,AL11))</f>
        <v>N/A</v>
      </c>
      <c r="AU11" s="20" t="str">
        <f t="shared" ref="AU11:AU92" si="1">IF($AK$4=ais_nei,AIS_NA,IF(AM11="",AIS_NA,AM11))</f>
        <v>N/A</v>
      </c>
      <c r="AV11" s="20" t="str">
        <f t="shared" ref="AV11:AV92" si="2">IF($AK$4=ais_nei,AIS_NA,IF(AN11="",AIS_NA,AN11))</f>
        <v>N/A</v>
      </c>
      <c r="AW11" s="20"/>
      <c r="AX11" s="20"/>
      <c r="AY11" s="20"/>
      <c r="AZ11" s="20"/>
      <c r="BA11" s="556"/>
      <c r="BB11" s="20"/>
      <c r="BC11" s="20"/>
      <c r="BD11" s="20"/>
      <c r="BE11" s="15"/>
      <c r="BF11" s="15"/>
      <c r="BG11" s="15"/>
    </row>
    <row r="12" spans="1:59" x14ac:dyDescent="0.25">
      <c r="A12" s="893">
        <v>3</v>
      </c>
      <c r="B12" s="892" t="s">
        <v>61</v>
      </c>
      <c r="C12" s="109" t="s">
        <v>91</v>
      </c>
      <c r="D12" s="16" t="s">
        <v>710</v>
      </c>
      <c r="E12" s="1078">
        <v>1</v>
      </c>
      <c r="F12" s="751" t="str">
        <f>VLOOKUP(D12,Poeng!$B$10:$R$252,Poeng!E$1,FALSE)</f>
        <v>Planning project delivery</v>
      </c>
      <c r="G12" s="107">
        <f>VLOOKUP(D12,Poeng!$B$10:$AB$252,Poeng!AB$1,FALSE)</f>
        <v>1</v>
      </c>
      <c r="H12" s="37"/>
      <c r="I12" s="108">
        <f>VLOOKUP(D12,Poeng!$B$10:$AE$252,Poeng!AE$1,FALSE)</f>
        <v>0</v>
      </c>
      <c r="J12" s="109" t="str">
        <f>VLOOKUP(D12,Poeng!$B$10:$BE$252,Poeng!BE$1,FALSE)</f>
        <v>Very Good</v>
      </c>
      <c r="K12" s="74"/>
      <c r="L12" s="242"/>
      <c r="M12" s="694"/>
      <c r="N12" s="907"/>
      <c r="O12" s="77"/>
      <c r="P12" s="108">
        <f>VLOOKUP(D12,Poeng!$B$10:$BC$252,Poeng!AF$1,FALSE)</f>
        <v>0</v>
      </c>
      <c r="Q12" s="108" t="str">
        <f>VLOOKUP(D12,Poeng!$B$10:$BH$252,Poeng!BH$1,FALSE)</f>
        <v>Very Good</v>
      </c>
      <c r="R12" s="644"/>
      <c r="S12" s="645"/>
      <c r="T12" s="638"/>
      <c r="U12" s="277"/>
      <c r="V12" s="77"/>
      <c r="W12" s="108">
        <f>VLOOKUP(D12,Poeng!$B$10:$BC$252,Poeng!AG$1,FALSE)</f>
        <v>0</v>
      </c>
      <c r="X12" s="108" t="str">
        <f>VLOOKUP(D12,Poeng!$B$10:$BK$252,Poeng!BK$1,FALSE)</f>
        <v>Very Good</v>
      </c>
      <c r="Y12" s="75"/>
      <c r="Z12" s="74"/>
      <c r="AA12" s="638"/>
      <c r="AD12" s="20">
        <f t="shared" si="0"/>
        <v>1</v>
      </c>
      <c r="AE12" s="1" t="e">
        <f>VLOOKUP(L12,'Assessment Details'!$O$45:$P$48,2,FALSE)</f>
        <v>#N/A</v>
      </c>
      <c r="AF12" s="1" t="e">
        <f>VLOOKUP(S12,'Assessment Details'!$O$45:$P$48,2,FALSE)</f>
        <v>#N/A</v>
      </c>
      <c r="AG12" s="1" t="e">
        <f>VLOOKUP(Z12,'Assessment Details'!$O$45:$P$48,2,FALSE)</f>
        <v>#N/A</v>
      </c>
    </row>
    <row r="13" spans="1:59" ht="30" x14ac:dyDescent="0.25">
      <c r="A13" s="893">
        <v>4</v>
      </c>
      <c r="B13" s="892" t="s">
        <v>61</v>
      </c>
      <c r="C13" s="109" t="s">
        <v>91</v>
      </c>
      <c r="D13" s="16" t="s">
        <v>711</v>
      </c>
      <c r="E13" s="1079" t="s">
        <v>1168</v>
      </c>
      <c r="F13" s="888" t="str">
        <f>VLOOKUP(D13,Poeng!$B$10:$R$252,Poeng!E$1,FALSE)</f>
        <v>Climate gas calculation for whole building life cycle (EU taxonomy requirement: criterion 2-3)</v>
      </c>
      <c r="G13" s="107">
        <f>VLOOKUP(D13,Poeng!$B$10:$AB$252,Poeng!AB$1,FALSE)</f>
        <v>1</v>
      </c>
      <c r="H13" s="37"/>
      <c r="I13" s="108">
        <f>VLOOKUP(D13,Poeng!$B$10:$AE$252,Poeng!AE$1,FALSE)</f>
        <v>0</v>
      </c>
      <c r="J13" s="109" t="str">
        <f>VLOOKUP(D13,Poeng!$B$10:$BE$252,Poeng!BE$1,FALSE)</f>
        <v>Very Good</v>
      </c>
      <c r="K13" s="74"/>
      <c r="L13" s="242"/>
      <c r="M13" s="694"/>
      <c r="N13" s="907"/>
      <c r="O13" s="77"/>
      <c r="P13" s="108">
        <f>VLOOKUP(D13,Poeng!$B$10:$BC$252,Poeng!AF$1,FALSE)</f>
        <v>0</v>
      </c>
      <c r="Q13" s="108" t="str">
        <f>VLOOKUP(D13,Poeng!$B$10:$BH$252,Poeng!BH$1,FALSE)</f>
        <v>Very Good</v>
      </c>
      <c r="R13" s="644"/>
      <c r="S13" s="645"/>
      <c r="T13" s="638"/>
      <c r="U13" s="277"/>
      <c r="V13" s="77"/>
      <c r="W13" s="108">
        <f>VLOOKUP(D13,Poeng!$B$10:$BC$252,Poeng!AG$1,FALSE)</f>
        <v>0</v>
      </c>
      <c r="X13" s="108" t="str">
        <f>VLOOKUP(D13,Poeng!$B$10:$BK$252,Poeng!BK$1,FALSE)</f>
        <v>Very Good</v>
      </c>
      <c r="Y13" s="75"/>
      <c r="Z13" s="74"/>
      <c r="AA13" s="638"/>
      <c r="AD13" s="20">
        <f t="shared" si="0"/>
        <v>1</v>
      </c>
      <c r="AE13" s="1" t="e">
        <f>VLOOKUP(L13,'Assessment Details'!$O$45:$P$48,2,FALSE)</f>
        <v>#N/A</v>
      </c>
      <c r="AF13" s="1" t="e">
        <f>VLOOKUP(S13,'Assessment Details'!$O$45:$P$48,2,FALSE)</f>
        <v>#N/A</v>
      </c>
      <c r="AG13" s="1" t="e">
        <f>VLOOKUP(Z13,'Assessment Details'!$O$45:$P$48,2,FALSE)</f>
        <v>#N/A</v>
      </c>
    </row>
    <row r="14" spans="1:59" x14ac:dyDescent="0.25">
      <c r="A14" s="893">
        <v>5</v>
      </c>
      <c r="B14" s="892" t="s">
        <v>61</v>
      </c>
      <c r="C14" s="109" t="s">
        <v>91</v>
      </c>
      <c r="D14" s="16" t="s">
        <v>712</v>
      </c>
      <c r="E14" s="1090" t="s">
        <v>1170</v>
      </c>
      <c r="F14" s="751" t="str">
        <f>VLOOKUP(D14,Poeng!$B$10:$R$252,Poeng!E$1,FALSE)</f>
        <v>Third party stakeholder consultation</v>
      </c>
      <c r="G14" s="107">
        <f>VLOOKUP(D14,Poeng!$B$10:$AB$252,Poeng!AB$1,FALSE)</f>
        <v>1</v>
      </c>
      <c r="H14" s="37"/>
      <c r="I14" s="108">
        <f>VLOOKUP(D14,Poeng!$B$10:$AE$252,Poeng!AE$1,FALSE)</f>
        <v>0</v>
      </c>
      <c r="J14" s="109" t="str">
        <f>VLOOKUP(D14,Poeng!$B$10:$BE$252,Poeng!BE$1,FALSE)</f>
        <v>N/A</v>
      </c>
      <c r="K14" s="74"/>
      <c r="L14" s="242"/>
      <c r="M14" s="638"/>
      <c r="N14" s="907"/>
      <c r="O14" s="77"/>
      <c r="P14" s="108">
        <f>VLOOKUP(D14,Poeng!$B$10:$BC$252,Poeng!AF$1,FALSE)</f>
        <v>0</v>
      </c>
      <c r="Q14" s="108" t="str">
        <f>VLOOKUP(D14,Poeng!$B$10:$BH$252,Poeng!BH$1,FALSE)</f>
        <v>N/A</v>
      </c>
      <c r="R14" s="644"/>
      <c r="S14" s="645"/>
      <c r="T14" s="638"/>
      <c r="U14" s="277"/>
      <c r="V14" s="77"/>
      <c r="W14" s="108">
        <f>VLOOKUP(D14,Poeng!$B$10:$BC$252,Poeng!AG$1,FALSE)</f>
        <v>0</v>
      </c>
      <c r="X14" s="108" t="str">
        <f>VLOOKUP(D14,Poeng!$B$10:$BK$252,Poeng!BK$1,FALSE)</f>
        <v>N/A</v>
      </c>
      <c r="Y14" s="75"/>
      <c r="Z14" s="74"/>
      <c r="AA14" s="638"/>
      <c r="AD14" s="20">
        <f t="shared" si="0"/>
        <v>1</v>
      </c>
      <c r="AE14" s="1" t="e">
        <f>VLOOKUP(L14,'Assessment Details'!$O$45:$P$48,2,FALSE)</f>
        <v>#N/A</v>
      </c>
      <c r="AF14" s="1" t="e">
        <f>VLOOKUP(S14,'Assessment Details'!$O$45:$P$48,2,FALSE)</f>
        <v>#N/A</v>
      </c>
      <c r="AG14" s="1" t="e">
        <f>VLOOKUP(Z14,'Assessment Details'!$O$45:$P$48,2,FALSE)</f>
        <v>#N/A</v>
      </c>
    </row>
    <row r="15" spans="1:59" x14ac:dyDescent="0.25">
      <c r="A15" s="893">
        <v>6</v>
      </c>
      <c r="B15" s="892" t="s">
        <v>61</v>
      </c>
      <c r="C15" s="109" t="s">
        <v>91</v>
      </c>
      <c r="D15" s="16" t="s">
        <v>713</v>
      </c>
      <c r="E15" s="1079" t="s">
        <v>1171</v>
      </c>
      <c r="F15" s="751" t="str">
        <f>VLOOKUP(D15,Poeng!$B$10:$R$252,Poeng!E$1,FALSE)</f>
        <v>BREEAM-NOR AP (stage 2 and 3)</v>
      </c>
      <c r="G15" s="107">
        <f>VLOOKUP(D15,Poeng!$B$10:$AB$252,Poeng!AB$1,FALSE)</f>
        <v>1</v>
      </c>
      <c r="H15" s="37"/>
      <c r="I15" s="108">
        <f>VLOOKUP(D15,Poeng!$B$10:$AE$252,Poeng!AE$1,FALSE)</f>
        <v>0</v>
      </c>
      <c r="J15" s="109" t="str">
        <f>VLOOKUP(D15,Poeng!$B$10:$BE$252,Poeng!BE$1,FALSE)</f>
        <v>N/A</v>
      </c>
      <c r="K15" s="74"/>
      <c r="L15" s="242"/>
      <c r="M15" s="694"/>
      <c r="N15" s="907"/>
      <c r="O15" s="77"/>
      <c r="P15" s="108">
        <f>VLOOKUP(D15,Poeng!$B$10:$BC$252,Poeng!AF$1,FALSE)</f>
        <v>0</v>
      </c>
      <c r="Q15" s="108" t="str">
        <f>VLOOKUP(D15,Poeng!$B$10:$BH$252,Poeng!BH$1,FALSE)</f>
        <v>N/A</v>
      </c>
      <c r="R15" s="644"/>
      <c r="S15" s="645"/>
      <c r="T15" s="638"/>
      <c r="U15" s="277"/>
      <c r="V15" s="77"/>
      <c r="W15" s="108">
        <f>VLOOKUP(D15,Poeng!$B$10:$BC$252,Poeng!AG$1,FALSE)</f>
        <v>0</v>
      </c>
      <c r="X15" s="108" t="str">
        <f>VLOOKUP(D15,Poeng!$B$10:$BK$252,Poeng!BK$1,FALSE)</f>
        <v>N/A</v>
      </c>
      <c r="Y15" s="75"/>
      <c r="Z15" s="74"/>
      <c r="AA15" s="638"/>
      <c r="AD15" s="20">
        <f t="shared" si="0"/>
        <v>1</v>
      </c>
      <c r="AE15" s="1" t="e">
        <f>VLOOKUP(L15,'Assessment Details'!$O$45:$P$48,2,FALSE)</f>
        <v>#N/A</v>
      </c>
      <c r="AF15" s="1" t="e">
        <f>VLOOKUP(S15,'Assessment Details'!$O$45:$P$48,2,FALSE)</f>
        <v>#N/A</v>
      </c>
      <c r="AG15" s="1" t="e">
        <f>VLOOKUP(Z15,'Assessment Details'!$O$45:$P$48,2,FALSE)</f>
        <v>#N/A</v>
      </c>
    </row>
    <row r="16" spans="1:59" x14ac:dyDescent="0.25">
      <c r="A16" s="893">
        <v>7</v>
      </c>
      <c r="B16" s="892" t="s">
        <v>61</v>
      </c>
      <c r="C16" s="109" t="s">
        <v>91</v>
      </c>
      <c r="D16" s="16" t="s">
        <v>714</v>
      </c>
      <c r="E16" s="1079" t="s">
        <v>1172</v>
      </c>
      <c r="F16" s="751" t="str">
        <f>VLOOKUP(D16,Poeng!$B$10:$R$252,Poeng!E$1,FALSE)</f>
        <v>BREEAM-NOR AP (stage 4)</v>
      </c>
      <c r="G16" s="107">
        <f>VLOOKUP(D16,Poeng!$B$10:$AB$252,Poeng!AB$1,FALSE)</f>
        <v>1</v>
      </c>
      <c r="H16" s="37"/>
      <c r="I16" s="108">
        <f>VLOOKUP(D16,Poeng!$B$10:$AE$252,Poeng!AE$1,FALSE)</f>
        <v>0</v>
      </c>
      <c r="J16" s="109" t="str">
        <f>VLOOKUP(D16,Poeng!$B$10:$BE$252,Poeng!BE$1,FALSE)</f>
        <v>N/A</v>
      </c>
      <c r="K16" s="74"/>
      <c r="L16" s="242"/>
      <c r="M16" s="694"/>
      <c r="N16" s="907"/>
      <c r="O16" s="77"/>
      <c r="P16" s="108">
        <f>VLOOKUP(D16,Poeng!$B$10:$BC$252,Poeng!AF$1,FALSE)</f>
        <v>0</v>
      </c>
      <c r="Q16" s="108" t="str">
        <f>VLOOKUP(D16,Poeng!$B$10:$BH$252,Poeng!BH$1,FALSE)</f>
        <v>N/A</v>
      </c>
      <c r="R16" s="644"/>
      <c r="S16" s="645"/>
      <c r="T16" s="638"/>
      <c r="U16" s="277"/>
      <c r="V16" s="77"/>
      <c r="W16" s="108">
        <f>VLOOKUP(D16,Poeng!$B$10:$BC$252,Poeng!AG$1,FALSE)</f>
        <v>0</v>
      </c>
      <c r="X16" s="108" t="str">
        <f>VLOOKUP(D16,Poeng!$B$10:$BK$252,Poeng!BK$1,FALSE)</f>
        <v>N/A</v>
      </c>
      <c r="Y16" s="75"/>
      <c r="Z16" s="74"/>
      <c r="AA16" s="638"/>
      <c r="AD16" s="20">
        <f t="shared" si="0"/>
        <v>1</v>
      </c>
      <c r="AE16" s="1" t="e">
        <f>VLOOKUP(L16,'Assessment Details'!$O$45:$P$48,2,FALSE)</f>
        <v>#N/A</v>
      </c>
      <c r="AF16" s="1" t="e">
        <f>VLOOKUP(S16,'Assessment Details'!$O$45:$P$48,2,FALSE)</f>
        <v>#N/A</v>
      </c>
      <c r="AG16" s="1" t="e">
        <f>VLOOKUP(Z16,'Assessment Details'!$O$45:$P$48,2,FALSE)</f>
        <v>#N/A</v>
      </c>
    </row>
    <row r="17" spans="1:59" x14ac:dyDescent="0.25">
      <c r="A17" s="893">
        <v>8</v>
      </c>
      <c r="B17" s="892" t="s">
        <v>61</v>
      </c>
      <c r="C17" s="802" t="s">
        <v>92</v>
      </c>
      <c r="D17" s="717" t="s">
        <v>92</v>
      </c>
      <c r="E17" s="1078"/>
      <c r="F17" s="750" t="str">
        <f>VLOOKUP(D17,Poeng!$B$10:$R$252,Poeng!E$1,FALSE)</f>
        <v>Man 02 Life cycle cost and service life planning</v>
      </c>
      <c r="G17" s="755">
        <f>VLOOKUP(D17,Poeng!$B$10:$AB$252,Poeng!AB$1,FALSE)</f>
        <v>3</v>
      </c>
      <c r="H17" s="847"/>
      <c r="I17" s="756" t="str">
        <f>VLOOKUP(D17,Poeng!$B$10:$AI$252,Poeng!AI$1,FALSE)&amp;" c. "&amp;ROUND(VLOOKUP(D17,Poeng!$B$10:$AE$252,Poeng!AE$1,FALSE)*100,1)&amp;" %"</f>
        <v>0 c. 0 %</v>
      </c>
      <c r="J17" s="802" t="str">
        <f>VLOOKUP(D17,Poeng!$B$10:$BE$252,Poeng!BE$1,FALSE)</f>
        <v>N/A</v>
      </c>
      <c r="K17" s="74"/>
      <c r="L17" s="242"/>
      <c r="M17" s="694"/>
      <c r="N17" s="712"/>
      <c r="O17" s="847"/>
      <c r="P17" s="766" t="str">
        <f>VLOOKUP(D17,Poeng!$B$10:$BC$252,Poeng!AJ$1,FALSE)&amp;" c. "&amp;ROUND(VLOOKUP(D17,Poeng!$B$10:$BC$252,Poeng!AF$1,FALSE)*100,1)&amp;" %"</f>
        <v>0 c. 0 %</v>
      </c>
      <c r="Q17" s="108" t="str">
        <f>VLOOKUP(D17,Poeng!$B$10:$BH$252,Poeng!BH$1,FALSE)</f>
        <v>N/A</v>
      </c>
      <c r="R17" s="644"/>
      <c r="S17" s="645"/>
      <c r="T17" s="638"/>
      <c r="U17" s="277"/>
      <c r="V17" s="847"/>
      <c r="W17" s="766" t="str">
        <f>VLOOKUP(D17,Poeng!$B$10:$BC$252,Poeng!AK$1,FALSE)&amp;" c. "&amp;ROUND(VLOOKUP(D17,Poeng!$B$10:$BC$252,Poeng!AG$1,FALSE)*100,1)&amp;" %"</f>
        <v>0 c. 0 %</v>
      </c>
      <c r="X17" s="108" t="str">
        <f>VLOOKUP(D17,Poeng!$B$10:$BK$252,Poeng!BK$1,FALSE)</f>
        <v>N/A</v>
      </c>
      <c r="Y17" s="75"/>
      <c r="Z17" s="74"/>
      <c r="AA17" s="638"/>
      <c r="AB17" s="117"/>
      <c r="AC17" s="556" t="s">
        <v>12</v>
      </c>
      <c r="AD17" s="20">
        <f t="shared" si="0"/>
        <v>1</v>
      </c>
      <c r="AE17" s="1" t="e">
        <f>VLOOKUP(L17,'Assessment Details'!$O$45:$P$48,2,FALSE)</f>
        <v>#N/A</v>
      </c>
      <c r="AF17" s="1" t="e">
        <f>VLOOKUP(S17,'Assessment Details'!$O$45:$P$48,2,FALSE)</f>
        <v>#N/A</v>
      </c>
      <c r="AG17" s="1" t="e">
        <f>VLOOKUP(Z17,'Assessment Details'!$O$45:$P$48,2,FALSE)</f>
        <v>#N/A</v>
      </c>
      <c r="AJ17" s="64"/>
      <c r="AK17" s="582" t="s">
        <v>306</v>
      </c>
      <c r="AL17" s="562" t="s">
        <v>12</v>
      </c>
      <c r="AM17" s="564" t="s">
        <v>11</v>
      </c>
      <c r="AN17" s="64"/>
      <c r="AO17" s="64"/>
      <c r="AP17" s="64"/>
      <c r="AQ17" s="64"/>
      <c r="AT17" s="20" t="str">
        <f t="shared" ref="AT17:AT92" si="3">IF($AK$4=ais_nei,AIS_NA,IF(AL17="",AIS_NA,AL17))</f>
        <v>N/A</v>
      </c>
      <c r="AU17" s="20" t="str">
        <f t="shared" si="1"/>
        <v>N/A</v>
      </c>
      <c r="AV17" s="20" t="str">
        <f t="shared" si="2"/>
        <v>N/A</v>
      </c>
      <c r="AW17" s="20"/>
      <c r="AX17" s="20"/>
      <c r="AY17" s="20"/>
      <c r="AZ17" s="15"/>
      <c r="BA17" s="556"/>
      <c r="BB17" s="15"/>
      <c r="BC17" s="15"/>
      <c r="BD17" s="15"/>
      <c r="BE17" s="15"/>
      <c r="BF17" s="15"/>
      <c r="BG17" s="15"/>
    </row>
    <row r="18" spans="1:59" x14ac:dyDescent="0.25">
      <c r="A18" s="893">
        <v>9</v>
      </c>
      <c r="B18" s="892" t="s">
        <v>61</v>
      </c>
      <c r="C18" s="109" t="s">
        <v>92</v>
      </c>
      <c r="D18" s="717" t="s">
        <v>715</v>
      </c>
      <c r="E18" s="1079" t="s">
        <v>1173</v>
      </c>
      <c r="F18" s="751" t="str">
        <f>VLOOKUP(D18,Poeng!$B$10:$R$252,Poeng!E$1,FALSE)</f>
        <v>Elemental life cycle cost (LCC) and capital cost reporting</v>
      </c>
      <c r="G18" s="107">
        <f>VLOOKUP(D18,Poeng!$B$10:$AB$252,Poeng!AB$1,FALSE)</f>
        <v>2</v>
      </c>
      <c r="H18" s="37"/>
      <c r="I18" s="108">
        <f>VLOOKUP(D18,Poeng!$B$10:$AE$252,Poeng!AE$1,FALSE)</f>
        <v>0</v>
      </c>
      <c r="J18" s="109" t="str">
        <f>VLOOKUP(D18,Poeng!$B$10:$BE$252,Poeng!BE$1,FALSE)</f>
        <v>N/A</v>
      </c>
      <c r="K18" s="74"/>
      <c r="L18" s="242"/>
      <c r="M18" s="694"/>
      <c r="N18" s="712"/>
      <c r="O18" s="77"/>
      <c r="P18" s="108">
        <f>VLOOKUP(D18,Poeng!$B$10:$BC$252,Poeng!AF$1,FALSE)</f>
        <v>0</v>
      </c>
      <c r="Q18" s="108" t="str">
        <f>VLOOKUP(D18,Poeng!$B$10:$BH$252,Poeng!BH$1,FALSE)</f>
        <v>N/A</v>
      </c>
      <c r="R18" s="644"/>
      <c r="S18" s="645"/>
      <c r="T18" s="638"/>
      <c r="U18" s="277"/>
      <c r="V18" s="77"/>
      <c r="W18" s="108">
        <f>VLOOKUP(D18,Poeng!$B$10:$BC$252,Poeng!AG$1,FALSE)</f>
        <v>0</v>
      </c>
      <c r="X18" s="108" t="str">
        <f>VLOOKUP(D18,Poeng!$B$10:$BK$252,Poeng!BK$1,FALSE)</f>
        <v>N/A</v>
      </c>
      <c r="Y18" s="75"/>
      <c r="Z18" s="74"/>
      <c r="AA18" s="638"/>
      <c r="AB18" s="117"/>
      <c r="AC18" s="556"/>
      <c r="AD18" s="20">
        <f t="shared" si="0"/>
        <v>1</v>
      </c>
      <c r="AE18" s="1" t="e">
        <f>VLOOKUP(L18,'Assessment Details'!$O$45:$P$48,2,FALSE)</f>
        <v>#N/A</v>
      </c>
      <c r="AF18" s="1" t="e">
        <f>VLOOKUP(S18,'Assessment Details'!$O$45:$P$48,2,FALSE)</f>
        <v>#N/A</v>
      </c>
      <c r="AG18" s="1" t="e">
        <f>VLOOKUP(Z18,'Assessment Details'!$O$45:$P$48,2,FALSE)</f>
        <v>#N/A</v>
      </c>
      <c r="AJ18" s="64"/>
      <c r="AK18" s="582"/>
      <c r="AL18" s="562"/>
      <c r="AM18" s="564"/>
      <c r="AN18" s="64"/>
      <c r="AO18" s="64"/>
      <c r="AP18" s="64"/>
      <c r="AQ18" s="64"/>
      <c r="AT18" s="20"/>
      <c r="AU18" s="20"/>
      <c r="AV18" s="20"/>
      <c r="AW18" s="20"/>
      <c r="AX18" s="20"/>
      <c r="AY18" s="20"/>
      <c r="AZ18" s="15"/>
      <c r="BA18" s="556"/>
      <c r="BB18" s="15"/>
      <c r="BC18" s="15"/>
      <c r="BD18" s="15"/>
      <c r="BE18" s="15"/>
      <c r="BF18" s="15"/>
      <c r="BG18" s="15"/>
    </row>
    <row r="19" spans="1:59" x14ac:dyDescent="0.25">
      <c r="A19" s="893">
        <v>10</v>
      </c>
      <c r="B19" s="892" t="s">
        <v>61</v>
      </c>
      <c r="C19" s="109" t="s">
        <v>92</v>
      </c>
      <c r="D19" s="717" t="s">
        <v>716</v>
      </c>
      <c r="E19" s="1079" t="s">
        <v>1174</v>
      </c>
      <c r="F19" s="751" t="str">
        <f>VLOOKUP(D19,Poeng!$B$10:$R$252,Poeng!E$1,FALSE)</f>
        <v>Component level life option appraisal</v>
      </c>
      <c r="G19" s="107">
        <f>VLOOKUP(D19,Poeng!$B$10:$AB$252,Poeng!AB$1,FALSE)</f>
        <v>1</v>
      </c>
      <c r="H19" s="37"/>
      <c r="I19" s="108">
        <f>VLOOKUP(D19,Poeng!$B$10:$AE$252,Poeng!AE$1,FALSE)</f>
        <v>0</v>
      </c>
      <c r="J19" s="109" t="str">
        <f>VLOOKUP(D19,Poeng!$B$10:$BE$252,Poeng!BE$1,FALSE)</f>
        <v>N/A</v>
      </c>
      <c r="K19" s="74"/>
      <c r="L19" s="242"/>
      <c r="M19" s="694"/>
      <c r="N19" s="712"/>
      <c r="O19" s="77"/>
      <c r="P19" s="108">
        <f>VLOOKUP(D19,Poeng!$B$10:$BC$252,Poeng!AF$1,FALSE)</f>
        <v>0</v>
      </c>
      <c r="Q19" s="108" t="str">
        <f>VLOOKUP(D19,Poeng!$B$10:$BH$252,Poeng!BH$1,FALSE)</f>
        <v>N/A</v>
      </c>
      <c r="R19" s="644"/>
      <c r="S19" s="645"/>
      <c r="T19" s="638"/>
      <c r="U19" s="277"/>
      <c r="V19" s="77"/>
      <c r="W19" s="108">
        <f>VLOOKUP(D19,Poeng!$B$10:$BC$252,Poeng!AG$1,FALSE)</f>
        <v>0</v>
      </c>
      <c r="X19" s="108" t="str">
        <f>VLOOKUP(D19,Poeng!$B$10:$BK$252,Poeng!BK$1,FALSE)</f>
        <v>N/A</v>
      </c>
      <c r="Y19" s="75"/>
      <c r="Z19" s="74"/>
      <c r="AA19" s="638"/>
      <c r="AB19" s="117"/>
      <c r="AC19" s="556"/>
      <c r="AD19" s="20">
        <f t="shared" si="0"/>
        <v>1</v>
      </c>
      <c r="AE19" s="1" t="e">
        <f>VLOOKUP(L19,'Assessment Details'!$O$45:$P$48,2,FALSE)</f>
        <v>#N/A</v>
      </c>
      <c r="AF19" s="1" t="e">
        <f>VLOOKUP(S19,'Assessment Details'!$O$45:$P$48,2,FALSE)</f>
        <v>#N/A</v>
      </c>
      <c r="AG19" s="1" t="e">
        <f>VLOOKUP(Z19,'Assessment Details'!$O$45:$P$48,2,FALSE)</f>
        <v>#N/A</v>
      </c>
      <c r="AJ19" s="64"/>
      <c r="AK19" s="582"/>
      <c r="AL19" s="562"/>
      <c r="AM19" s="564"/>
      <c r="AN19" s="64"/>
      <c r="AO19" s="64"/>
      <c r="AP19" s="64"/>
      <c r="AQ19" s="64"/>
      <c r="AT19" s="20"/>
      <c r="AU19" s="20"/>
      <c r="AV19" s="20"/>
      <c r="AW19" s="20"/>
      <c r="AX19" s="20"/>
      <c r="AY19" s="20"/>
      <c r="AZ19" s="15"/>
      <c r="BA19" s="556"/>
      <c r="BB19" s="15"/>
      <c r="BC19" s="15"/>
      <c r="BD19" s="15"/>
      <c r="BE19" s="15"/>
      <c r="BF19" s="15"/>
      <c r="BG19" s="15"/>
    </row>
    <row r="20" spans="1:59" x14ac:dyDescent="0.25">
      <c r="A20" s="893">
        <v>11</v>
      </c>
      <c r="B20" s="892" t="s">
        <v>61</v>
      </c>
      <c r="C20" s="802" t="s">
        <v>93</v>
      </c>
      <c r="D20" s="717" t="s">
        <v>93</v>
      </c>
      <c r="E20" s="1078"/>
      <c r="F20" s="750" t="str">
        <f>VLOOKUP(D20,Poeng!$B$10:$R$252,Poeng!E$1,FALSE)</f>
        <v>Man 03 Responsible construction practices</v>
      </c>
      <c r="G20" s="755">
        <f>VLOOKUP(D20,Poeng!$B$10:$AB$252,Poeng!AB$1,FALSE)</f>
        <v>7</v>
      </c>
      <c r="H20" s="847"/>
      <c r="I20" s="756" t="str">
        <f>VLOOKUP(D20,Poeng!$B$10:$AI$252,Poeng!AI$1,FALSE)&amp;" c. "&amp;ROUND(VLOOKUP(D20,Poeng!$B$10:$AE$252,Poeng!AE$1,FALSE)*100,1)&amp;" %"</f>
        <v>0 c. 0 %</v>
      </c>
      <c r="J20" s="802" t="str">
        <f>VLOOKUP(D20,Poeng!$B$10:$BE$252,Poeng!BE$1,FALSE)</f>
        <v>N/A</v>
      </c>
      <c r="K20" s="74"/>
      <c r="L20" s="242"/>
      <c r="M20" s="694"/>
      <c r="N20" s="712"/>
      <c r="O20" s="847"/>
      <c r="P20" s="766" t="str">
        <f>VLOOKUP(D20,Poeng!$B$10:$BC$252,Poeng!AJ$1,FALSE)&amp;" c. "&amp;ROUND(VLOOKUP(D20,Poeng!$B$10:$BC$252,Poeng!AF$1,FALSE)*100,1)&amp;" %"</f>
        <v>0 c. 0 %</v>
      </c>
      <c r="Q20" s="108" t="str">
        <f>VLOOKUP(D20,Poeng!$B$10:$BH$252,Poeng!BH$1,FALSE)</f>
        <v>N/A</v>
      </c>
      <c r="R20" s="644"/>
      <c r="S20" s="645"/>
      <c r="T20" s="638"/>
      <c r="U20" s="277"/>
      <c r="V20" s="847"/>
      <c r="W20" s="766" t="str">
        <f>VLOOKUP(D20,Poeng!$B$10:$BC$252,Poeng!AK$1,FALSE)&amp;" c. "&amp;ROUND(VLOOKUP(D20,Poeng!$B$10:$BC$252,Poeng!AG$1,FALSE)*100,1)&amp;" %"</f>
        <v>0 c. 0 %</v>
      </c>
      <c r="X20" s="108" t="str">
        <f>VLOOKUP(D20,Poeng!$B$10:$BK$252,Poeng!BK$1,FALSE)</f>
        <v>N/A</v>
      </c>
      <c r="Y20" s="75"/>
      <c r="Z20" s="74"/>
      <c r="AA20" s="638"/>
      <c r="AB20" s="117"/>
      <c r="AC20" s="556" t="s">
        <v>13</v>
      </c>
      <c r="AD20" s="20">
        <f t="shared" si="0"/>
        <v>1</v>
      </c>
      <c r="AE20" s="1" t="e">
        <f>VLOOKUP(L20,'Assessment Details'!$O$45:$P$48,2,FALSE)</f>
        <v>#N/A</v>
      </c>
      <c r="AF20" s="1" t="e">
        <f>VLOOKUP(S20,'Assessment Details'!$O$45:$P$48,2,FALSE)</f>
        <v>#N/A</v>
      </c>
      <c r="AG20" s="1" t="e">
        <f>VLOOKUP(Z20,'Assessment Details'!$O$45:$P$48,2,FALSE)</f>
        <v>#N/A</v>
      </c>
      <c r="AJ20" s="64"/>
      <c r="AK20" s="582" t="s">
        <v>307</v>
      </c>
      <c r="AL20" s="64"/>
      <c r="AM20" s="64"/>
      <c r="AN20" s="64"/>
      <c r="AO20" s="64"/>
      <c r="AP20" s="64"/>
      <c r="AQ20" s="64"/>
      <c r="AT20" s="20" t="str">
        <f t="shared" si="3"/>
        <v>N/A</v>
      </c>
      <c r="AU20" s="20" t="str">
        <f t="shared" si="1"/>
        <v>N/A</v>
      </c>
      <c r="AV20" s="20" t="str">
        <f t="shared" si="2"/>
        <v>N/A</v>
      </c>
      <c r="AW20" s="20"/>
      <c r="AX20" s="20"/>
      <c r="AY20" s="20"/>
      <c r="AZ20" s="15"/>
      <c r="BA20" s="556"/>
      <c r="BB20" s="15"/>
      <c r="BC20" s="15"/>
      <c r="BD20" s="15"/>
      <c r="BE20" s="15"/>
      <c r="BF20" s="15"/>
      <c r="BG20" s="15"/>
    </row>
    <row r="21" spans="1:59" x14ac:dyDescent="0.25">
      <c r="A21" s="893">
        <v>12</v>
      </c>
      <c r="B21" s="892" t="s">
        <v>61</v>
      </c>
      <c r="C21" s="109" t="s">
        <v>93</v>
      </c>
      <c r="D21" s="16" t="s">
        <v>717</v>
      </c>
      <c r="E21" s="1078">
        <v>1</v>
      </c>
      <c r="F21" s="751" t="str">
        <f>VLOOKUP(D21,Poeng!$B$10:$R$252,Poeng!E$1,FALSE)</f>
        <v>Environmental managment</v>
      </c>
      <c r="G21" s="107">
        <f>VLOOKUP(D21,Poeng!$B$10:$AB$252,Poeng!AB$1,FALSE)</f>
        <v>1</v>
      </c>
      <c r="H21" s="37"/>
      <c r="I21" s="108">
        <f>VLOOKUP(D21,Poeng!$B$10:$AE$252,Poeng!AE$1,FALSE)</f>
        <v>0</v>
      </c>
      <c r="J21" s="109" t="str">
        <f>VLOOKUP(D21,Poeng!$B$10:$BE$252,Poeng!BE$1,FALSE)</f>
        <v>N/A</v>
      </c>
      <c r="K21" s="74"/>
      <c r="L21" s="242"/>
      <c r="M21" s="694"/>
      <c r="N21" s="907"/>
      <c r="O21" s="77"/>
      <c r="P21" s="108">
        <f>VLOOKUP(D21,Poeng!$B$10:$BC$252,Poeng!AF$1,FALSE)</f>
        <v>0</v>
      </c>
      <c r="Q21" s="108" t="str">
        <f>VLOOKUP(D21,Poeng!$B$10:$BH$252,Poeng!BH$1,FALSE)</f>
        <v>N/A</v>
      </c>
      <c r="R21" s="644"/>
      <c r="S21" s="645"/>
      <c r="T21" s="638"/>
      <c r="U21" s="277"/>
      <c r="V21" s="77"/>
      <c r="W21" s="108">
        <f>VLOOKUP(D21,Poeng!$B$10:$BC$252,Poeng!AG$1,FALSE)</f>
        <v>0</v>
      </c>
      <c r="X21" s="108" t="str">
        <f>VLOOKUP(D21,Poeng!$B$10:$BK$252,Poeng!BK$1,FALSE)</f>
        <v>N/A</v>
      </c>
      <c r="Y21" s="75"/>
      <c r="Z21" s="74"/>
      <c r="AA21" s="638"/>
      <c r="AD21" s="20">
        <f t="shared" si="0"/>
        <v>1</v>
      </c>
      <c r="AE21" s="1" t="e">
        <f>VLOOKUP(L21,'Assessment Details'!$O$45:$P$48,2,FALSE)</f>
        <v>#N/A</v>
      </c>
      <c r="AF21" s="1" t="e">
        <f>VLOOKUP(S21,'Assessment Details'!$O$45:$P$48,2,FALSE)</f>
        <v>#N/A</v>
      </c>
      <c r="AG21" s="1" t="e">
        <f>VLOOKUP(Z21,'Assessment Details'!$O$45:$P$48,2,FALSE)</f>
        <v>#N/A</v>
      </c>
    </row>
    <row r="22" spans="1:59" x14ac:dyDescent="0.25">
      <c r="A22" s="893">
        <v>13</v>
      </c>
      <c r="B22" s="892" t="s">
        <v>61</v>
      </c>
      <c r="C22" s="109" t="s">
        <v>93</v>
      </c>
      <c r="D22" s="16" t="s">
        <v>718</v>
      </c>
      <c r="E22" s="1079" t="s">
        <v>1169</v>
      </c>
      <c r="F22" s="751" t="str">
        <f>VLOOKUP(D22,Poeng!$B$10:$R$252,Poeng!E$1,FALSE)</f>
        <v>BREEAM-NOR AP and BREEAM performance targets (stage 5 and 6)</v>
      </c>
      <c r="G22" s="107">
        <f>VLOOKUP(D22,Poeng!$B$10:$AB$252,Poeng!AB$1,FALSE)</f>
        <v>1</v>
      </c>
      <c r="H22" s="37"/>
      <c r="I22" s="108">
        <f>VLOOKUP(D22,Poeng!$B$10:$AE$252,Poeng!AE$1,FALSE)</f>
        <v>0</v>
      </c>
      <c r="J22" s="109" t="str">
        <f>VLOOKUP(D22,Poeng!$B$10:$BE$252,Poeng!BE$1,FALSE)</f>
        <v>N/A</v>
      </c>
      <c r="K22" s="74"/>
      <c r="L22" s="242"/>
      <c r="M22" s="694"/>
      <c r="N22" s="907"/>
      <c r="O22" s="77"/>
      <c r="P22" s="108">
        <f>VLOOKUP(D22,Poeng!$B$10:$BC$252,Poeng!AF$1,FALSE)</f>
        <v>0</v>
      </c>
      <c r="Q22" s="108" t="str">
        <f>VLOOKUP(D22,Poeng!$B$10:$BH$252,Poeng!BH$1,FALSE)</f>
        <v>N/A</v>
      </c>
      <c r="R22" s="644"/>
      <c r="S22" s="645"/>
      <c r="T22" s="638"/>
      <c r="U22" s="277"/>
      <c r="V22" s="77"/>
      <c r="W22" s="108">
        <f>VLOOKUP(D22,Poeng!$B$10:$BC$252,Poeng!AG$1,FALSE)</f>
        <v>0</v>
      </c>
      <c r="X22" s="108" t="str">
        <f>VLOOKUP(D22,Poeng!$B$10:$BK$252,Poeng!BK$1,FALSE)</f>
        <v>N/A</v>
      </c>
      <c r="Y22" s="75"/>
      <c r="Z22" s="74"/>
      <c r="AA22" s="638"/>
      <c r="AD22" s="20">
        <f t="shared" si="0"/>
        <v>1</v>
      </c>
      <c r="AE22" s="1" t="e">
        <f>VLOOKUP(L22,'Assessment Details'!$O$45:$P$48,2,FALSE)</f>
        <v>#N/A</v>
      </c>
      <c r="AF22" s="1" t="e">
        <f>VLOOKUP(S22,'Assessment Details'!$O$45:$P$48,2,FALSE)</f>
        <v>#N/A</v>
      </c>
      <c r="AG22" s="1" t="e">
        <f>VLOOKUP(Z22,'Assessment Details'!$O$45:$P$48,2,FALSE)</f>
        <v>#N/A</v>
      </c>
    </row>
    <row r="23" spans="1:59" ht="30" x14ac:dyDescent="0.25">
      <c r="A23" s="893">
        <v>14</v>
      </c>
      <c r="B23" s="892" t="s">
        <v>61</v>
      </c>
      <c r="C23" s="109" t="s">
        <v>93</v>
      </c>
      <c r="D23" s="16" t="s">
        <v>719</v>
      </c>
      <c r="E23" s="1079" t="s">
        <v>1174</v>
      </c>
      <c r="F23" s="888" t="str">
        <f>VLOOKUP(D23,Poeng!$B$10:$R$252,Poeng!E$1,FALSE)</f>
        <v>Considerate contruction: clean and tidy building process and checklist A1 (EU taxonomy requirement: criterion 5-6)</v>
      </c>
      <c r="G23" s="107">
        <f>VLOOKUP(D23,Poeng!$B$10:$AB$252,Poeng!AB$1,FALSE)</f>
        <v>1</v>
      </c>
      <c r="H23" s="37"/>
      <c r="I23" s="108">
        <f>VLOOKUP(D23,Poeng!$B$10:$AE$252,Poeng!AE$1,FALSE)</f>
        <v>0</v>
      </c>
      <c r="J23" s="109" t="str">
        <f>VLOOKUP(D23,Poeng!$B$10:$BE$252,Poeng!BE$1,FALSE)</f>
        <v>Unclassified</v>
      </c>
      <c r="K23" s="74"/>
      <c r="L23" s="242"/>
      <c r="M23" s="694"/>
      <c r="N23" s="907"/>
      <c r="O23" s="77"/>
      <c r="P23" s="108">
        <f>VLOOKUP(D23,Poeng!$B$10:$BC$252,Poeng!AF$1,FALSE)</f>
        <v>0</v>
      </c>
      <c r="Q23" s="108" t="str">
        <f>VLOOKUP(D23,Poeng!$B$10:$BH$252,Poeng!BH$1,FALSE)</f>
        <v>Unclassified</v>
      </c>
      <c r="R23" s="644"/>
      <c r="S23" s="645"/>
      <c r="T23" s="638"/>
      <c r="U23" s="277"/>
      <c r="V23" s="77"/>
      <c r="W23" s="108">
        <f>VLOOKUP(D23,Poeng!$B$10:$BC$252,Poeng!AG$1,FALSE)</f>
        <v>0</v>
      </c>
      <c r="X23" s="108" t="str">
        <f>VLOOKUP(D23,Poeng!$B$10:$BK$252,Poeng!BK$1,FALSE)</f>
        <v>Unclassified</v>
      </c>
      <c r="Y23" s="75"/>
      <c r="Z23" s="74"/>
      <c r="AA23" s="638"/>
      <c r="AD23" s="20">
        <f t="shared" si="0"/>
        <v>1</v>
      </c>
      <c r="AE23" s="1" t="e">
        <f>VLOOKUP(L23,'Assessment Details'!$O$45:$P$48,2,FALSE)</f>
        <v>#N/A</v>
      </c>
      <c r="AF23" s="1" t="e">
        <f>VLOOKUP(S23,'Assessment Details'!$O$45:$P$48,2,FALSE)</f>
        <v>#N/A</v>
      </c>
      <c r="AG23" s="1" t="e">
        <f>VLOOKUP(Z23,'Assessment Details'!$O$45:$P$48,2,FALSE)</f>
        <v>#N/A</v>
      </c>
    </row>
    <row r="24" spans="1:59" ht="30" x14ac:dyDescent="0.25">
      <c r="A24" s="893">
        <v>15</v>
      </c>
      <c r="B24" s="892" t="s">
        <v>61</v>
      </c>
      <c r="C24" s="109" t="s">
        <v>93</v>
      </c>
      <c r="D24" s="16" t="s">
        <v>720</v>
      </c>
      <c r="E24" s="1079" t="s">
        <v>1171</v>
      </c>
      <c r="F24" s="888" t="str">
        <f>VLOOKUP(D24,Poeng!$B$10:$R$252,Poeng!E$1,FALSE)</f>
        <v>Considerate contruction: INSTA 800 and checklist A1 (EU taxonomy requirement: criterion 7-9)</v>
      </c>
      <c r="G24" s="107">
        <f>VLOOKUP(D24,Poeng!$B$10:$AB$252,Poeng!AB$1,FALSE)</f>
        <v>1</v>
      </c>
      <c r="H24" s="37"/>
      <c r="I24" s="108">
        <f>VLOOKUP(D24,Poeng!$B$10:$AE$252,Poeng!AE$1,FALSE)</f>
        <v>0</v>
      </c>
      <c r="J24" s="109" t="str">
        <f>VLOOKUP(D24,Poeng!$B$10:$BE$252,Poeng!BE$1,FALSE)</f>
        <v>Good</v>
      </c>
      <c r="K24" s="74"/>
      <c r="L24" s="242"/>
      <c r="M24" s="694"/>
      <c r="N24" s="907"/>
      <c r="O24" s="77"/>
      <c r="P24" s="108">
        <f>VLOOKUP(D24,Poeng!$B$10:$BC$252,Poeng!AF$1,FALSE)</f>
        <v>0</v>
      </c>
      <c r="Q24" s="108" t="str">
        <f>VLOOKUP(D24,Poeng!$B$10:$BH$252,Poeng!BH$1,FALSE)</f>
        <v>Good</v>
      </c>
      <c r="R24" s="644"/>
      <c r="S24" s="645"/>
      <c r="T24" s="638"/>
      <c r="U24" s="277"/>
      <c r="V24" s="77"/>
      <c r="W24" s="108">
        <f>VLOOKUP(D24,Poeng!$B$10:$BC$252,Poeng!AG$1,FALSE)</f>
        <v>0</v>
      </c>
      <c r="X24" s="108" t="str">
        <f>VLOOKUP(D24,Poeng!$B$10:$BK$252,Poeng!BK$1,FALSE)</f>
        <v>Good</v>
      </c>
      <c r="Y24" s="75"/>
      <c r="Z24" s="74"/>
      <c r="AA24" s="638"/>
      <c r="AD24" s="20">
        <f t="shared" si="0"/>
        <v>1</v>
      </c>
      <c r="AE24" s="1" t="e">
        <f>VLOOKUP(L24,'Assessment Details'!$O$45:$P$48,2,FALSE)</f>
        <v>#N/A</v>
      </c>
      <c r="AF24" s="1" t="e">
        <f>VLOOKUP(S24,'Assessment Details'!$O$45:$P$48,2,FALSE)</f>
        <v>#N/A</v>
      </c>
      <c r="AG24" s="1" t="e">
        <f>VLOOKUP(Z24,'Assessment Details'!$O$45:$P$48,2,FALSE)</f>
        <v>#N/A</v>
      </c>
    </row>
    <row r="25" spans="1:59" x14ac:dyDescent="0.25">
      <c r="A25" s="893">
        <v>16</v>
      </c>
      <c r="B25" s="892" t="s">
        <v>61</v>
      </c>
      <c r="C25" s="109" t="s">
        <v>93</v>
      </c>
      <c r="D25" s="16" t="s">
        <v>909</v>
      </c>
      <c r="E25" s="1079" t="s">
        <v>1175</v>
      </c>
      <c r="F25" s="751" t="str">
        <f>VLOOKUP(D25,Poeng!$B$10:$R$252,Poeng!E$1,FALSE)</f>
        <v>Energy consumption from activities on the construction site (step 2-4)</v>
      </c>
      <c r="G25" s="107">
        <f>VLOOKUP(D25,Poeng!$B$10:$AB$252,Poeng!AB$1,FALSE)</f>
        <v>1</v>
      </c>
      <c r="H25" s="37"/>
      <c r="I25" s="108">
        <f>VLOOKUP(D25,Poeng!$B$10:$AE$252,Poeng!AE$1,FALSE)</f>
        <v>0</v>
      </c>
      <c r="J25" s="109" t="str">
        <f>VLOOKUP(D25,Poeng!$B$10:$BE$252,Poeng!BE$1,FALSE)</f>
        <v>Very Good</v>
      </c>
      <c r="K25" s="74"/>
      <c r="L25" s="242"/>
      <c r="M25" s="694"/>
      <c r="N25" s="907"/>
      <c r="O25" s="77"/>
      <c r="P25" s="108">
        <f>VLOOKUP(D25,Poeng!$B$10:$BC$252,Poeng!AF$1,FALSE)</f>
        <v>0</v>
      </c>
      <c r="Q25" s="108" t="str">
        <f>VLOOKUP(D25,Poeng!$B$10:$BH$252,Poeng!BH$1,FALSE)</f>
        <v>Very Good</v>
      </c>
      <c r="R25" s="644"/>
      <c r="S25" s="645"/>
      <c r="T25" s="638"/>
      <c r="U25" s="277"/>
      <c r="V25" s="77"/>
      <c r="W25" s="108">
        <f>VLOOKUP(D25,Poeng!$B$10:$BC$252,Poeng!AG$1,FALSE)</f>
        <v>0</v>
      </c>
      <c r="X25" s="108" t="str">
        <f>VLOOKUP(D25,Poeng!$B$10:$BK$252,Poeng!BK$1,FALSE)</f>
        <v>Very Good</v>
      </c>
      <c r="Y25" s="75"/>
      <c r="Z25" s="74"/>
      <c r="AA25" s="638"/>
      <c r="AD25" s="20">
        <f t="shared" si="0"/>
        <v>1</v>
      </c>
      <c r="AE25" s="1" t="e">
        <f>VLOOKUP(L25,'Assessment Details'!$O$45:$P$48,2,FALSE)</f>
        <v>#N/A</v>
      </c>
      <c r="AF25" s="1" t="e">
        <f>VLOOKUP(S25,'Assessment Details'!$O$45:$P$48,2,FALSE)</f>
        <v>#N/A</v>
      </c>
      <c r="AG25" s="1" t="e">
        <f>VLOOKUP(Z25,'Assessment Details'!$O$45:$P$48,2,FALSE)</f>
        <v>#N/A</v>
      </c>
    </row>
    <row r="26" spans="1:59" x14ac:dyDescent="0.25">
      <c r="A26" s="893">
        <v>17</v>
      </c>
      <c r="B26" s="892" t="s">
        <v>61</v>
      </c>
      <c r="C26" s="109" t="s">
        <v>93</v>
      </c>
      <c r="D26" s="16" t="s">
        <v>910</v>
      </c>
      <c r="E26" s="1079" t="s">
        <v>1176</v>
      </c>
      <c r="F26" s="751" t="str">
        <f>VLOOKUP(D26,Poeng!$B$10:$R$252,Poeng!E$1,FALSE)</f>
        <v>Energy consumption from transport of masses and waste (step 2-4)</v>
      </c>
      <c r="G26" s="107">
        <f>VLOOKUP(D26,Poeng!$B$10:$AB$252,Poeng!AB$1,FALSE)</f>
        <v>2</v>
      </c>
      <c r="H26" s="37"/>
      <c r="I26" s="108">
        <f>VLOOKUP(D26,Poeng!$B$10:$AE$252,Poeng!AE$1,FALSE)</f>
        <v>0</v>
      </c>
      <c r="J26" s="109" t="str">
        <f>VLOOKUP(D26,Poeng!$B$10:$BE$252,Poeng!BE$1,FALSE)</f>
        <v>Very Good</v>
      </c>
      <c r="K26" s="74"/>
      <c r="L26" s="242"/>
      <c r="M26" s="694"/>
      <c r="N26" s="907"/>
      <c r="O26" s="77"/>
      <c r="P26" s="108">
        <f>VLOOKUP(D26,Poeng!$B$10:$BC$252,Poeng!AF$1,FALSE)</f>
        <v>0</v>
      </c>
      <c r="Q26" s="108" t="str">
        <f>VLOOKUP(D26,Poeng!$B$10:$BH$252,Poeng!BH$1,FALSE)</f>
        <v>Very Good</v>
      </c>
      <c r="R26" s="644"/>
      <c r="S26" s="645"/>
      <c r="T26" s="638"/>
      <c r="U26" s="277"/>
      <c r="V26" s="77"/>
      <c r="W26" s="108">
        <f>VLOOKUP(D26,Poeng!$B$10:$BC$252,Poeng!AG$1,FALSE)</f>
        <v>0</v>
      </c>
      <c r="X26" s="108" t="str">
        <f>VLOOKUP(D26,Poeng!$B$10:$BK$252,Poeng!BK$1,FALSE)</f>
        <v>Very Good</v>
      </c>
      <c r="Y26" s="75"/>
      <c r="Z26" s="74"/>
      <c r="AA26" s="638"/>
      <c r="AD26" s="20">
        <f t="shared" si="0"/>
        <v>1</v>
      </c>
      <c r="AE26" s="1" t="e">
        <f>VLOOKUP(L26,'Assessment Details'!$O$45:$P$48,2,FALSE)</f>
        <v>#N/A</v>
      </c>
      <c r="AF26" s="1" t="e">
        <f>VLOOKUP(S26,'Assessment Details'!$O$45:$P$48,2,FALSE)</f>
        <v>#N/A</v>
      </c>
      <c r="AG26" s="1" t="e">
        <f>VLOOKUP(Z26,'Assessment Details'!$O$45:$P$48,2,FALSE)</f>
        <v>#N/A</v>
      </c>
    </row>
    <row r="27" spans="1:59" x14ac:dyDescent="0.25">
      <c r="A27" s="893">
        <v>18</v>
      </c>
      <c r="B27" s="892" t="s">
        <v>61</v>
      </c>
      <c r="C27" s="802" t="s">
        <v>94</v>
      </c>
      <c r="D27" s="717" t="s">
        <v>94</v>
      </c>
      <c r="E27" s="1078"/>
      <c r="F27" s="750" t="str">
        <f>VLOOKUP(D27,Poeng!$B$10:$R$252,Poeng!E$1,FALSE)</f>
        <v>Man 04 Commissioning and handover</v>
      </c>
      <c r="G27" s="755">
        <f>VLOOKUP(D27,Poeng!$B$10:$AB$252,Poeng!AB$1,FALSE)</f>
        <v>3</v>
      </c>
      <c r="H27" s="847"/>
      <c r="I27" s="756" t="str">
        <f>VLOOKUP(D27,Poeng!$B$10:$AI$252,Poeng!AI$1,FALSE)&amp;" c. "&amp;ROUND(VLOOKUP(D27,Poeng!$B$10:$AE$252,Poeng!AE$1,FALSE)*100,1)&amp;" %"</f>
        <v>0 c. 0 %</v>
      </c>
      <c r="J27" s="802" t="str">
        <f>VLOOKUP(D27,Poeng!$B$10:$BE$252,Poeng!BE$1,FALSE)</f>
        <v>N/A</v>
      </c>
      <c r="K27" s="74"/>
      <c r="L27" s="242"/>
      <c r="M27" s="694"/>
      <c r="N27" s="712"/>
      <c r="O27" s="847"/>
      <c r="P27" s="766" t="str">
        <f>VLOOKUP(D27,Poeng!$B$10:$BC$252,Poeng!AJ$1,FALSE)&amp;" c. "&amp;ROUND(VLOOKUP(D27,Poeng!$B$10:$BC$252,Poeng!AF$1,FALSE)*100,1)&amp;" %"</f>
        <v>0 c. 0 %</v>
      </c>
      <c r="Q27" s="108" t="str">
        <f>VLOOKUP(D27,Poeng!$B$10:$BH$252,Poeng!BH$1,FALSE)</f>
        <v>N/A</v>
      </c>
      <c r="R27" s="644"/>
      <c r="S27" s="645"/>
      <c r="T27" s="638"/>
      <c r="U27" s="277"/>
      <c r="V27" s="847"/>
      <c r="W27" s="766" t="str">
        <f>VLOOKUP(D27,Poeng!$B$10:$BC$252,Poeng!AK$1,FALSE)&amp;" c. "&amp;ROUND(VLOOKUP(D27,Poeng!$B$10:$BC$252,Poeng!AG$1,FALSE)*100,1)&amp;" %"</f>
        <v>0 c. 0 %</v>
      </c>
      <c r="X27" s="108" t="str">
        <f>VLOOKUP(D27,Poeng!$B$10:$BK$252,Poeng!BK$1,FALSE)</f>
        <v>N/A</v>
      </c>
      <c r="Y27" s="75"/>
      <c r="Z27" s="74"/>
      <c r="AA27" s="638"/>
      <c r="AB27" s="117"/>
      <c r="AC27" s="556" t="s">
        <v>12</v>
      </c>
      <c r="AD27" s="20">
        <f t="shared" si="0"/>
        <v>1</v>
      </c>
      <c r="AE27" s="1" t="e">
        <f>VLOOKUP(L27,'Assessment Details'!$O$45:$P$48,2,FALSE)</f>
        <v>#N/A</v>
      </c>
      <c r="AF27" s="1" t="e">
        <f>VLOOKUP(S27,'Assessment Details'!$O$45:$P$48,2,FALSE)</f>
        <v>#N/A</v>
      </c>
      <c r="AG27" s="1" t="e">
        <f>VLOOKUP(Z27,'Assessment Details'!$O$45:$P$48,2,FALSE)</f>
        <v>#N/A</v>
      </c>
      <c r="AJ27" s="64"/>
      <c r="AK27" s="582" t="s">
        <v>395</v>
      </c>
      <c r="AL27" s="562" t="s">
        <v>405</v>
      </c>
      <c r="AM27" s="562" t="s">
        <v>406</v>
      </c>
      <c r="AN27" s="562" t="s">
        <v>407</v>
      </c>
      <c r="AO27" s="64"/>
      <c r="AP27" s="64"/>
      <c r="AQ27" s="64"/>
      <c r="AS27" s="1" t="s">
        <v>12</v>
      </c>
      <c r="AT27" s="20" t="str">
        <f t="shared" si="3"/>
        <v>N/A</v>
      </c>
      <c r="AU27" s="20" t="str">
        <f t="shared" si="1"/>
        <v>N/A</v>
      </c>
      <c r="AV27" s="20" t="str">
        <f t="shared" si="2"/>
        <v>N/A</v>
      </c>
      <c r="AW27" s="20"/>
      <c r="AX27" s="20"/>
      <c r="AY27" s="20"/>
      <c r="AZ27" s="15"/>
      <c r="BA27" s="556"/>
      <c r="BB27" s="15"/>
      <c r="BC27" s="15"/>
      <c r="BD27" s="15"/>
      <c r="BE27" s="15"/>
      <c r="BF27" s="15"/>
      <c r="BG27" s="15"/>
    </row>
    <row r="28" spans="1:59" x14ac:dyDescent="0.25">
      <c r="A28" s="893">
        <v>19</v>
      </c>
      <c r="B28" s="892" t="s">
        <v>61</v>
      </c>
      <c r="C28" s="109" t="s">
        <v>94</v>
      </c>
      <c r="D28" s="16" t="s">
        <v>721</v>
      </c>
      <c r="E28" s="1079" t="s">
        <v>1173</v>
      </c>
      <c r="F28" s="751" t="str">
        <f>VLOOKUP(D28,Poeng!$B$10:$R$252,Poeng!E$1,FALSE)</f>
        <v xml:space="preserve">Commissioning - testing schedule and responsibilities </v>
      </c>
      <c r="G28" s="107">
        <f>VLOOKUP(D28,Poeng!$B$10:$AB$252,Poeng!AB$1,FALSE)</f>
        <v>1</v>
      </c>
      <c r="H28" s="37"/>
      <c r="I28" s="108">
        <f>VLOOKUP(D28,Poeng!$B$10:$AE$252,Poeng!AE$1,FALSE)</f>
        <v>0</v>
      </c>
      <c r="J28" s="109" t="str">
        <f>VLOOKUP(D28,Poeng!$B$10:$BE$252,Poeng!BE$1,FALSE)</f>
        <v>Unclassified</v>
      </c>
      <c r="K28" s="74"/>
      <c r="L28" s="242"/>
      <c r="M28" s="694"/>
      <c r="N28" s="907"/>
      <c r="O28" s="77"/>
      <c r="P28" s="108">
        <f>VLOOKUP(D28,Poeng!$B$10:$BC$252,Poeng!AF$1,FALSE)</f>
        <v>0</v>
      </c>
      <c r="Q28" s="108" t="str">
        <f>VLOOKUP(D28,Poeng!$B$10:$BH$252,Poeng!BH$1,FALSE)</f>
        <v>Unclassified</v>
      </c>
      <c r="R28" s="644"/>
      <c r="S28" s="645"/>
      <c r="T28" s="638"/>
      <c r="U28" s="277"/>
      <c r="V28" s="77"/>
      <c r="W28" s="108">
        <f>VLOOKUP(D28,Poeng!$B$10:$BC$252,Poeng!AG$1,FALSE)</f>
        <v>0</v>
      </c>
      <c r="X28" s="108" t="str">
        <f>VLOOKUP(D28,Poeng!$B$10:$BK$252,Poeng!BK$1,FALSE)</f>
        <v>Unclassified</v>
      </c>
      <c r="Y28" s="75"/>
      <c r="Z28" s="74"/>
      <c r="AA28" s="638"/>
      <c r="AD28" s="20">
        <f t="shared" si="0"/>
        <v>1</v>
      </c>
      <c r="AE28" s="1" t="e">
        <f>VLOOKUP(L28,'Assessment Details'!$O$45:$P$48,2,FALSE)</f>
        <v>#N/A</v>
      </c>
      <c r="AF28" s="1" t="e">
        <f>VLOOKUP(S28,'Assessment Details'!$O$45:$P$48,2,FALSE)</f>
        <v>#N/A</v>
      </c>
      <c r="AG28" s="1" t="e">
        <f>VLOOKUP(Z28,'Assessment Details'!$O$45:$P$48,2,FALSE)</f>
        <v>#N/A</v>
      </c>
    </row>
    <row r="29" spans="1:59" x14ac:dyDescent="0.25">
      <c r="A29" s="893">
        <v>20</v>
      </c>
      <c r="B29" s="892" t="s">
        <v>61</v>
      </c>
      <c r="C29" s="109" t="s">
        <v>94</v>
      </c>
      <c r="D29" s="16" t="s">
        <v>722</v>
      </c>
      <c r="E29" s="1079" t="s">
        <v>1179</v>
      </c>
      <c r="F29" s="751" t="str">
        <f>VLOOKUP(D29,Poeng!$B$10:$R$252,Poeng!E$1,FALSE)</f>
        <v>Commissioning - design, preperation and implementation</v>
      </c>
      <c r="G29" s="107">
        <f>VLOOKUP(D29,Poeng!$B$10:$AB$252,Poeng!AB$1,FALSE)</f>
        <v>1</v>
      </c>
      <c r="H29" s="37"/>
      <c r="I29" s="108">
        <f>VLOOKUP(D29,Poeng!$B$10:$AE$252,Poeng!AE$1,FALSE)</f>
        <v>0</v>
      </c>
      <c r="J29" s="109" t="str">
        <f>VLOOKUP(D29,Poeng!$B$10:$BE$252,Poeng!BE$1,FALSE)</f>
        <v>N/A</v>
      </c>
      <c r="K29" s="74"/>
      <c r="L29" s="242"/>
      <c r="M29" s="694"/>
      <c r="N29" s="907"/>
      <c r="O29" s="77"/>
      <c r="P29" s="108">
        <f>VLOOKUP(D29,Poeng!$B$10:$BC$252,Poeng!AF$1,FALSE)</f>
        <v>0</v>
      </c>
      <c r="Q29" s="108" t="str">
        <f>VLOOKUP(D29,Poeng!$B$10:$BH$252,Poeng!BH$1,FALSE)</f>
        <v>N/A</v>
      </c>
      <c r="R29" s="644"/>
      <c r="S29" s="645"/>
      <c r="T29" s="638"/>
      <c r="U29" s="277"/>
      <c r="V29" s="77"/>
      <c r="W29" s="108">
        <f>VLOOKUP(D29,Poeng!$B$10:$BC$252,Poeng!AG$1,FALSE)</f>
        <v>0</v>
      </c>
      <c r="X29" s="108" t="str">
        <f>VLOOKUP(D29,Poeng!$B$10:$BK$252,Poeng!BK$1,FALSE)</f>
        <v>N/A</v>
      </c>
      <c r="Y29" s="75"/>
      <c r="Z29" s="74"/>
      <c r="AA29" s="638"/>
      <c r="AD29" s="20">
        <f t="shared" si="0"/>
        <v>1</v>
      </c>
      <c r="AE29" s="1" t="e">
        <f>VLOOKUP(L29,'Assessment Details'!$O$45:$P$48,2,FALSE)</f>
        <v>#N/A</v>
      </c>
      <c r="AF29" s="1" t="e">
        <f>VLOOKUP(S29,'Assessment Details'!$O$45:$P$48,2,FALSE)</f>
        <v>#N/A</v>
      </c>
      <c r="AG29" s="1" t="e">
        <f>VLOOKUP(Z29,'Assessment Details'!$O$45:$P$48,2,FALSE)</f>
        <v>#N/A</v>
      </c>
    </row>
    <row r="30" spans="1:59" x14ac:dyDescent="0.25">
      <c r="A30" s="893">
        <v>21</v>
      </c>
      <c r="B30" s="892" t="s">
        <v>61</v>
      </c>
      <c r="C30" s="109" t="s">
        <v>94</v>
      </c>
      <c r="D30" s="16" t="s">
        <v>723</v>
      </c>
      <c r="E30" s="1079" t="s">
        <v>1180</v>
      </c>
      <c r="F30" s="751" t="str">
        <f>VLOOKUP(D30,Poeng!$B$10:$R$252,Poeng!E$1,FALSE)</f>
        <v>Prepare for good handover</v>
      </c>
      <c r="G30" s="107">
        <f>VLOOKUP(D30,Poeng!$B$10:$AB$252,Poeng!AB$1,FALSE)</f>
        <v>1</v>
      </c>
      <c r="H30" s="37"/>
      <c r="I30" s="108">
        <f>VLOOKUP(D30,Poeng!$B$10:$AE$252,Poeng!AE$1,FALSE)</f>
        <v>0</v>
      </c>
      <c r="J30" s="109" t="str">
        <f>VLOOKUP(D30,Poeng!$B$10:$BE$252,Poeng!BE$1,FALSE)</f>
        <v>Good</v>
      </c>
      <c r="K30" s="74"/>
      <c r="L30" s="242"/>
      <c r="M30" s="694"/>
      <c r="N30" s="907"/>
      <c r="O30" s="77"/>
      <c r="P30" s="108">
        <f>VLOOKUP(D30,Poeng!$B$10:$BC$252,Poeng!AF$1,FALSE)</f>
        <v>0</v>
      </c>
      <c r="Q30" s="108" t="str">
        <f>VLOOKUP(D30,Poeng!$B$10:$BH$252,Poeng!BH$1,FALSE)</f>
        <v>Good</v>
      </c>
      <c r="R30" s="644"/>
      <c r="S30" s="645"/>
      <c r="T30" s="638"/>
      <c r="U30" s="277"/>
      <c r="V30" s="77"/>
      <c r="W30" s="108">
        <f>VLOOKUP(D30,Poeng!$B$10:$BC$252,Poeng!AG$1,FALSE)</f>
        <v>0</v>
      </c>
      <c r="X30" s="108" t="str">
        <f>VLOOKUP(D30,Poeng!$B$10:$BK$252,Poeng!BK$1,FALSE)</f>
        <v>Good</v>
      </c>
      <c r="Y30" s="75"/>
      <c r="Z30" s="74"/>
      <c r="AA30" s="638"/>
      <c r="AD30" s="20">
        <f t="shared" si="0"/>
        <v>1</v>
      </c>
      <c r="AE30" s="1" t="e">
        <f>VLOOKUP(L30,'Assessment Details'!$O$45:$P$48,2,FALSE)</f>
        <v>#N/A</v>
      </c>
      <c r="AF30" s="1" t="e">
        <f>VLOOKUP(S30,'Assessment Details'!$O$45:$P$48,2,FALSE)</f>
        <v>#N/A</v>
      </c>
      <c r="AG30" s="1" t="e">
        <f>VLOOKUP(Z30,'Assessment Details'!$O$45:$P$48,2,FALSE)</f>
        <v>#N/A</v>
      </c>
    </row>
    <row r="31" spans="1:59" x14ac:dyDescent="0.25">
      <c r="A31" s="893">
        <v>22</v>
      </c>
      <c r="B31" s="892" t="s">
        <v>61</v>
      </c>
      <c r="C31" s="802" t="s">
        <v>95</v>
      </c>
      <c r="D31" s="717" t="s">
        <v>95</v>
      </c>
      <c r="E31" s="1078"/>
      <c r="F31" s="750" t="str">
        <f>VLOOKUP(D31,Poeng!$B$10:$R$252,Poeng!E$1,FALSE)</f>
        <v>Man 05 Aftercare</v>
      </c>
      <c r="G31" s="755">
        <f>VLOOKUP(D31,Poeng!$B$10:$AB$252,Poeng!AB$1,FALSE)</f>
        <v>3</v>
      </c>
      <c r="H31" s="847"/>
      <c r="I31" s="756" t="str">
        <f>VLOOKUP(D31,Poeng!$B$10:$AI$252,Poeng!AI$1,FALSE)&amp;" c. "&amp;ROUND(VLOOKUP(D31,Poeng!$B$10:$AE$252,Poeng!AE$1,FALSE)*100,1)&amp;" %"</f>
        <v>0 c. 0 %</v>
      </c>
      <c r="J31" s="802" t="str">
        <f>VLOOKUP(D31,Poeng!$B$10:$BE$252,Poeng!BE$1,FALSE)</f>
        <v>N/A</v>
      </c>
      <c r="K31" s="74"/>
      <c r="L31" s="242"/>
      <c r="M31" s="694"/>
      <c r="N31" s="712"/>
      <c r="O31" s="847"/>
      <c r="P31" s="766" t="str">
        <f>VLOOKUP(D31,Poeng!$B$10:$BC$252,Poeng!AJ$1,FALSE)&amp;" c. "&amp;ROUND(VLOOKUP(D31,Poeng!$B$10:$BC$252,Poeng!AF$1,FALSE)*100,1)&amp;" %"</f>
        <v>0 c. 0 %</v>
      </c>
      <c r="Q31" s="108" t="str">
        <f>VLOOKUP(D31,Poeng!$B$10:$BH$252,Poeng!BH$1,FALSE)</f>
        <v>N/A</v>
      </c>
      <c r="R31" s="644"/>
      <c r="S31" s="645"/>
      <c r="T31" s="638"/>
      <c r="U31" s="277"/>
      <c r="V31" s="847"/>
      <c r="W31" s="766" t="str">
        <f>VLOOKUP(D31,Poeng!$B$10:$BC$252,Poeng!AK$1,FALSE)&amp;" c. "&amp;ROUND(VLOOKUP(D31,Poeng!$B$10:$BC$252,Poeng!AG$1,FALSE)*100,1)&amp;" %"</f>
        <v>0 c. 0 %</v>
      </c>
      <c r="X31" s="108" t="str">
        <f>VLOOKUP(D31,Poeng!$B$10:$BK$252,Poeng!BK$1,FALSE)</f>
        <v>N/A</v>
      </c>
      <c r="Y31" s="75"/>
      <c r="Z31" s="74"/>
      <c r="AA31" s="638"/>
      <c r="AB31" s="117"/>
      <c r="AC31" s="556" t="s">
        <v>12</v>
      </c>
      <c r="AD31" s="20">
        <f t="shared" si="0"/>
        <v>1</v>
      </c>
      <c r="AE31" s="1" t="e">
        <f>VLOOKUP(L31,'Assessment Details'!$O$45:$P$48,2,FALSE)</f>
        <v>#N/A</v>
      </c>
      <c r="AF31" s="1" t="e">
        <f>VLOOKUP(S31,'Assessment Details'!$O$45:$P$48,2,FALSE)</f>
        <v>#N/A</v>
      </c>
      <c r="AG31" s="1" t="e">
        <f>VLOOKUP(Z31,'Assessment Details'!$O$45:$P$48,2,FALSE)</f>
        <v>#N/A</v>
      </c>
      <c r="AH31" s="8"/>
      <c r="AJ31" s="64"/>
      <c r="AK31" s="582" t="s">
        <v>308</v>
      </c>
      <c r="AL31" s="562" t="s">
        <v>405</v>
      </c>
      <c r="AM31" s="562" t="s">
        <v>407</v>
      </c>
      <c r="AN31" s="64"/>
      <c r="AO31" s="64"/>
      <c r="AP31" s="64"/>
      <c r="AQ31" s="64"/>
      <c r="AS31" s="1" t="s">
        <v>12</v>
      </c>
      <c r="AT31" s="20" t="str">
        <f t="shared" si="3"/>
        <v>N/A</v>
      </c>
      <c r="AU31" s="20" t="str">
        <f t="shared" si="1"/>
        <v>N/A</v>
      </c>
      <c r="AV31" s="20" t="str">
        <f t="shared" si="2"/>
        <v>N/A</v>
      </c>
      <c r="AW31" s="20"/>
      <c r="AX31" s="20"/>
      <c r="AY31" s="20"/>
      <c r="AZ31" s="15"/>
      <c r="BA31" s="556"/>
      <c r="BB31" s="15"/>
      <c r="BC31" s="15"/>
      <c r="BD31" s="15"/>
      <c r="BE31" s="15"/>
      <c r="BF31" s="15"/>
      <c r="BG31" s="15"/>
    </row>
    <row r="32" spans="1:59" x14ac:dyDescent="0.25">
      <c r="A32" s="893">
        <v>23</v>
      </c>
      <c r="B32" s="892" t="s">
        <v>61</v>
      </c>
      <c r="C32" s="109" t="s">
        <v>95</v>
      </c>
      <c r="D32" s="16" t="s">
        <v>724</v>
      </c>
      <c r="E32" s="1079" t="s">
        <v>1181</v>
      </c>
      <c r="F32" s="751" t="str">
        <f>VLOOKUP(D32,Poeng!$B$10:$R$252,Poeng!E$1,FALSE)</f>
        <v>Aftercare support</v>
      </c>
      <c r="G32" s="107">
        <f>VLOOKUP(D32,Poeng!$B$10:$AB$252,Poeng!AB$1,FALSE)</f>
        <v>1</v>
      </c>
      <c r="H32" s="37"/>
      <c r="I32" s="108">
        <f>VLOOKUP(D32,Poeng!$B$10:$AE$252,Poeng!AE$1,FALSE)</f>
        <v>0</v>
      </c>
      <c r="J32" s="109" t="str">
        <f>VLOOKUP(D32,Poeng!$B$10:$BE$252,Poeng!BE$1,FALSE)</f>
        <v>N/A</v>
      </c>
      <c r="K32" s="74"/>
      <c r="L32" s="242"/>
      <c r="M32" s="694"/>
      <c r="N32" s="907"/>
      <c r="O32" s="77"/>
      <c r="P32" s="108">
        <f>VLOOKUP(D32,Poeng!$B$10:$BC$252,Poeng!AF$1,FALSE)</f>
        <v>0</v>
      </c>
      <c r="Q32" s="108" t="str">
        <f>VLOOKUP(D32,Poeng!$B$10:$BH$252,Poeng!BH$1,FALSE)</f>
        <v>N/A</v>
      </c>
      <c r="R32" s="644"/>
      <c r="S32" s="645"/>
      <c r="T32" s="638"/>
      <c r="U32" s="277"/>
      <c r="V32" s="77"/>
      <c r="W32" s="108">
        <f>VLOOKUP(D32,Poeng!$B$10:$BC$252,Poeng!AG$1,FALSE)</f>
        <v>0</v>
      </c>
      <c r="X32" s="108" t="str">
        <f>VLOOKUP(D32,Poeng!$B$10:$BK$252,Poeng!BK$1,FALSE)</f>
        <v>N/A</v>
      </c>
      <c r="Y32" s="75"/>
      <c r="Z32" s="74"/>
      <c r="AA32" s="638"/>
      <c r="AD32" s="20">
        <f t="shared" si="0"/>
        <v>1</v>
      </c>
      <c r="AE32" s="1" t="e">
        <f>VLOOKUP(L32,'Assessment Details'!$O$45:$P$48,2,FALSE)</f>
        <v>#N/A</v>
      </c>
      <c r="AF32" s="1" t="e">
        <f>VLOOKUP(S32,'Assessment Details'!$O$45:$P$48,2,FALSE)</f>
        <v>#N/A</v>
      </c>
      <c r="AG32" s="1" t="e">
        <f>VLOOKUP(Z32,'Assessment Details'!$O$45:$P$48,2,FALSE)</f>
        <v>#N/A</v>
      </c>
    </row>
    <row r="33" spans="1:59" x14ac:dyDescent="0.25">
      <c r="A33" s="893">
        <v>24</v>
      </c>
      <c r="B33" s="892" t="s">
        <v>61</v>
      </c>
      <c r="C33" s="109" t="s">
        <v>95</v>
      </c>
      <c r="D33" s="16" t="s">
        <v>725</v>
      </c>
      <c r="E33" s="1078" t="s">
        <v>1182</v>
      </c>
      <c r="F33" s="751" t="str">
        <f>VLOOKUP(D33,Poeng!$B$10:$R$252,Poeng!E$1,FALSE)</f>
        <v>Sesonal commisioning</v>
      </c>
      <c r="G33" s="107">
        <f>VLOOKUP(D33,Poeng!$B$10:$AB$252,Poeng!AB$1,FALSE)</f>
        <v>1</v>
      </c>
      <c r="H33" s="37"/>
      <c r="I33" s="108">
        <f>VLOOKUP(D33,Poeng!$B$10:$AE$252,Poeng!AE$1,FALSE)</f>
        <v>0</v>
      </c>
      <c r="J33" s="109" t="str">
        <f>VLOOKUP(D33,Poeng!$B$10:$BE$252,Poeng!BE$1,FALSE)</f>
        <v>Very Good</v>
      </c>
      <c r="K33" s="74"/>
      <c r="L33" s="242"/>
      <c r="M33" s="694"/>
      <c r="N33" s="907"/>
      <c r="O33" s="77"/>
      <c r="P33" s="108">
        <f>VLOOKUP(D33,Poeng!$B$10:$BC$252,Poeng!AF$1,FALSE)</f>
        <v>0</v>
      </c>
      <c r="Q33" s="108" t="str">
        <f>VLOOKUP(D33,Poeng!$B$10:$BH$252,Poeng!BH$1,FALSE)</f>
        <v>Very Good</v>
      </c>
      <c r="R33" s="644"/>
      <c r="S33" s="645"/>
      <c r="T33" s="638"/>
      <c r="U33" s="277"/>
      <c r="V33" s="77"/>
      <c r="W33" s="108">
        <f>VLOOKUP(D33,Poeng!$B$10:$BC$252,Poeng!AG$1,FALSE)</f>
        <v>0</v>
      </c>
      <c r="X33" s="108" t="str">
        <f>VLOOKUP(D33,Poeng!$B$10:$BK$252,Poeng!BK$1,FALSE)</f>
        <v>Very Good</v>
      </c>
      <c r="Y33" s="75"/>
      <c r="Z33" s="74"/>
      <c r="AA33" s="638"/>
      <c r="AD33" s="20">
        <f t="shared" si="0"/>
        <v>1</v>
      </c>
      <c r="AE33" s="1" t="e">
        <f>VLOOKUP(L33,'Assessment Details'!$O$45:$P$48,2,FALSE)</f>
        <v>#N/A</v>
      </c>
      <c r="AF33" s="1" t="e">
        <f>VLOOKUP(S33,'Assessment Details'!$O$45:$P$48,2,FALSE)</f>
        <v>#N/A</v>
      </c>
      <c r="AG33" s="1" t="e">
        <f>VLOOKUP(Z33,'Assessment Details'!$O$45:$P$48,2,FALSE)</f>
        <v>#N/A</v>
      </c>
    </row>
    <row r="34" spans="1:59" x14ac:dyDescent="0.25">
      <c r="A34" s="893">
        <v>25</v>
      </c>
      <c r="B34" s="892" t="s">
        <v>61</v>
      </c>
      <c r="C34" s="109" t="s">
        <v>95</v>
      </c>
      <c r="D34" s="16" t="s">
        <v>726</v>
      </c>
      <c r="E34" s="1079" t="s">
        <v>1174</v>
      </c>
      <c r="F34" s="751" t="str">
        <f>VLOOKUP(D34,Poeng!$B$10:$R$252,Poeng!E$1,FALSE)</f>
        <v>Post-occypancy evaluation</v>
      </c>
      <c r="G34" s="107">
        <f>VLOOKUP(D34,Poeng!$B$10:$AB$252,Poeng!AB$1,FALSE)</f>
        <v>1</v>
      </c>
      <c r="H34" s="37"/>
      <c r="I34" s="108">
        <f>VLOOKUP(D34,Poeng!$B$10:$AE$252,Poeng!AE$1,FALSE)</f>
        <v>0</v>
      </c>
      <c r="J34" s="109" t="str">
        <f>VLOOKUP(D34,Poeng!$B$10:$BE$252,Poeng!BE$1,FALSE)</f>
        <v>N/A</v>
      </c>
      <c r="K34" s="74"/>
      <c r="L34" s="242"/>
      <c r="M34" s="694"/>
      <c r="N34" s="907"/>
      <c r="O34" s="77"/>
      <c r="P34" s="108">
        <f>VLOOKUP(D34,Poeng!$B$10:$BC$252,Poeng!AF$1,FALSE)</f>
        <v>0</v>
      </c>
      <c r="Q34" s="108" t="str">
        <f>VLOOKUP(D34,Poeng!$B$10:$BH$252,Poeng!BH$1,FALSE)</f>
        <v>N/A</v>
      </c>
      <c r="R34" s="644"/>
      <c r="S34" s="645"/>
      <c r="T34" s="638"/>
      <c r="U34" s="277"/>
      <c r="V34" s="77"/>
      <c r="W34" s="108">
        <f>VLOOKUP(D34,Poeng!$B$10:$BC$252,Poeng!AG$1,FALSE)</f>
        <v>0</v>
      </c>
      <c r="X34" s="108" t="str">
        <f>VLOOKUP(D34,Poeng!$B$10:$BK$252,Poeng!BK$1,FALSE)</f>
        <v>N/A</v>
      </c>
      <c r="Y34" s="75"/>
      <c r="Z34" s="74"/>
      <c r="AA34" s="638"/>
      <c r="AD34" s="20">
        <f t="shared" si="0"/>
        <v>1</v>
      </c>
      <c r="AE34" s="1" t="e">
        <f>VLOOKUP(L34,'Assessment Details'!$O$45:$P$48,2,FALSE)</f>
        <v>#N/A</v>
      </c>
      <c r="AF34" s="1" t="e">
        <f>VLOOKUP(S34,'Assessment Details'!$O$45:$P$48,2,FALSE)</f>
        <v>#N/A</v>
      </c>
      <c r="AG34" s="1" t="e">
        <f>VLOOKUP(Z34,'Assessment Details'!$O$45:$P$48,2,FALSE)</f>
        <v>#N/A</v>
      </c>
    </row>
    <row r="35" spans="1:59" ht="15.75" thickBot="1" x14ac:dyDescent="0.3">
      <c r="A35" s="893">
        <v>26</v>
      </c>
      <c r="B35" s="892" t="s">
        <v>61</v>
      </c>
      <c r="C35" s="897"/>
      <c r="D35" s="16" t="s">
        <v>1204</v>
      </c>
      <c r="E35" s="1080"/>
      <c r="F35" s="278" t="s">
        <v>102</v>
      </c>
      <c r="G35" s="110">
        <f>Man_Credits</f>
        <v>21</v>
      </c>
      <c r="H35" s="803"/>
      <c r="I35" s="111">
        <f>Man_cont_tot</f>
        <v>0</v>
      </c>
      <c r="J35" s="757" t="str">
        <f>"Credits achieved: "&amp;Man_tot_user</f>
        <v>Credits achieved: 0</v>
      </c>
      <c r="K35" s="118"/>
      <c r="L35" s="243"/>
      <c r="M35" s="646"/>
      <c r="N35" s="712"/>
      <c r="O35" s="335"/>
      <c r="P35" s="111">
        <f>VLOOKUP(D35,Poeng!$B$10:$BC$252,Poeng!AF$1,FALSE)</f>
        <v>0</v>
      </c>
      <c r="Q35" s="757" t="str">
        <f>"Credits achieved: "&amp;Man_d_user</f>
        <v>Credits achieved: 0</v>
      </c>
      <c r="R35" s="647"/>
      <c r="S35" s="648"/>
      <c r="T35" s="646"/>
      <c r="U35" s="277"/>
      <c r="V35" s="335"/>
      <c r="W35" s="111">
        <f>VLOOKUP(D35,Poeng!$B$10:$BC$252,Poeng!AG$1,FALSE)</f>
        <v>0</v>
      </c>
      <c r="X35" s="757" t="str">
        <f>"Credits achieved: "&amp;Man_c_user</f>
        <v>Credits achieved: 0</v>
      </c>
      <c r="Y35" s="334"/>
      <c r="Z35" s="119"/>
      <c r="AA35" s="646"/>
      <c r="AB35" s="117"/>
      <c r="AC35" s="557"/>
      <c r="AD35" s="20">
        <f t="shared" si="0"/>
        <v>1</v>
      </c>
      <c r="AE35" s="239">
        <v>0</v>
      </c>
      <c r="AF35" s="239">
        <v>0</v>
      </c>
      <c r="AG35" s="239">
        <v>0</v>
      </c>
      <c r="AH35" s="8"/>
      <c r="AJ35" s="64"/>
      <c r="AK35" s="582" t="s">
        <v>102</v>
      </c>
      <c r="AL35" s="64"/>
      <c r="AM35" s="64"/>
      <c r="AN35" s="64"/>
      <c r="AO35" s="64"/>
      <c r="AP35" s="64"/>
      <c r="AQ35" s="64"/>
      <c r="AT35" s="20" t="str">
        <f t="shared" si="3"/>
        <v>N/A</v>
      </c>
      <c r="AU35" s="20" t="str">
        <f t="shared" si="1"/>
        <v>N/A</v>
      </c>
      <c r="AV35" s="20" t="str">
        <f t="shared" si="2"/>
        <v>N/A</v>
      </c>
      <c r="AW35" s="20"/>
      <c r="AX35" s="20"/>
      <c r="AY35" s="20"/>
      <c r="AZ35" s="15"/>
      <c r="BA35" s="557"/>
      <c r="BB35" s="15"/>
      <c r="BC35" s="15"/>
      <c r="BD35" s="15"/>
      <c r="BE35" s="15"/>
      <c r="BF35" s="15"/>
      <c r="BG35" s="15"/>
    </row>
    <row r="36" spans="1:59" x14ac:dyDescent="0.25">
      <c r="A36" s="893">
        <v>27</v>
      </c>
      <c r="B36" s="892" t="s">
        <v>61</v>
      </c>
      <c r="C36" s="280"/>
      <c r="D36" s="717"/>
      <c r="E36" s="1081"/>
      <c r="F36" s="279"/>
      <c r="G36" s="280"/>
      <c r="H36" s="281"/>
      <c r="I36" s="280"/>
      <c r="J36" s="280"/>
      <c r="K36" s="282"/>
      <c r="L36" s="281"/>
      <c r="M36" s="649"/>
      <c r="N36" s="712"/>
      <c r="O36" s="283"/>
      <c r="P36" s="283"/>
      <c r="Q36" s="649"/>
      <c r="R36" s="649"/>
      <c r="S36" s="650"/>
      <c r="T36" s="649"/>
      <c r="U36" s="277"/>
      <c r="V36" s="283"/>
      <c r="W36" s="283"/>
      <c r="X36" s="649"/>
      <c r="Y36" s="282"/>
      <c r="Z36" s="283"/>
      <c r="AA36" s="649"/>
      <c r="AB36" s="117"/>
      <c r="AC36" s="282"/>
      <c r="AD36" s="20">
        <f t="shared" si="0"/>
        <v>1</v>
      </c>
      <c r="AE36" s="240">
        <v>0</v>
      </c>
      <c r="AF36" s="240">
        <v>0</v>
      </c>
      <c r="AG36" s="240">
        <v>0</v>
      </c>
      <c r="AJ36" s="64"/>
      <c r="AK36" s="583"/>
      <c r="AL36" s="64"/>
      <c r="AM36" s="64"/>
      <c r="AN36" s="64"/>
      <c r="AO36" s="64"/>
      <c r="AP36" s="64"/>
      <c r="AQ36" s="64"/>
      <c r="AT36" s="20" t="str">
        <f t="shared" si="3"/>
        <v>N/A</v>
      </c>
      <c r="AU36" s="20" t="str">
        <f t="shared" si="1"/>
        <v>N/A</v>
      </c>
      <c r="AV36" s="20" t="str">
        <f t="shared" si="2"/>
        <v>N/A</v>
      </c>
      <c r="AW36" s="20"/>
      <c r="AX36" s="20"/>
      <c r="AY36" s="20"/>
      <c r="BA36" s="282"/>
    </row>
    <row r="37" spans="1:59" ht="18.75" x14ac:dyDescent="0.25">
      <c r="A37" s="893">
        <v>28</v>
      </c>
      <c r="B37" s="894" t="s">
        <v>64</v>
      </c>
      <c r="C37" s="898"/>
      <c r="D37" s="717"/>
      <c r="E37" s="1076"/>
      <c r="F37" s="284" t="s">
        <v>44</v>
      </c>
      <c r="G37" s="273"/>
      <c r="H37" s="274"/>
      <c r="I37" s="273"/>
      <c r="J37" s="273"/>
      <c r="K37" s="285"/>
      <c r="L37" s="286"/>
      <c r="M37" s="641"/>
      <c r="N37" s="712"/>
      <c r="O37" s="290"/>
      <c r="P37" s="289"/>
      <c r="Q37" s="642"/>
      <c r="R37" s="642"/>
      <c r="S37" s="651"/>
      <c r="T37" s="643"/>
      <c r="U37" s="277"/>
      <c r="V37" s="290"/>
      <c r="W37" s="289"/>
      <c r="X37" s="642"/>
      <c r="Y37" s="288"/>
      <c r="Z37" s="289"/>
      <c r="AA37" s="641"/>
      <c r="AB37" s="117"/>
      <c r="AC37" s="287"/>
      <c r="AD37" s="20">
        <f t="shared" si="0"/>
        <v>1</v>
      </c>
      <c r="AE37" s="238">
        <v>0</v>
      </c>
      <c r="AF37" s="238">
        <v>0</v>
      </c>
      <c r="AG37" s="238">
        <v>0</v>
      </c>
      <c r="AJ37" s="64"/>
      <c r="AK37" s="583" t="s">
        <v>44</v>
      </c>
      <c r="AL37" s="64"/>
      <c r="AM37" s="64"/>
      <c r="AN37" s="64"/>
      <c r="AO37" s="64"/>
      <c r="AP37" s="64"/>
      <c r="AQ37" s="64"/>
      <c r="AT37" s="20" t="str">
        <f t="shared" si="3"/>
        <v>N/A</v>
      </c>
      <c r="AU37" s="20" t="str">
        <f t="shared" si="1"/>
        <v>N/A</v>
      </c>
      <c r="AV37" s="20" t="str">
        <f t="shared" si="2"/>
        <v>N/A</v>
      </c>
      <c r="AW37" s="20"/>
      <c r="AX37" s="20"/>
      <c r="AY37" s="20"/>
      <c r="BA37" s="287"/>
    </row>
    <row r="38" spans="1:59" x14ac:dyDescent="0.25">
      <c r="A38" s="893">
        <v>29</v>
      </c>
      <c r="B38" s="894" t="s">
        <v>64</v>
      </c>
      <c r="C38" s="802" t="s">
        <v>116</v>
      </c>
      <c r="D38" s="717" t="s">
        <v>116</v>
      </c>
      <c r="E38" s="1078"/>
      <c r="F38" s="750" t="str">
        <f>VLOOKUP(D38,Poeng!$B$10:$R$252,Poeng!E$1,FALSE)</f>
        <v>Hea 01 Visual comfort</v>
      </c>
      <c r="G38" s="755">
        <f>VLOOKUP(D38,Poeng!$B$10:$AB$252,Poeng!AB$1,FALSE)</f>
        <v>7</v>
      </c>
      <c r="H38" s="846"/>
      <c r="I38" s="756" t="str">
        <f>VLOOKUP(D38,Poeng!$B$10:$AI$252,Poeng!AI$1,FALSE)&amp;" c. "&amp;ROUND(VLOOKUP(D38,Poeng!$B$10:$AE$252,Poeng!AE$1,FALSE)*100,1)&amp;" %"</f>
        <v>0 c. 0 %</v>
      </c>
      <c r="J38" s="801" t="str">
        <f>VLOOKUP(D38,Poeng!$B$10:$BE$252,Poeng!BE$1,FALSE)</f>
        <v>N/A</v>
      </c>
      <c r="K38" s="763"/>
      <c r="L38" s="764"/>
      <c r="M38" s="765"/>
      <c r="N38" s="712"/>
      <c r="O38" s="847"/>
      <c r="P38" s="766" t="str">
        <f>VLOOKUP(D38,Poeng!$B$10:$BC$252,Poeng!AJ$1,FALSE)&amp;" c. "&amp;ROUND(VLOOKUP(D38,Poeng!$B$10:$BC$252,Poeng!AF$1,FALSE)*100,1)&amp;" %"</f>
        <v>0 c. 0 %</v>
      </c>
      <c r="Q38" s="108" t="str">
        <f>VLOOKUP(D38,Poeng!$B$10:$BH$252,Poeng!BH$1,FALSE)</f>
        <v>N/A</v>
      </c>
      <c r="R38" s="644"/>
      <c r="S38" s="645"/>
      <c r="T38" s="638"/>
      <c r="U38" s="277"/>
      <c r="V38" s="847"/>
      <c r="W38" s="766" t="str">
        <f>VLOOKUP(D38,Poeng!$B$10:$BC$252,Poeng!AK$1,FALSE)&amp;" c. "&amp;ROUND(VLOOKUP(D38,Poeng!$B$10:$BC$252,Poeng!AG$1,FALSE)*100,1)&amp;" %"</f>
        <v>0 c. 0 %</v>
      </c>
      <c r="X38" s="108" t="str">
        <f>VLOOKUP(D38,Poeng!$B$10:$BK$252,Poeng!BK$1,FALSE)</f>
        <v>N/A</v>
      </c>
      <c r="Y38" s="75"/>
      <c r="Z38" s="74"/>
      <c r="AA38" s="638"/>
      <c r="AB38" s="117"/>
      <c r="AC38" s="592" t="s">
        <v>12</v>
      </c>
      <c r="AD38" s="20">
        <f t="shared" si="0"/>
        <v>1</v>
      </c>
      <c r="AE38" s="1" t="e">
        <f>VLOOKUP(L38,'Assessment Details'!$O$45:$P$48,2,FALSE)</f>
        <v>#N/A</v>
      </c>
      <c r="AF38" s="1" t="e">
        <f>VLOOKUP(S38,'Assessment Details'!$O$45:$P$48,2,FALSE)</f>
        <v>#N/A</v>
      </c>
      <c r="AG38" s="1" t="e">
        <f>VLOOKUP(Z38,'Assessment Details'!$O$45:$P$48,2,FALSE)</f>
        <v>#N/A</v>
      </c>
      <c r="AJ38" s="64" t="str">
        <f>ais_ja</f>
        <v>Ja</v>
      </c>
      <c r="AK38" s="583" t="s">
        <v>114</v>
      </c>
      <c r="AL38" s="563" t="s">
        <v>442</v>
      </c>
      <c r="AM38" s="563" t="s">
        <v>440</v>
      </c>
      <c r="AN38" s="563" t="s">
        <v>441</v>
      </c>
      <c r="AO38" s="563" t="s">
        <v>455</v>
      </c>
      <c r="AP38" s="563" t="s">
        <v>454</v>
      </c>
      <c r="AQ38" s="563" t="s">
        <v>456</v>
      </c>
      <c r="AS38" s="1" t="str">
        <f>IF($AK$8=ais_nei,AIS_NA,"No")</f>
        <v>No</v>
      </c>
      <c r="AT38" s="20" t="str">
        <f t="shared" ref="AT38:AY38" si="4">IF(OR($AK$4=ais_nei,$AK$8=ais_nei),AIS_NA,IF(AL38="",AIS_NA,AL38))</f>
        <v>N/A</v>
      </c>
      <c r="AU38" s="20" t="str">
        <f t="shared" si="4"/>
        <v>N/A</v>
      </c>
      <c r="AV38" s="20" t="str">
        <f t="shared" si="4"/>
        <v>N/A</v>
      </c>
      <c r="AW38" s="20" t="str">
        <f t="shared" si="4"/>
        <v>N/A</v>
      </c>
      <c r="AX38" s="20" t="str">
        <f t="shared" si="4"/>
        <v>N/A</v>
      </c>
      <c r="AY38" s="20" t="str">
        <f t="shared" si="4"/>
        <v>N/A</v>
      </c>
      <c r="BA38" s="556"/>
    </row>
    <row r="39" spans="1:59" x14ac:dyDescent="0.25">
      <c r="A39" s="893">
        <v>30</v>
      </c>
      <c r="B39" s="894" t="s">
        <v>64</v>
      </c>
      <c r="C39" s="109" t="str">
        <f>C38</f>
        <v>Hea 01</v>
      </c>
      <c r="D39" s="717" t="s">
        <v>727</v>
      </c>
      <c r="E39" s="1079" t="s">
        <v>1181</v>
      </c>
      <c r="F39" s="751" t="str">
        <f>VLOOKUP(D39,Poeng!$B$10:$R$252,Poeng!E$1,FALSE)</f>
        <v>Pre-requisite: limitation of light flicker and stroboscopic effect</v>
      </c>
      <c r="G39" s="107" t="str">
        <f>VLOOKUP(D39,Poeng!$B$10:$AB$252,Poeng!AB$1,FALSE)</f>
        <v>Yes/No</v>
      </c>
      <c r="H39" s="37"/>
      <c r="I39" s="108" t="str">
        <f>VLOOKUP(D39,Poeng!$B$10:$AE$252,Poeng!AE$1,FALSE)</f>
        <v>-</v>
      </c>
      <c r="J39" s="109" t="str">
        <f>VLOOKUP(D39,Poeng!$B$10:$BE$252,Poeng!BE$1,FALSE)</f>
        <v>Unclassified</v>
      </c>
      <c r="K39" s="926"/>
      <c r="L39" s="927"/>
      <c r="M39" s="928"/>
      <c r="N39" s="712"/>
      <c r="O39" s="77"/>
      <c r="P39" s="108" t="str">
        <f>VLOOKUP(D39,Poeng!$B$10:$BC$252,Poeng!AF$1,FALSE)</f>
        <v>-</v>
      </c>
      <c r="Q39" s="108" t="str">
        <f>VLOOKUP(D39,Poeng!$B$10:$BH$252,Poeng!BH$1,FALSE)</f>
        <v>Unclassified</v>
      </c>
      <c r="R39" s="644"/>
      <c r="S39" s="645"/>
      <c r="T39" s="638"/>
      <c r="U39" s="277"/>
      <c r="V39" s="77"/>
      <c r="W39" s="108" t="str">
        <f>VLOOKUP(D39,Poeng!$B$10:$BC$252,Poeng!AG$1,FALSE)</f>
        <v>-</v>
      </c>
      <c r="X39" s="108" t="str">
        <f>VLOOKUP(D39,Poeng!$B$10:$BK$252,Poeng!BK$1,FALSE)</f>
        <v>Unclassified</v>
      </c>
      <c r="Y39" s="75"/>
      <c r="Z39" s="74"/>
      <c r="AA39" s="638"/>
      <c r="AB39" s="117"/>
      <c r="AC39" s="592"/>
      <c r="AD39" s="20">
        <f t="shared" ref="AD39" si="5">IF(G39="",1,IF(G39=0,2,1))</f>
        <v>1</v>
      </c>
      <c r="AE39" s="1" t="e">
        <f>VLOOKUP(L39,'Assessment Details'!$O$45:$P$48,2,FALSE)</f>
        <v>#N/A</v>
      </c>
      <c r="AF39" s="1" t="e">
        <f>VLOOKUP(S39,'Assessment Details'!$O$45:$P$48,2,FALSE)</f>
        <v>#N/A</v>
      </c>
      <c r="AG39" s="1" t="e">
        <f>VLOOKUP(Z39,'Assessment Details'!$O$45:$P$48,2,FALSE)</f>
        <v>#N/A</v>
      </c>
      <c r="AJ39" s="64"/>
      <c r="AK39" s="583"/>
      <c r="AL39" s="563"/>
      <c r="AM39" s="563"/>
      <c r="AN39" s="563"/>
      <c r="AO39" s="563"/>
      <c r="AP39" s="563"/>
      <c r="AQ39" s="563"/>
      <c r="AT39" s="20"/>
      <c r="AU39" s="20"/>
      <c r="AV39" s="20"/>
      <c r="AW39" s="20"/>
      <c r="AX39" s="20"/>
      <c r="AY39" s="20"/>
      <c r="BA39" s="556"/>
    </row>
    <row r="40" spans="1:59" x14ac:dyDescent="0.25">
      <c r="A40" s="893">
        <v>31</v>
      </c>
      <c r="B40" s="894" t="s">
        <v>64</v>
      </c>
      <c r="C40" s="109" t="str">
        <f>C39</f>
        <v>Hea 01</v>
      </c>
      <c r="D40" s="717" t="s">
        <v>1029</v>
      </c>
      <c r="E40" s="1078">
        <v>3</v>
      </c>
      <c r="F40" s="751" t="str">
        <f>VLOOKUP(D40,Poeng!$B$10:$R$252,Poeng!E$1,FALSE)</f>
        <v>Pre-requisite: daylight assessments</v>
      </c>
      <c r="G40" s="107" t="str">
        <f>VLOOKUP(D40,Poeng!$B$10:$AB$252,Poeng!AB$1,FALSE)</f>
        <v>Yes/No</v>
      </c>
      <c r="H40" s="37"/>
      <c r="I40" s="108" t="str">
        <f>VLOOKUP(D40,Poeng!$B$10:$AE$252,Poeng!AE$1,FALSE)</f>
        <v>-</v>
      </c>
      <c r="J40" s="109" t="str">
        <f>VLOOKUP(D40,Poeng!$B$10:$BE$252,Poeng!BE$1,FALSE)</f>
        <v>Unclassified</v>
      </c>
      <c r="K40" s="926"/>
      <c r="L40" s="927"/>
      <c r="M40" s="928"/>
      <c r="N40" s="712"/>
      <c r="O40" s="77"/>
      <c r="P40" s="108" t="str">
        <f>VLOOKUP(D40,Poeng!$B$10:$BC$252,Poeng!AF$1,FALSE)</f>
        <v>-</v>
      </c>
      <c r="Q40" s="108" t="str">
        <f>VLOOKUP(D40,Poeng!$B$10:$BH$252,Poeng!BH$1,FALSE)</f>
        <v>Unclassified</v>
      </c>
      <c r="R40" s="644"/>
      <c r="S40" s="645"/>
      <c r="T40" s="638"/>
      <c r="U40" s="277"/>
      <c r="V40" s="77"/>
      <c r="W40" s="108" t="str">
        <f>VLOOKUP(D40,Poeng!$B$10:$BC$252,Poeng!AG$1,FALSE)</f>
        <v>-</v>
      </c>
      <c r="X40" s="108" t="str">
        <f>VLOOKUP(D40,Poeng!$B$10:$BK$252,Poeng!BK$1,FALSE)</f>
        <v>Unclassified</v>
      </c>
      <c r="Y40" s="75"/>
      <c r="Z40" s="74"/>
      <c r="AA40" s="638"/>
      <c r="AB40" s="117"/>
      <c r="AC40" s="592"/>
      <c r="AD40" s="20">
        <f t="shared" ref="AD40" si="6">IF(G40="",1,IF(G40=0,2,1))</f>
        <v>1</v>
      </c>
      <c r="AE40" s="1" t="e">
        <f>VLOOKUP(L40,'Assessment Details'!$O$45:$P$48,2,FALSE)</f>
        <v>#N/A</v>
      </c>
      <c r="AF40" s="1" t="e">
        <f>VLOOKUP(S40,'Assessment Details'!$O$45:$P$48,2,FALSE)</f>
        <v>#N/A</v>
      </c>
      <c r="AG40" s="1" t="e">
        <f>VLOOKUP(Z40,'Assessment Details'!$O$45:$P$48,2,FALSE)</f>
        <v>#N/A</v>
      </c>
      <c r="AJ40" s="64"/>
      <c r="AK40" s="583"/>
      <c r="AL40" s="563"/>
      <c r="AM40" s="563"/>
      <c r="AN40" s="563"/>
      <c r="AO40" s="563"/>
      <c r="AP40" s="563"/>
      <c r="AQ40" s="563"/>
      <c r="AT40" s="20"/>
      <c r="AU40" s="20"/>
      <c r="AV40" s="20"/>
      <c r="AW40" s="20"/>
      <c r="AX40" s="20"/>
      <c r="AY40" s="20"/>
      <c r="BA40" s="556"/>
    </row>
    <row r="41" spans="1:59" x14ac:dyDescent="0.25">
      <c r="A41" s="893">
        <v>32</v>
      </c>
      <c r="B41" s="894" t="s">
        <v>64</v>
      </c>
      <c r="C41" s="109" t="str">
        <f>C38</f>
        <v>Hea 01</v>
      </c>
      <c r="D41" s="717" t="s">
        <v>728</v>
      </c>
      <c r="E41" s="1078">
        <v>4</v>
      </c>
      <c r="F41" s="751" t="str">
        <f>VLOOKUP(D41,Poeng!$B$10:$R$252,Poeng!E$1,FALSE)</f>
        <v>Daylighting</v>
      </c>
      <c r="G41" s="107">
        <f>VLOOKUP(D41,Poeng!$B$10:$AB$252,Poeng!AB$1,FALSE)</f>
        <v>3</v>
      </c>
      <c r="H41" s="37"/>
      <c r="I41" s="108">
        <f>VLOOKUP(D41,Poeng!$B$10:$AE$252,Poeng!AE$1,FALSE)</f>
        <v>0</v>
      </c>
      <c r="J41" s="109" t="str">
        <f>VLOOKUP(D41,Poeng!$B$10:$BE$252,Poeng!BE$1,FALSE)</f>
        <v>N/A</v>
      </c>
      <c r="K41" s="74"/>
      <c r="L41" s="242"/>
      <c r="M41" s="694"/>
      <c r="N41" s="712"/>
      <c r="O41" s="77"/>
      <c r="P41" s="108">
        <f>VLOOKUP(D41,Poeng!$B$10:$BC$252,Poeng!AF$1,FALSE)</f>
        <v>0</v>
      </c>
      <c r="Q41" s="108" t="str">
        <f>VLOOKUP(D41,Poeng!$B$10:$BH$252,Poeng!BH$1,FALSE)</f>
        <v>N/A</v>
      </c>
      <c r="R41" s="644"/>
      <c r="S41" s="645"/>
      <c r="T41" s="638"/>
      <c r="U41" s="277"/>
      <c r="V41" s="77"/>
      <c r="W41" s="108">
        <f>VLOOKUP(D41,Poeng!$B$10:$BC$252,Poeng!AG$1,FALSE)</f>
        <v>0</v>
      </c>
      <c r="X41" s="108" t="str">
        <f>VLOOKUP(D41,Poeng!$B$10:$BK$252,Poeng!BK$1,FALSE)</f>
        <v>N/A</v>
      </c>
      <c r="Y41" s="75"/>
      <c r="Z41" s="74"/>
      <c r="AA41" s="638"/>
      <c r="AB41" s="117"/>
      <c r="AC41" s="592"/>
      <c r="AD41" s="20">
        <f t="shared" si="0"/>
        <v>1</v>
      </c>
      <c r="AE41" s="1" t="e">
        <f>VLOOKUP(L41,'Assessment Details'!$O$45:$P$48,2,FALSE)</f>
        <v>#N/A</v>
      </c>
      <c r="AF41" s="1" t="e">
        <f>VLOOKUP(S41,'Assessment Details'!$O$45:$P$48,2,FALSE)</f>
        <v>#N/A</v>
      </c>
      <c r="AG41" s="1" t="e">
        <f>VLOOKUP(Z41,'Assessment Details'!$O$45:$P$48,2,FALSE)</f>
        <v>#N/A</v>
      </c>
      <c r="AJ41" s="64"/>
      <c r="AK41" s="583"/>
      <c r="AL41" s="563"/>
      <c r="AM41" s="563"/>
      <c r="AN41" s="563"/>
      <c r="AO41" s="563"/>
      <c r="AP41" s="563"/>
      <c r="AQ41" s="563"/>
      <c r="AT41" s="20"/>
      <c r="AU41" s="20"/>
      <c r="AV41" s="20"/>
      <c r="AW41" s="20"/>
      <c r="AX41" s="20"/>
      <c r="AY41" s="20"/>
      <c r="BA41" s="556"/>
    </row>
    <row r="42" spans="1:59" x14ac:dyDescent="0.25">
      <c r="A42" s="893">
        <v>33</v>
      </c>
      <c r="B42" s="894" t="s">
        <v>64</v>
      </c>
      <c r="C42" s="109" t="str">
        <f t="shared" ref="C42:C91" si="7">C41</f>
        <v>Hea 01</v>
      </c>
      <c r="D42" s="717" t="s">
        <v>729</v>
      </c>
      <c r="E42" s="1079" t="s">
        <v>1179</v>
      </c>
      <c r="F42" s="751" t="str">
        <f>VLOOKUP(D42,Poeng!$B$10:$R$252,Poeng!E$1,FALSE)</f>
        <v xml:space="preserve">Control of glare from sunlight </v>
      </c>
      <c r="G42" s="107">
        <f>VLOOKUP(D42,Poeng!$B$10:$AB$252,Poeng!AB$1,FALSE)</f>
        <v>1</v>
      </c>
      <c r="H42" s="37"/>
      <c r="I42" s="108">
        <f>VLOOKUP(D42,Poeng!$B$10:$AE$252,Poeng!AE$1,FALSE)</f>
        <v>0</v>
      </c>
      <c r="J42" s="109" t="str">
        <f>VLOOKUP(D42,Poeng!$B$10:$BE$252,Poeng!BE$1,FALSE)</f>
        <v>N/A</v>
      </c>
      <c r="K42" s="74"/>
      <c r="L42" s="242"/>
      <c r="M42" s="694"/>
      <c r="N42" s="712"/>
      <c r="O42" s="77"/>
      <c r="P42" s="108">
        <f>VLOOKUP(D42,Poeng!$B$10:$BC$252,Poeng!AF$1,FALSE)</f>
        <v>0</v>
      </c>
      <c r="Q42" s="108" t="str">
        <f>VLOOKUP(D42,Poeng!$B$10:$BH$252,Poeng!BH$1,FALSE)</f>
        <v>N/A</v>
      </c>
      <c r="R42" s="644"/>
      <c r="S42" s="645"/>
      <c r="T42" s="638"/>
      <c r="U42" s="277"/>
      <c r="V42" s="77"/>
      <c r="W42" s="108">
        <f>VLOOKUP(D42,Poeng!$B$10:$BC$252,Poeng!AG$1,FALSE)</f>
        <v>0</v>
      </c>
      <c r="X42" s="108" t="str">
        <f>VLOOKUP(D42,Poeng!$B$10:$BK$252,Poeng!BK$1,FALSE)</f>
        <v>N/A</v>
      </c>
      <c r="Y42" s="75"/>
      <c r="Z42" s="74"/>
      <c r="AA42" s="638"/>
      <c r="AB42" s="117"/>
      <c r="AC42" s="592"/>
      <c r="AD42" s="20">
        <f t="shared" si="0"/>
        <v>1</v>
      </c>
      <c r="AE42" s="1" t="e">
        <f>VLOOKUP(L42,'Assessment Details'!$O$45:$P$48,2,FALSE)</f>
        <v>#N/A</v>
      </c>
      <c r="AF42" s="1" t="e">
        <f>VLOOKUP(S42,'Assessment Details'!$O$45:$P$48,2,FALSE)</f>
        <v>#N/A</v>
      </c>
      <c r="AG42" s="1" t="e">
        <f>VLOOKUP(Z42,'Assessment Details'!$O$45:$P$48,2,FALSE)</f>
        <v>#N/A</v>
      </c>
      <c r="AJ42" s="64"/>
      <c r="AK42" s="583"/>
      <c r="AL42" s="563"/>
      <c r="AM42" s="563"/>
      <c r="AN42" s="563"/>
      <c r="AO42" s="563"/>
      <c r="AP42" s="563"/>
      <c r="AQ42" s="563"/>
      <c r="AT42" s="20"/>
      <c r="AU42" s="20"/>
      <c r="AV42" s="20"/>
      <c r="AW42" s="20"/>
      <c r="AX42" s="20"/>
      <c r="AY42" s="20"/>
      <c r="BA42" s="556"/>
    </row>
    <row r="43" spans="1:59" x14ac:dyDescent="0.25">
      <c r="A43" s="893">
        <v>34</v>
      </c>
      <c r="B43" s="894" t="s">
        <v>64</v>
      </c>
      <c r="C43" s="109" t="str">
        <f t="shared" si="7"/>
        <v>Hea 01</v>
      </c>
      <c r="D43" s="717" t="s">
        <v>730</v>
      </c>
      <c r="E43" s="1079" t="s">
        <v>1180</v>
      </c>
      <c r="F43" s="751" t="str">
        <f>VLOOKUP(D43,Poeng!$B$10:$R$252,Poeng!E$1,FALSE)</f>
        <v xml:space="preserve">View out </v>
      </c>
      <c r="G43" s="107">
        <f>VLOOKUP(D43,Poeng!$B$10:$AB$252,Poeng!AB$1,FALSE)</f>
        <v>1</v>
      </c>
      <c r="H43" s="37"/>
      <c r="I43" s="108">
        <f>VLOOKUP(D43,Poeng!$B$10:$AE$252,Poeng!AE$1,FALSE)</f>
        <v>0</v>
      </c>
      <c r="J43" s="109" t="str">
        <f>VLOOKUP(D43,Poeng!$B$10:$BE$252,Poeng!BE$1,FALSE)</f>
        <v>N/A</v>
      </c>
      <c r="K43" s="74"/>
      <c r="L43" s="242"/>
      <c r="M43" s="694"/>
      <c r="N43" s="712"/>
      <c r="O43" s="77"/>
      <c r="P43" s="108">
        <f>VLOOKUP(D43,Poeng!$B$10:$BC$252,Poeng!AF$1,FALSE)</f>
        <v>0</v>
      </c>
      <c r="Q43" s="108" t="str">
        <f>VLOOKUP(D43,Poeng!$B$10:$BH$252,Poeng!BH$1,FALSE)</f>
        <v>N/A</v>
      </c>
      <c r="R43" s="644"/>
      <c r="S43" s="645"/>
      <c r="T43" s="694"/>
      <c r="U43" s="277"/>
      <c r="V43" s="77"/>
      <c r="W43" s="108">
        <f>VLOOKUP(D43,Poeng!$B$10:$BC$252,Poeng!AG$1,FALSE)</f>
        <v>0</v>
      </c>
      <c r="X43" s="108" t="str">
        <f>VLOOKUP(D43,Poeng!$B$10:$BK$252,Poeng!BK$1,FALSE)</f>
        <v>N/A</v>
      </c>
      <c r="Y43" s="75"/>
      <c r="Z43" s="74"/>
      <c r="AA43" s="694"/>
      <c r="AB43" s="117"/>
      <c r="AC43" s="592"/>
      <c r="AD43" s="20">
        <f t="shared" si="0"/>
        <v>1</v>
      </c>
      <c r="AE43" s="1" t="e">
        <f>VLOOKUP(L43,'Assessment Details'!$O$45:$P$48,2,FALSE)</f>
        <v>#N/A</v>
      </c>
      <c r="AF43" s="1" t="e">
        <f>VLOOKUP(S43,'Assessment Details'!$O$45:$P$48,2,FALSE)</f>
        <v>#N/A</v>
      </c>
      <c r="AG43" s="1" t="e">
        <f>VLOOKUP(Z43,'Assessment Details'!$O$45:$P$48,2,FALSE)</f>
        <v>#N/A</v>
      </c>
      <c r="AJ43" s="64"/>
      <c r="AK43" s="583"/>
      <c r="AL43" s="563"/>
      <c r="AM43" s="563"/>
      <c r="AN43" s="563"/>
      <c r="AO43" s="563"/>
      <c r="AP43" s="563"/>
      <c r="AQ43" s="563"/>
      <c r="AT43" s="20"/>
      <c r="AU43" s="20"/>
      <c r="AV43" s="20"/>
      <c r="AW43" s="20"/>
      <c r="AX43" s="20"/>
      <c r="AY43" s="20"/>
      <c r="BA43" s="556"/>
    </row>
    <row r="44" spans="1:59" x14ac:dyDescent="0.25">
      <c r="A44" s="893">
        <v>35</v>
      </c>
      <c r="B44" s="894" t="s">
        <v>64</v>
      </c>
      <c r="C44" s="109" t="str">
        <f t="shared" si="7"/>
        <v>Hea 01</v>
      </c>
      <c r="D44" s="717" t="s">
        <v>731</v>
      </c>
      <c r="E44" s="1078">
        <v>10</v>
      </c>
      <c r="F44" s="751" t="str">
        <f>VLOOKUP(D44,Poeng!$B$10:$R$252,Poeng!E$1,FALSE)</f>
        <v xml:space="preserve">Sunlight </v>
      </c>
      <c r="G44" s="107">
        <f>VLOOKUP(D44,Poeng!$B$10:$AB$252,Poeng!AB$1,FALSE)</f>
        <v>1</v>
      </c>
      <c r="H44" s="37"/>
      <c r="I44" s="108">
        <f>VLOOKUP(D44,Poeng!$B$10:$AE$252,Poeng!AE$1,FALSE)</f>
        <v>0</v>
      </c>
      <c r="J44" s="109" t="str">
        <f>VLOOKUP(D44,Poeng!$B$10:$BE$252,Poeng!BE$1,FALSE)</f>
        <v>N/A</v>
      </c>
      <c r="K44" s="74"/>
      <c r="L44" s="242"/>
      <c r="M44" s="694"/>
      <c r="N44" s="712"/>
      <c r="O44" s="77"/>
      <c r="P44" s="108">
        <f>VLOOKUP(D44,Poeng!$B$10:$BC$252,Poeng!AF$1,FALSE)</f>
        <v>0</v>
      </c>
      <c r="Q44" s="108" t="str">
        <f>VLOOKUP(D44,Poeng!$B$10:$BH$252,Poeng!BH$1,FALSE)</f>
        <v>N/A</v>
      </c>
      <c r="R44" s="644"/>
      <c r="S44" s="645"/>
      <c r="T44" s="694"/>
      <c r="U44" s="277"/>
      <c r="V44" s="77"/>
      <c r="W44" s="108">
        <f>VLOOKUP(D44,Poeng!$B$10:$BC$252,Poeng!AG$1,FALSE)</f>
        <v>0</v>
      </c>
      <c r="X44" s="108" t="str">
        <f>VLOOKUP(D44,Poeng!$B$10:$BK$252,Poeng!BK$1,FALSE)</f>
        <v>N/A</v>
      </c>
      <c r="Y44" s="75"/>
      <c r="Z44" s="74"/>
      <c r="AA44" s="694"/>
      <c r="AB44" s="117"/>
      <c r="AC44" s="592"/>
      <c r="AD44" s="20">
        <f t="shared" si="0"/>
        <v>1</v>
      </c>
      <c r="AE44" s="1" t="e">
        <f>VLOOKUP(L44,'Assessment Details'!$O$45:$P$48,2,FALSE)</f>
        <v>#N/A</v>
      </c>
      <c r="AF44" s="1" t="e">
        <f>VLOOKUP(S44,'Assessment Details'!$O$45:$P$48,2,FALSE)</f>
        <v>#N/A</v>
      </c>
      <c r="AG44" s="1" t="e">
        <f>VLOOKUP(Z44,'Assessment Details'!$O$45:$P$48,2,FALSE)</f>
        <v>#N/A</v>
      </c>
      <c r="AJ44" s="64"/>
      <c r="AK44" s="583"/>
      <c r="AL44" s="563"/>
      <c r="AM44" s="563"/>
      <c r="AN44" s="563"/>
      <c r="AO44" s="563"/>
      <c r="AP44" s="563"/>
      <c r="AQ44" s="563"/>
      <c r="AT44" s="20"/>
      <c r="AU44" s="20"/>
      <c r="AV44" s="20"/>
      <c r="AW44" s="20"/>
      <c r="AX44" s="20"/>
      <c r="AY44" s="20"/>
      <c r="BA44" s="556"/>
    </row>
    <row r="45" spans="1:59" x14ac:dyDescent="0.25">
      <c r="A45" s="893">
        <v>36</v>
      </c>
      <c r="B45" s="894" t="s">
        <v>64</v>
      </c>
      <c r="C45" s="109" t="str">
        <f t="shared" si="7"/>
        <v>Hea 01</v>
      </c>
      <c r="D45" s="717" t="s">
        <v>955</v>
      </c>
      <c r="E45" s="1079" t="s">
        <v>1183</v>
      </c>
      <c r="F45" s="751" t="str">
        <f>VLOOKUP(D45,Poeng!$B$10:$R$252,Poeng!E$1,FALSE)</f>
        <v xml:space="preserve">Internal and external lighting levels, zoning and control </v>
      </c>
      <c r="G45" s="107">
        <f>VLOOKUP(D45,Poeng!$B$10:$AB$252,Poeng!AB$1,FALSE)</f>
        <v>1</v>
      </c>
      <c r="H45" s="37"/>
      <c r="I45" s="108">
        <f>VLOOKUP(D45,Poeng!$B$10:$AE$252,Poeng!AE$1,FALSE)</f>
        <v>0</v>
      </c>
      <c r="J45" s="109" t="str">
        <f>VLOOKUP(D45,Poeng!$B$10:$BE$252,Poeng!BE$1,FALSE)</f>
        <v>N/A</v>
      </c>
      <c r="K45" s="74"/>
      <c r="L45" s="242"/>
      <c r="M45" s="694"/>
      <c r="N45" s="712"/>
      <c r="O45" s="77"/>
      <c r="P45" s="108">
        <f>VLOOKUP(D45,Poeng!$B$10:$BC$252,Poeng!AF$1,FALSE)</f>
        <v>0</v>
      </c>
      <c r="Q45" s="108" t="str">
        <f>VLOOKUP(D45,Poeng!$B$10:$BH$252,Poeng!BH$1,FALSE)</f>
        <v>N/A</v>
      </c>
      <c r="R45" s="644"/>
      <c r="S45" s="645"/>
      <c r="T45" s="638"/>
      <c r="U45" s="277"/>
      <c r="V45" s="77"/>
      <c r="W45" s="108">
        <f>VLOOKUP(D45,Poeng!$B$10:$BC$252,Poeng!AG$1,FALSE)</f>
        <v>0</v>
      </c>
      <c r="X45" s="108" t="str">
        <f>VLOOKUP(D45,Poeng!$B$10:$BK$252,Poeng!BK$1,FALSE)</f>
        <v>N/A</v>
      </c>
      <c r="Y45" s="75"/>
      <c r="Z45" s="74"/>
      <c r="AA45" s="638"/>
      <c r="AB45" s="117"/>
      <c r="AC45" s="592"/>
      <c r="AD45" s="20">
        <f t="shared" si="0"/>
        <v>1</v>
      </c>
      <c r="AE45" s="1" t="e">
        <f>VLOOKUP(L45,'Assessment Details'!$O$45:$P$48,2,FALSE)</f>
        <v>#N/A</v>
      </c>
      <c r="AF45" s="1" t="e">
        <f>VLOOKUP(S45,'Assessment Details'!$O$45:$P$48,2,FALSE)</f>
        <v>#N/A</v>
      </c>
      <c r="AG45" s="1" t="e">
        <f>VLOOKUP(Z45,'Assessment Details'!$O$45:$P$48,2,FALSE)</f>
        <v>#N/A</v>
      </c>
      <c r="AJ45" s="64"/>
      <c r="AK45" s="583"/>
      <c r="AL45" s="563"/>
      <c r="AM45" s="563"/>
      <c r="AN45" s="563"/>
      <c r="AO45" s="563"/>
      <c r="AP45" s="563"/>
      <c r="AQ45" s="563"/>
      <c r="AT45" s="20"/>
      <c r="AU45" s="20"/>
      <c r="AV45" s="20"/>
      <c r="AW45" s="20"/>
      <c r="AX45" s="20"/>
      <c r="AY45" s="20"/>
      <c r="BA45" s="556"/>
    </row>
    <row r="46" spans="1:59" ht="14.25" customHeight="1" x14ac:dyDescent="0.25">
      <c r="A46" s="893">
        <v>37</v>
      </c>
      <c r="B46" s="894" t="s">
        <v>64</v>
      </c>
      <c r="C46" s="802" t="s">
        <v>117</v>
      </c>
      <c r="D46" s="717" t="s">
        <v>117</v>
      </c>
      <c r="E46" s="1078"/>
      <c r="F46" s="750" t="str">
        <f>VLOOKUP(D46,Poeng!$B$10:$R$252,Poeng!E$1,FALSE)</f>
        <v>Hea 02 Indoor air quality</v>
      </c>
      <c r="G46" s="755">
        <f>VLOOKUP(D46,Poeng!$B$10:$AB$252,Poeng!AB$1,FALSE)</f>
        <v>4</v>
      </c>
      <c r="H46" s="847"/>
      <c r="I46" s="756" t="str">
        <f>VLOOKUP(D46,Poeng!$B$10:$AI$252,Poeng!AI$1,FALSE)&amp;" c. "&amp;ROUND(VLOOKUP(D46,Poeng!$B$10:$AE$252,Poeng!AE$1,FALSE)*100,1)&amp;" %"</f>
        <v>0 c. 0 %</v>
      </c>
      <c r="J46" s="802" t="str">
        <f>VLOOKUP(D46,Poeng!$B$10:$BE$252,Poeng!BE$1,FALSE)</f>
        <v>N/A</v>
      </c>
      <c r="K46" s="74"/>
      <c r="L46" s="242"/>
      <c r="M46" s="694"/>
      <c r="N46" s="712"/>
      <c r="O46" s="847"/>
      <c r="P46" s="766" t="str">
        <f>VLOOKUP(D46,Poeng!$B$10:$BC$252,Poeng!AJ$1,FALSE)&amp;" c. "&amp;ROUND(VLOOKUP(D46,Poeng!$B$10:$BC$252,Poeng!AF$1,FALSE)*100,1)&amp;" %"</f>
        <v>0 c. 0 %</v>
      </c>
      <c r="Q46" s="108" t="str">
        <f>VLOOKUP(D46,Poeng!$B$10:$BH$252,Poeng!BH$1,FALSE)</f>
        <v>N/A</v>
      </c>
      <c r="R46" s="644"/>
      <c r="S46" s="645"/>
      <c r="T46" s="638"/>
      <c r="U46" s="277"/>
      <c r="V46" s="847"/>
      <c r="W46" s="766" t="str">
        <f>VLOOKUP(D46,Poeng!$B$10:$BC$252,Poeng!AK$1,FALSE)&amp;" c. "&amp;ROUND(VLOOKUP(D46,Poeng!$B$10:$BC$252,Poeng!AG$1,FALSE)*100,1)&amp;" %"</f>
        <v>0 c. 0 %</v>
      </c>
      <c r="X46" s="108" t="str">
        <f>VLOOKUP(D46,Poeng!$B$10:$BK$252,Poeng!BK$1,FALSE)</f>
        <v>N/A</v>
      </c>
      <c r="Y46" s="75"/>
      <c r="Z46" s="74"/>
      <c r="AA46" s="638"/>
      <c r="AB46" s="117"/>
      <c r="AC46" s="556" t="s">
        <v>445</v>
      </c>
      <c r="AD46" s="20">
        <f t="shared" si="0"/>
        <v>1</v>
      </c>
      <c r="AE46" s="1" t="e">
        <f>VLOOKUP(L46,'Assessment Details'!$O$45:$P$48,2,FALSE)</f>
        <v>#N/A</v>
      </c>
      <c r="AF46" s="1" t="e">
        <f>VLOOKUP(S46,'Assessment Details'!$O$45:$P$48,2,FALSE)</f>
        <v>#N/A</v>
      </c>
      <c r="AG46" s="1" t="e">
        <f>VLOOKUP(Z46,'Assessment Details'!$O$45:$P$48,2,FALSE)</f>
        <v>#N/A</v>
      </c>
      <c r="AJ46" s="64" t="str">
        <f>ais_ja</f>
        <v>Ja</v>
      </c>
      <c r="AK46" s="583" t="s">
        <v>111</v>
      </c>
      <c r="AL46" s="563" t="s">
        <v>443</v>
      </c>
      <c r="AM46" s="563" t="s">
        <v>444</v>
      </c>
      <c r="AN46" s="563" t="s">
        <v>445</v>
      </c>
      <c r="AO46" s="563" t="s">
        <v>446</v>
      </c>
      <c r="AP46" s="563" t="s">
        <v>437</v>
      </c>
      <c r="AQ46" s="563"/>
      <c r="AS46" s="1" t="s">
        <v>12</v>
      </c>
      <c r="AT46" s="20" t="str">
        <f t="shared" si="3"/>
        <v>N/A</v>
      </c>
      <c r="AU46" s="20" t="str">
        <f t="shared" si="1"/>
        <v>N/A</v>
      </c>
      <c r="AV46" s="20" t="str">
        <f t="shared" si="2"/>
        <v>N/A</v>
      </c>
      <c r="AW46" s="20" t="str">
        <f t="shared" ref="AW46" si="8">IF($AK$4=ais_nei,AIS_NA,IF(AO46="",AIS_NA,AO46))</f>
        <v>N/A</v>
      </c>
      <c r="AX46" s="20" t="str">
        <f t="shared" ref="AX46" si="9">IF($AK$4=ais_nei,AIS_NA,IF(AP46="",AIS_NA,AP46))</f>
        <v>N/A</v>
      </c>
      <c r="AY46" s="20"/>
      <c r="BA46" s="556"/>
    </row>
    <row r="47" spans="1:59" x14ac:dyDescent="0.25">
      <c r="A47" s="893">
        <v>38</v>
      </c>
      <c r="B47" s="894" t="s">
        <v>64</v>
      </c>
      <c r="C47" s="109" t="str">
        <f t="shared" si="7"/>
        <v>Hea 02</v>
      </c>
      <c r="D47" s="16" t="s">
        <v>732</v>
      </c>
      <c r="E47" s="1079" t="s">
        <v>1181</v>
      </c>
      <c r="F47" s="751" t="str">
        <f>VLOOKUP(D47,Poeng!$B$10:$R$252,Poeng!E$1,FALSE)</f>
        <v>Pre-requisite: A site-specific indoor air quality plan has been produced</v>
      </c>
      <c r="G47" s="107" t="str">
        <f>VLOOKUP(D47,Poeng!$B$10:$AB$252,Poeng!AB$1,FALSE)</f>
        <v>Yes/No</v>
      </c>
      <c r="H47" s="37"/>
      <c r="I47" s="108" t="str">
        <f>VLOOKUP(D47,Poeng!$B$10:$AE$252,Poeng!AE$1,FALSE)</f>
        <v>-</v>
      </c>
      <c r="J47" s="109" t="str">
        <f>VLOOKUP(D47,Poeng!$B$10:$BE$252,Poeng!BE$1,FALSE)</f>
        <v>Unclassified</v>
      </c>
      <c r="K47" s="74"/>
      <c r="L47" s="242"/>
      <c r="M47" s="694"/>
      <c r="N47" s="712"/>
      <c r="O47" s="77"/>
      <c r="P47" s="108" t="str">
        <f>VLOOKUP(D47,Poeng!$B$10:$BC$252,Poeng!AF$1,FALSE)</f>
        <v>-</v>
      </c>
      <c r="Q47" s="108" t="str">
        <f>VLOOKUP(D47,Poeng!$B$10:$BH$252,Poeng!BH$1,FALSE)</f>
        <v>Unclassified</v>
      </c>
      <c r="R47" s="644"/>
      <c r="S47" s="645"/>
      <c r="T47" s="638"/>
      <c r="U47" s="277"/>
      <c r="V47" s="77"/>
      <c r="W47" s="108" t="str">
        <f>VLOOKUP(D47,Poeng!$B$10:$BC$252,Poeng!AG$1,FALSE)</f>
        <v>-</v>
      </c>
      <c r="X47" s="108" t="str">
        <f>VLOOKUP(D47,Poeng!$B$10:$BK$252,Poeng!BK$1,FALSE)</f>
        <v>Unclassified</v>
      </c>
      <c r="Y47" s="75"/>
      <c r="Z47" s="74"/>
      <c r="AA47" s="638"/>
      <c r="AD47" s="20">
        <f t="shared" si="0"/>
        <v>1</v>
      </c>
      <c r="AE47" s="1" t="e">
        <f>VLOOKUP(L47,'Assessment Details'!$O$45:$P$48,2,FALSE)</f>
        <v>#N/A</v>
      </c>
      <c r="AF47" s="1" t="e">
        <f>VLOOKUP(S47,'Assessment Details'!$O$45:$P$48,2,FALSE)</f>
        <v>#N/A</v>
      </c>
      <c r="AG47" s="1" t="e">
        <f>VLOOKUP(Z47,'Assessment Details'!$O$45:$P$48,2,FALSE)</f>
        <v>#N/A</v>
      </c>
    </row>
    <row r="48" spans="1:59" x14ac:dyDescent="0.25">
      <c r="A48" s="893">
        <v>39</v>
      </c>
      <c r="B48" s="894" t="s">
        <v>64</v>
      </c>
      <c r="C48" s="109" t="str">
        <f t="shared" si="7"/>
        <v>Hea 02</v>
      </c>
      <c r="D48" s="16" t="s">
        <v>733</v>
      </c>
      <c r="E48" s="1078">
        <v>3</v>
      </c>
      <c r="F48" s="751" t="str">
        <f>VLOOKUP(D48,Poeng!$B$10:$R$252,Poeng!E$1,FALSE)</f>
        <v>Ventilation</v>
      </c>
      <c r="G48" s="107">
        <f>VLOOKUP(D48,Poeng!$B$10:$AB$252,Poeng!AB$1,FALSE)</f>
        <v>1</v>
      </c>
      <c r="H48" s="37"/>
      <c r="I48" s="108">
        <f>VLOOKUP(D48,Poeng!$B$10:$AE$252,Poeng!AE$1,FALSE)</f>
        <v>0</v>
      </c>
      <c r="J48" s="109" t="str">
        <f>VLOOKUP(D48,Poeng!$B$10:$BE$252,Poeng!BE$1,FALSE)</f>
        <v>N/A</v>
      </c>
      <c r="K48" s="74"/>
      <c r="L48" s="242"/>
      <c r="M48" s="694"/>
      <c r="N48" s="712"/>
      <c r="O48" s="77"/>
      <c r="P48" s="108">
        <f>VLOOKUP(D48,Poeng!$B$10:$BC$252,Poeng!AF$1,FALSE)</f>
        <v>0</v>
      </c>
      <c r="Q48" s="108" t="str">
        <f>VLOOKUP(D48,Poeng!$B$10:$BH$252,Poeng!BH$1,FALSE)</f>
        <v>N/A</v>
      </c>
      <c r="R48" s="644"/>
      <c r="S48" s="645"/>
      <c r="T48" s="638"/>
      <c r="U48" s="277"/>
      <c r="V48" s="77"/>
      <c r="W48" s="108">
        <f>VLOOKUP(D48,Poeng!$B$10:$BC$252,Poeng!AG$1,FALSE)</f>
        <v>0</v>
      </c>
      <c r="X48" s="108" t="str">
        <f>VLOOKUP(D48,Poeng!$B$10:$BK$252,Poeng!BK$1,FALSE)</f>
        <v>N/A</v>
      </c>
      <c r="Y48" s="75"/>
      <c r="Z48" s="74"/>
      <c r="AA48" s="638"/>
      <c r="AD48" s="20">
        <f t="shared" si="0"/>
        <v>1</v>
      </c>
      <c r="AE48" s="1" t="e">
        <f>VLOOKUP(L48,'Assessment Details'!$O$45:$P$48,2,FALSE)</f>
        <v>#N/A</v>
      </c>
      <c r="AF48" s="1" t="e">
        <f>VLOOKUP(S48,'Assessment Details'!$O$45:$P$48,2,FALSE)</f>
        <v>#N/A</v>
      </c>
      <c r="AG48" s="1" t="e">
        <f>VLOOKUP(Z48,'Assessment Details'!$O$45:$P$48,2,FALSE)</f>
        <v>#N/A</v>
      </c>
    </row>
    <row r="49" spans="1:53" ht="14.25" customHeight="1" x14ac:dyDescent="0.25">
      <c r="A49" s="893">
        <v>40</v>
      </c>
      <c r="B49" s="894" t="s">
        <v>64</v>
      </c>
      <c r="C49" s="109" t="str">
        <f t="shared" si="7"/>
        <v>Hea 02</v>
      </c>
      <c r="D49" s="16" t="s">
        <v>734</v>
      </c>
      <c r="E49" s="1078" t="s">
        <v>1184</v>
      </c>
      <c r="F49" s="888" t="str">
        <f>VLOOKUP(D49,Poeng!$B$10:$R$252,Poeng!E$1,FALSE)</f>
        <v>Emissions from construction products (EU taxonomy requirement: criterion 5)</v>
      </c>
      <c r="G49" s="107">
        <f>VLOOKUP(D49,Poeng!$B$10:$AB$252,Poeng!AB$1,FALSE)</f>
        <v>2</v>
      </c>
      <c r="H49" s="37"/>
      <c r="I49" s="108">
        <f>VLOOKUP(D49,Poeng!$B$10:$AE$252,Poeng!AE$1,FALSE)</f>
        <v>0</v>
      </c>
      <c r="J49" s="109" t="str">
        <f>VLOOKUP(D49,Poeng!$B$10:$BE$252,Poeng!BE$1,FALSE)</f>
        <v>Good</v>
      </c>
      <c r="K49" s="74"/>
      <c r="L49" s="242"/>
      <c r="M49" s="694"/>
      <c r="N49" s="712"/>
      <c r="O49" s="77"/>
      <c r="P49" s="108">
        <f>VLOOKUP(D49,Poeng!$B$10:$BC$252,Poeng!AF$1,FALSE)</f>
        <v>0</v>
      </c>
      <c r="Q49" s="108" t="str">
        <f>VLOOKUP(D49,Poeng!$B$10:$BH$252,Poeng!BH$1,FALSE)</f>
        <v>Good</v>
      </c>
      <c r="R49" s="644"/>
      <c r="S49" s="645"/>
      <c r="T49" s="638"/>
      <c r="U49" s="277"/>
      <c r="V49" s="77"/>
      <c r="W49" s="108">
        <f>VLOOKUP(D49,Poeng!$B$10:$BC$252,Poeng!AG$1,FALSE)</f>
        <v>0</v>
      </c>
      <c r="X49" s="108" t="str">
        <f>VLOOKUP(D49,Poeng!$B$10:$BK$252,Poeng!BK$1,FALSE)</f>
        <v>Good</v>
      </c>
      <c r="Y49" s="75"/>
      <c r="Z49" s="74"/>
      <c r="AA49" s="638"/>
      <c r="AD49" s="20">
        <f t="shared" si="0"/>
        <v>1</v>
      </c>
      <c r="AE49" s="1" t="e">
        <f>VLOOKUP(L49,'Assessment Details'!$O$45:$P$48,2,FALSE)</f>
        <v>#N/A</v>
      </c>
      <c r="AF49" s="1" t="e">
        <f>VLOOKUP(S49,'Assessment Details'!$O$45:$P$48,2,FALSE)</f>
        <v>#N/A</v>
      </c>
      <c r="AG49" s="1" t="e">
        <f>VLOOKUP(Z49,'Assessment Details'!$O$45:$P$48,2,FALSE)</f>
        <v>#N/A</v>
      </c>
    </row>
    <row r="50" spans="1:53" x14ac:dyDescent="0.25">
      <c r="A50" s="893">
        <v>41</v>
      </c>
      <c r="B50" s="894" t="s">
        <v>64</v>
      </c>
      <c r="C50" s="109" t="str">
        <f t="shared" si="7"/>
        <v>Hea 02</v>
      </c>
      <c r="D50" s="16" t="s">
        <v>735</v>
      </c>
      <c r="E50" s="1079" t="s">
        <v>1185</v>
      </c>
      <c r="F50" s="751" t="str">
        <f>VLOOKUP(D50,Poeng!$B$10:$R$252,Poeng!E$1,FALSE)</f>
        <v xml:space="preserve">Post-construction indoor air quality measurement </v>
      </c>
      <c r="G50" s="107">
        <f>VLOOKUP(D50,Poeng!$B$10:$AB$252,Poeng!AB$1,FALSE)</f>
        <v>1</v>
      </c>
      <c r="H50" s="37"/>
      <c r="I50" s="108">
        <f>VLOOKUP(D50,Poeng!$B$10:$AE$252,Poeng!AE$1,FALSE)</f>
        <v>0</v>
      </c>
      <c r="J50" s="109" t="str">
        <f>VLOOKUP(D50,Poeng!$B$10:$BE$252,Poeng!BE$1,FALSE)</f>
        <v>N/A</v>
      </c>
      <c r="K50" s="74"/>
      <c r="L50" s="242"/>
      <c r="M50" s="694"/>
      <c r="N50" s="712"/>
      <c r="O50" s="77"/>
      <c r="P50" s="108">
        <f>VLOOKUP(D50,Poeng!$B$10:$BC$252,Poeng!AF$1,FALSE)</f>
        <v>0</v>
      </c>
      <c r="Q50" s="108" t="str">
        <f>VLOOKUP(D50,Poeng!$B$10:$BH$252,Poeng!BH$1,FALSE)</f>
        <v>N/A</v>
      </c>
      <c r="R50" s="644"/>
      <c r="S50" s="645"/>
      <c r="T50" s="638"/>
      <c r="U50" s="277"/>
      <c r="V50" s="77"/>
      <c r="W50" s="108">
        <f>VLOOKUP(D50,Poeng!$B$10:$BC$252,Poeng!AG$1,FALSE)</f>
        <v>0</v>
      </c>
      <c r="X50" s="108" t="str">
        <f>VLOOKUP(D50,Poeng!$B$10:$BK$252,Poeng!BK$1,FALSE)</f>
        <v>N/A</v>
      </c>
      <c r="Y50" s="75"/>
      <c r="Z50" s="74"/>
      <c r="AA50" s="638"/>
      <c r="AD50" s="20">
        <f t="shared" si="0"/>
        <v>1</v>
      </c>
      <c r="AE50" s="1" t="e">
        <f>VLOOKUP(L50,'Assessment Details'!$O$45:$P$48,2,FALSE)</f>
        <v>#N/A</v>
      </c>
      <c r="AF50" s="1" t="e">
        <f>VLOOKUP(S50,'Assessment Details'!$O$45:$P$48,2,FALSE)</f>
        <v>#N/A</v>
      </c>
      <c r="AG50" s="1" t="e">
        <f>VLOOKUP(Z50,'Assessment Details'!$O$45:$P$48,2,FALSE)</f>
        <v>#N/A</v>
      </c>
    </row>
    <row r="51" spans="1:53" x14ac:dyDescent="0.25">
      <c r="A51" s="893">
        <v>42</v>
      </c>
      <c r="B51" s="894" t="s">
        <v>64</v>
      </c>
      <c r="C51" s="802" t="s">
        <v>118</v>
      </c>
      <c r="D51" s="717" t="s">
        <v>118</v>
      </c>
      <c r="E51" s="1078"/>
      <c r="F51" s="750" t="str">
        <f>VLOOKUP(D51,Poeng!$B$10:$R$252,Poeng!E$1,FALSE)</f>
        <v>Hea 03 Thermal comfort</v>
      </c>
      <c r="G51" s="755">
        <f>VLOOKUP(D51,Poeng!$B$10:$AB$252,Poeng!AB$1,FALSE)</f>
        <v>3</v>
      </c>
      <c r="H51" s="37"/>
      <c r="I51" s="756" t="str">
        <f>VLOOKUP(D51,Poeng!$B$10:$AI$252,Poeng!AI$1,FALSE)&amp;" c. "&amp;ROUND(VLOOKUP(D51,Poeng!$B$10:$AE$252,Poeng!AE$1,FALSE)*100,1)&amp;" %"</f>
        <v>0 c. 0 %</v>
      </c>
      <c r="J51" s="802" t="str">
        <f>VLOOKUP(D51,Poeng!$B$10:$BE$252,Poeng!BE$1,FALSE)</f>
        <v>N/A</v>
      </c>
      <c r="K51" s="74"/>
      <c r="L51" s="242"/>
      <c r="M51" s="694"/>
      <c r="N51" s="712"/>
      <c r="O51" s="847"/>
      <c r="P51" s="766" t="str">
        <f>VLOOKUP(D51,Poeng!$B$10:$BC$252,Poeng!AJ$1,FALSE)&amp;" c. "&amp;ROUND(VLOOKUP(D51,Poeng!$B$10:$BC$252,Poeng!AF$1,FALSE)*100,1)&amp;" %"</f>
        <v>0 c. 0 %</v>
      </c>
      <c r="Q51" s="108" t="str">
        <f>VLOOKUP(D51,Poeng!$B$10:$BH$252,Poeng!BH$1,FALSE)</f>
        <v>N/A</v>
      </c>
      <c r="R51" s="644"/>
      <c r="S51" s="645"/>
      <c r="T51" s="638"/>
      <c r="U51" s="277"/>
      <c r="V51" s="847"/>
      <c r="W51" s="766" t="str">
        <f>VLOOKUP(D51,Poeng!$B$10:$BC$252,Poeng!AK$1,FALSE)&amp;" c. "&amp;ROUND(VLOOKUP(D51,Poeng!$B$10:$BC$252,Poeng!AG$1,FALSE)*100,1)&amp;" %"</f>
        <v>0 c. 0 %</v>
      </c>
      <c r="X51" s="108" t="str">
        <f>VLOOKUP(D51,Poeng!$B$10:$BK$252,Poeng!BK$1,FALSE)</f>
        <v>N/A</v>
      </c>
      <c r="Y51" s="75"/>
      <c r="Z51" s="74"/>
      <c r="AA51" s="638"/>
      <c r="AB51" s="117"/>
      <c r="AC51" s="556" t="s">
        <v>12</v>
      </c>
      <c r="AD51" s="20">
        <f t="shared" si="0"/>
        <v>1</v>
      </c>
      <c r="AE51" s="1" t="e">
        <f>VLOOKUP(L51,'Assessment Details'!$O$45:$P$48,2,FALSE)</f>
        <v>#N/A</v>
      </c>
      <c r="AF51" s="1" t="e">
        <f>VLOOKUP(S51,'Assessment Details'!$O$45:$P$48,2,FALSE)</f>
        <v>#N/A</v>
      </c>
      <c r="AG51" s="1" t="e">
        <f>VLOOKUP(Z51,'Assessment Details'!$O$45:$P$48,2,FALSE)</f>
        <v>#N/A</v>
      </c>
      <c r="AJ51" s="64" t="str">
        <f>ais_ja</f>
        <v>Ja</v>
      </c>
      <c r="AK51" s="583" t="s">
        <v>112</v>
      </c>
      <c r="AL51" s="562" t="s">
        <v>405</v>
      </c>
      <c r="AM51" s="562" t="s">
        <v>409</v>
      </c>
      <c r="AN51" s="562" t="s">
        <v>407</v>
      </c>
      <c r="AO51" s="64"/>
      <c r="AP51" s="64"/>
      <c r="AQ51" s="64"/>
      <c r="AS51" s="1" t="s">
        <v>12</v>
      </c>
      <c r="AT51" s="20" t="str">
        <f t="shared" si="3"/>
        <v>N/A</v>
      </c>
      <c r="AU51" s="20" t="str">
        <f t="shared" si="1"/>
        <v>N/A</v>
      </c>
      <c r="AV51" s="20" t="str">
        <f t="shared" si="2"/>
        <v>N/A</v>
      </c>
      <c r="AW51" s="20"/>
      <c r="AX51" s="20"/>
      <c r="AY51" s="20"/>
      <c r="BA51" s="556"/>
    </row>
    <row r="52" spans="1:53" x14ac:dyDescent="0.25">
      <c r="A52" s="893">
        <v>43</v>
      </c>
      <c r="B52" s="894" t="s">
        <v>64</v>
      </c>
      <c r="C52" s="109" t="str">
        <f t="shared" si="7"/>
        <v>Hea 03</v>
      </c>
      <c r="D52" s="717" t="s">
        <v>736</v>
      </c>
      <c r="E52" s="1079" t="s">
        <v>1173</v>
      </c>
      <c r="F52" s="751" t="str">
        <f>VLOOKUP(D52,Poeng!$B$10:$R$252,Poeng!E$1,FALSE)</f>
        <v xml:space="preserve">Thermal modelling </v>
      </c>
      <c r="G52" s="107">
        <f>VLOOKUP(D52,Poeng!$B$10:$AB$252,Poeng!AB$1,FALSE)</f>
        <v>1</v>
      </c>
      <c r="H52" s="37"/>
      <c r="I52" s="108">
        <f>VLOOKUP(D52,Poeng!$B$10:$AE$252,Poeng!AE$1,FALSE)</f>
        <v>0</v>
      </c>
      <c r="J52" s="109" t="str">
        <f>VLOOKUP(D52,Poeng!$B$10:$BE$252,Poeng!BE$1,FALSE)</f>
        <v>N/A</v>
      </c>
      <c r="K52" s="74"/>
      <c r="L52" s="242"/>
      <c r="M52" s="694"/>
      <c r="N52" s="712"/>
      <c r="O52" s="77"/>
      <c r="P52" s="108">
        <f>VLOOKUP(D52,Poeng!$B$10:$BC$252,Poeng!AF$1,FALSE)</f>
        <v>0</v>
      </c>
      <c r="Q52" s="108" t="str">
        <f>VLOOKUP(D52,Poeng!$B$10:$BH$252,Poeng!BH$1,FALSE)</f>
        <v>N/A</v>
      </c>
      <c r="R52" s="644"/>
      <c r="S52" s="645"/>
      <c r="T52" s="638"/>
      <c r="U52" s="277"/>
      <c r="V52" s="77"/>
      <c r="W52" s="108">
        <f>VLOOKUP(D52,Poeng!$B$10:$BC$252,Poeng!AG$1,FALSE)</f>
        <v>0</v>
      </c>
      <c r="X52" s="108" t="str">
        <f>VLOOKUP(D52,Poeng!$B$10:$BK$252,Poeng!BK$1,FALSE)</f>
        <v>N/A</v>
      </c>
      <c r="Y52" s="75"/>
      <c r="Z52" s="74"/>
      <c r="AA52" s="694"/>
      <c r="AB52" s="117"/>
      <c r="AC52" s="556"/>
      <c r="AD52" s="20">
        <f t="shared" si="0"/>
        <v>1</v>
      </c>
      <c r="AE52" s="1" t="e">
        <f>VLOOKUP(L52,'Assessment Details'!$O$45:$P$48,2,FALSE)</f>
        <v>#N/A</v>
      </c>
      <c r="AF52" s="1" t="e">
        <f>VLOOKUP(S52,'Assessment Details'!$O$45:$P$48,2,FALSE)</f>
        <v>#N/A</v>
      </c>
      <c r="AG52" s="1" t="e">
        <f>VLOOKUP(Z52,'Assessment Details'!$O$45:$P$48,2,FALSE)</f>
        <v>#N/A</v>
      </c>
      <c r="AJ52" s="64"/>
      <c r="AK52" s="583"/>
      <c r="AL52" s="562"/>
      <c r="AM52" s="562"/>
      <c r="AN52" s="562"/>
      <c r="AO52" s="64"/>
      <c r="AP52" s="64"/>
      <c r="AQ52" s="64"/>
      <c r="AT52" s="20"/>
      <c r="AU52" s="20"/>
      <c r="AV52" s="20"/>
      <c r="AW52" s="20"/>
      <c r="AX52" s="20"/>
      <c r="AY52" s="20"/>
      <c r="BA52" s="556"/>
    </row>
    <row r="53" spans="1:53" x14ac:dyDescent="0.25">
      <c r="A53" s="893">
        <v>44</v>
      </c>
      <c r="B53" s="894" t="s">
        <v>64</v>
      </c>
      <c r="C53" s="109" t="str">
        <f t="shared" si="7"/>
        <v>Hea 03</v>
      </c>
      <c r="D53" s="717" t="s">
        <v>737</v>
      </c>
      <c r="E53" s="1079" t="s">
        <v>1186</v>
      </c>
      <c r="F53" s="751" t="str">
        <f>VLOOKUP(D53,Poeng!$B$10:$R$252,Poeng!E$1,FALSE)</f>
        <v xml:space="preserve">Design for future thermal comfort </v>
      </c>
      <c r="G53" s="107">
        <f>VLOOKUP(D53,Poeng!$B$10:$AB$252,Poeng!AB$1,FALSE)</f>
        <v>1</v>
      </c>
      <c r="H53" s="37"/>
      <c r="I53" s="108">
        <f>VLOOKUP(D53,Poeng!$B$10:$AE$252,Poeng!AE$1,FALSE)</f>
        <v>0</v>
      </c>
      <c r="J53" s="109" t="str">
        <f>VLOOKUP(D53,Poeng!$B$10:$BE$252,Poeng!BE$1,FALSE)</f>
        <v>N/A</v>
      </c>
      <c r="K53" s="74"/>
      <c r="L53" s="242"/>
      <c r="M53" s="694"/>
      <c r="N53" s="712"/>
      <c r="O53" s="77"/>
      <c r="P53" s="108">
        <f>VLOOKUP(D53,Poeng!$B$10:$BC$252,Poeng!AF$1,FALSE)</f>
        <v>0</v>
      </c>
      <c r="Q53" s="108" t="str">
        <f>VLOOKUP(D53,Poeng!$B$10:$BH$252,Poeng!BH$1,FALSE)</f>
        <v>N/A</v>
      </c>
      <c r="R53" s="644"/>
      <c r="S53" s="645"/>
      <c r="T53" s="638"/>
      <c r="U53" s="277"/>
      <c r="V53" s="77"/>
      <c r="W53" s="108">
        <f>VLOOKUP(D53,Poeng!$B$10:$BC$252,Poeng!AG$1,FALSE)</f>
        <v>0</v>
      </c>
      <c r="X53" s="108" t="str">
        <f>VLOOKUP(D53,Poeng!$B$10:$BK$252,Poeng!BK$1,FALSE)</f>
        <v>N/A</v>
      </c>
      <c r="Y53" s="75"/>
      <c r="Z53" s="74"/>
      <c r="AA53" s="694"/>
      <c r="AB53" s="117"/>
      <c r="AC53" s="556"/>
      <c r="AD53" s="20">
        <f t="shared" si="0"/>
        <v>1</v>
      </c>
      <c r="AE53" s="1" t="e">
        <f>VLOOKUP(L53,'Assessment Details'!$O$45:$P$48,2,FALSE)</f>
        <v>#N/A</v>
      </c>
      <c r="AF53" s="1" t="e">
        <f>VLOOKUP(S53,'Assessment Details'!$O$45:$P$48,2,FALSE)</f>
        <v>#N/A</v>
      </c>
      <c r="AG53" s="1" t="e">
        <f>VLOOKUP(Z53,'Assessment Details'!$O$45:$P$48,2,FALSE)</f>
        <v>#N/A</v>
      </c>
      <c r="AJ53" s="64"/>
      <c r="AK53" s="583"/>
      <c r="AL53" s="562"/>
      <c r="AM53" s="562"/>
      <c r="AN53" s="562"/>
      <c r="AO53" s="64"/>
      <c r="AP53" s="64"/>
      <c r="AQ53" s="64"/>
      <c r="AT53" s="20"/>
      <c r="AU53" s="20"/>
      <c r="AV53" s="20"/>
      <c r="AW53" s="20"/>
      <c r="AX53" s="20"/>
      <c r="AY53" s="20"/>
      <c r="BA53" s="556"/>
    </row>
    <row r="54" spans="1:53" x14ac:dyDescent="0.25">
      <c r="A54" s="893">
        <v>45</v>
      </c>
      <c r="B54" s="894" t="s">
        <v>64</v>
      </c>
      <c r="C54" s="109" t="str">
        <f t="shared" si="7"/>
        <v>Hea 03</v>
      </c>
      <c r="D54" s="717" t="s">
        <v>738</v>
      </c>
      <c r="E54" s="1079" t="s">
        <v>1188</v>
      </c>
      <c r="F54" s="751" t="str">
        <f>VLOOKUP(D54,Poeng!$B$10:$R$252,Poeng!E$1,FALSE)</f>
        <v xml:space="preserve">Thermal zoning and controls </v>
      </c>
      <c r="G54" s="107">
        <f>VLOOKUP(D54,Poeng!$B$10:$AB$252,Poeng!AB$1,FALSE)</f>
        <v>1</v>
      </c>
      <c r="H54" s="37"/>
      <c r="I54" s="108">
        <f>VLOOKUP(D54,Poeng!$B$10:$AE$252,Poeng!AE$1,FALSE)</f>
        <v>0</v>
      </c>
      <c r="J54" s="109" t="str">
        <f>VLOOKUP(D54,Poeng!$B$10:$BE$252,Poeng!BE$1,FALSE)</f>
        <v>N/A</v>
      </c>
      <c r="K54" s="74"/>
      <c r="L54" s="242"/>
      <c r="M54" s="694"/>
      <c r="N54" s="712"/>
      <c r="O54" s="77"/>
      <c r="P54" s="108">
        <f>VLOOKUP(D54,Poeng!$B$10:$BC$252,Poeng!AF$1,FALSE)</f>
        <v>0</v>
      </c>
      <c r="Q54" s="108" t="str">
        <f>VLOOKUP(D54,Poeng!$B$10:$BH$252,Poeng!BH$1,FALSE)</f>
        <v>N/A</v>
      </c>
      <c r="R54" s="644"/>
      <c r="S54" s="645"/>
      <c r="T54" s="638"/>
      <c r="U54" s="277"/>
      <c r="V54" s="77"/>
      <c r="W54" s="108">
        <f>VLOOKUP(D54,Poeng!$B$10:$BC$252,Poeng!AG$1,FALSE)</f>
        <v>0</v>
      </c>
      <c r="X54" s="108" t="str">
        <f>VLOOKUP(D54,Poeng!$B$10:$BK$252,Poeng!BK$1,FALSE)</f>
        <v>N/A</v>
      </c>
      <c r="Y54" s="75"/>
      <c r="Z54" s="74"/>
      <c r="AA54" s="694"/>
      <c r="AB54" s="117"/>
      <c r="AC54" s="556"/>
      <c r="AD54" s="20">
        <f t="shared" si="0"/>
        <v>1</v>
      </c>
      <c r="AE54" s="1" t="e">
        <f>VLOOKUP(L54,'Assessment Details'!$O$45:$P$48,2,FALSE)</f>
        <v>#N/A</v>
      </c>
      <c r="AF54" s="1" t="e">
        <f>VLOOKUP(S54,'Assessment Details'!$O$45:$P$48,2,FALSE)</f>
        <v>#N/A</v>
      </c>
      <c r="AG54" s="1" t="e">
        <f>VLOOKUP(Z54,'Assessment Details'!$O$45:$P$48,2,FALSE)</f>
        <v>#N/A</v>
      </c>
      <c r="AJ54" s="64"/>
      <c r="AK54" s="583"/>
      <c r="AL54" s="562"/>
      <c r="AM54" s="562"/>
      <c r="AN54" s="562"/>
      <c r="AO54" s="64"/>
      <c r="AP54" s="64"/>
      <c r="AQ54" s="64"/>
      <c r="AT54" s="20"/>
      <c r="AU54" s="20"/>
      <c r="AV54" s="20"/>
      <c r="AW54" s="20"/>
      <c r="AX54" s="20"/>
      <c r="AY54" s="20"/>
      <c r="BA54" s="556"/>
    </row>
    <row r="55" spans="1:53" x14ac:dyDescent="0.25">
      <c r="A55" s="893">
        <v>46</v>
      </c>
      <c r="B55" s="894" t="s">
        <v>64</v>
      </c>
      <c r="C55" s="802" t="s">
        <v>120</v>
      </c>
      <c r="D55" s="717" t="s">
        <v>120</v>
      </c>
      <c r="E55" s="1078"/>
      <c r="F55" s="750" t="str">
        <f>VLOOKUP(D55,Poeng!$B$10:$R$252,Poeng!E$1,FALSE)</f>
        <v>Hea 05 Acoustic performance</v>
      </c>
      <c r="G55" s="755">
        <f>VLOOKUP(D55,Poeng!$B$10:$AB$252,Poeng!AB$1,FALSE)</f>
        <v>3</v>
      </c>
      <c r="H55" s="847"/>
      <c r="I55" s="756" t="str">
        <f>VLOOKUP(D55,Poeng!$B$10:$AI$252,Poeng!AI$1,FALSE)&amp;" c. "&amp;ROUND(VLOOKUP(D55,Poeng!$B$10:$AE$252,Poeng!AE$1,FALSE)*100,1)&amp;" %"</f>
        <v>0 c. 0 %</v>
      </c>
      <c r="J55" s="802" t="str">
        <f>VLOOKUP(D55,Poeng!$B$10:$BE$252,Poeng!BE$1,FALSE)</f>
        <v>N/A</v>
      </c>
      <c r="K55" s="74"/>
      <c r="L55" s="242"/>
      <c r="M55" s="694"/>
      <c r="N55" s="712"/>
      <c r="O55" s="847"/>
      <c r="P55" s="766" t="str">
        <f>VLOOKUP(D55,Poeng!$B$10:$BC$252,Poeng!AJ$1,FALSE)&amp;" c. "&amp;ROUND(VLOOKUP(D55,Poeng!$B$10:$BC$252,Poeng!AF$1,FALSE)*100,1)&amp;" %"</f>
        <v>0 c. 0 %</v>
      </c>
      <c r="Q55" s="108" t="str">
        <f>VLOOKUP(D55,Poeng!$B$10:$BH$252,Poeng!BH$1,FALSE)</f>
        <v>N/A</v>
      </c>
      <c r="R55" s="644"/>
      <c r="S55" s="645"/>
      <c r="T55" s="638"/>
      <c r="U55" s="277"/>
      <c r="V55" s="847"/>
      <c r="W55" s="766" t="str">
        <f>VLOOKUP(D55,Poeng!$B$10:$BC$252,Poeng!AK$1,FALSE)&amp;" c. "&amp;ROUND(VLOOKUP(D55,Poeng!$B$10:$BC$252,Poeng!AG$1,FALSE)*100,1)&amp;" %"</f>
        <v>0 c. 0 %</v>
      </c>
      <c r="X55" s="108" t="str">
        <f>VLOOKUP(D55,Poeng!$B$10:$BK$252,Poeng!BK$1,FALSE)</f>
        <v>N/A</v>
      </c>
      <c r="Y55" s="75"/>
      <c r="Z55" s="74"/>
      <c r="AA55" s="638"/>
      <c r="AB55" s="117"/>
      <c r="AC55" s="556" t="s">
        <v>12</v>
      </c>
      <c r="AD55" s="20">
        <f t="shared" si="0"/>
        <v>1</v>
      </c>
      <c r="AE55" s="1" t="e">
        <f>VLOOKUP(L55,'Assessment Details'!$O$45:$P$48,2,FALSE)</f>
        <v>#N/A</v>
      </c>
      <c r="AF55" s="1" t="e">
        <f>VLOOKUP(S55,'Assessment Details'!$O$45:$P$48,2,FALSE)</f>
        <v>#N/A</v>
      </c>
      <c r="AG55" s="1" t="e">
        <f>VLOOKUP(Z55,'Assessment Details'!$O$45:$P$48,2,FALSE)</f>
        <v>#N/A</v>
      </c>
      <c r="AJ55" s="64"/>
      <c r="AK55" s="583" t="s">
        <v>126</v>
      </c>
      <c r="AL55" s="562" t="s">
        <v>12</v>
      </c>
      <c r="AM55" s="564" t="s">
        <v>11</v>
      </c>
      <c r="AN55" s="64"/>
      <c r="AO55" s="64"/>
      <c r="AP55" s="64"/>
      <c r="AQ55" s="64"/>
      <c r="AT55" s="20" t="str">
        <f t="shared" si="3"/>
        <v>N/A</v>
      </c>
      <c r="AU55" s="20" t="str">
        <f t="shared" si="1"/>
        <v>N/A</v>
      </c>
      <c r="AV55" s="20" t="str">
        <f t="shared" si="2"/>
        <v>N/A</v>
      </c>
      <c r="AW55" s="20"/>
      <c r="AX55" s="20"/>
      <c r="AY55" s="20"/>
      <c r="BA55" s="556"/>
    </row>
    <row r="56" spans="1:53" x14ac:dyDescent="0.25">
      <c r="A56" s="893">
        <v>47</v>
      </c>
      <c r="B56" s="894" t="s">
        <v>64</v>
      </c>
      <c r="C56" s="109" t="str">
        <f t="shared" si="7"/>
        <v>Hea 05</v>
      </c>
      <c r="D56" s="717" t="s">
        <v>739</v>
      </c>
      <c r="E56" s="1079">
        <v>1</v>
      </c>
      <c r="F56" s="751" t="str">
        <f>VLOOKUP(D56,Poeng!$B$10:$R$252,Poeng!E$1,FALSE)</f>
        <v xml:space="preserve">Pre-requisite: suitably qualified acoustician </v>
      </c>
      <c r="G56" s="107" t="str">
        <f>VLOOKUP(D56,Poeng!$B$10:$AB$252,Poeng!AB$1,FALSE)</f>
        <v>Yes/No</v>
      </c>
      <c r="H56" s="37"/>
      <c r="I56" s="108" t="str">
        <f>VLOOKUP(D56,Poeng!$B$10:$AE$252,Poeng!AE$1,FALSE)</f>
        <v>-</v>
      </c>
      <c r="J56" s="109" t="str">
        <f>VLOOKUP(D56,Poeng!$B$10:$BE$252,Poeng!BE$1,FALSE)</f>
        <v>N/A</v>
      </c>
      <c r="K56" s="74"/>
      <c r="L56" s="242"/>
      <c r="M56" s="694"/>
      <c r="N56" s="712"/>
      <c r="O56" s="77"/>
      <c r="P56" s="108" t="str">
        <f>VLOOKUP(D56,Poeng!$B$10:$BC$252,Poeng!AF$1,FALSE)</f>
        <v>-</v>
      </c>
      <c r="Q56" s="108" t="str">
        <f>VLOOKUP(D56,Poeng!$B$10:$BH$252,Poeng!BH$1,FALSE)</f>
        <v>N/A</v>
      </c>
      <c r="R56" s="644"/>
      <c r="S56" s="645"/>
      <c r="T56" s="638"/>
      <c r="U56" s="277"/>
      <c r="V56" s="77"/>
      <c r="W56" s="108" t="str">
        <f>VLOOKUP(D56,Poeng!$B$10:$BC$252,Poeng!AG$1,FALSE)</f>
        <v>-</v>
      </c>
      <c r="X56" s="108" t="str">
        <f>VLOOKUP(D56,Poeng!$B$10:$BK$252,Poeng!BK$1,FALSE)</f>
        <v>N/A</v>
      </c>
      <c r="Y56" s="75"/>
      <c r="Z56" s="74"/>
      <c r="AA56" s="638"/>
      <c r="AB56" s="117"/>
      <c r="AC56" s="556"/>
      <c r="AD56" s="20">
        <f t="shared" si="0"/>
        <v>1</v>
      </c>
      <c r="AE56" s="1" t="e">
        <f>VLOOKUP(L56,'Assessment Details'!$O$45:$P$48,2,FALSE)</f>
        <v>#N/A</v>
      </c>
      <c r="AF56" s="1" t="e">
        <f>VLOOKUP(S56,'Assessment Details'!$O$45:$P$48,2,FALSE)</f>
        <v>#N/A</v>
      </c>
      <c r="AG56" s="1" t="e">
        <f>VLOOKUP(Z56,'Assessment Details'!$O$45:$P$48,2,FALSE)</f>
        <v>#N/A</v>
      </c>
      <c r="AJ56" s="64"/>
      <c r="AK56" s="583"/>
      <c r="AL56" s="562"/>
      <c r="AM56" s="564"/>
      <c r="AN56" s="64"/>
      <c r="AO56" s="64"/>
      <c r="AP56" s="64"/>
      <c r="AQ56" s="64"/>
      <c r="AT56" s="20"/>
      <c r="AU56" s="20"/>
      <c r="AV56" s="20"/>
      <c r="AW56" s="20"/>
      <c r="AX56" s="20"/>
      <c r="AY56" s="20"/>
      <c r="BA56" s="556"/>
    </row>
    <row r="57" spans="1:53" x14ac:dyDescent="0.25">
      <c r="A57" s="893">
        <v>48</v>
      </c>
      <c r="B57" s="894" t="s">
        <v>64</v>
      </c>
      <c r="C57" s="109" t="str">
        <f t="shared" si="7"/>
        <v>Hea 05</v>
      </c>
      <c r="D57" s="717" t="s">
        <v>740</v>
      </c>
      <c r="E57" s="1079" t="s">
        <v>1168</v>
      </c>
      <c r="F57" s="751" t="str">
        <f>VLOOKUP(D57,Poeng!$B$10:$R$252,Poeng!E$1,FALSE)</f>
        <v xml:space="preserve">Sound class requirements </v>
      </c>
      <c r="G57" s="107">
        <f>VLOOKUP(D57,Poeng!$B$10:$AB$252,Poeng!AB$1,FALSE)</f>
        <v>3</v>
      </c>
      <c r="H57" s="37"/>
      <c r="I57" s="108">
        <f>VLOOKUP(D57,Poeng!$B$10:$AE$252,Poeng!AE$1,FALSE)</f>
        <v>0</v>
      </c>
      <c r="J57" s="109" t="str">
        <f>VLOOKUP(D57,Poeng!$B$10:$BE$252,Poeng!BE$1,FALSE)</f>
        <v>N/A</v>
      </c>
      <c r="K57" s="74"/>
      <c r="L57" s="242"/>
      <c r="M57" s="694"/>
      <c r="N57" s="712"/>
      <c r="O57" s="77"/>
      <c r="P57" s="108">
        <f>VLOOKUP(D57,Poeng!$B$10:$BC$252,Poeng!AF$1,FALSE)</f>
        <v>0</v>
      </c>
      <c r="Q57" s="108" t="str">
        <f>VLOOKUP(D57,Poeng!$B$10:$BH$252,Poeng!BH$1,FALSE)</f>
        <v>N/A</v>
      </c>
      <c r="R57" s="644"/>
      <c r="S57" s="645"/>
      <c r="T57" s="694"/>
      <c r="U57" s="277"/>
      <c r="V57" s="77"/>
      <c r="W57" s="108">
        <f>VLOOKUP(D57,Poeng!$B$10:$BC$252,Poeng!AG$1,FALSE)</f>
        <v>0</v>
      </c>
      <c r="X57" s="108" t="str">
        <f>VLOOKUP(D57,Poeng!$B$10:$BK$252,Poeng!BK$1,FALSE)</f>
        <v>N/A</v>
      </c>
      <c r="Y57" s="75"/>
      <c r="Z57" s="74"/>
      <c r="AA57" s="694"/>
      <c r="AB57" s="117"/>
      <c r="AC57" s="556"/>
      <c r="AD57" s="20">
        <f t="shared" si="0"/>
        <v>1</v>
      </c>
      <c r="AE57" s="1" t="e">
        <f>VLOOKUP(L57,'Assessment Details'!$O$45:$P$48,2,FALSE)</f>
        <v>#N/A</v>
      </c>
      <c r="AF57" s="1" t="e">
        <f>VLOOKUP(S57,'Assessment Details'!$O$45:$P$48,2,FALSE)</f>
        <v>#N/A</v>
      </c>
      <c r="AG57" s="1" t="e">
        <f>VLOOKUP(Z57,'Assessment Details'!$O$45:$P$48,2,FALSE)</f>
        <v>#N/A</v>
      </c>
      <c r="AJ57" s="64"/>
      <c r="AK57" s="583"/>
      <c r="AL57" s="562"/>
      <c r="AM57" s="564"/>
      <c r="AN57" s="64"/>
      <c r="AO57" s="64"/>
      <c r="AP57" s="64"/>
      <c r="AQ57" s="64"/>
      <c r="AT57" s="20"/>
      <c r="AU57" s="20"/>
      <c r="AV57" s="20"/>
      <c r="AW57" s="20"/>
      <c r="AX57" s="20"/>
      <c r="AY57" s="20"/>
      <c r="BA57" s="556"/>
    </row>
    <row r="58" spans="1:53" x14ac:dyDescent="0.25">
      <c r="A58" s="893">
        <v>49</v>
      </c>
      <c r="B58" s="894" t="s">
        <v>64</v>
      </c>
      <c r="C58" s="802" t="s">
        <v>121</v>
      </c>
      <c r="D58" s="717" t="s">
        <v>121</v>
      </c>
      <c r="E58" s="1078"/>
      <c r="F58" s="750" t="str">
        <f>VLOOKUP(D58,Poeng!$B$10:$R$252,Poeng!E$1,FALSE)</f>
        <v>Hea 06 Safe access</v>
      </c>
      <c r="G58" s="755">
        <f>VLOOKUP(D58,Poeng!$B$10:$AB$252,Poeng!AB$1,FALSE)</f>
        <v>2</v>
      </c>
      <c r="H58" s="847"/>
      <c r="I58" s="756" t="str">
        <f>VLOOKUP(D58,Poeng!$B$10:$AI$252,Poeng!AI$1,FALSE)&amp;" c. "&amp;ROUND(VLOOKUP(D58,Poeng!$B$10:$AE$252,Poeng!AE$1,FALSE)*100,1)&amp;" %"</f>
        <v>0 c. 0 %</v>
      </c>
      <c r="J58" s="802" t="str">
        <f>VLOOKUP(D58,Poeng!$B$10:$BE$252,Poeng!BE$1,FALSE)</f>
        <v>N/A</v>
      </c>
      <c r="K58" s="74"/>
      <c r="L58" s="242"/>
      <c r="M58" s="694"/>
      <c r="N58" s="712"/>
      <c r="O58" s="847"/>
      <c r="P58" s="766" t="str">
        <f>VLOOKUP(D58,Poeng!$B$10:$BC$252,Poeng!AJ$1,FALSE)&amp;" c. "&amp;ROUND(VLOOKUP(D58,Poeng!$B$10:$BC$252,Poeng!AF$1,FALSE)*100,1)&amp;" %"</f>
        <v>0 c. 0 %</v>
      </c>
      <c r="Q58" s="108" t="str">
        <f>VLOOKUP(D58,Poeng!$B$10:$BH$252,Poeng!BH$1,FALSE)</f>
        <v>N/A</v>
      </c>
      <c r="R58" s="644"/>
      <c r="S58" s="645"/>
      <c r="T58" s="638"/>
      <c r="U58" s="277"/>
      <c r="V58" s="847"/>
      <c r="W58" s="766" t="str">
        <f>VLOOKUP(D58,Poeng!$B$10:$BC$252,Poeng!AK$1,FALSE)&amp;" c. "&amp;ROUND(VLOOKUP(D58,Poeng!$B$10:$BC$252,Poeng!AG$1,FALSE)*100,1)&amp;" %"</f>
        <v>0 c. 0 %</v>
      </c>
      <c r="X58" s="108" t="str">
        <f>VLOOKUP(D58,Poeng!$B$10:$BK$252,Poeng!BK$1,FALSE)</f>
        <v>N/A</v>
      </c>
      <c r="Y58" s="75"/>
      <c r="Z58" s="74"/>
      <c r="AA58" s="638"/>
      <c r="AB58" s="117"/>
      <c r="AC58" s="556" t="s">
        <v>13</v>
      </c>
      <c r="AD58" s="20">
        <f t="shared" si="0"/>
        <v>1</v>
      </c>
      <c r="AE58" s="1" t="e">
        <f>VLOOKUP(L58,'Assessment Details'!$O$45:$P$48,2,FALSE)</f>
        <v>#N/A</v>
      </c>
      <c r="AF58" s="1" t="e">
        <f>VLOOKUP(S58,'Assessment Details'!$O$45:$P$48,2,FALSE)</f>
        <v>#N/A</v>
      </c>
      <c r="AG58" s="1" t="e">
        <f>VLOOKUP(Z58,'Assessment Details'!$O$45:$P$48,2,FALSE)</f>
        <v>#N/A</v>
      </c>
      <c r="AJ58" s="64"/>
      <c r="AK58" s="583" t="s">
        <v>113</v>
      </c>
      <c r="AL58" s="64"/>
      <c r="AM58" s="64"/>
      <c r="AN58" s="64"/>
      <c r="AO58" s="64"/>
      <c r="AP58" s="64"/>
      <c r="AQ58" s="64"/>
      <c r="AT58" s="20" t="str">
        <f t="shared" si="3"/>
        <v>N/A</v>
      </c>
      <c r="AU58" s="20" t="str">
        <f t="shared" si="1"/>
        <v>N/A</v>
      </c>
      <c r="AV58" s="20" t="str">
        <f t="shared" si="2"/>
        <v>N/A</v>
      </c>
      <c r="AW58" s="20"/>
      <c r="AX58" s="20"/>
      <c r="AY58" s="20"/>
      <c r="BA58" s="556"/>
    </row>
    <row r="59" spans="1:53" x14ac:dyDescent="0.25">
      <c r="A59" s="893">
        <v>50</v>
      </c>
      <c r="B59" s="894" t="s">
        <v>64</v>
      </c>
      <c r="C59" s="109" t="str">
        <f t="shared" si="7"/>
        <v>Hea 06</v>
      </c>
      <c r="D59" s="717" t="s">
        <v>741</v>
      </c>
      <c r="E59" s="1079" t="s">
        <v>1178</v>
      </c>
      <c r="F59" s="751" t="str">
        <f>VLOOKUP(D59,Poeng!$B$10:$R$252,Poeng!E$1,FALSE)</f>
        <v xml:space="preserve">Inclusive design </v>
      </c>
      <c r="G59" s="107">
        <f>VLOOKUP(D59,Poeng!$B$10:$AB$252,Poeng!AB$1,FALSE)</f>
        <v>1</v>
      </c>
      <c r="H59" s="37"/>
      <c r="I59" s="108">
        <f>VLOOKUP(D59,Poeng!$B$10:$AE$252,Poeng!AE$1,FALSE)</f>
        <v>0</v>
      </c>
      <c r="J59" s="109" t="str">
        <f>VLOOKUP(D59,Poeng!$B$10:$BE$252,Poeng!BE$1,FALSE)</f>
        <v>N/A</v>
      </c>
      <c r="K59" s="74"/>
      <c r="L59" s="242"/>
      <c r="M59" s="694"/>
      <c r="N59" s="712"/>
      <c r="O59" s="77"/>
      <c r="P59" s="108">
        <f>VLOOKUP(D59,Poeng!$B$10:$BC$252,Poeng!AF$1,FALSE)</f>
        <v>0</v>
      </c>
      <c r="Q59" s="108" t="str">
        <f>VLOOKUP(D59,Poeng!$B$10:$BH$252,Poeng!BH$1,FALSE)</f>
        <v>N/A</v>
      </c>
      <c r="R59" s="644"/>
      <c r="S59" s="645"/>
      <c r="T59" s="638"/>
      <c r="U59" s="277"/>
      <c r="V59" s="77"/>
      <c r="W59" s="108">
        <f>VLOOKUP(D59,Poeng!$B$10:$BC$252,Poeng!AG$1,FALSE)</f>
        <v>0</v>
      </c>
      <c r="X59" s="108" t="str">
        <f>VLOOKUP(D59,Poeng!$B$10:$BK$252,Poeng!BK$1,FALSE)</f>
        <v>N/A</v>
      </c>
      <c r="Y59" s="75"/>
      <c r="Z59" s="74"/>
      <c r="AA59" s="694"/>
      <c r="AB59" s="117"/>
      <c r="AC59" s="556"/>
      <c r="AD59" s="20">
        <f t="shared" si="0"/>
        <v>1</v>
      </c>
      <c r="AE59" s="1" t="e">
        <f>VLOOKUP(L59,'Assessment Details'!$O$45:$P$48,2,FALSE)</f>
        <v>#N/A</v>
      </c>
      <c r="AF59" s="1" t="e">
        <f>VLOOKUP(S59,'Assessment Details'!$O$45:$P$48,2,FALSE)</f>
        <v>#N/A</v>
      </c>
      <c r="AG59" s="1" t="e">
        <f>VLOOKUP(Z59,'Assessment Details'!$O$45:$P$48,2,FALSE)</f>
        <v>#N/A</v>
      </c>
      <c r="AJ59" s="64"/>
      <c r="AK59" s="583"/>
      <c r="AL59" s="64"/>
      <c r="AM59" s="64"/>
      <c r="AN59" s="64"/>
      <c r="AO59" s="64"/>
      <c r="AP59" s="64"/>
      <c r="AQ59" s="64"/>
      <c r="AT59" s="20"/>
      <c r="AU59" s="20"/>
      <c r="AV59" s="20"/>
      <c r="AW59" s="20"/>
      <c r="AX59" s="20"/>
      <c r="AY59" s="20"/>
      <c r="BA59" s="556"/>
    </row>
    <row r="60" spans="1:53" x14ac:dyDescent="0.25">
      <c r="A60" s="893">
        <v>51</v>
      </c>
      <c r="B60" s="894" t="s">
        <v>64</v>
      </c>
      <c r="C60" s="109" t="str">
        <f t="shared" si="7"/>
        <v>Hea 06</v>
      </c>
      <c r="D60" s="717" t="s">
        <v>742</v>
      </c>
      <c r="E60" s="1079" t="s">
        <v>1189</v>
      </c>
      <c r="F60" s="751" t="str">
        <f>VLOOKUP(D60,Poeng!$B$10:$R$252,Poeng!E$1,FALSE)</f>
        <v xml:space="preserve">Biofilik design </v>
      </c>
      <c r="G60" s="107">
        <f>VLOOKUP(D60,Poeng!$B$10:$AB$252,Poeng!AB$1,FALSE)</f>
        <v>1</v>
      </c>
      <c r="H60" s="37"/>
      <c r="I60" s="108">
        <f>VLOOKUP(D60,Poeng!$B$10:$AE$252,Poeng!AE$1,FALSE)</f>
        <v>0</v>
      </c>
      <c r="J60" s="109" t="str">
        <f>VLOOKUP(D60,Poeng!$B$10:$BE$252,Poeng!BE$1,FALSE)</f>
        <v>N/A</v>
      </c>
      <c r="K60" s="74"/>
      <c r="L60" s="242"/>
      <c r="M60" s="694"/>
      <c r="N60" s="712"/>
      <c r="O60" s="77"/>
      <c r="P60" s="108">
        <f>VLOOKUP(D60,Poeng!$B$10:$BC$252,Poeng!AF$1,FALSE)</f>
        <v>0</v>
      </c>
      <c r="Q60" s="108" t="str">
        <f>VLOOKUP(D60,Poeng!$B$10:$BH$252,Poeng!BH$1,FALSE)</f>
        <v>N/A</v>
      </c>
      <c r="R60" s="644"/>
      <c r="S60" s="645"/>
      <c r="T60" s="638"/>
      <c r="U60" s="277"/>
      <c r="V60" s="77"/>
      <c r="W60" s="108">
        <f>VLOOKUP(D60,Poeng!$B$10:$BC$252,Poeng!AG$1,FALSE)</f>
        <v>0</v>
      </c>
      <c r="X60" s="108" t="str">
        <f>VLOOKUP(D60,Poeng!$B$10:$BK$252,Poeng!BK$1,FALSE)</f>
        <v>N/A</v>
      </c>
      <c r="Y60" s="75"/>
      <c r="Z60" s="74"/>
      <c r="AA60" s="638"/>
      <c r="AB60" s="117"/>
      <c r="AC60" s="556"/>
      <c r="AD60" s="20">
        <f t="shared" si="0"/>
        <v>1</v>
      </c>
      <c r="AE60" s="1" t="e">
        <f>VLOOKUP(L60,'Assessment Details'!$O$45:$P$48,2,FALSE)</f>
        <v>#N/A</v>
      </c>
      <c r="AF60" s="1" t="e">
        <f>VLOOKUP(S60,'Assessment Details'!$O$45:$P$48,2,FALSE)</f>
        <v>#N/A</v>
      </c>
      <c r="AG60" s="1" t="e">
        <f>VLOOKUP(Z60,'Assessment Details'!$O$45:$P$48,2,FALSE)</f>
        <v>#N/A</v>
      </c>
      <c r="AJ60" s="64"/>
      <c r="AK60" s="583"/>
      <c r="AL60" s="64"/>
      <c r="AM60" s="64"/>
      <c r="AN60" s="64"/>
      <c r="AO60" s="64"/>
      <c r="AP60" s="64"/>
      <c r="AQ60" s="64"/>
      <c r="AT60" s="20"/>
      <c r="AU60" s="20"/>
      <c r="AV60" s="20"/>
      <c r="AW60" s="20"/>
      <c r="AX60" s="20"/>
      <c r="AY60" s="20"/>
      <c r="BA60" s="556"/>
    </row>
    <row r="61" spans="1:53" x14ac:dyDescent="0.25">
      <c r="A61" s="893">
        <v>52</v>
      </c>
      <c r="B61" s="894" t="s">
        <v>64</v>
      </c>
      <c r="C61" s="802" t="s">
        <v>123</v>
      </c>
      <c r="D61" s="717" t="s">
        <v>123</v>
      </c>
      <c r="E61" s="1078"/>
      <c r="F61" s="750" t="str">
        <f>VLOOKUP(D61,Poeng!$B$10:$R$252,Poeng!E$1,FALSE)</f>
        <v>Hea 08 Private space</v>
      </c>
      <c r="G61" s="755">
        <f>VLOOKUP(D61,Poeng!$B$10:$AB$252,Poeng!AB$1,FALSE)</f>
        <v>0</v>
      </c>
      <c r="H61" s="847"/>
      <c r="I61" s="756" t="str">
        <f>VLOOKUP(D61,Poeng!$B$10:$AI$252,Poeng!AI$1,FALSE)&amp;" c. "&amp;ROUND(VLOOKUP(D61,Poeng!$B$10:$AE$252,Poeng!AE$1,FALSE)*100,1)&amp;" %"</f>
        <v>0 c. 0 %</v>
      </c>
      <c r="J61" s="802" t="str">
        <f>VLOOKUP(D61,Poeng!$B$10:$BE$252,Poeng!BE$1,FALSE)</f>
        <v>N/A</v>
      </c>
      <c r="K61" s="74"/>
      <c r="L61" s="242"/>
      <c r="M61" s="694"/>
      <c r="N61" s="712"/>
      <c r="O61" s="847"/>
      <c r="P61" s="766" t="str">
        <f>VLOOKUP(D61,Poeng!$B$10:$BC$252,Poeng!AJ$1,FALSE)&amp;" c. "&amp;ROUND(VLOOKUP(D61,Poeng!$B$10:$BC$252,Poeng!AF$1,FALSE)*100,1)&amp;" %"</f>
        <v>0 c. 0 %</v>
      </c>
      <c r="Q61" s="108" t="str">
        <f>VLOOKUP(D61,Poeng!$B$10:$BH$252,Poeng!BH$1,FALSE)</f>
        <v>N/A</v>
      </c>
      <c r="R61" s="644"/>
      <c r="S61" s="645"/>
      <c r="T61" s="638"/>
      <c r="U61" s="277"/>
      <c r="V61" s="847"/>
      <c r="W61" s="766" t="str">
        <f>VLOOKUP(D61,Poeng!$B$10:$BC$252,Poeng!AK$1,FALSE)&amp;" c. "&amp;ROUND(VLOOKUP(D61,Poeng!$B$10:$BC$252,Poeng!AG$1,FALSE)*100,1)&amp;" %"</f>
        <v>0 c. 0 %</v>
      </c>
      <c r="X61" s="108" t="str">
        <f>VLOOKUP(D61,Poeng!$B$10:$BK$252,Poeng!BK$1,FALSE)</f>
        <v>N/A</v>
      </c>
      <c r="Y61" s="75"/>
      <c r="Z61" s="74"/>
      <c r="AA61" s="638"/>
      <c r="AB61" s="117"/>
      <c r="AC61" s="556" t="s">
        <v>13</v>
      </c>
      <c r="AD61" s="20">
        <f t="shared" si="0"/>
        <v>2</v>
      </c>
      <c r="AE61" s="1" t="e">
        <f>VLOOKUP(L61,'Assessment Details'!$O$45:$P$48,2,FALSE)</f>
        <v>#N/A</v>
      </c>
      <c r="AF61" s="1" t="e">
        <f>VLOOKUP(S61,'Assessment Details'!$O$45:$P$48,2,FALSE)</f>
        <v>#N/A</v>
      </c>
      <c r="AG61" s="1" t="e">
        <f>VLOOKUP(Z61,'Assessment Details'!$O$45:$P$48,2,FALSE)</f>
        <v>#N/A</v>
      </c>
      <c r="AJ61" s="64"/>
      <c r="AK61" s="583" t="s">
        <v>115</v>
      </c>
      <c r="AL61" s="64"/>
      <c r="AM61" s="64"/>
      <c r="AN61" s="64"/>
      <c r="AO61" s="64"/>
      <c r="AP61" s="64"/>
      <c r="AQ61" s="64"/>
      <c r="AT61" s="20" t="str">
        <f t="shared" si="3"/>
        <v>N/A</v>
      </c>
      <c r="AU61" s="20" t="str">
        <f t="shared" si="1"/>
        <v>N/A</v>
      </c>
      <c r="AV61" s="20" t="str">
        <f t="shared" si="2"/>
        <v>N/A</v>
      </c>
      <c r="AW61" s="20"/>
      <c r="AX61" s="20"/>
      <c r="AY61" s="20"/>
      <c r="BA61" s="556"/>
    </row>
    <row r="62" spans="1:53" x14ac:dyDescent="0.25">
      <c r="A62" s="893">
        <v>53</v>
      </c>
      <c r="B62" s="894" t="s">
        <v>64</v>
      </c>
      <c r="C62" s="109" t="str">
        <f t="shared" si="7"/>
        <v>Hea 08</v>
      </c>
      <c r="D62" s="717" t="s">
        <v>743</v>
      </c>
      <c r="E62" s="1078">
        <v>1</v>
      </c>
      <c r="F62" s="751" t="str">
        <f>VLOOKUP(D62,Poeng!$B$10:$R$252,Poeng!E$1,FALSE)</f>
        <v xml:space="preserve">Private outdoor spaces </v>
      </c>
      <c r="G62" s="107">
        <f>VLOOKUP(D62,Poeng!$B$10:$AB$252,Poeng!AB$1,FALSE)</f>
        <v>0</v>
      </c>
      <c r="H62" s="37"/>
      <c r="I62" s="108">
        <f>VLOOKUP(D62,Poeng!$B$10:$AE$252,Poeng!AE$1,FALSE)</f>
        <v>0</v>
      </c>
      <c r="J62" s="109" t="str">
        <f>VLOOKUP(D62,Poeng!$B$10:$BE$252,Poeng!BE$1,FALSE)</f>
        <v>N/A</v>
      </c>
      <c r="K62" s="74"/>
      <c r="L62" s="242"/>
      <c r="M62" s="694"/>
      <c r="N62" s="712"/>
      <c r="O62" s="77"/>
      <c r="P62" s="108">
        <f>VLOOKUP(D62,Poeng!$B$10:$BC$252,Poeng!AF$1,FALSE)</f>
        <v>0</v>
      </c>
      <c r="Q62" s="108" t="str">
        <f>VLOOKUP(D62,Poeng!$B$10:$BH$252,Poeng!BH$1,FALSE)</f>
        <v>N/A</v>
      </c>
      <c r="R62" s="644"/>
      <c r="S62" s="645"/>
      <c r="T62" s="694"/>
      <c r="U62" s="277"/>
      <c r="V62" s="77"/>
      <c r="W62" s="108">
        <f>VLOOKUP(D62,Poeng!$B$10:$BC$252,Poeng!AG$1,FALSE)</f>
        <v>0</v>
      </c>
      <c r="X62" s="108" t="str">
        <f>VLOOKUP(D62,Poeng!$B$10:$BK$252,Poeng!BK$1,FALSE)</f>
        <v>N/A</v>
      </c>
      <c r="Y62" s="75"/>
      <c r="Z62" s="74"/>
      <c r="AA62" s="694"/>
      <c r="AB62" s="117"/>
      <c r="AC62" s="620"/>
      <c r="AD62" s="20">
        <f t="shared" si="0"/>
        <v>2</v>
      </c>
      <c r="AE62" s="1" t="e">
        <f>VLOOKUP(L62,'Assessment Details'!$O$45:$P$48,2,FALSE)</f>
        <v>#N/A</v>
      </c>
      <c r="AF62" s="1" t="e">
        <f>VLOOKUP(S62,'Assessment Details'!$O$45:$P$48,2,FALSE)</f>
        <v>#N/A</v>
      </c>
      <c r="AG62" s="1" t="e">
        <f>VLOOKUP(Z62,'Assessment Details'!$O$45:$P$48,2,FALSE)</f>
        <v>#N/A</v>
      </c>
      <c r="AJ62" s="64"/>
      <c r="AK62" s="583"/>
      <c r="AL62" s="64"/>
      <c r="AM62" s="64"/>
      <c r="AN62" s="64"/>
      <c r="AO62" s="64"/>
      <c r="AP62" s="64"/>
      <c r="AQ62" s="64"/>
      <c r="AT62" s="20"/>
      <c r="AU62" s="20"/>
      <c r="AV62" s="20"/>
      <c r="AW62" s="20"/>
      <c r="AX62" s="20"/>
      <c r="AY62" s="20"/>
      <c r="BA62" s="620"/>
    </row>
    <row r="63" spans="1:53" ht="15.75" thickBot="1" x14ac:dyDescent="0.3">
      <c r="A63" s="893">
        <v>54</v>
      </c>
      <c r="B63" s="894" t="s">
        <v>64</v>
      </c>
      <c r="C63" s="897"/>
      <c r="D63" s="717" t="s">
        <v>882</v>
      </c>
      <c r="E63" s="1082"/>
      <c r="F63" s="278" t="s">
        <v>103</v>
      </c>
      <c r="G63" s="110">
        <f>Hea_Credits</f>
        <v>19</v>
      </c>
      <c r="H63" s="115"/>
      <c r="I63" s="111">
        <f>Hea_cont_tot</f>
        <v>0</v>
      </c>
      <c r="J63" s="757" t="str">
        <f>"Credits achieved: "&amp;HW_tot_user</f>
        <v>Credits achieved: 0</v>
      </c>
      <c r="K63" s="118"/>
      <c r="L63" s="243"/>
      <c r="M63" s="646"/>
      <c r="N63" s="712"/>
      <c r="O63" s="335"/>
      <c r="P63" s="111">
        <f>VLOOKUP(D63,Poeng!$B$10:$BC$252,Poeng!AF$1,FALSE)</f>
        <v>0</v>
      </c>
      <c r="Q63" s="757" t="str">
        <f>"Credits achieved: "&amp;HW_d_user</f>
        <v>Credits achieved: 0</v>
      </c>
      <c r="R63" s="647"/>
      <c r="S63" s="648"/>
      <c r="T63" s="646"/>
      <c r="U63" s="277"/>
      <c r="V63" s="335"/>
      <c r="W63" s="111">
        <f>VLOOKUP(D63,Poeng!$B$10:$BC$252,Poeng!AG$1,FALSE)</f>
        <v>0</v>
      </c>
      <c r="X63" s="757" t="str">
        <f>"Credits achieved: "&amp;HW_c_user</f>
        <v>Credits achieved: 0</v>
      </c>
      <c r="Y63" s="334"/>
      <c r="Z63" s="120"/>
      <c r="AA63" s="646"/>
      <c r="AB63" s="117"/>
      <c r="AC63" s="557"/>
      <c r="AD63" s="20">
        <f t="shared" si="0"/>
        <v>1</v>
      </c>
      <c r="AE63" s="239">
        <v>0</v>
      </c>
      <c r="AF63" s="239">
        <v>0</v>
      </c>
      <c r="AG63" s="239">
        <v>0</v>
      </c>
      <c r="AJ63" s="64"/>
      <c r="AK63" s="583" t="s">
        <v>103</v>
      </c>
      <c r="AL63" s="64"/>
      <c r="AM63" s="64"/>
      <c r="AN63" s="64"/>
      <c r="AO63" s="64"/>
      <c r="AP63" s="64"/>
      <c r="AQ63" s="64"/>
      <c r="AT63" s="20" t="str">
        <f t="shared" si="3"/>
        <v>N/A</v>
      </c>
      <c r="AU63" s="20" t="str">
        <f t="shared" si="1"/>
        <v>N/A</v>
      </c>
      <c r="AV63" s="20" t="str">
        <f t="shared" si="2"/>
        <v>N/A</v>
      </c>
      <c r="AW63" s="20"/>
      <c r="AX63" s="20"/>
      <c r="AY63" s="20"/>
      <c r="BA63" s="557"/>
    </row>
    <row r="64" spans="1:53" x14ac:dyDescent="0.25">
      <c r="A64" s="893">
        <v>55</v>
      </c>
      <c r="B64" s="894" t="s">
        <v>64</v>
      </c>
      <c r="C64" s="899"/>
      <c r="D64" s="717"/>
      <c r="E64" s="1081"/>
      <c r="F64" s="291"/>
      <c r="G64" s="280"/>
      <c r="H64" s="281"/>
      <c r="I64" s="280"/>
      <c r="J64" s="280"/>
      <c r="K64" s="282"/>
      <c r="L64" s="281"/>
      <c r="M64" s="649"/>
      <c r="N64" s="712"/>
      <c r="O64" s="283"/>
      <c r="P64" s="283"/>
      <c r="Q64" s="649"/>
      <c r="R64" s="649"/>
      <c r="S64" s="650"/>
      <c r="T64" s="649"/>
      <c r="U64" s="277"/>
      <c r="V64" s="283"/>
      <c r="W64" s="283"/>
      <c r="X64" s="649"/>
      <c r="Y64" s="282"/>
      <c r="Z64" s="283"/>
      <c r="AA64" s="649"/>
      <c r="AB64" s="117"/>
      <c r="AC64" s="282"/>
      <c r="AD64" s="20">
        <f t="shared" si="0"/>
        <v>1</v>
      </c>
      <c r="AE64" s="240">
        <v>0</v>
      </c>
      <c r="AF64" s="240">
        <v>0</v>
      </c>
      <c r="AG64" s="240">
        <v>0</v>
      </c>
      <c r="AJ64" s="64"/>
      <c r="AK64" s="583"/>
      <c r="AL64" s="64"/>
      <c r="AM64" s="64"/>
      <c r="AN64" s="64"/>
      <c r="AO64" s="64"/>
      <c r="AP64" s="64"/>
      <c r="AQ64" s="64"/>
      <c r="AT64" s="20" t="str">
        <f t="shared" si="3"/>
        <v>N/A</v>
      </c>
      <c r="AU64" s="20" t="str">
        <f t="shared" si="1"/>
        <v>N/A</v>
      </c>
      <c r="AV64" s="20" t="str">
        <f t="shared" si="2"/>
        <v>N/A</v>
      </c>
      <c r="AW64" s="20"/>
      <c r="AX64" s="20"/>
      <c r="AY64" s="20"/>
      <c r="BA64" s="282"/>
    </row>
    <row r="65" spans="1:53" ht="18.75" x14ac:dyDescent="0.25">
      <c r="A65" s="893">
        <v>56</v>
      </c>
      <c r="B65" s="894" t="s">
        <v>65</v>
      </c>
      <c r="C65" s="900"/>
      <c r="D65" s="717"/>
      <c r="E65" s="1083"/>
      <c r="F65" s="292" t="s">
        <v>43</v>
      </c>
      <c r="G65" s="273"/>
      <c r="H65" s="274"/>
      <c r="I65" s="293"/>
      <c r="J65" s="273"/>
      <c r="K65" s="285"/>
      <c r="L65" s="286"/>
      <c r="M65" s="652"/>
      <c r="N65" s="712"/>
      <c r="O65" s="296"/>
      <c r="P65" s="289"/>
      <c r="Q65" s="642"/>
      <c r="R65" s="653"/>
      <c r="S65" s="654"/>
      <c r="T65" s="655"/>
      <c r="U65" s="277"/>
      <c r="V65" s="296"/>
      <c r="W65" s="295"/>
      <c r="X65" s="642"/>
      <c r="Y65" s="285"/>
      <c r="Z65" s="295"/>
      <c r="AA65" s="652"/>
      <c r="AB65" s="117"/>
      <c r="AC65" s="294"/>
      <c r="AD65" s="20">
        <f t="shared" si="0"/>
        <v>1</v>
      </c>
      <c r="AE65" s="238">
        <v>0</v>
      </c>
      <c r="AF65" s="238">
        <v>0</v>
      </c>
      <c r="AG65" s="238">
        <v>0</v>
      </c>
      <c r="AJ65" s="64"/>
      <c r="AK65" s="583" t="s">
        <v>43</v>
      </c>
      <c r="AL65" s="64"/>
      <c r="AM65" s="64"/>
      <c r="AN65" s="64"/>
      <c r="AO65" s="64"/>
      <c r="AP65" s="64"/>
      <c r="AQ65" s="64"/>
      <c r="AT65" s="20" t="str">
        <f t="shared" si="3"/>
        <v>N/A</v>
      </c>
      <c r="AU65" s="20" t="str">
        <f t="shared" si="1"/>
        <v>N/A</v>
      </c>
      <c r="AV65" s="20" t="str">
        <f t="shared" si="2"/>
        <v>N/A</v>
      </c>
      <c r="AW65" s="20"/>
      <c r="AX65" s="20"/>
      <c r="AY65" s="20"/>
      <c r="BA65" s="294"/>
    </row>
    <row r="66" spans="1:53" x14ac:dyDescent="0.25">
      <c r="A66" s="893">
        <v>57</v>
      </c>
      <c r="B66" s="894" t="s">
        <v>65</v>
      </c>
      <c r="C66" s="802" t="s">
        <v>134</v>
      </c>
      <c r="D66" s="717" t="s">
        <v>134</v>
      </c>
      <c r="E66" s="1078"/>
      <c r="F66" s="750" t="str">
        <f>VLOOKUP(D66,Poeng!$B$10:$R$252,Poeng!E$1,FALSE)</f>
        <v>Ene 01 Energy efficiency</v>
      </c>
      <c r="G66" s="755">
        <f>VLOOKUP(D66,Poeng!$B$10:$AB$252,Poeng!AB$1,FALSE)</f>
        <v>12</v>
      </c>
      <c r="H66" s="846"/>
      <c r="I66" s="756" t="str">
        <f>VLOOKUP(D66,Poeng!$B$10:$AI$252,Poeng!AI$1,FALSE)&amp;" c. "&amp;ROUND(VLOOKUP(D66,Poeng!$B$10:$AE$252,Poeng!AE$1,FALSE)*100,1)&amp;" %"</f>
        <v>0 c. 0 %</v>
      </c>
      <c r="J66" s="801" t="str">
        <f>VLOOKUP(D66,Poeng!$B$10:$BE$252,Poeng!BE$1,FALSE)</f>
        <v>N/A</v>
      </c>
      <c r="K66" s="763"/>
      <c r="L66" s="764"/>
      <c r="M66" s="765"/>
      <c r="N66" s="712"/>
      <c r="O66" s="847"/>
      <c r="P66" s="905" t="str">
        <f>VLOOKUP(D66,Poeng!$B$10:$BC$252,Poeng!AJ$1,FALSE)&amp;" c. "&amp;ROUND(VLOOKUP(D66,Poeng!$B$10:$BC$252,Poeng!AF$1,FALSE)*100,1)&amp;" %"</f>
        <v>0 c. 0 %</v>
      </c>
      <c r="Q66" s="108" t="str">
        <f>VLOOKUP(D66,Poeng!$B$10:$BH$252,Poeng!BH$1,FALSE)</f>
        <v>N/A</v>
      </c>
      <c r="R66" s="644"/>
      <c r="S66" s="645"/>
      <c r="T66" s="638"/>
      <c r="U66" s="277"/>
      <c r="V66" s="847"/>
      <c r="W66" s="766" t="str">
        <f>VLOOKUP(D66,Poeng!$B$10:$BC$252,Poeng!AK$1,FALSE)&amp;" c. "&amp;ROUND(VLOOKUP(D66,Poeng!$B$10:$BC$252,Poeng!AG$1,FALSE)*100,1)&amp;" %"</f>
        <v>0 c. 0 %</v>
      </c>
      <c r="X66" s="108" t="str">
        <f>VLOOKUP(D66,Poeng!$B$10:$BK$252,Poeng!BK$1,FALSE)</f>
        <v>N/A</v>
      </c>
      <c r="Y66" s="75"/>
      <c r="Z66" s="74"/>
      <c r="AA66" s="638"/>
      <c r="AB66" s="117"/>
      <c r="AC66" s="556" t="s">
        <v>12</v>
      </c>
      <c r="AD66" s="20">
        <f t="shared" si="0"/>
        <v>1</v>
      </c>
      <c r="AE66" s="1" t="e">
        <f>VLOOKUP(L66,'Assessment Details'!$O$45:$P$48,2,FALSE)</f>
        <v>#N/A</v>
      </c>
      <c r="AF66" s="1" t="e">
        <f>VLOOKUP(S66,'Assessment Details'!$O$45:$P$48,2,FALSE)</f>
        <v>#N/A</v>
      </c>
      <c r="AG66" s="1" t="e">
        <f>VLOOKUP(Z66,'Assessment Details'!$O$45:$P$48,2,FALSE)</f>
        <v>#N/A</v>
      </c>
      <c r="AJ66" s="64"/>
      <c r="AK66" s="583" t="s">
        <v>127</v>
      </c>
      <c r="AL66" s="562" t="s">
        <v>405</v>
      </c>
      <c r="AM66" s="562" t="s">
        <v>407</v>
      </c>
      <c r="AN66" s="64"/>
      <c r="AO66" s="64"/>
      <c r="AP66" s="64"/>
      <c r="AQ66" s="64"/>
      <c r="AS66" s="1" t="s">
        <v>12</v>
      </c>
      <c r="AT66" s="20" t="str">
        <f t="shared" si="3"/>
        <v>N/A</v>
      </c>
      <c r="AU66" s="20" t="str">
        <f t="shared" si="1"/>
        <v>N/A</v>
      </c>
      <c r="AV66" s="20" t="str">
        <f t="shared" si="2"/>
        <v>N/A</v>
      </c>
      <c r="AW66" s="20"/>
      <c r="AX66" s="20"/>
      <c r="AY66" s="20"/>
      <c r="BA66" s="556"/>
    </row>
    <row r="67" spans="1:53" x14ac:dyDescent="0.25">
      <c r="A67" s="893">
        <v>58</v>
      </c>
      <c r="B67" s="894" t="s">
        <v>65</v>
      </c>
      <c r="C67" s="109" t="str">
        <f t="shared" si="7"/>
        <v>Ene 01</v>
      </c>
      <c r="D67" s="16" t="s">
        <v>744</v>
      </c>
      <c r="E67" s="1079" t="s">
        <v>1173</v>
      </c>
      <c r="F67" s="751" t="str">
        <f>VLOOKUP(D67,Poeng!$B$10:$R$252,Poeng!E$1,FALSE)</f>
        <v xml:space="preserve">Passive design </v>
      </c>
      <c r="G67" s="107">
        <f>VLOOKUP(D67,Poeng!$B$10:$AB$252,Poeng!AB$1,FALSE)</f>
        <v>2</v>
      </c>
      <c r="H67" s="37"/>
      <c r="I67" s="108">
        <f>VLOOKUP(D67,Poeng!$B$10:$AE$252,Poeng!AE$1,FALSE)</f>
        <v>0</v>
      </c>
      <c r="J67" s="109" t="str">
        <f>VLOOKUP(D67,Poeng!$B$10:$BE$252,Poeng!BE$1,FALSE)</f>
        <v>N/A</v>
      </c>
      <c r="K67" s="74"/>
      <c r="L67" s="242"/>
      <c r="M67" s="638"/>
      <c r="N67" s="712"/>
      <c r="O67" s="77"/>
      <c r="P67" s="108">
        <f>VLOOKUP(D67,Poeng!$B$10:$BC$252,Poeng!AF$1,FALSE)</f>
        <v>0</v>
      </c>
      <c r="Q67" s="108" t="str">
        <f>VLOOKUP(D67,Poeng!$B$10:$BH$252,Poeng!BH$1,FALSE)</f>
        <v>N/A</v>
      </c>
      <c r="R67" s="644"/>
      <c r="S67" s="645"/>
      <c r="T67" s="638"/>
      <c r="U67" s="277"/>
      <c r="V67" s="77"/>
      <c r="W67" s="108">
        <f>VLOOKUP(D67,Poeng!$B$10:$BC$252,Poeng!AG$1,FALSE)</f>
        <v>0</v>
      </c>
      <c r="X67" s="108" t="str">
        <f>VLOOKUP(D67,Poeng!$B$10:$BK$252,Poeng!BK$1,FALSE)</f>
        <v>N/A</v>
      </c>
      <c r="Y67" s="75"/>
      <c r="Z67" s="74"/>
      <c r="AA67" s="638"/>
      <c r="AD67" s="20">
        <f t="shared" si="0"/>
        <v>1</v>
      </c>
      <c r="AE67" s="1" t="e">
        <f>VLOOKUP(L67,'Assessment Details'!$O$45:$P$48,2,FALSE)</f>
        <v>#N/A</v>
      </c>
      <c r="AF67" s="1" t="e">
        <f>VLOOKUP(S67,'Assessment Details'!$O$45:$P$48,2,FALSE)</f>
        <v>#N/A</v>
      </c>
      <c r="AG67" s="1" t="e">
        <f>VLOOKUP(Z67,'Assessment Details'!$O$45:$P$48,2,FALSE)</f>
        <v>#N/A</v>
      </c>
    </row>
    <row r="68" spans="1:53" x14ac:dyDescent="0.25">
      <c r="A68" s="893">
        <v>59</v>
      </c>
      <c r="B68" s="894" t="s">
        <v>65</v>
      </c>
      <c r="C68" s="109" t="str">
        <f t="shared" si="7"/>
        <v>Ene 01</v>
      </c>
      <c r="D68" s="16" t="s">
        <v>745</v>
      </c>
      <c r="E68" s="1079" t="s">
        <v>1186</v>
      </c>
      <c r="F68" s="751" t="str">
        <f>VLOOKUP(D68,Poeng!$B$10:$R$252,Poeng!E$1,FALSE)</f>
        <v xml:space="preserve">Low and zero carbon technologies </v>
      </c>
      <c r="G68" s="107">
        <f>VLOOKUP(D68,Poeng!$B$10:$AB$252,Poeng!AB$1,FALSE)</f>
        <v>1</v>
      </c>
      <c r="H68" s="37"/>
      <c r="I68" s="108">
        <f>VLOOKUP(D68,Poeng!$B$10:$AE$252,Poeng!AE$1,FALSE)</f>
        <v>0</v>
      </c>
      <c r="J68" s="109" t="str">
        <f>VLOOKUP(D68,Poeng!$B$10:$BE$252,Poeng!BE$1,FALSE)</f>
        <v>N/A</v>
      </c>
      <c r="K68" s="74"/>
      <c r="L68" s="242"/>
      <c r="M68" s="694"/>
      <c r="N68" s="712"/>
      <c r="O68" s="77"/>
      <c r="P68" s="108">
        <f>VLOOKUP(D68,Poeng!$B$10:$BC$252,Poeng!AF$1,FALSE)</f>
        <v>0</v>
      </c>
      <c r="Q68" s="108" t="str">
        <f>VLOOKUP(D68,Poeng!$B$10:$BH$252,Poeng!BH$1,FALSE)</f>
        <v>N/A</v>
      </c>
      <c r="R68" s="644"/>
      <c r="S68" s="645"/>
      <c r="T68" s="638"/>
      <c r="U68" s="277"/>
      <c r="V68" s="77"/>
      <c r="W68" s="108">
        <f>VLOOKUP(D68,Poeng!$B$10:$BC$252,Poeng!AG$1,FALSE)</f>
        <v>0</v>
      </c>
      <c r="X68" s="108" t="str">
        <f>VLOOKUP(D68,Poeng!$B$10:$BK$252,Poeng!BK$1,FALSE)</f>
        <v>N/A</v>
      </c>
      <c r="Y68" s="75"/>
      <c r="Z68" s="74"/>
      <c r="AA68" s="638"/>
      <c r="AD68" s="20">
        <f t="shared" si="0"/>
        <v>1</v>
      </c>
      <c r="AE68" s="1" t="e">
        <f>VLOOKUP(L68,'Assessment Details'!$O$45:$P$48,2,FALSE)</f>
        <v>#N/A</v>
      </c>
      <c r="AF68" s="1" t="e">
        <f>VLOOKUP(S68,'Assessment Details'!$O$45:$P$48,2,FALSE)</f>
        <v>#N/A</v>
      </c>
      <c r="AG68" s="1" t="e">
        <f>VLOOKUP(Z68,'Assessment Details'!$O$45:$P$48,2,FALSE)</f>
        <v>#N/A</v>
      </c>
    </row>
    <row r="69" spans="1:53" x14ac:dyDescent="0.25">
      <c r="A69" s="893">
        <v>60</v>
      </c>
      <c r="B69" s="894" t="s">
        <v>65</v>
      </c>
      <c r="C69" s="109" t="str">
        <f>C68</f>
        <v>Ene 01</v>
      </c>
      <c r="D69" s="16" t="s">
        <v>746</v>
      </c>
      <c r="E69" s="1090" t="s">
        <v>1191</v>
      </c>
      <c r="F69" s="751" t="str">
        <f>VLOOKUP(D69,Poeng!$B$10:$R$252,Poeng!E$1,FALSE)</f>
        <v xml:space="preserve">Energy performance </v>
      </c>
      <c r="G69" s="107">
        <f>VLOOKUP(D69,Poeng!$B$10:$AB$252,Poeng!AB$1,FALSE)</f>
        <v>4</v>
      </c>
      <c r="H69" s="37"/>
      <c r="I69" s="108">
        <f>VLOOKUP(D69,Poeng!$B$10:$AE$252,Poeng!AE$1,FALSE)</f>
        <v>0</v>
      </c>
      <c r="J69" s="109" t="str">
        <f>VLOOKUP(D69,Poeng!$B$10:$BE$252,Poeng!BE$1,FALSE)</f>
        <v>Very Good</v>
      </c>
      <c r="K69" s="74"/>
      <c r="L69" s="242"/>
      <c r="M69" s="694"/>
      <c r="N69" s="712"/>
      <c r="O69" s="77"/>
      <c r="P69" s="108">
        <f>VLOOKUP(D69,Poeng!$B$10:$BC$252,Poeng!AF$1,FALSE)</f>
        <v>0</v>
      </c>
      <c r="Q69" s="108" t="str">
        <f>VLOOKUP(D69,Poeng!$B$10:$BH$252,Poeng!BH$1,FALSE)</f>
        <v>Very Good</v>
      </c>
      <c r="R69" s="644"/>
      <c r="S69" s="645"/>
      <c r="T69" s="638"/>
      <c r="U69" s="277"/>
      <c r="V69" s="77"/>
      <c r="W69" s="108">
        <f>VLOOKUP(D69,Poeng!$B$10:$BC$252,Poeng!AG$1,FALSE)</f>
        <v>0</v>
      </c>
      <c r="X69" s="108" t="str">
        <f>VLOOKUP(D69,Poeng!$B$10:$BK$252,Poeng!BK$1,FALSE)</f>
        <v>Very Good</v>
      </c>
      <c r="Y69" s="75"/>
      <c r="Z69" s="74"/>
      <c r="AA69" s="638"/>
      <c r="AD69" s="20">
        <f t="shared" si="0"/>
        <v>1</v>
      </c>
      <c r="AE69" s="1" t="e">
        <f>VLOOKUP(L69,'Assessment Details'!$O$45:$P$48,2,FALSE)</f>
        <v>#N/A</v>
      </c>
      <c r="AF69" s="1" t="e">
        <f>VLOOKUP(S69,'Assessment Details'!$O$45:$P$48,2,FALSE)</f>
        <v>#N/A</v>
      </c>
      <c r="AG69" s="1" t="e">
        <f>VLOOKUP(Z69,'Assessment Details'!$O$45:$P$48,2,FALSE)</f>
        <v>#N/A</v>
      </c>
    </row>
    <row r="70" spans="1:53" x14ac:dyDescent="0.25">
      <c r="A70" s="893">
        <v>61</v>
      </c>
      <c r="B70" s="894" t="s">
        <v>65</v>
      </c>
      <c r="C70" s="109" t="str">
        <f>C68</f>
        <v>Ene 01</v>
      </c>
      <c r="D70" s="16" t="s">
        <v>1018</v>
      </c>
      <c r="E70" s="1079" t="s">
        <v>1192</v>
      </c>
      <c r="F70" s="1042" t="str">
        <f>VLOOKUP(D70,Poeng!$B$10:$R$258,Poeng!E$1,FALSE)</f>
        <v>EU taxonomy requirements: criterion 9 and 10 - Energy performance</v>
      </c>
      <c r="G70" s="107" t="str">
        <f>VLOOKUP(D70,Poeng!$B$10:$AB$258,Poeng!AB$1,FALSE)</f>
        <v>Yes/No</v>
      </c>
      <c r="H70" s="37"/>
      <c r="I70" s="108" t="str">
        <f>VLOOKUP(D70,Poeng!$B$10:$AE$258,Poeng!AE$1,FALSE)</f>
        <v>-</v>
      </c>
      <c r="J70" s="109" t="str">
        <f>VLOOKUP(D70,Poeng!$B$10:$BE$258,Poeng!BE$1,FALSE)</f>
        <v>N/A</v>
      </c>
      <c r="K70" s="74"/>
      <c r="L70" s="242"/>
      <c r="M70" s="694"/>
      <c r="N70" s="712"/>
      <c r="O70" s="77"/>
      <c r="P70" s="108" t="str">
        <f>VLOOKUP(D70,Poeng!$B$10:$BC$258,Poeng!AF$1,FALSE)</f>
        <v>-</v>
      </c>
      <c r="Q70" s="108" t="str">
        <f>VLOOKUP(D70,Poeng!$B$10:$BH$258,Poeng!BH$1,FALSE)</f>
        <v>N/A</v>
      </c>
      <c r="R70" s="644"/>
      <c r="S70" s="645"/>
      <c r="T70" s="638"/>
      <c r="U70" s="277"/>
      <c r="V70" s="77"/>
      <c r="W70" s="108" t="str">
        <f>VLOOKUP(D70,Poeng!$B$10:$BC$258,Poeng!AG$1,FALSE)</f>
        <v>-</v>
      </c>
      <c r="X70" s="108" t="str">
        <f>VLOOKUP(D70,Poeng!$B$10:$BK$258,Poeng!BK$1,FALSE)</f>
        <v>N/A</v>
      </c>
      <c r="Y70" s="75"/>
      <c r="Z70" s="74"/>
      <c r="AA70" s="638"/>
      <c r="AD70" s="20">
        <f t="shared" ref="AD70" si="10">IF(G70="",1,IF(G70=0,2,1))</f>
        <v>1</v>
      </c>
      <c r="AE70" s="1" t="e">
        <f>VLOOKUP(L70,'Assessment Details'!$O$45:$P$48,2,FALSE)</f>
        <v>#N/A</v>
      </c>
      <c r="AF70" s="1" t="e">
        <f>VLOOKUP(S70,'Assessment Details'!$O$45:$P$48,2,FALSE)</f>
        <v>#N/A</v>
      </c>
      <c r="AG70" s="1" t="e">
        <f>VLOOKUP(Z70,'Assessment Details'!$O$45:$P$48,2,FALSE)</f>
        <v>#N/A</v>
      </c>
    </row>
    <row r="71" spans="1:53" x14ac:dyDescent="0.25">
      <c r="A71" s="893">
        <v>62</v>
      </c>
      <c r="B71" s="894" t="s">
        <v>65</v>
      </c>
      <c r="C71" s="109" t="str">
        <f>C69</f>
        <v>Ene 01</v>
      </c>
      <c r="D71" s="16" t="s">
        <v>747</v>
      </c>
      <c r="E71" s="1079" t="s">
        <v>1192</v>
      </c>
      <c r="F71" s="751" t="str">
        <f>VLOOKUP(D71,Poeng!$B$10:$R$252,Poeng!E$1,FALSE)</f>
        <v>Adaptation to EU taxonomy (EU taxonomy requirements: criterion 12)</v>
      </c>
      <c r="G71" s="107">
        <f>VLOOKUP(D71,Poeng!$B$10:$AB$252,Poeng!AB$1,FALSE)</f>
        <v>1</v>
      </c>
      <c r="H71" s="37"/>
      <c r="I71" s="108">
        <f>VLOOKUP(D71,Poeng!$B$10:$AE$252,Poeng!AE$1,FALSE)</f>
        <v>0</v>
      </c>
      <c r="J71" s="109" t="str">
        <f>VLOOKUP(D71,Poeng!$B$10:$BE$252,Poeng!BE$1,FALSE)</f>
        <v>Very Good</v>
      </c>
      <c r="K71" s="74"/>
      <c r="L71" s="242"/>
      <c r="M71" s="694"/>
      <c r="N71" s="712"/>
      <c r="O71" s="77"/>
      <c r="P71" s="108">
        <f>VLOOKUP(D71,Poeng!$B$10:$BC$252,Poeng!AF$1,FALSE)</f>
        <v>0</v>
      </c>
      <c r="Q71" s="108" t="str">
        <f>VLOOKUP(D71,Poeng!$B$10:$BH$252,Poeng!BH$1,FALSE)</f>
        <v>Very Good</v>
      </c>
      <c r="R71" s="644"/>
      <c r="S71" s="645"/>
      <c r="T71" s="638"/>
      <c r="U71" s="277"/>
      <c r="V71" s="77"/>
      <c r="W71" s="108">
        <f>VLOOKUP(D71,Poeng!$B$10:$BC$252,Poeng!AG$1,FALSE)</f>
        <v>0</v>
      </c>
      <c r="X71" s="108" t="str">
        <f>VLOOKUP(D71,Poeng!$B$10:$BK$252,Poeng!BK$1,FALSE)</f>
        <v>Very Good</v>
      </c>
      <c r="Y71" s="75"/>
      <c r="Z71" s="74"/>
      <c r="AA71" s="638"/>
      <c r="AD71" s="20">
        <f t="shared" si="0"/>
        <v>1</v>
      </c>
      <c r="AE71" s="1" t="e">
        <f>VLOOKUP(L71,'Assessment Details'!$O$45:$P$48,2,FALSE)</f>
        <v>#N/A</v>
      </c>
      <c r="AF71" s="1" t="e">
        <f>VLOOKUP(S71,'Assessment Details'!$O$45:$P$48,2,FALSE)</f>
        <v>#N/A</v>
      </c>
      <c r="AG71" s="1" t="e">
        <f>VLOOKUP(Z71,'Assessment Details'!$O$45:$P$48,2,FALSE)</f>
        <v>#N/A</v>
      </c>
    </row>
    <row r="72" spans="1:53" x14ac:dyDescent="0.25">
      <c r="A72" s="893">
        <v>63</v>
      </c>
      <c r="B72" s="894" t="s">
        <v>65</v>
      </c>
      <c r="C72" s="109" t="str">
        <f>C71</f>
        <v>Ene 01</v>
      </c>
      <c r="D72" s="16" t="s">
        <v>748</v>
      </c>
      <c r="E72" s="1078" t="s">
        <v>1193</v>
      </c>
      <c r="F72" s="751" t="str">
        <f>VLOOKUP(D72,Poeng!$B$10:$R$252,Poeng!E$1,FALSE)</f>
        <v xml:space="preserve">Prediction of operational energy consumption </v>
      </c>
      <c r="G72" s="107">
        <f>VLOOKUP(D72,Poeng!$B$10:$AB$252,Poeng!AB$1,FALSE)</f>
        <v>4</v>
      </c>
      <c r="H72" s="37"/>
      <c r="I72" s="108">
        <f>VLOOKUP(D72,Poeng!$B$10:$AE$252,Poeng!AE$1,FALSE)</f>
        <v>0</v>
      </c>
      <c r="J72" s="109" t="str">
        <f>VLOOKUP(D72,Poeng!$B$10:$BE$252,Poeng!BE$1,FALSE)</f>
        <v>N/A</v>
      </c>
      <c r="K72" s="74"/>
      <c r="L72" s="242"/>
      <c r="M72" s="694"/>
      <c r="N72" s="712"/>
      <c r="O72" s="77"/>
      <c r="P72" s="108">
        <f>VLOOKUP(D72,Poeng!$B$10:$BC$252,Poeng!AF$1,FALSE)</f>
        <v>0</v>
      </c>
      <c r="Q72" s="108" t="str">
        <f>VLOOKUP(D72,Poeng!$B$10:$BH$252,Poeng!BH$1,FALSE)</f>
        <v>N/A</v>
      </c>
      <c r="R72" s="644"/>
      <c r="S72" s="645"/>
      <c r="T72" s="638"/>
      <c r="U72" s="277"/>
      <c r="V72" s="77"/>
      <c r="W72" s="108">
        <f>VLOOKUP(D72,Poeng!$B$10:$BC$252,Poeng!AG$1,FALSE)</f>
        <v>0</v>
      </c>
      <c r="X72" s="108" t="str">
        <f>VLOOKUP(D72,Poeng!$B$10:$BK$252,Poeng!BK$1,FALSE)</f>
        <v>N/A</v>
      </c>
      <c r="Y72" s="75"/>
      <c r="Z72" s="74"/>
      <c r="AA72" s="638"/>
      <c r="AD72" s="20">
        <f t="shared" si="0"/>
        <v>1</v>
      </c>
      <c r="AE72" s="1" t="e">
        <f>VLOOKUP(L72,'Assessment Details'!$O$45:$P$48,2,FALSE)</f>
        <v>#N/A</v>
      </c>
      <c r="AF72" s="1" t="e">
        <f>VLOOKUP(S72,'Assessment Details'!$O$45:$P$48,2,FALSE)</f>
        <v>#N/A</v>
      </c>
      <c r="AG72" s="1" t="e">
        <f>VLOOKUP(Z72,'Assessment Details'!$O$45:$P$48,2,FALSE)</f>
        <v>#N/A</v>
      </c>
    </row>
    <row r="73" spans="1:53" ht="24" x14ac:dyDescent="0.25">
      <c r="A73" s="893">
        <v>64</v>
      </c>
      <c r="B73" s="894" t="s">
        <v>65</v>
      </c>
      <c r="C73" s="802" t="s">
        <v>135</v>
      </c>
      <c r="D73" s="717" t="s">
        <v>135</v>
      </c>
      <c r="E73" s="1078"/>
      <c r="F73" s="750" t="str">
        <f>VLOOKUP(D73,Poeng!$B$10:$R$252,Poeng!E$1,FALSE)</f>
        <v>Ene 02 Energy monitoring</v>
      </c>
      <c r="G73" s="755">
        <f>VLOOKUP(D73,Poeng!$B$10:$AB$252,Poeng!AB$1,FALSE)</f>
        <v>2</v>
      </c>
      <c r="H73" s="847"/>
      <c r="I73" s="756" t="str">
        <f>VLOOKUP(D73,Poeng!$B$10:$AI$252,Poeng!AI$1,FALSE)&amp;" c. "&amp;ROUND(VLOOKUP(D73,Poeng!$B$10:$AE$252,Poeng!AE$1,FALSE)*100,1)&amp;" %"</f>
        <v>0 c. 0 %</v>
      </c>
      <c r="J73" s="802" t="str">
        <f>VLOOKUP(D73,Poeng!$B$10:$BE$252,Poeng!BE$1,FALSE)</f>
        <v>N/A</v>
      </c>
      <c r="K73" s="74"/>
      <c r="L73" s="242"/>
      <c r="M73" s="694"/>
      <c r="N73" s="712"/>
      <c r="O73" s="847"/>
      <c r="P73" s="766" t="str">
        <f>VLOOKUP(D73,Poeng!$B$10:$BC$252,Poeng!AJ$1,FALSE)&amp;" c. "&amp;ROUND(VLOOKUP(D73,Poeng!$B$10:$BC$252,Poeng!AF$1,FALSE)*100,1)&amp;" %"</f>
        <v>0 c. 0 %</v>
      </c>
      <c r="Q73" s="108" t="str">
        <f>VLOOKUP(D73,Poeng!$B$10:$BH$252,Poeng!BH$1,FALSE)</f>
        <v>N/A</v>
      </c>
      <c r="R73" s="644"/>
      <c r="S73" s="645"/>
      <c r="T73" s="638"/>
      <c r="U73" s="277"/>
      <c r="V73" s="847"/>
      <c r="W73" s="766" t="str">
        <f>VLOOKUP(D73,Poeng!$B$10:$BC$252,Poeng!AK$1,FALSE)&amp;" c. "&amp;ROUND(VLOOKUP(D73,Poeng!$B$10:$BC$252,Poeng!AG$1,FALSE)*100,1)&amp;" %"</f>
        <v>0 c. 0 %</v>
      </c>
      <c r="X73" s="108" t="str">
        <f>VLOOKUP(D73,Poeng!$B$10:$BK$252,Poeng!BK$1,FALSE)</f>
        <v>N/A</v>
      </c>
      <c r="Y73" s="75"/>
      <c r="Z73" s="74"/>
      <c r="AA73" s="638"/>
      <c r="AB73" s="117"/>
      <c r="AC73" s="593" t="s">
        <v>452</v>
      </c>
      <c r="AD73" s="20">
        <f t="shared" si="0"/>
        <v>1</v>
      </c>
      <c r="AE73" s="1" t="e">
        <f>VLOOKUP(L73,'Assessment Details'!$O$45:$P$48,2,FALSE)</f>
        <v>#N/A</v>
      </c>
      <c r="AF73" s="1" t="e">
        <f>VLOOKUP(S73,'Assessment Details'!$O$45:$P$48,2,FALSE)</f>
        <v>#N/A</v>
      </c>
      <c r="AG73" s="1" t="e">
        <f>VLOOKUP(Z73,'Assessment Details'!$O$45:$P$48,2,FALSE)</f>
        <v>#N/A</v>
      </c>
      <c r="AJ73" s="64" t="str">
        <f>ais_ja</f>
        <v>Ja</v>
      </c>
      <c r="AK73" s="583" t="s">
        <v>133</v>
      </c>
      <c r="AL73" s="565" t="s">
        <v>450</v>
      </c>
      <c r="AM73" s="565" t="s">
        <v>451</v>
      </c>
      <c r="AN73" s="565" t="s">
        <v>452</v>
      </c>
      <c r="AO73" s="565" t="s">
        <v>453</v>
      </c>
      <c r="AP73" s="565" t="s">
        <v>438</v>
      </c>
      <c r="AQ73" s="64"/>
      <c r="AS73" s="1" t="str">
        <f>IF($AK$8=ais_nei,AIS_NA,"No")</f>
        <v>No</v>
      </c>
      <c r="AT73" s="20" t="str">
        <f t="shared" ref="AT73:AY73" si="11">IF(OR($AK$4=ais_nei,$AK$8=ais_nei),AIS_NA,IF(AL73="",AIS_NA,AL73))</f>
        <v>N/A</v>
      </c>
      <c r="AU73" s="20" t="str">
        <f t="shared" si="11"/>
        <v>N/A</v>
      </c>
      <c r="AV73" s="20" t="str">
        <f t="shared" si="11"/>
        <v>N/A</v>
      </c>
      <c r="AW73" s="20" t="str">
        <f t="shared" si="11"/>
        <v>N/A</v>
      </c>
      <c r="AX73" s="20" t="str">
        <f t="shared" si="11"/>
        <v>N/A</v>
      </c>
      <c r="AY73" s="20" t="str">
        <f t="shared" si="11"/>
        <v>N/A</v>
      </c>
      <c r="AZ73" s="1" t="s">
        <v>11</v>
      </c>
      <c r="BA73" s="556"/>
    </row>
    <row r="74" spans="1:53" x14ac:dyDescent="0.25">
      <c r="A74" s="893">
        <v>65</v>
      </c>
      <c r="B74" s="894" t="s">
        <v>65</v>
      </c>
      <c r="C74" s="109" t="str">
        <f t="shared" si="7"/>
        <v>Ene 02</v>
      </c>
      <c r="D74" s="717" t="s">
        <v>252</v>
      </c>
      <c r="E74" s="1079" t="s">
        <v>1173</v>
      </c>
      <c r="F74" s="751" t="str">
        <f>VLOOKUP(D74,Poeng!$B$10:$R$252,Poeng!E$1,FALSE)</f>
        <v xml:space="preserve">Sub-metering of end-use categories </v>
      </c>
      <c r="G74" s="107">
        <f>VLOOKUP(D74,Poeng!$B$10:$AB$252,Poeng!AB$1,FALSE)</f>
        <v>1</v>
      </c>
      <c r="H74" s="37"/>
      <c r="I74" s="108">
        <f>VLOOKUP(D74,Poeng!$B$10:$AE$252,Poeng!AE$1,FALSE)</f>
        <v>0</v>
      </c>
      <c r="J74" s="109" t="str">
        <f>VLOOKUP(D74,Poeng!$B$10:$BE$252,Poeng!BE$1,FALSE)</f>
        <v>N/A</v>
      </c>
      <c r="K74" s="74"/>
      <c r="L74" s="242"/>
      <c r="M74" s="694"/>
      <c r="N74" s="712"/>
      <c r="O74" s="77"/>
      <c r="P74" s="108">
        <f>VLOOKUP(D74,Poeng!$B$10:$BC$252,Poeng!AF$1,FALSE)</f>
        <v>0</v>
      </c>
      <c r="Q74" s="108" t="str">
        <f>VLOOKUP(D74,Poeng!$B$10:$BH$252,Poeng!BH$1,FALSE)</f>
        <v>N/A</v>
      </c>
      <c r="R74" s="644"/>
      <c r="S74" s="645"/>
      <c r="T74" s="638"/>
      <c r="U74" s="277"/>
      <c r="V74" s="77"/>
      <c r="W74" s="108">
        <f>VLOOKUP(D74,Poeng!$B$10:$BC$252,Poeng!AG$1,FALSE)</f>
        <v>0</v>
      </c>
      <c r="X74" s="108" t="str">
        <f>VLOOKUP(D74,Poeng!$B$10:$BK$252,Poeng!BK$1,FALSE)</f>
        <v>N/A</v>
      </c>
      <c r="Y74" s="75"/>
      <c r="Z74" s="74"/>
      <c r="AA74" s="638"/>
      <c r="AB74" s="117"/>
      <c r="AC74" s="593"/>
      <c r="AD74" s="20">
        <f t="shared" si="0"/>
        <v>1</v>
      </c>
      <c r="AE74" s="1" t="e">
        <f>VLOOKUP(L74,'Assessment Details'!$O$45:$P$48,2,FALSE)</f>
        <v>#N/A</v>
      </c>
      <c r="AF74" s="1" t="e">
        <f>VLOOKUP(S74,'Assessment Details'!$O$45:$P$48,2,FALSE)</f>
        <v>#N/A</v>
      </c>
      <c r="AG74" s="1" t="e">
        <f>VLOOKUP(Z74,'Assessment Details'!$O$45:$P$48,2,FALSE)</f>
        <v>#N/A</v>
      </c>
      <c r="AJ74" s="64"/>
      <c r="AK74" s="583"/>
      <c r="AL74" s="565"/>
      <c r="AM74" s="565"/>
      <c r="AN74" s="565"/>
      <c r="AO74" s="565"/>
      <c r="AP74" s="565"/>
      <c r="AQ74" s="64"/>
      <c r="AT74" s="20"/>
      <c r="AU74" s="20"/>
      <c r="AV74" s="20"/>
      <c r="AW74" s="20"/>
      <c r="AX74" s="20"/>
      <c r="AY74" s="20"/>
      <c r="BA74" s="556"/>
    </row>
    <row r="75" spans="1:53" x14ac:dyDescent="0.25">
      <c r="A75" s="893">
        <v>66</v>
      </c>
      <c r="B75" s="894" t="s">
        <v>65</v>
      </c>
      <c r="C75" s="109" t="str">
        <f t="shared" si="7"/>
        <v>Ene 02</v>
      </c>
      <c r="D75" s="717" t="s">
        <v>354</v>
      </c>
      <c r="E75" s="1079" t="s">
        <v>1174</v>
      </c>
      <c r="F75" s="751" t="str">
        <f>VLOOKUP(D75,Poeng!$B$10:$R$252,Poeng!E$1,FALSE)</f>
        <v xml:space="preserve">Sub-metering of high energy load and tenancy areas </v>
      </c>
      <c r="G75" s="107">
        <f>VLOOKUP(D75,Poeng!$B$10:$AB$252,Poeng!AB$1,FALSE)</f>
        <v>1</v>
      </c>
      <c r="H75" s="37"/>
      <c r="I75" s="108">
        <f>VLOOKUP(D75,Poeng!$B$10:$AE$252,Poeng!AE$1,FALSE)</f>
        <v>0</v>
      </c>
      <c r="J75" s="109" t="str">
        <f>VLOOKUP(D75,Poeng!$B$10:$BE$252,Poeng!BE$1,FALSE)</f>
        <v>N/A</v>
      </c>
      <c r="K75" s="74"/>
      <c r="L75" s="242"/>
      <c r="M75" s="694"/>
      <c r="N75" s="712"/>
      <c r="O75" s="77"/>
      <c r="P75" s="108">
        <f>VLOOKUP(D75,Poeng!$B$10:$BC$252,Poeng!AF$1,FALSE)</f>
        <v>0</v>
      </c>
      <c r="Q75" s="108" t="str">
        <f>VLOOKUP(D75,Poeng!$B$10:$BH$252,Poeng!BH$1,FALSE)</f>
        <v>N/A</v>
      </c>
      <c r="R75" s="644"/>
      <c r="S75" s="645"/>
      <c r="T75" s="638"/>
      <c r="U75" s="277"/>
      <c r="V75" s="77"/>
      <c r="W75" s="108">
        <f>VLOOKUP(D75,Poeng!$B$10:$BC$252,Poeng!AG$1,FALSE)</f>
        <v>0</v>
      </c>
      <c r="X75" s="108" t="str">
        <f>VLOOKUP(D75,Poeng!$B$10:$BK$252,Poeng!BK$1,FALSE)</f>
        <v>N/A</v>
      </c>
      <c r="Y75" s="75"/>
      <c r="Z75" s="74"/>
      <c r="AA75" s="638"/>
      <c r="AB75" s="117"/>
      <c r="AC75" s="593"/>
      <c r="AD75" s="20">
        <f t="shared" si="0"/>
        <v>1</v>
      </c>
      <c r="AE75" s="1" t="e">
        <f>VLOOKUP(L75,'Assessment Details'!$O$45:$P$48,2,FALSE)</f>
        <v>#N/A</v>
      </c>
      <c r="AF75" s="1" t="e">
        <f>VLOOKUP(S75,'Assessment Details'!$O$45:$P$48,2,FALSE)</f>
        <v>#N/A</v>
      </c>
      <c r="AG75" s="1" t="e">
        <f>VLOOKUP(Z75,'Assessment Details'!$O$45:$P$48,2,FALSE)</f>
        <v>#N/A</v>
      </c>
      <c r="AJ75" s="64"/>
      <c r="AK75" s="583"/>
      <c r="AL75" s="565"/>
      <c r="AM75" s="565"/>
      <c r="AN75" s="565"/>
      <c r="AO75" s="565"/>
      <c r="AP75" s="565"/>
      <c r="AQ75" s="64"/>
      <c r="AT75" s="20"/>
      <c r="AU75" s="20"/>
      <c r="AV75" s="20"/>
      <c r="AW75" s="20"/>
      <c r="AX75" s="20"/>
      <c r="AY75" s="20"/>
      <c r="BA75" s="556"/>
    </row>
    <row r="76" spans="1:53" x14ac:dyDescent="0.25">
      <c r="A76" s="893">
        <v>67</v>
      </c>
      <c r="B76" s="894" t="s">
        <v>65</v>
      </c>
      <c r="C76" s="109" t="str">
        <f t="shared" si="7"/>
        <v>Ene 02</v>
      </c>
      <c r="D76" s="717" t="s">
        <v>749</v>
      </c>
      <c r="E76" s="1079">
        <v>7</v>
      </c>
      <c r="F76" s="751" t="str">
        <f>VLOOKUP(D76,Poeng!$B$10:$R$252,Poeng!E$1,FALSE)</f>
        <v xml:space="preserve">Sub-metering of energy consumption in residential buildings </v>
      </c>
      <c r="G76" s="107">
        <f>VLOOKUP(D76,Poeng!$B$10:$AB$252,Poeng!AB$1,FALSE)</f>
        <v>0</v>
      </c>
      <c r="H76" s="37"/>
      <c r="I76" s="108">
        <f>VLOOKUP(D76,Poeng!$B$10:$AE$252,Poeng!AE$1,FALSE)</f>
        <v>0</v>
      </c>
      <c r="J76" s="109" t="str">
        <f>VLOOKUP(D76,Poeng!$B$10:$BE$252,Poeng!BE$1,FALSE)</f>
        <v>N/A</v>
      </c>
      <c r="K76" s="74"/>
      <c r="L76" s="242"/>
      <c r="M76" s="694"/>
      <c r="N76" s="712"/>
      <c r="O76" s="77"/>
      <c r="P76" s="108">
        <f>VLOOKUP(D76,Poeng!$B$10:$BC$252,Poeng!AF$1,FALSE)</f>
        <v>0</v>
      </c>
      <c r="Q76" s="108" t="str">
        <f>VLOOKUP(D76,Poeng!$B$10:$BH$252,Poeng!BH$1,FALSE)</f>
        <v>N/A</v>
      </c>
      <c r="R76" s="644"/>
      <c r="S76" s="645"/>
      <c r="T76" s="638"/>
      <c r="U76" s="277"/>
      <c r="V76" s="77"/>
      <c r="W76" s="108">
        <f>VLOOKUP(D76,Poeng!$B$10:$BC$252,Poeng!AG$1,FALSE)</f>
        <v>0</v>
      </c>
      <c r="X76" s="108" t="str">
        <f>VLOOKUP(D76,Poeng!$B$10:$BK$252,Poeng!BK$1,FALSE)</f>
        <v>N/A</v>
      </c>
      <c r="Y76" s="75"/>
      <c r="Z76" s="74"/>
      <c r="AA76" s="638"/>
      <c r="AB76" s="117"/>
      <c r="AC76" s="593"/>
      <c r="AD76" s="20">
        <f t="shared" si="0"/>
        <v>2</v>
      </c>
      <c r="AE76" s="1" t="e">
        <f>VLOOKUP(L76,'Assessment Details'!$O$45:$P$48,2,FALSE)</f>
        <v>#N/A</v>
      </c>
      <c r="AF76" s="1" t="e">
        <f>VLOOKUP(S76,'Assessment Details'!$O$45:$P$48,2,FALSE)</f>
        <v>#N/A</v>
      </c>
      <c r="AG76" s="1" t="e">
        <f>VLOOKUP(Z76,'Assessment Details'!$O$45:$P$48,2,FALSE)</f>
        <v>#N/A</v>
      </c>
      <c r="AJ76" s="64"/>
      <c r="AK76" s="583"/>
      <c r="AL76" s="565"/>
      <c r="AM76" s="565"/>
      <c r="AN76" s="565"/>
      <c r="AO76" s="565"/>
      <c r="AP76" s="565"/>
      <c r="AQ76" s="64"/>
      <c r="AT76" s="20"/>
      <c r="AU76" s="20"/>
      <c r="AV76" s="20"/>
      <c r="AW76" s="20"/>
      <c r="AX76" s="20"/>
      <c r="AY76" s="20"/>
      <c r="BA76" s="556"/>
    </row>
    <row r="77" spans="1:53" x14ac:dyDescent="0.25">
      <c r="A77" s="893">
        <v>68</v>
      </c>
      <c r="B77" s="894" t="s">
        <v>65</v>
      </c>
      <c r="C77" s="802" t="s">
        <v>136</v>
      </c>
      <c r="D77" s="717" t="s">
        <v>136</v>
      </c>
      <c r="E77" s="1078"/>
      <c r="F77" s="750" t="str">
        <f>VLOOKUP(D77,Poeng!$B$10:$R$252,Poeng!E$1,FALSE)</f>
        <v>Ene 03 External lighting</v>
      </c>
      <c r="G77" s="755">
        <f>VLOOKUP(D77,Poeng!$B$10:$AB$252,Poeng!AB$1,FALSE)</f>
        <v>1</v>
      </c>
      <c r="H77" s="847"/>
      <c r="I77" s="756" t="str">
        <f>VLOOKUP(D77,Poeng!$B$10:$AI$252,Poeng!AI$1,FALSE)&amp;" c. "&amp;ROUND(VLOOKUP(D77,Poeng!$B$10:$AE$252,Poeng!AE$1,FALSE)*100,1)&amp;" %"</f>
        <v>0 c. 0 %</v>
      </c>
      <c r="J77" s="802" t="str">
        <f>VLOOKUP(D77,Poeng!$B$10:$BE$252,Poeng!BE$1,FALSE)</f>
        <v>N/A</v>
      </c>
      <c r="K77" s="74"/>
      <c r="L77" s="242"/>
      <c r="M77" s="694"/>
      <c r="N77" s="712"/>
      <c r="O77" s="847"/>
      <c r="P77" s="766" t="str">
        <f>VLOOKUP(D77,Poeng!$B$10:$BC$252,Poeng!AJ$1,FALSE)&amp;" c. "&amp;ROUND(VLOOKUP(D77,Poeng!$B$10:$BC$252,Poeng!AF$1,FALSE)*100,1)&amp;" %"</f>
        <v>0 c. 0 %</v>
      </c>
      <c r="Q77" s="108" t="str">
        <f>VLOOKUP(D77,Poeng!$B$10:$BH$252,Poeng!BH$1,FALSE)</f>
        <v>N/A</v>
      </c>
      <c r="R77" s="644"/>
      <c r="S77" s="645"/>
      <c r="T77" s="638"/>
      <c r="U77" s="277"/>
      <c r="V77" s="847"/>
      <c r="W77" s="766" t="str">
        <f>VLOOKUP(D77,Poeng!$B$10:$BC$252,Poeng!AK$1,FALSE)&amp;" c. "&amp;ROUND(VLOOKUP(D77,Poeng!$B$10:$BC$252,Poeng!AG$1,FALSE)*100,1)&amp;" %"</f>
        <v>0 c. 0 %</v>
      </c>
      <c r="X77" s="108" t="str">
        <f>VLOOKUP(D77,Poeng!$B$10:$BK$252,Poeng!BK$1,FALSE)</f>
        <v>N/A</v>
      </c>
      <c r="Y77" s="75"/>
      <c r="Z77" s="74"/>
      <c r="AA77" s="638"/>
      <c r="AB77" s="117"/>
      <c r="AC77" s="556" t="s">
        <v>12</v>
      </c>
      <c r="AD77" s="20">
        <f t="shared" ref="AD77:AD142" si="12">IF(G77="",1,IF(G77=0,2,1))</f>
        <v>1</v>
      </c>
      <c r="AE77" s="1" t="e">
        <f>VLOOKUP(L77,'Assessment Details'!$O$45:$P$48,2,FALSE)</f>
        <v>#N/A</v>
      </c>
      <c r="AF77" s="1" t="e">
        <f>VLOOKUP(S77,'Assessment Details'!$O$45:$P$48,2,FALSE)</f>
        <v>#N/A</v>
      </c>
      <c r="AG77" s="1" t="e">
        <f>VLOOKUP(Z77,'Assessment Details'!$O$45:$P$48,2,FALSE)</f>
        <v>#N/A</v>
      </c>
      <c r="AJ77" s="64" t="str">
        <f>ais_ja</f>
        <v>Ja</v>
      </c>
      <c r="AK77" s="583" t="s">
        <v>128</v>
      </c>
      <c r="AL77" s="562" t="s">
        <v>405</v>
      </c>
      <c r="AM77" s="562" t="s">
        <v>409</v>
      </c>
      <c r="AN77" s="562" t="s">
        <v>407</v>
      </c>
      <c r="AO77" s="64"/>
      <c r="AP77" s="64"/>
      <c r="AQ77" s="64"/>
      <c r="AS77" s="1" t="s">
        <v>12</v>
      </c>
      <c r="AT77" s="20" t="str">
        <f t="shared" si="3"/>
        <v>N/A</v>
      </c>
      <c r="AU77" s="20" t="str">
        <f t="shared" si="1"/>
        <v>N/A</v>
      </c>
      <c r="AV77" s="20" t="str">
        <f t="shared" si="2"/>
        <v>N/A</v>
      </c>
      <c r="AW77" s="20"/>
      <c r="AX77" s="20"/>
      <c r="AY77" s="20"/>
      <c r="BA77" s="556"/>
    </row>
    <row r="78" spans="1:53" x14ac:dyDescent="0.25">
      <c r="A78" s="893">
        <v>69</v>
      </c>
      <c r="B78" s="894" t="s">
        <v>65</v>
      </c>
      <c r="C78" s="109" t="str">
        <f t="shared" si="7"/>
        <v>Ene 03</v>
      </c>
      <c r="D78" s="717" t="s">
        <v>750</v>
      </c>
      <c r="E78" s="1078">
        <v>1</v>
      </c>
      <c r="F78" s="751" t="str">
        <f>VLOOKUP(D78,Poeng!$B$10:$R$252,Poeng!E$1,FALSE)</f>
        <v>No external lighting within the construction zone</v>
      </c>
      <c r="G78" s="107">
        <f>VLOOKUP(D78,Poeng!$B$10:$AB$252,Poeng!AB$1,FALSE)</f>
        <v>1</v>
      </c>
      <c r="H78" s="37"/>
      <c r="I78" s="108">
        <f>VLOOKUP(D78,Poeng!$B$10:$AE$252,Poeng!AE$1,FALSE)</f>
        <v>0</v>
      </c>
      <c r="J78" s="109" t="str">
        <f>VLOOKUP(D78,Poeng!$B$10:$BE$252,Poeng!BE$1,FALSE)</f>
        <v>N/A</v>
      </c>
      <c r="K78" s="74"/>
      <c r="L78" s="242"/>
      <c r="M78" s="694"/>
      <c r="N78" s="712"/>
      <c r="O78" s="77"/>
      <c r="P78" s="108">
        <f>VLOOKUP(D78,Poeng!$B$10:$BC$252,Poeng!AF$1,FALSE)</f>
        <v>0</v>
      </c>
      <c r="Q78" s="108" t="str">
        <f>VLOOKUP(D78,Poeng!$B$10:$BH$252,Poeng!BH$1,FALSE)</f>
        <v>N/A</v>
      </c>
      <c r="R78" s="644"/>
      <c r="S78" s="645"/>
      <c r="T78" s="638"/>
      <c r="U78" s="277"/>
      <c r="V78" s="77"/>
      <c r="W78" s="108">
        <f>VLOOKUP(D78,Poeng!$B$10:$BC$252,Poeng!AG$1,FALSE)</f>
        <v>0</v>
      </c>
      <c r="X78" s="108" t="str">
        <f>VLOOKUP(D78,Poeng!$B$10:$BK$252,Poeng!BK$1,FALSE)</f>
        <v>N/A</v>
      </c>
      <c r="Y78" s="75"/>
      <c r="Z78" s="74"/>
      <c r="AA78" s="638"/>
      <c r="AB78" s="117"/>
      <c r="AC78" s="556"/>
      <c r="AD78" s="20">
        <f t="shared" si="12"/>
        <v>1</v>
      </c>
      <c r="AE78" s="1" t="e">
        <f>VLOOKUP(L78,'Assessment Details'!$O$45:$P$48,2,FALSE)</f>
        <v>#N/A</v>
      </c>
      <c r="AF78" s="1" t="e">
        <f>VLOOKUP(S78,'Assessment Details'!$O$45:$P$48,2,FALSE)</f>
        <v>#N/A</v>
      </c>
      <c r="AG78" s="1" t="e">
        <f>VLOOKUP(Z78,'Assessment Details'!$O$45:$P$48,2,FALSE)</f>
        <v>#N/A</v>
      </c>
      <c r="AJ78" s="64"/>
      <c r="AK78" s="583"/>
      <c r="AL78" s="562"/>
      <c r="AM78" s="562"/>
      <c r="AN78" s="562"/>
      <c r="AO78" s="64"/>
      <c r="AP78" s="64"/>
      <c r="AQ78" s="64"/>
      <c r="AT78" s="20"/>
      <c r="AU78" s="20"/>
      <c r="AV78" s="20"/>
      <c r="AW78" s="20"/>
      <c r="AX78" s="20"/>
      <c r="AY78" s="20"/>
      <c r="BA78" s="556"/>
    </row>
    <row r="79" spans="1:53" x14ac:dyDescent="0.25">
      <c r="A79" s="893">
        <v>70</v>
      </c>
      <c r="B79" s="894" t="s">
        <v>65</v>
      </c>
      <c r="C79" s="109" t="str">
        <f t="shared" si="7"/>
        <v>Ene 03</v>
      </c>
      <c r="D79" s="717" t="s">
        <v>751</v>
      </c>
      <c r="E79" s="1078">
        <v>2</v>
      </c>
      <c r="F79" s="751" t="str">
        <f>VLOOKUP(D79,Poeng!$B$10:$R$252,Poeng!E$1,FALSE)</f>
        <v>External lighting within the construction zone</v>
      </c>
      <c r="G79" s="107">
        <f>VLOOKUP(D79,Poeng!$B$10:$AB$252,Poeng!AB$1,FALSE)</f>
        <v>0</v>
      </c>
      <c r="H79" s="37"/>
      <c r="I79" s="108">
        <f>VLOOKUP(D79,Poeng!$B$10:$AE$252,Poeng!AE$1,FALSE)</f>
        <v>0</v>
      </c>
      <c r="J79" s="109" t="str">
        <f>VLOOKUP(D79,Poeng!$B$10:$BE$252,Poeng!BE$1,FALSE)</f>
        <v>N/A</v>
      </c>
      <c r="K79" s="74"/>
      <c r="L79" s="242"/>
      <c r="M79" s="694"/>
      <c r="N79" s="712"/>
      <c r="O79" s="77"/>
      <c r="P79" s="108">
        <f>VLOOKUP(D79,Poeng!$B$10:$BC$252,Poeng!AF$1,FALSE)</f>
        <v>0</v>
      </c>
      <c r="Q79" s="108" t="str">
        <f>VLOOKUP(D79,Poeng!$B$10:$BH$252,Poeng!BH$1,FALSE)</f>
        <v>N/A</v>
      </c>
      <c r="R79" s="644"/>
      <c r="S79" s="645"/>
      <c r="T79" s="638"/>
      <c r="U79" s="277"/>
      <c r="V79" s="77"/>
      <c r="W79" s="108">
        <f>VLOOKUP(D79,Poeng!$B$10:$BC$252,Poeng!AG$1,FALSE)</f>
        <v>0</v>
      </c>
      <c r="X79" s="108" t="str">
        <f>VLOOKUP(D79,Poeng!$B$10:$BK$252,Poeng!BK$1,FALSE)</f>
        <v>N/A</v>
      </c>
      <c r="Y79" s="75"/>
      <c r="Z79" s="74"/>
      <c r="AA79" s="638"/>
      <c r="AB79" s="117"/>
      <c r="AC79" s="556"/>
      <c r="AD79" s="20">
        <f t="shared" si="12"/>
        <v>2</v>
      </c>
      <c r="AE79" s="1" t="e">
        <f>VLOOKUP(L79,'Assessment Details'!$O$45:$P$48,2,FALSE)</f>
        <v>#N/A</v>
      </c>
      <c r="AF79" s="1" t="e">
        <f>VLOOKUP(S79,'Assessment Details'!$O$45:$P$48,2,FALSE)</f>
        <v>#N/A</v>
      </c>
      <c r="AG79" s="1" t="e">
        <f>VLOOKUP(Z79,'Assessment Details'!$O$45:$P$48,2,FALSE)</f>
        <v>#N/A</v>
      </c>
      <c r="AJ79" s="64"/>
      <c r="AK79" s="583"/>
      <c r="AL79" s="562"/>
      <c r="AM79" s="562"/>
      <c r="AN79" s="562"/>
      <c r="AO79" s="64"/>
      <c r="AP79" s="64"/>
      <c r="AQ79" s="64"/>
      <c r="AT79" s="20"/>
      <c r="AU79" s="20"/>
      <c r="AV79" s="20"/>
      <c r="AW79" s="20"/>
      <c r="AX79" s="20"/>
      <c r="AY79" s="20"/>
      <c r="BA79" s="556"/>
    </row>
    <row r="80" spans="1:53" x14ac:dyDescent="0.25">
      <c r="A80" s="893">
        <v>71</v>
      </c>
      <c r="B80" s="894" t="s">
        <v>65</v>
      </c>
      <c r="C80" s="802" t="s">
        <v>138</v>
      </c>
      <c r="D80" s="717" t="s">
        <v>138</v>
      </c>
      <c r="E80" s="1078"/>
      <c r="F80" s="750" t="str">
        <f>VLOOKUP(D80,Poeng!$B$10:$R$252,Poeng!E$1,FALSE)</f>
        <v>Ene 05 Energy efficient cold storage</v>
      </c>
      <c r="G80" s="755">
        <f>VLOOKUP(D80,Poeng!$B$10:$AB$252,Poeng!AB$1,FALSE)</f>
        <v>2</v>
      </c>
      <c r="H80" s="847"/>
      <c r="I80" s="756" t="str">
        <f>VLOOKUP(D80,Poeng!$B$10:$AI$252,Poeng!AI$1,FALSE)&amp;" c. "&amp;ROUND(VLOOKUP(D80,Poeng!$B$10:$AE$252,Poeng!AE$1,FALSE)*100,1)&amp;" %"</f>
        <v>0 c. 0 %</v>
      </c>
      <c r="J80" s="802" t="str">
        <f>VLOOKUP(D80,Poeng!$B$10:$BE$252,Poeng!BE$1,FALSE)</f>
        <v>N/A</v>
      </c>
      <c r="K80" s="74"/>
      <c r="L80" s="242"/>
      <c r="M80" s="694"/>
      <c r="N80" s="712"/>
      <c r="O80" s="847"/>
      <c r="P80" s="766" t="str">
        <f>VLOOKUP(D80,Poeng!$B$10:$BC$252,Poeng!AJ$1,FALSE)&amp;" c. "&amp;ROUND(VLOOKUP(D80,Poeng!$B$10:$BC$252,Poeng!AF$1,FALSE)*100,1)&amp;" %"</f>
        <v>0 c. 0 %</v>
      </c>
      <c r="Q80" s="108" t="str">
        <f>VLOOKUP(D80,Poeng!$B$10:$BH$252,Poeng!BH$1,FALSE)</f>
        <v>N/A</v>
      </c>
      <c r="R80" s="644"/>
      <c r="S80" s="645"/>
      <c r="T80" s="638"/>
      <c r="U80" s="277"/>
      <c r="V80" s="847"/>
      <c r="W80" s="766" t="str">
        <f>VLOOKUP(D80,Poeng!$B$10:$BC$252,Poeng!AK$1,FALSE)&amp;" c. "&amp;ROUND(VLOOKUP(D80,Poeng!$B$10:$BC$252,Poeng!AG$1,FALSE)*100,1)&amp;" %"</f>
        <v>0 c. 0 %</v>
      </c>
      <c r="X80" s="108" t="str">
        <f>VLOOKUP(D80,Poeng!$B$10:$BK$252,Poeng!BK$1,FALSE)</f>
        <v>N/A</v>
      </c>
      <c r="Y80" s="75"/>
      <c r="Z80" s="74"/>
      <c r="AA80" s="638"/>
      <c r="AB80" s="117"/>
      <c r="AC80" s="556" t="s">
        <v>12</v>
      </c>
      <c r="AD80" s="20">
        <f t="shared" si="12"/>
        <v>1</v>
      </c>
      <c r="AE80" s="1" t="e">
        <f>VLOOKUP(L80,'Assessment Details'!$O$45:$P$48,2,FALSE)</f>
        <v>#N/A</v>
      </c>
      <c r="AF80" s="1" t="e">
        <f>VLOOKUP(S80,'Assessment Details'!$O$45:$P$48,2,FALSE)</f>
        <v>#N/A</v>
      </c>
      <c r="AG80" s="1" t="e">
        <f>VLOOKUP(Z80,'Assessment Details'!$O$45:$P$48,2,FALSE)</f>
        <v>#N/A</v>
      </c>
      <c r="AJ80" s="64" t="str">
        <f>ais_ja</f>
        <v>Ja</v>
      </c>
      <c r="AK80" s="583" t="s">
        <v>129</v>
      </c>
      <c r="AL80" s="562" t="s">
        <v>405</v>
      </c>
      <c r="AM80" s="562" t="s">
        <v>409</v>
      </c>
      <c r="AN80" s="562" t="s">
        <v>407</v>
      </c>
      <c r="AO80" s="64"/>
      <c r="AP80" s="64"/>
      <c r="AQ80" s="64"/>
      <c r="AS80" s="1" t="s">
        <v>12</v>
      </c>
      <c r="AT80" s="20" t="str">
        <f t="shared" si="3"/>
        <v>N/A</v>
      </c>
      <c r="AU80" s="20" t="str">
        <f t="shared" si="1"/>
        <v>N/A</v>
      </c>
      <c r="AV80" s="20" t="str">
        <f t="shared" si="2"/>
        <v>N/A</v>
      </c>
      <c r="AW80" s="20"/>
      <c r="AX80" s="20"/>
      <c r="AY80" s="20"/>
      <c r="BA80" s="556"/>
    </row>
    <row r="81" spans="1:53" x14ac:dyDescent="0.25">
      <c r="A81" s="893">
        <v>72</v>
      </c>
      <c r="B81" s="894" t="s">
        <v>65</v>
      </c>
      <c r="C81" s="109" t="str">
        <f t="shared" si="7"/>
        <v>Ene 05</v>
      </c>
      <c r="D81" s="717" t="s">
        <v>752</v>
      </c>
      <c r="E81" s="1079" t="s">
        <v>1181</v>
      </c>
      <c r="F81" s="751" t="str">
        <f>VLOOKUP(D81,Poeng!$B$10:$R$252,Poeng!E$1,FALSE)</f>
        <v xml:space="preserve">Design of energy efficient refrigeration- and freezing room </v>
      </c>
      <c r="G81" s="107">
        <f>VLOOKUP(D81,Poeng!$B$10:$AB$252,Poeng!AB$1,FALSE)</f>
        <v>1</v>
      </c>
      <c r="H81" s="37"/>
      <c r="I81" s="108">
        <f>VLOOKUP(D81,Poeng!$B$10:$AE$252,Poeng!AE$1,FALSE)</f>
        <v>0</v>
      </c>
      <c r="J81" s="109" t="str">
        <f>VLOOKUP(D81,Poeng!$B$10:$BE$252,Poeng!BE$1,FALSE)</f>
        <v>N/A</v>
      </c>
      <c r="K81" s="74"/>
      <c r="L81" s="242"/>
      <c r="M81" s="694"/>
      <c r="N81" s="712"/>
      <c r="O81" s="77"/>
      <c r="P81" s="108">
        <f>VLOOKUP(D81,Poeng!$B$10:$BC$252,Poeng!AF$1,FALSE)</f>
        <v>0</v>
      </c>
      <c r="Q81" s="108" t="str">
        <f>VLOOKUP(D81,Poeng!$B$10:$BH$252,Poeng!BH$1,FALSE)</f>
        <v>N/A</v>
      </c>
      <c r="R81" s="644"/>
      <c r="S81" s="645"/>
      <c r="T81" s="638"/>
      <c r="U81" s="277"/>
      <c r="V81" s="77"/>
      <c r="W81" s="108">
        <f>VLOOKUP(D81,Poeng!$B$10:$BC$252,Poeng!AG$1,FALSE)</f>
        <v>0</v>
      </c>
      <c r="X81" s="108" t="str">
        <f>VLOOKUP(D81,Poeng!$B$10:$BK$252,Poeng!BK$1,FALSE)</f>
        <v>N/A</v>
      </c>
      <c r="Y81" s="75"/>
      <c r="Z81" s="74"/>
      <c r="AA81" s="638"/>
      <c r="AB81" s="117"/>
      <c r="AC81" s="556"/>
      <c r="AD81" s="20">
        <f t="shared" si="12"/>
        <v>1</v>
      </c>
      <c r="AE81" s="1" t="e">
        <f>VLOOKUP(L81,'Assessment Details'!$O$45:$P$48,2,FALSE)</f>
        <v>#N/A</v>
      </c>
      <c r="AF81" s="1" t="e">
        <f>VLOOKUP(S81,'Assessment Details'!$O$45:$P$48,2,FALSE)</f>
        <v>#N/A</v>
      </c>
      <c r="AG81" s="1" t="e">
        <f>VLOOKUP(Z81,'Assessment Details'!$O$45:$P$48,2,FALSE)</f>
        <v>#N/A</v>
      </c>
      <c r="AJ81" s="64"/>
      <c r="AK81" s="583"/>
      <c r="AL81" s="562"/>
      <c r="AM81" s="562"/>
      <c r="AN81" s="562"/>
      <c r="AO81" s="64"/>
      <c r="AP81" s="64"/>
      <c r="AQ81" s="64"/>
      <c r="AT81" s="20"/>
      <c r="AU81" s="20"/>
      <c r="AV81" s="20"/>
      <c r="AW81" s="20"/>
      <c r="AX81" s="20"/>
      <c r="AY81" s="20"/>
      <c r="BA81" s="556"/>
    </row>
    <row r="82" spans="1:53" x14ac:dyDescent="0.25">
      <c r="A82" s="893">
        <v>73</v>
      </c>
      <c r="B82" s="894" t="s">
        <v>65</v>
      </c>
      <c r="C82" s="109" t="str">
        <f t="shared" si="7"/>
        <v>Ene 05</v>
      </c>
      <c r="D82" s="717" t="s">
        <v>753</v>
      </c>
      <c r="E82" s="1079" t="s">
        <v>1187</v>
      </c>
      <c r="F82" s="751" t="str">
        <f>VLOOKUP(D82,Poeng!$B$10:$R$252,Poeng!E$1,FALSE)</f>
        <v xml:space="preserve">Indirect greenhouse gas emissions </v>
      </c>
      <c r="G82" s="107">
        <f>VLOOKUP(D82,Poeng!$B$10:$AB$252,Poeng!AB$1,FALSE)</f>
        <v>1</v>
      </c>
      <c r="H82" s="37"/>
      <c r="I82" s="108">
        <f>VLOOKUP(D82,Poeng!$B$10:$AE$252,Poeng!AE$1,FALSE)</f>
        <v>0</v>
      </c>
      <c r="J82" s="109" t="str">
        <f>VLOOKUP(D82,Poeng!$B$10:$BE$252,Poeng!BE$1,FALSE)</f>
        <v>N/A</v>
      </c>
      <c r="K82" s="74"/>
      <c r="L82" s="242"/>
      <c r="M82" s="694"/>
      <c r="N82" s="712"/>
      <c r="O82" s="77"/>
      <c r="P82" s="108">
        <f>VLOOKUP(D82,Poeng!$B$10:$BC$252,Poeng!AF$1,FALSE)</f>
        <v>0</v>
      </c>
      <c r="Q82" s="108" t="str">
        <f>VLOOKUP(D82,Poeng!$B$10:$BH$252,Poeng!BH$1,FALSE)</f>
        <v>N/A</v>
      </c>
      <c r="R82" s="644"/>
      <c r="S82" s="645"/>
      <c r="T82" s="638"/>
      <c r="U82" s="277"/>
      <c r="V82" s="77"/>
      <c r="W82" s="108">
        <f>VLOOKUP(D82,Poeng!$B$10:$BC$252,Poeng!AG$1,FALSE)</f>
        <v>0</v>
      </c>
      <c r="X82" s="108" t="str">
        <f>VLOOKUP(D82,Poeng!$B$10:$BK$252,Poeng!BK$1,FALSE)</f>
        <v>N/A</v>
      </c>
      <c r="Y82" s="75"/>
      <c r="Z82" s="74"/>
      <c r="AA82" s="638"/>
      <c r="AB82" s="117"/>
      <c r="AC82" s="556"/>
      <c r="AD82" s="20">
        <f t="shared" si="12"/>
        <v>1</v>
      </c>
      <c r="AE82" s="1" t="e">
        <f>VLOOKUP(L82,'Assessment Details'!$O$45:$P$48,2,FALSE)</f>
        <v>#N/A</v>
      </c>
      <c r="AF82" s="1" t="e">
        <f>VLOOKUP(S82,'Assessment Details'!$O$45:$P$48,2,FALSE)</f>
        <v>#N/A</v>
      </c>
      <c r="AG82" s="1" t="e">
        <f>VLOOKUP(Z82,'Assessment Details'!$O$45:$P$48,2,FALSE)</f>
        <v>#N/A</v>
      </c>
      <c r="AJ82" s="64"/>
      <c r="AK82" s="583"/>
      <c r="AL82" s="562"/>
      <c r="AM82" s="562"/>
      <c r="AN82" s="562"/>
      <c r="AO82" s="64"/>
      <c r="AP82" s="64"/>
      <c r="AQ82" s="64"/>
      <c r="AT82" s="20"/>
      <c r="AU82" s="20"/>
      <c r="AV82" s="20"/>
      <c r="AW82" s="20"/>
      <c r="AX82" s="20"/>
      <c r="AY82" s="20"/>
      <c r="BA82" s="556"/>
    </row>
    <row r="83" spans="1:53" x14ac:dyDescent="0.25">
      <c r="A83" s="893">
        <v>74</v>
      </c>
      <c r="B83" s="894" t="s">
        <v>65</v>
      </c>
      <c r="C83" s="802" t="s">
        <v>139</v>
      </c>
      <c r="D83" s="717" t="s">
        <v>139</v>
      </c>
      <c r="E83" s="1078"/>
      <c r="F83" s="750" t="str">
        <f>VLOOKUP(D83,Poeng!$B$10:$R$252,Poeng!E$1,FALSE)</f>
        <v>Ene 06 Energy efficient transportation systems</v>
      </c>
      <c r="G83" s="755">
        <f>VLOOKUP(D83,Poeng!$B$10:$AB$252,Poeng!AB$1,FALSE)</f>
        <v>3</v>
      </c>
      <c r="H83" s="847"/>
      <c r="I83" s="756" t="str">
        <f>VLOOKUP(D83,Poeng!$B$10:$AI$252,Poeng!AI$1,FALSE)&amp;" c. "&amp;ROUND(VLOOKUP(D83,Poeng!$B$10:$AE$252,Poeng!AE$1,FALSE)*100,1)&amp;" %"</f>
        <v>0 c. 0 %</v>
      </c>
      <c r="J83" s="802" t="str">
        <f>VLOOKUP(D83,Poeng!$B$10:$BE$252,Poeng!BE$1,FALSE)</f>
        <v>N/A</v>
      </c>
      <c r="K83" s="74"/>
      <c r="L83" s="242"/>
      <c r="M83" s="694"/>
      <c r="N83" s="712"/>
      <c r="O83" s="847"/>
      <c r="P83" s="766" t="str">
        <f>VLOOKUP(D83,Poeng!$B$10:$BC$252,Poeng!AJ$1,FALSE)&amp;" c. "&amp;ROUND(VLOOKUP(D83,Poeng!$B$10:$BC$252,Poeng!AF$1,FALSE)*100,1)&amp;" %"</f>
        <v>0 c. 0 %</v>
      </c>
      <c r="Q83" s="108" t="str">
        <f>VLOOKUP(D83,Poeng!$B$10:$BH$252,Poeng!BH$1,FALSE)</f>
        <v>N/A</v>
      </c>
      <c r="R83" s="644"/>
      <c r="S83" s="645"/>
      <c r="T83" s="638"/>
      <c r="U83" s="277"/>
      <c r="V83" s="847"/>
      <c r="W83" s="766" t="str">
        <f>VLOOKUP(D83,Poeng!$B$10:$BC$252,Poeng!AK$1,FALSE)&amp;" c. "&amp;ROUND(VLOOKUP(D83,Poeng!$B$10:$BC$252,Poeng!AG$1,FALSE)*100,1)&amp;" %"</f>
        <v>0 c. 0 %</v>
      </c>
      <c r="X83" s="108" t="str">
        <f>VLOOKUP(D83,Poeng!$B$10:$BK$252,Poeng!BK$1,FALSE)</f>
        <v>N/A</v>
      </c>
      <c r="Y83" s="75"/>
      <c r="Z83" s="74"/>
      <c r="AA83" s="638"/>
      <c r="AB83" s="117"/>
      <c r="AC83" s="556" t="s">
        <v>12</v>
      </c>
      <c r="AD83" s="20">
        <f t="shared" si="12"/>
        <v>1</v>
      </c>
      <c r="AE83" s="1" t="e">
        <f>VLOOKUP(L83,'Assessment Details'!$O$45:$P$48,2,FALSE)</f>
        <v>#N/A</v>
      </c>
      <c r="AF83" s="1" t="e">
        <f>VLOOKUP(S83,'Assessment Details'!$O$45:$P$48,2,FALSE)</f>
        <v>#N/A</v>
      </c>
      <c r="AG83" s="1" t="e">
        <f>VLOOKUP(Z83,'Assessment Details'!$O$45:$P$48,2,FALSE)</f>
        <v>#N/A</v>
      </c>
      <c r="AJ83" s="64"/>
      <c r="AK83" s="583" t="s">
        <v>130</v>
      </c>
      <c r="AL83" s="562" t="s">
        <v>405</v>
      </c>
      <c r="AM83" s="562" t="s">
        <v>407</v>
      </c>
      <c r="AN83" s="64"/>
      <c r="AO83" s="64"/>
      <c r="AP83" s="64"/>
      <c r="AQ83" s="64"/>
      <c r="AS83" s="1" t="s">
        <v>12</v>
      </c>
      <c r="AT83" s="20" t="str">
        <f t="shared" si="3"/>
        <v>N/A</v>
      </c>
      <c r="AU83" s="20" t="str">
        <f t="shared" si="1"/>
        <v>N/A</v>
      </c>
      <c r="AV83" s="20" t="str">
        <f t="shared" si="2"/>
        <v>N/A</v>
      </c>
      <c r="AW83" s="20"/>
      <c r="AX83" s="20"/>
      <c r="AY83" s="20"/>
      <c r="BA83" s="556"/>
    </row>
    <row r="84" spans="1:53" x14ac:dyDescent="0.25">
      <c r="A84" s="893">
        <v>75</v>
      </c>
      <c r="B84" s="894" t="s">
        <v>65</v>
      </c>
      <c r="C84" s="109" t="str">
        <f t="shared" si="7"/>
        <v>Ene 06</v>
      </c>
      <c r="D84" s="717" t="s">
        <v>754</v>
      </c>
      <c r="E84" s="1078">
        <v>1</v>
      </c>
      <c r="F84" s="751" t="str">
        <f>VLOOKUP(D84,Poeng!$B$10:$R$252,Poeng!E$1,FALSE)</f>
        <v>Transport needs and usage patterns</v>
      </c>
      <c r="G84" s="107">
        <f>VLOOKUP(D84,Poeng!$B$10:$AB$252,Poeng!AB$1,FALSE)</f>
        <v>1</v>
      </c>
      <c r="H84" s="37"/>
      <c r="I84" s="108">
        <f>VLOOKUP(D84,Poeng!$B$10:$AE$252,Poeng!AE$1,FALSE)</f>
        <v>0</v>
      </c>
      <c r="J84" s="109" t="str">
        <f>VLOOKUP(D84,Poeng!$B$10:$BE$252,Poeng!BE$1,FALSE)</f>
        <v>N/A</v>
      </c>
      <c r="K84" s="74"/>
      <c r="L84" s="242"/>
      <c r="M84" s="694"/>
      <c r="N84" s="712"/>
      <c r="O84" s="77"/>
      <c r="P84" s="108">
        <f>VLOOKUP(D84,Poeng!$B$10:$BC$252,Poeng!AF$1,FALSE)</f>
        <v>0</v>
      </c>
      <c r="Q84" s="108" t="str">
        <f>VLOOKUP(D84,Poeng!$B$10:$BH$252,Poeng!BH$1,FALSE)</f>
        <v>N/A</v>
      </c>
      <c r="R84" s="644"/>
      <c r="S84" s="645"/>
      <c r="T84" s="638"/>
      <c r="U84" s="277"/>
      <c r="V84" s="77"/>
      <c r="W84" s="108">
        <f>VLOOKUP(D84,Poeng!$B$10:$BC$252,Poeng!AG$1,FALSE)</f>
        <v>0</v>
      </c>
      <c r="X84" s="108" t="str">
        <f>VLOOKUP(D84,Poeng!$B$10:$BK$252,Poeng!BK$1,FALSE)</f>
        <v>N/A</v>
      </c>
      <c r="Y84" s="75"/>
      <c r="Z84" s="74"/>
      <c r="AA84" s="638"/>
      <c r="AB84" s="117"/>
      <c r="AC84" s="556"/>
      <c r="AD84" s="20">
        <f t="shared" si="12"/>
        <v>1</v>
      </c>
      <c r="AE84" s="1" t="e">
        <f>VLOOKUP(L84,'Assessment Details'!$O$45:$P$48,2,FALSE)</f>
        <v>#N/A</v>
      </c>
      <c r="AF84" s="1" t="e">
        <f>VLOOKUP(S84,'Assessment Details'!$O$45:$P$48,2,FALSE)</f>
        <v>#N/A</v>
      </c>
      <c r="AG84" s="1" t="e">
        <f>VLOOKUP(Z84,'Assessment Details'!$O$45:$P$48,2,FALSE)</f>
        <v>#N/A</v>
      </c>
      <c r="AJ84" s="64"/>
      <c r="AK84" s="583"/>
      <c r="AL84" s="562"/>
      <c r="AM84" s="562"/>
      <c r="AN84" s="64"/>
      <c r="AO84" s="64"/>
      <c r="AP84" s="64"/>
      <c r="AQ84" s="64"/>
      <c r="AT84" s="20"/>
      <c r="AU84" s="20"/>
      <c r="AV84" s="20"/>
      <c r="AW84" s="20"/>
      <c r="AX84" s="20"/>
      <c r="AY84" s="20"/>
      <c r="BA84" s="556"/>
    </row>
    <row r="85" spans="1:53" x14ac:dyDescent="0.25">
      <c r="A85" s="893">
        <v>76</v>
      </c>
      <c r="B85" s="894" t="s">
        <v>65</v>
      </c>
      <c r="C85" s="109" t="str">
        <f>C83</f>
        <v>Ene 06</v>
      </c>
      <c r="D85" s="717" t="s">
        <v>755</v>
      </c>
      <c r="E85" s="1090" t="s">
        <v>1196</v>
      </c>
      <c r="F85" s="751" t="str">
        <f>VLOOKUP(D85,Poeng!$B$10:$R$252,Poeng!E$1,FALSE)</f>
        <v>Energy efficient features: lifts</v>
      </c>
      <c r="G85" s="107">
        <f>VLOOKUP(D85,Poeng!$B$10:$AB$252,Poeng!AB$1,FALSE)</f>
        <v>1</v>
      </c>
      <c r="H85" s="37"/>
      <c r="I85" s="108">
        <f>VLOOKUP(D85,Poeng!$B$10:$AE$252,Poeng!AE$1,FALSE)</f>
        <v>0</v>
      </c>
      <c r="J85" s="109" t="str">
        <f>VLOOKUP(D85,Poeng!$B$10:$BE$252,Poeng!BE$1,FALSE)</f>
        <v>N/A</v>
      </c>
      <c r="K85" s="74"/>
      <c r="L85" s="242"/>
      <c r="M85" s="694"/>
      <c r="N85" s="712"/>
      <c r="O85" s="77"/>
      <c r="P85" s="108">
        <f>VLOOKUP(D85,Poeng!$B$10:$BC$252,Poeng!AF$1,FALSE)</f>
        <v>0</v>
      </c>
      <c r="Q85" s="108" t="str">
        <f>VLOOKUP(D85,Poeng!$B$10:$BH$252,Poeng!BH$1,FALSE)</f>
        <v>N/A</v>
      </c>
      <c r="R85" s="644"/>
      <c r="S85" s="645"/>
      <c r="T85" s="638"/>
      <c r="U85" s="277"/>
      <c r="V85" s="77"/>
      <c r="W85" s="108">
        <f>VLOOKUP(D85,Poeng!$B$10:$BC$252,Poeng!AG$1,FALSE)</f>
        <v>0</v>
      </c>
      <c r="X85" s="108" t="str">
        <f>VLOOKUP(D85,Poeng!$B$10:$BK$252,Poeng!BK$1,FALSE)</f>
        <v>N/A</v>
      </c>
      <c r="Y85" s="75"/>
      <c r="Z85" s="74"/>
      <c r="AA85" s="638"/>
      <c r="AB85" s="117"/>
      <c r="AC85" s="556"/>
      <c r="AD85" s="20">
        <f t="shared" si="12"/>
        <v>1</v>
      </c>
      <c r="AE85" s="1" t="e">
        <f>VLOOKUP(L85,'Assessment Details'!$O$45:$P$48,2,FALSE)</f>
        <v>#N/A</v>
      </c>
      <c r="AF85" s="1" t="e">
        <f>VLOOKUP(S85,'Assessment Details'!$O$45:$P$48,2,FALSE)</f>
        <v>#N/A</v>
      </c>
      <c r="AG85" s="1" t="e">
        <f>VLOOKUP(Z85,'Assessment Details'!$O$45:$P$48,2,FALSE)</f>
        <v>#N/A</v>
      </c>
      <c r="AJ85" s="64"/>
      <c r="AK85" s="583"/>
      <c r="AL85" s="562"/>
      <c r="AM85" s="562"/>
      <c r="AN85" s="64"/>
      <c r="AO85" s="64"/>
      <c r="AP85" s="64"/>
      <c r="AQ85" s="64"/>
      <c r="AT85" s="20"/>
      <c r="AU85" s="20"/>
      <c r="AV85" s="20"/>
      <c r="AW85" s="20"/>
      <c r="AX85" s="20"/>
      <c r="AY85" s="20"/>
      <c r="BA85" s="556"/>
    </row>
    <row r="86" spans="1:53" x14ac:dyDescent="0.25">
      <c r="A86" s="893">
        <v>77</v>
      </c>
      <c r="B86" s="894" t="s">
        <v>65</v>
      </c>
      <c r="C86" s="109" t="str">
        <f>C84</f>
        <v>Ene 06</v>
      </c>
      <c r="D86" s="717" t="s">
        <v>917</v>
      </c>
      <c r="E86" s="1078" t="s">
        <v>1197</v>
      </c>
      <c r="F86" s="751" t="str">
        <f>VLOOKUP(D86,Poeng!$B$10:$R$252,Poeng!E$1,FALSE)</f>
        <v>Energy efficient features: escalators or moving walks</v>
      </c>
      <c r="G86" s="107">
        <f>VLOOKUP(D86,Poeng!$B$10:$AB$252,Poeng!AB$1,FALSE)</f>
        <v>1</v>
      </c>
      <c r="H86" s="37"/>
      <c r="I86" s="108">
        <f>VLOOKUP(D86,Poeng!$B$10:$AE$252,Poeng!AE$1,FALSE)</f>
        <v>0</v>
      </c>
      <c r="J86" s="109" t="str">
        <f>VLOOKUP(D86,Poeng!$B$10:$BE$252,Poeng!BE$1,FALSE)</f>
        <v>N/A</v>
      </c>
      <c r="K86" s="74"/>
      <c r="L86" s="242"/>
      <c r="M86" s="694"/>
      <c r="N86" s="712"/>
      <c r="O86" s="77"/>
      <c r="P86" s="108">
        <f>VLOOKUP(D86,Poeng!$B$10:$BC$252,Poeng!AF$1,FALSE)</f>
        <v>0</v>
      </c>
      <c r="Q86" s="108" t="str">
        <f>VLOOKUP(D86,Poeng!$B$10:$BH$252,Poeng!BH$1,FALSE)</f>
        <v>N/A</v>
      </c>
      <c r="R86" s="644"/>
      <c r="S86" s="645"/>
      <c r="T86" s="638"/>
      <c r="U86" s="277"/>
      <c r="V86" s="77"/>
      <c r="W86" s="108">
        <f>VLOOKUP(D86,Poeng!$B$10:$BC$252,Poeng!AG$1,FALSE)</f>
        <v>0</v>
      </c>
      <c r="X86" s="108" t="str">
        <f>VLOOKUP(D86,Poeng!$B$10:$BK$252,Poeng!BK$1,FALSE)</f>
        <v>N/A</v>
      </c>
      <c r="Y86" s="75"/>
      <c r="Z86" s="74"/>
      <c r="AA86" s="638"/>
      <c r="AB86" s="117"/>
      <c r="AC86" s="556"/>
      <c r="AD86" s="20">
        <f t="shared" si="12"/>
        <v>1</v>
      </c>
      <c r="AE86" s="1" t="e">
        <f>VLOOKUP(L86,'Assessment Details'!$O$45:$P$48,2,FALSE)</f>
        <v>#N/A</v>
      </c>
      <c r="AF86" s="1" t="e">
        <f>VLOOKUP(S86,'Assessment Details'!$O$45:$P$48,2,FALSE)</f>
        <v>#N/A</v>
      </c>
      <c r="AG86" s="1" t="e">
        <f>VLOOKUP(Z86,'Assessment Details'!$O$45:$P$48,2,FALSE)</f>
        <v>#N/A</v>
      </c>
      <c r="AJ86" s="64"/>
      <c r="AK86" s="583"/>
      <c r="AL86" s="562"/>
      <c r="AM86" s="562"/>
      <c r="AN86" s="64"/>
      <c r="AO86" s="64"/>
      <c r="AP86" s="64"/>
      <c r="AQ86" s="64"/>
      <c r="AT86" s="20"/>
      <c r="AU86" s="20"/>
      <c r="AV86" s="20"/>
      <c r="AW86" s="20"/>
      <c r="AX86" s="20"/>
      <c r="AY86" s="20"/>
      <c r="BA86" s="556"/>
    </row>
    <row r="87" spans="1:53" x14ac:dyDescent="0.25">
      <c r="A87" s="893">
        <v>78</v>
      </c>
      <c r="B87" s="894" t="s">
        <v>65</v>
      </c>
      <c r="C87" s="802" t="s">
        <v>140</v>
      </c>
      <c r="D87" s="717" t="s">
        <v>140</v>
      </c>
      <c r="E87" s="1078"/>
      <c r="F87" s="750" t="str">
        <f>VLOOKUP(D87,Poeng!$B$10:$R$252,Poeng!E$1,FALSE)</f>
        <v>Ene 07 Energy Efficient Laboratory Systems</v>
      </c>
      <c r="G87" s="755">
        <f>VLOOKUP(D87,Poeng!$B$10:$AB$252,Poeng!AB$1,FALSE)</f>
        <v>5</v>
      </c>
      <c r="H87" s="847"/>
      <c r="I87" s="756" t="str">
        <f>VLOOKUP(D87,Poeng!$B$10:$AI$252,Poeng!AI$1,FALSE)&amp;" c. "&amp;ROUND(VLOOKUP(D87,Poeng!$B$10:$AE$252,Poeng!AE$1,FALSE)*100,1)&amp;" %"</f>
        <v>0 c. 0 %</v>
      </c>
      <c r="J87" s="802" t="str">
        <f>VLOOKUP(D87,Poeng!$B$10:$BE$252,Poeng!BE$1,FALSE)</f>
        <v>N/A</v>
      </c>
      <c r="K87" s="74"/>
      <c r="L87" s="242"/>
      <c r="M87" s="694"/>
      <c r="N87" s="712"/>
      <c r="O87" s="847"/>
      <c r="P87" s="766" t="str">
        <f>VLOOKUP(D87,Poeng!$B$10:$BC$252,Poeng!AJ$1,FALSE)&amp;" c. "&amp;ROUND(VLOOKUP(D87,Poeng!$B$10:$BC$252,Poeng!AF$1,FALSE)*100,1)&amp;" %"</f>
        <v>0 c. 0 %</v>
      </c>
      <c r="Q87" s="108" t="str">
        <f>VLOOKUP(D87,Poeng!$B$10:$BH$252,Poeng!BH$1,FALSE)</f>
        <v>N/A</v>
      </c>
      <c r="R87" s="644"/>
      <c r="S87" s="645"/>
      <c r="T87" s="638"/>
      <c r="U87" s="277"/>
      <c r="V87" s="847"/>
      <c r="W87" s="766" t="str">
        <f>VLOOKUP(D87,Poeng!$B$10:$BC$252,Poeng!AK$1,FALSE)&amp;" c. "&amp;ROUND(VLOOKUP(D87,Poeng!$B$10:$BC$252,Poeng!AG$1,FALSE)*100,1)&amp;" %"</f>
        <v>0 c. 0 %</v>
      </c>
      <c r="X87" s="108" t="str">
        <f>VLOOKUP(D87,Poeng!$B$10:$BK$252,Poeng!BK$1,FALSE)</f>
        <v>N/A</v>
      </c>
      <c r="Y87" s="75"/>
      <c r="Z87" s="74"/>
      <c r="AA87" s="638"/>
      <c r="AB87" s="117"/>
      <c r="AC87" s="556" t="s">
        <v>13</v>
      </c>
      <c r="AD87" s="20">
        <f t="shared" si="12"/>
        <v>1</v>
      </c>
      <c r="AE87" s="1" t="e">
        <f>VLOOKUP(L87,'Assessment Details'!$O$45:$P$48,2,FALSE)</f>
        <v>#N/A</v>
      </c>
      <c r="AF87" s="1" t="e">
        <f>VLOOKUP(S87,'Assessment Details'!$O$45:$P$48,2,FALSE)</f>
        <v>#N/A</v>
      </c>
      <c r="AG87" s="1" t="e">
        <f>VLOOKUP(Z87,'Assessment Details'!$O$45:$P$48,2,FALSE)</f>
        <v>#N/A</v>
      </c>
      <c r="AJ87" s="64"/>
      <c r="AK87" s="583" t="s">
        <v>131</v>
      </c>
      <c r="AL87" s="64"/>
      <c r="AM87" s="64"/>
      <c r="AN87" s="64"/>
      <c r="AO87" s="64"/>
      <c r="AP87" s="64"/>
      <c r="AQ87" s="64"/>
      <c r="AT87" s="20" t="str">
        <f t="shared" si="3"/>
        <v>N/A</v>
      </c>
      <c r="AU87" s="20" t="str">
        <f t="shared" si="1"/>
        <v>N/A</v>
      </c>
      <c r="AV87" s="20" t="str">
        <f t="shared" si="2"/>
        <v>N/A</v>
      </c>
      <c r="AW87" s="20"/>
      <c r="AX87" s="20"/>
      <c r="AY87" s="20"/>
      <c r="BA87" s="556"/>
    </row>
    <row r="88" spans="1:53" x14ac:dyDescent="0.25">
      <c r="A88" s="893">
        <v>79</v>
      </c>
      <c r="B88" s="894" t="s">
        <v>65</v>
      </c>
      <c r="C88" s="109" t="str">
        <f t="shared" si="7"/>
        <v>Ene 07</v>
      </c>
      <c r="D88" s="717" t="s">
        <v>756</v>
      </c>
      <c r="E88" s="1079" t="s">
        <v>1173</v>
      </c>
      <c r="F88" s="751" t="str">
        <f>VLOOKUP(D88,Poeng!$B$10:$R$252,Poeng!E$1,FALSE)</f>
        <v xml:space="preserve">Design specification </v>
      </c>
      <c r="G88" s="107">
        <f>VLOOKUP(D88,Poeng!$B$10:$AB$252,Poeng!AB$1,FALSE)</f>
        <v>1</v>
      </c>
      <c r="H88" s="37"/>
      <c r="I88" s="108">
        <f>VLOOKUP(D88,Poeng!$B$10:$AE$252,Poeng!AE$1,FALSE)</f>
        <v>0</v>
      </c>
      <c r="J88" s="109" t="str">
        <f>VLOOKUP(D88,Poeng!$B$10:$BE$252,Poeng!BE$1,FALSE)</f>
        <v>Unclassified</v>
      </c>
      <c r="K88" s="74"/>
      <c r="L88" s="242"/>
      <c r="M88" s="694"/>
      <c r="N88" s="712"/>
      <c r="O88" s="77"/>
      <c r="P88" s="108">
        <f>VLOOKUP(D88,Poeng!$B$10:$BC$252,Poeng!AF$1,FALSE)</f>
        <v>0</v>
      </c>
      <c r="Q88" s="108" t="str">
        <f>VLOOKUP(D88,Poeng!$B$10:$BH$252,Poeng!BH$1,FALSE)</f>
        <v>Unclassified</v>
      </c>
      <c r="R88" s="644"/>
      <c r="S88" s="645"/>
      <c r="T88" s="638"/>
      <c r="U88" s="277"/>
      <c r="V88" s="77"/>
      <c r="W88" s="108">
        <f>VLOOKUP(D88,Poeng!$B$10:$BC$252,Poeng!AG$1,FALSE)</f>
        <v>0</v>
      </c>
      <c r="X88" s="108" t="str">
        <f>VLOOKUP(D88,Poeng!$B$10:$BK$252,Poeng!BK$1,FALSE)</f>
        <v>Unclassified</v>
      </c>
      <c r="Y88" s="75"/>
      <c r="Z88" s="74"/>
      <c r="AA88" s="638"/>
      <c r="AB88" s="117"/>
      <c r="AC88" s="556"/>
      <c r="AD88" s="20">
        <f t="shared" si="12"/>
        <v>1</v>
      </c>
      <c r="AE88" s="1" t="e">
        <f>VLOOKUP(L88,'Assessment Details'!$O$45:$P$48,2,FALSE)</f>
        <v>#N/A</v>
      </c>
      <c r="AF88" s="1" t="e">
        <f>VLOOKUP(S88,'Assessment Details'!$O$45:$P$48,2,FALSE)</f>
        <v>#N/A</v>
      </c>
      <c r="AG88" s="1" t="e">
        <f>VLOOKUP(Z88,'Assessment Details'!$O$45:$P$48,2,FALSE)</f>
        <v>#N/A</v>
      </c>
      <c r="AJ88" s="64"/>
      <c r="AK88" s="583"/>
      <c r="AL88" s="64"/>
      <c r="AM88" s="64"/>
      <c r="AN88" s="64"/>
      <c r="AO88" s="64"/>
      <c r="AP88" s="64"/>
      <c r="AQ88" s="64"/>
      <c r="AT88" s="20"/>
      <c r="AU88" s="20"/>
      <c r="AV88" s="20"/>
      <c r="AW88" s="20"/>
      <c r="AX88" s="20"/>
      <c r="AY88" s="20"/>
      <c r="BA88" s="556"/>
    </row>
    <row r="89" spans="1:53" x14ac:dyDescent="0.25">
      <c r="A89" s="893">
        <v>80</v>
      </c>
      <c r="B89" s="894" t="s">
        <v>65</v>
      </c>
      <c r="C89" s="109" t="str">
        <f t="shared" si="7"/>
        <v>Ene 07</v>
      </c>
      <c r="D89" s="717" t="s">
        <v>757</v>
      </c>
      <c r="E89" s="1079" t="s">
        <v>1186</v>
      </c>
      <c r="F89" s="751" t="str">
        <f>VLOOKUP(D89,Poeng!$B$10:$R$252,Poeng!E$1,FALSE)</f>
        <v xml:space="preserve">Best practice energy efficient measures </v>
      </c>
      <c r="G89" s="107">
        <f>VLOOKUP(D89,Poeng!$B$10:$AB$252,Poeng!AB$1,FALSE)</f>
        <v>4</v>
      </c>
      <c r="H89" s="37"/>
      <c r="I89" s="108">
        <f>VLOOKUP(D89,Poeng!$B$10:$AE$252,Poeng!AE$1,FALSE)</f>
        <v>0</v>
      </c>
      <c r="J89" s="109" t="str">
        <f>VLOOKUP(D89,Poeng!$B$10:$BE$252,Poeng!BE$1,FALSE)</f>
        <v>N/A</v>
      </c>
      <c r="K89" s="74"/>
      <c r="L89" s="242"/>
      <c r="M89" s="694"/>
      <c r="N89" s="712"/>
      <c r="O89" s="77"/>
      <c r="P89" s="108">
        <f>VLOOKUP(D89,Poeng!$B$10:$BC$252,Poeng!AF$1,FALSE)</f>
        <v>0</v>
      </c>
      <c r="Q89" s="108" t="str">
        <f>VLOOKUP(D89,Poeng!$B$10:$BH$252,Poeng!BH$1,FALSE)</f>
        <v>N/A</v>
      </c>
      <c r="R89" s="644"/>
      <c r="S89" s="645"/>
      <c r="T89" s="638"/>
      <c r="U89" s="277"/>
      <c r="V89" s="77"/>
      <c r="W89" s="108">
        <f>VLOOKUP(D89,Poeng!$B$10:$BC$252,Poeng!AG$1,FALSE)</f>
        <v>0</v>
      </c>
      <c r="X89" s="108" t="str">
        <f>VLOOKUP(D89,Poeng!$B$10:$BK$252,Poeng!BK$1,FALSE)</f>
        <v>N/A</v>
      </c>
      <c r="Y89" s="75"/>
      <c r="Z89" s="74"/>
      <c r="AA89" s="638"/>
      <c r="AB89" s="117"/>
      <c r="AC89" s="556"/>
      <c r="AD89" s="20">
        <f t="shared" si="12"/>
        <v>1</v>
      </c>
      <c r="AE89" s="1" t="e">
        <f>VLOOKUP(L89,'Assessment Details'!$O$45:$P$48,2,FALSE)</f>
        <v>#N/A</v>
      </c>
      <c r="AF89" s="1" t="e">
        <f>VLOOKUP(S89,'Assessment Details'!$O$45:$P$48,2,FALSE)</f>
        <v>#N/A</v>
      </c>
      <c r="AG89" s="1" t="e">
        <f>VLOOKUP(Z89,'Assessment Details'!$O$45:$P$48,2,FALSE)</f>
        <v>#N/A</v>
      </c>
      <c r="AJ89" s="64"/>
      <c r="AK89" s="583"/>
      <c r="AL89" s="64"/>
      <c r="AM89" s="64"/>
      <c r="AN89" s="64"/>
      <c r="AO89" s="64"/>
      <c r="AP89" s="64"/>
      <c r="AQ89" s="64"/>
      <c r="AT89" s="20"/>
      <c r="AU89" s="20"/>
      <c r="AV89" s="20"/>
      <c r="AW89" s="20"/>
      <c r="AX89" s="20"/>
      <c r="AY89" s="20"/>
      <c r="BA89" s="556"/>
    </row>
    <row r="90" spans="1:53" x14ac:dyDescent="0.25">
      <c r="A90" s="893">
        <v>81</v>
      </c>
      <c r="B90" s="894" t="s">
        <v>65</v>
      </c>
      <c r="C90" s="802" t="s">
        <v>141</v>
      </c>
      <c r="D90" s="717" t="s">
        <v>141</v>
      </c>
      <c r="E90" s="1078"/>
      <c r="F90" s="750" t="str">
        <f>VLOOKUP(D90,Poeng!$B$10:$R$252,Poeng!E$1,FALSE)</f>
        <v>Ene 08 Energy efficient equipment</v>
      </c>
      <c r="G90" s="755">
        <f>VLOOKUP(D90,Poeng!$B$10:$AB$252,Poeng!AB$1,FALSE)</f>
        <v>2</v>
      </c>
      <c r="H90" s="847"/>
      <c r="I90" s="756" t="str">
        <f>VLOOKUP(D90,Poeng!$B$10:$AI$252,Poeng!AI$1,FALSE)&amp;" c. "&amp;ROUND(VLOOKUP(D90,Poeng!$B$10:$AE$252,Poeng!AE$1,FALSE)*100,1)&amp;" %"</f>
        <v>0 c. 0 %</v>
      </c>
      <c r="J90" s="802" t="str">
        <f>VLOOKUP(D90,Poeng!$B$10:$BE$252,Poeng!BE$1,FALSE)</f>
        <v>N/A</v>
      </c>
      <c r="K90" s="74"/>
      <c r="L90" s="242"/>
      <c r="M90" s="694"/>
      <c r="N90" s="712"/>
      <c r="O90" s="847"/>
      <c r="P90" s="766" t="str">
        <f>VLOOKUP(D90,Poeng!$B$10:$BC$252,Poeng!AJ$1,FALSE)&amp;" c. "&amp;ROUND(VLOOKUP(D90,Poeng!$B$10:$BC$252,Poeng!AF$1,FALSE)*100,1)&amp;" %"</f>
        <v>0 c. 0 %</v>
      </c>
      <c r="Q90" s="108" t="str">
        <f>VLOOKUP(D90,Poeng!$B$10:$BH$252,Poeng!BH$1,FALSE)</f>
        <v>N/A</v>
      </c>
      <c r="R90" s="644"/>
      <c r="S90" s="645"/>
      <c r="T90" s="638"/>
      <c r="U90" s="277"/>
      <c r="V90" s="847"/>
      <c r="W90" s="766" t="str">
        <f>VLOOKUP(D90,Poeng!$B$10:$BC$252,Poeng!AK$1,FALSE)&amp;" c. "&amp;ROUND(VLOOKUP(D90,Poeng!$B$10:$BC$252,Poeng!AG$1,FALSE)*100,1)&amp;" %"</f>
        <v>0 c. 0 %</v>
      </c>
      <c r="X90" s="108" t="str">
        <f>VLOOKUP(D90,Poeng!$B$10:$BK$252,Poeng!BK$1,FALSE)</f>
        <v>N/A</v>
      </c>
      <c r="Y90" s="75"/>
      <c r="Z90" s="74"/>
      <c r="AA90" s="638"/>
      <c r="AB90" s="117"/>
      <c r="AC90" s="556" t="s">
        <v>12</v>
      </c>
      <c r="AD90" s="20">
        <f t="shared" si="12"/>
        <v>1</v>
      </c>
      <c r="AE90" s="1" t="e">
        <f>VLOOKUP(L90,'Assessment Details'!$O$45:$P$48,2,FALSE)</f>
        <v>#N/A</v>
      </c>
      <c r="AF90" s="1" t="e">
        <f>VLOOKUP(S90,'Assessment Details'!$O$45:$P$48,2,FALSE)</f>
        <v>#N/A</v>
      </c>
      <c r="AG90" s="1" t="e">
        <f>VLOOKUP(Z90,'Assessment Details'!$O$45:$P$48,2,FALSE)</f>
        <v>#N/A</v>
      </c>
      <c r="AJ90" s="64" t="str">
        <f>ais_ja</f>
        <v>Ja</v>
      </c>
      <c r="AK90" s="583" t="s">
        <v>132</v>
      </c>
      <c r="AL90" s="562" t="s">
        <v>405</v>
      </c>
      <c r="AM90" s="562" t="s">
        <v>409</v>
      </c>
      <c r="AN90" s="562" t="s">
        <v>407</v>
      </c>
      <c r="AO90" s="64"/>
      <c r="AP90" s="64"/>
      <c r="AQ90" s="64"/>
      <c r="AS90" s="1" t="s">
        <v>12</v>
      </c>
      <c r="AT90" s="20" t="str">
        <f t="shared" si="3"/>
        <v>N/A</v>
      </c>
      <c r="AU90" s="20" t="str">
        <f t="shared" si="1"/>
        <v>N/A</v>
      </c>
      <c r="AV90" s="20" t="str">
        <f t="shared" si="2"/>
        <v>N/A</v>
      </c>
      <c r="AW90" s="20"/>
      <c r="AX90" s="20"/>
      <c r="AY90" s="20"/>
      <c r="BA90" s="556"/>
    </row>
    <row r="91" spans="1:53" x14ac:dyDescent="0.25">
      <c r="A91" s="893">
        <v>82</v>
      </c>
      <c r="B91" s="894" t="s">
        <v>65</v>
      </c>
      <c r="C91" s="901" t="str">
        <f t="shared" si="7"/>
        <v>Ene 08</v>
      </c>
      <c r="D91" s="717" t="s">
        <v>758</v>
      </c>
      <c r="E91" s="1079" t="s">
        <v>1198</v>
      </c>
      <c r="F91" s="888" t="str">
        <f>VLOOKUP(D91,Poeng!$B$10:$R$252,Poeng!E$1,FALSE)</f>
        <v xml:space="preserve">Reduction of the building's significant unregulated energy consumption </v>
      </c>
      <c r="G91" s="107">
        <f>VLOOKUP(D91,Poeng!$B$10:$AB$252,Poeng!AB$1,FALSE)</f>
        <v>2</v>
      </c>
      <c r="H91" s="37"/>
      <c r="I91" s="108">
        <f>VLOOKUP(D91,Poeng!$B$10:$AE$252,Poeng!AE$1,FALSE)</f>
        <v>0</v>
      </c>
      <c r="J91" s="109" t="str">
        <f>VLOOKUP(D91,Poeng!$B$10:$BE$252,Poeng!BE$1,FALSE)</f>
        <v>N/A</v>
      </c>
      <c r="K91" s="74"/>
      <c r="L91" s="242"/>
      <c r="M91" s="694"/>
      <c r="N91" s="712"/>
      <c r="O91" s="77"/>
      <c r="P91" s="108">
        <f>VLOOKUP(D91,Poeng!$B$10:$BC$252,Poeng!AF$1,FALSE)</f>
        <v>0</v>
      </c>
      <c r="Q91" s="108" t="str">
        <f>VLOOKUP(D91,Poeng!$B$10:$BH$252,Poeng!BH$1,FALSE)</f>
        <v>N/A</v>
      </c>
      <c r="R91" s="644"/>
      <c r="S91" s="645"/>
      <c r="T91" s="638"/>
      <c r="U91" s="277"/>
      <c r="V91" s="77"/>
      <c r="W91" s="108">
        <f>VLOOKUP(D91,Poeng!$B$10:$BC$252,Poeng!AG$1,FALSE)</f>
        <v>0</v>
      </c>
      <c r="X91" s="108" t="str">
        <f>VLOOKUP(D91,Poeng!$B$10:$BK$252,Poeng!BK$1,FALSE)</f>
        <v>N/A</v>
      </c>
      <c r="Y91" s="75"/>
      <c r="Z91" s="74"/>
      <c r="AA91" s="638"/>
      <c r="AB91" s="117"/>
      <c r="AC91" s="620"/>
      <c r="AD91" s="20">
        <f t="shared" si="12"/>
        <v>1</v>
      </c>
      <c r="AE91" s="1" t="e">
        <f>VLOOKUP(L91,'Assessment Details'!$O$45:$P$48,2,FALSE)</f>
        <v>#N/A</v>
      </c>
      <c r="AF91" s="1" t="e">
        <f>VLOOKUP(S91,'Assessment Details'!$O$45:$P$48,2,FALSE)</f>
        <v>#N/A</v>
      </c>
      <c r="AG91" s="1" t="e">
        <f>VLOOKUP(Z91,'Assessment Details'!$O$45:$P$48,2,FALSE)</f>
        <v>#N/A</v>
      </c>
      <c r="AJ91" s="64"/>
      <c r="AK91" s="583"/>
      <c r="AL91" s="562"/>
      <c r="AM91" s="562"/>
      <c r="AN91" s="562"/>
      <c r="AO91" s="64"/>
      <c r="AP91" s="64"/>
      <c r="AQ91" s="64"/>
      <c r="AT91" s="20"/>
      <c r="AU91" s="20"/>
      <c r="AV91" s="20"/>
      <c r="AW91" s="20"/>
      <c r="AX91" s="20"/>
      <c r="AY91" s="20"/>
      <c r="BA91" s="620"/>
    </row>
    <row r="92" spans="1:53" ht="15.75" thickBot="1" x14ac:dyDescent="0.3">
      <c r="A92" s="893">
        <v>83</v>
      </c>
      <c r="B92" s="894" t="s">
        <v>65</v>
      </c>
      <c r="C92" s="897"/>
      <c r="D92" s="717" t="s">
        <v>883</v>
      </c>
      <c r="E92" s="1082"/>
      <c r="F92" s="278" t="s">
        <v>104</v>
      </c>
      <c r="G92" s="110">
        <f>Ene_Credits</f>
        <v>27</v>
      </c>
      <c r="H92" s="115"/>
      <c r="I92" s="111">
        <f>Ene_cont_tot</f>
        <v>0</v>
      </c>
      <c r="J92" s="757" t="str">
        <f>"Credits achieved: "&amp;Ene_tot_user</f>
        <v>Credits achieved: 0</v>
      </c>
      <c r="K92" s="118"/>
      <c r="L92" s="243"/>
      <c r="M92" s="646"/>
      <c r="N92" s="712"/>
      <c r="O92" s="335"/>
      <c r="P92" s="111">
        <f>VLOOKUP(D92,Poeng!$B$10:$BC$252,Poeng!AF$1,FALSE)</f>
        <v>0</v>
      </c>
      <c r="Q92" s="757" t="str">
        <f>"Credits achieved: "&amp;Ene_d_user</f>
        <v>Credits achieved: 0</v>
      </c>
      <c r="R92" s="647"/>
      <c r="S92" s="648"/>
      <c r="T92" s="646"/>
      <c r="U92" s="277"/>
      <c r="V92" s="335"/>
      <c r="W92" s="111">
        <f>VLOOKUP(D92,Poeng!$B$10:$BC$252,Poeng!AG$1,FALSE)</f>
        <v>0</v>
      </c>
      <c r="X92" s="757" t="str">
        <f>"Credits achieved: "&amp;Ene_c_user</f>
        <v>Credits achieved: 0</v>
      </c>
      <c r="Y92" s="334"/>
      <c r="Z92" s="120"/>
      <c r="AA92" s="646"/>
      <c r="AB92" s="117"/>
      <c r="AC92" s="557"/>
      <c r="AD92" s="20">
        <f t="shared" si="12"/>
        <v>1</v>
      </c>
      <c r="AE92" s="239">
        <v>0</v>
      </c>
      <c r="AF92" s="239">
        <v>0</v>
      </c>
      <c r="AG92" s="239">
        <v>0</v>
      </c>
      <c r="AJ92" s="64"/>
      <c r="AK92" s="583" t="s">
        <v>104</v>
      </c>
      <c r="AL92" s="64"/>
      <c r="AM92" s="64"/>
      <c r="AN92" s="64"/>
      <c r="AO92" s="64"/>
      <c r="AP92" s="64"/>
      <c r="AQ92" s="64"/>
      <c r="AT92" s="20" t="str">
        <f t="shared" si="3"/>
        <v>N/A</v>
      </c>
      <c r="AU92" s="20" t="str">
        <f t="shared" si="1"/>
        <v>N/A</v>
      </c>
      <c r="AV92" s="20" t="str">
        <f t="shared" si="2"/>
        <v>N/A</v>
      </c>
      <c r="AW92" s="20"/>
      <c r="AX92" s="20"/>
      <c r="AY92" s="20"/>
      <c r="BA92" s="557"/>
    </row>
    <row r="93" spans="1:53" x14ac:dyDescent="0.25">
      <c r="A93" s="893">
        <v>84</v>
      </c>
      <c r="B93" s="894" t="s">
        <v>65</v>
      </c>
      <c r="C93" s="280"/>
      <c r="D93" s="717"/>
      <c r="E93" s="1081"/>
      <c r="F93" s="279"/>
      <c r="G93" s="280"/>
      <c r="H93" s="281"/>
      <c r="I93" s="280"/>
      <c r="J93" s="280"/>
      <c r="K93" s="282"/>
      <c r="L93" s="281"/>
      <c r="M93" s="649"/>
      <c r="N93" s="712"/>
      <c r="O93" s="283"/>
      <c r="P93" s="283"/>
      <c r="Q93" s="649"/>
      <c r="R93" s="649"/>
      <c r="S93" s="650"/>
      <c r="T93" s="649"/>
      <c r="U93" s="277"/>
      <c r="V93" s="283"/>
      <c r="W93" s="283"/>
      <c r="X93" s="649"/>
      <c r="Y93" s="282"/>
      <c r="Z93" s="283"/>
      <c r="AA93" s="649"/>
      <c r="AB93" s="117"/>
      <c r="AC93" s="282"/>
      <c r="AD93" s="20">
        <f t="shared" si="12"/>
        <v>1</v>
      </c>
      <c r="AE93" s="240">
        <v>0</v>
      </c>
      <c r="AF93" s="240">
        <v>0</v>
      </c>
      <c r="AG93" s="240">
        <v>0</v>
      </c>
      <c r="AJ93" s="64"/>
      <c r="AK93" s="583"/>
      <c r="AL93" s="64"/>
      <c r="AM93" s="64"/>
      <c r="AN93" s="64"/>
      <c r="AO93" s="64"/>
      <c r="AP93" s="64"/>
      <c r="AQ93" s="64"/>
      <c r="AT93" s="20" t="str">
        <f t="shared" ref="AT93:AT161" si="13">IF($AK$4=ais_nei,AIS_NA,IF(AL93="",AIS_NA,AL93))</f>
        <v>N/A</v>
      </c>
      <c r="AU93" s="20" t="str">
        <f t="shared" ref="AU93:AU161" si="14">IF($AK$4=ais_nei,AIS_NA,IF(AM93="",AIS_NA,AM93))</f>
        <v>N/A</v>
      </c>
      <c r="AV93" s="20" t="str">
        <f t="shared" ref="AV93:AW161" si="15">IF($AK$4=ais_nei,AIS_NA,IF(AN93="",AIS_NA,AN93))</f>
        <v>N/A</v>
      </c>
      <c r="AW93" s="20"/>
      <c r="AX93" s="20"/>
      <c r="AY93" s="20"/>
      <c r="BA93" s="282"/>
    </row>
    <row r="94" spans="1:53" ht="18.75" x14ac:dyDescent="0.25">
      <c r="A94" s="893">
        <v>85</v>
      </c>
      <c r="B94" s="894" t="s">
        <v>66</v>
      </c>
      <c r="C94" s="898"/>
      <c r="D94" s="717"/>
      <c r="E94" s="1076"/>
      <c r="F94" s="284" t="s">
        <v>52</v>
      </c>
      <c r="G94" s="273"/>
      <c r="H94" s="274"/>
      <c r="I94" s="293"/>
      <c r="J94" s="273"/>
      <c r="K94" s="285"/>
      <c r="L94" s="286"/>
      <c r="M94" s="652"/>
      <c r="N94" s="712"/>
      <c r="O94" s="296"/>
      <c r="P94" s="289"/>
      <c r="Q94" s="642"/>
      <c r="R94" s="653"/>
      <c r="S94" s="654"/>
      <c r="T94" s="655"/>
      <c r="U94" s="277"/>
      <c r="V94" s="296"/>
      <c r="W94" s="295"/>
      <c r="X94" s="642"/>
      <c r="Y94" s="285"/>
      <c r="Z94" s="295"/>
      <c r="AA94" s="652"/>
      <c r="AB94" s="117"/>
      <c r="AC94" s="294"/>
      <c r="AD94" s="20">
        <f t="shared" si="12"/>
        <v>1</v>
      </c>
      <c r="AE94" s="238">
        <v>0</v>
      </c>
      <c r="AF94" s="238">
        <v>0</v>
      </c>
      <c r="AG94" s="238">
        <v>0</v>
      </c>
      <c r="AJ94" s="64"/>
      <c r="AK94" s="583" t="s">
        <v>52</v>
      </c>
      <c r="AL94" s="64"/>
      <c r="AM94" s="64"/>
      <c r="AN94" s="64"/>
      <c r="AO94" s="64"/>
      <c r="AP94" s="64"/>
      <c r="AQ94" s="64"/>
      <c r="AT94" s="20" t="str">
        <f t="shared" si="13"/>
        <v>N/A</v>
      </c>
      <c r="AU94" s="20" t="str">
        <f t="shared" si="14"/>
        <v>N/A</v>
      </c>
      <c r="AV94" s="20" t="str">
        <f t="shared" si="15"/>
        <v>N/A</v>
      </c>
      <c r="AW94" s="20"/>
      <c r="AX94" s="20"/>
      <c r="AY94" s="20"/>
      <c r="BA94" s="294"/>
    </row>
    <row r="95" spans="1:53" x14ac:dyDescent="0.25">
      <c r="A95" s="893">
        <v>86</v>
      </c>
      <c r="B95" s="894" t="s">
        <v>66</v>
      </c>
      <c r="C95" s="802" t="s">
        <v>146</v>
      </c>
      <c r="D95" s="717" t="s">
        <v>146</v>
      </c>
      <c r="E95" s="1077"/>
      <c r="F95" s="750" t="str">
        <f>VLOOKUP(D95,Poeng!$B$10:$R$252,Poeng!E$1,FALSE)</f>
        <v>Tra 01 Transport assessment and travel plan</v>
      </c>
      <c r="G95" s="755">
        <f>VLOOKUP(D95,Poeng!$B$10:$AB$252,Poeng!AB$1,FALSE)</f>
        <v>3</v>
      </c>
      <c r="H95" s="846"/>
      <c r="I95" s="756" t="str">
        <f>VLOOKUP(D95,Poeng!$B$10:$AI$252,Poeng!AI$1,FALSE)&amp;" c. "&amp;ROUND(VLOOKUP(D95,Poeng!$B$10:$AE$252,Poeng!AE$1,FALSE)*100,1)&amp;" %"</f>
        <v>0 c. 0 %</v>
      </c>
      <c r="J95" s="801" t="str">
        <f>VLOOKUP(D95,Poeng!$B$10:$BE$252,Poeng!BE$1,FALSE)</f>
        <v>N/A</v>
      </c>
      <c r="K95" s="763"/>
      <c r="L95" s="764"/>
      <c r="M95" s="765"/>
      <c r="N95" s="712"/>
      <c r="O95" s="847"/>
      <c r="P95" s="905" t="str">
        <f>VLOOKUP(D95,Poeng!$B$10:$BC$252,Poeng!AJ$1,FALSE)&amp;" c. "&amp;ROUND(VLOOKUP(D95,Poeng!$B$10:$BC$252,Poeng!AF$1,FALSE)*100,1)&amp;" %"</f>
        <v>0 c. 0 %</v>
      </c>
      <c r="Q95" s="108" t="str">
        <f>VLOOKUP(D95,Poeng!$B$10:$BH$252,Poeng!BH$1,FALSE)</f>
        <v>N/A</v>
      </c>
      <c r="R95" s="644"/>
      <c r="S95" s="645"/>
      <c r="T95" s="638"/>
      <c r="U95" s="277"/>
      <c r="V95" s="847"/>
      <c r="W95" s="766" t="str">
        <f>VLOOKUP(D95,Poeng!$B$10:$BC$252,Poeng!AK$1,FALSE)&amp;" c. "&amp;ROUND(VLOOKUP(D95,Poeng!$B$10:$BC$252,Poeng!AG$1,FALSE)*100,1)&amp;" %"</f>
        <v>0 c. 0 %</v>
      </c>
      <c r="X95" s="108" t="str">
        <f>VLOOKUP(D95,Poeng!$B$10:$BK$252,Poeng!BK$1,FALSE)</f>
        <v>N/A</v>
      </c>
      <c r="Y95" s="75"/>
      <c r="Z95" s="74"/>
      <c r="AA95" s="638"/>
      <c r="AB95" s="117"/>
      <c r="AC95" s="556" t="s">
        <v>13</v>
      </c>
      <c r="AD95" s="20">
        <f t="shared" si="12"/>
        <v>1</v>
      </c>
      <c r="AE95" s="1" t="e">
        <f>VLOOKUP(L95,'Assessment Details'!$O$45:$P$48,2,FALSE)</f>
        <v>#N/A</v>
      </c>
      <c r="AF95" s="1" t="e">
        <f>VLOOKUP(S95,'Assessment Details'!$O$45:$P$48,2,FALSE)</f>
        <v>#N/A</v>
      </c>
      <c r="AG95" s="1" t="e">
        <f>VLOOKUP(Z95,'Assessment Details'!$O$45:$P$48,2,FALSE)</f>
        <v>#N/A</v>
      </c>
      <c r="AJ95" s="64"/>
      <c r="AK95" s="583" t="s">
        <v>144</v>
      </c>
      <c r="AL95" s="64"/>
      <c r="AM95" s="64"/>
      <c r="AN95" s="64"/>
      <c r="AO95" s="64"/>
      <c r="AP95" s="64"/>
      <c r="AQ95" s="64"/>
      <c r="AT95" s="20" t="str">
        <f t="shared" si="13"/>
        <v>N/A</v>
      </c>
      <c r="AU95" s="20" t="str">
        <f t="shared" si="14"/>
        <v>N/A</v>
      </c>
      <c r="AV95" s="20" t="str">
        <f t="shared" si="15"/>
        <v>N/A</v>
      </c>
      <c r="AW95" s="20"/>
      <c r="AX95" s="20"/>
      <c r="AY95" s="20"/>
      <c r="BA95" s="556"/>
    </row>
    <row r="96" spans="1:53" x14ac:dyDescent="0.25">
      <c r="A96" s="893">
        <v>87</v>
      </c>
      <c r="B96" s="894" t="s">
        <v>66</v>
      </c>
      <c r="C96" s="109" t="str">
        <f>C95</f>
        <v>Tra 01</v>
      </c>
      <c r="D96" s="16" t="s">
        <v>759</v>
      </c>
      <c r="E96" s="1079" t="s">
        <v>1178</v>
      </c>
      <c r="F96" s="751" t="str">
        <f>VLOOKUP(D96,Poeng!$B$10:$R$252,Poeng!E$1,FALSE)</f>
        <v xml:space="preserve">Transport assessment and travel plan </v>
      </c>
      <c r="G96" s="107">
        <f>VLOOKUP(D96,Poeng!$B$10:$AB$252,Poeng!AB$1,FALSE)</f>
        <v>2</v>
      </c>
      <c r="H96" s="37"/>
      <c r="I96" s="108">
        <f>VLOOKUP(D96,Poeng!$B$10:$AE$252,Poeng!AE$1,FALSE)</f>
        <v>0</v>
      </c>
      <c r="J96" s="109" t="str">
        <f>VLOOKUP(D96,Poeng!$B$10:$BE$252,Poeng!BE$1,FALSE)</f>
        <v>N/A</v>
      </c>
      <c r="K96" s="74"/>
      <c r="L96" s="242"/>
      <c r="M96" s="694"/>
      <c r="N96" s="712"/>
      <c r="O96" s="77"/>
      <c r="P96" s="108">
        <f>VLOOKUP(D96,Poeng!$B$10:$BC$252,Poeng!AF$1,FALSE)</f>
        <v>0</v>
      </c>
      <c r="Q96" s="108" t="str">
        <f>VLOOKUP(D96,Poeng!$B$10:$BH$252,Poeng!BH$1,FALSE)</f>
        <v>N/A</v>
      </c>
      <c r="R96" s="644"/>
      <c r="S96" s="645"/>
      <c r="T96" s="638"/>
      <c r="U96" s="277"/>
      <c r="V96" s="77"/>
      <c r="W96" s="108">
        <f>VLOOKUP(D96,Poeng!$B$10:$BC$252,Poeng!AG$1,FALSE)</f>
        <v>0</v>
      </c>
      <c r="X96" s="108" t="str">
        <f>VLOOKUP(D96,Poeng!$B$10:$BK$252,Poeng!BK$1,FALSE)</f>
        <v>N/A</v>
      </c>
      <c r="Y96" s="75"/>
      <c r="Z96" s="74"/>
      <c r="AA96" s="638"/>
      <c r="AD96" s="20">
        <f t="shared" si="12"/>
        <v>1</v>
      </c>
      <c r="AE96" s="1" t="e">
        <f>VLOOKUP(L96,'Assessment Details'!$O$45:$P$48,2,FALSE)</f>
        <v>#N/A</v>
      </c>
      <c r="AF96" s="1" t="e">
        <f>VLOOKUP(S96,'Assessment Details'!$O$45:$P$48,2,FALSE)</f>
        <v>#N/A</v>
      </c>
      <c r="AG96" s="1" t="e">
        <f>VLOOKUP(Z96,'Assessment Details'!$O$45:$P$48,2,FALSE)</f>
        <v>#N/A</v>
      </c>
    </row>
    <row r="97" spans="1:53" x14ac:dyDescent="0.25">
      <c r="A97" s="893">
        <v>88</v>
      </c>
      <c r="B97" s="894" t="s">
        <v>66</v>
      </c>
      <c r="C97" s="109" t="str">
        <f>C96</f>
        <v>Tra 01</v>
      </c>
      <c r="D97" s="16" t="s">
        <v>760</v>
      </c>
      <c r="E97" s="1078">
        <v>6</v>
      </c>
      <c r="F97" s="751" t="str">
        <f>VLOOKUP(D97,Poeng!$B$10:$R$252,Poeng!E$1,FALSE)</f>
        <v xml:space="preserve">Travel plan emissions evaluation </v>
      </c>
      <c r="G97" s="107">
        <f>VLOOKUP(D97,Poeng!$B$10:$AB$252,Poeng!AB$1,FALSE)</f>
        <v>1</v>
      </c>
      <c r="H97" s="37"/>
      <c r="I97" s="108">
        <f>VLOOKUP(D97,Poeng!$B$10:$AE$252,Poeng!AE$1,FALSE)</f>
        <v>0</v>
      </c>
      <c r="J97" s="109" t="str">
        <f>VLOOKUP(D97,Poeng!$B$10:$BE$252,Poeng!BE$1,FALSE)</f>
        <v>Very Good</v>
      </c>
      <c r="K97" s="74"/>
      <c r="L97" s="242"/>
      <c r="M97" s="694"/>
      <c r="N97" s="712"/>
      <c r="O97" s="77"/>
      <c r="P97" s="108">
        <f>VLOOKUP(D97,Poeng!$B$10:$BC$252,Poeng!AF$1,FALSE)</f>
        <v>0</v>
      </c>
      <c r="Q97" s="108" t="str">
        <f>VLOOKUP(D97,Poeng!$B$10:$BH$252,Poeng!BH$1,FALSE)</f>
        <v>Very Good</v>
      </c>
      <c r="R97" s="644"/>
      <c r="S97" s="645"/>
      <c r="T97" s="638"/>
      <c r="U97" s="277"/>
      <c r="V97" s="77"/>
      <c r="W97" s="108">
        <f>VLOOKUP(D97,Poeng!$B$10:$BC$252,Poeng!AG$1,FALSE)</f>
        <v>0</v>
      </c>
      <c r="X97" s="108" t="str">
        <f>VLOOKUP(D97,Poeng!$B$10:$BK$252,Poeng!BK$1,FALSE)</f>
        <v>Very Good</v>
      </c>
      <c r="Y97" s="75"/>
      <c r="Z97" s="74"/>
      <c r="AA97" s="638"/>
      <c r="AD97" s="20">
        <f t="shared" si="12"/>
        <v>1</v>
      </c>
      <c r="AE97" s="1" t="e">
        <f>VLOOKUP(L97,'Assessment Details'!$O$45:$P$48,2,FALSE)</f>
        <v>#N/A</v>
      </c>
      <c r="AF97" s="1" t="e">
        <f>VLOOKUP(S97,'Assessment Details'!$O$45:$P$48,2,FALSE)</f>
        <v>#N/A</v>
      </c>
      <c r="AG97" s="1" t="e">
        <f>VLOOKUP(Z97,'Assessment Details'!$O$45:$P$48,2,FALSE)</f>
        <v>#N/A</v>
      </c>
    </row>
    <row r="98" spans="1:53" x14ac:dyDescent="0.25">
      <c r="A98" s="893">
        <v>89</v>
      </c>
      <c r="B98" s="894" t="s">
        <v>66</v>
      </c>
      <c r="C98" s="802" t="s">
        <v>147</v>
      </c>
      <c r="D98" s="717" t="s">
        <v>147</v>
      </c>
      <c r="E98" s="1077"/>
      <c r="F98" s="750" t="str">
        <f>VLOOKUP(D98,Poeng!$B$10:$R$252,Poeng!E$1,FALSE)</f>
        <v>Tra 02 Sustainable transport measures</v>
      </c>
      <c r="G98" s="755">
        <f>VLOOKUP(D98,Poeng!$B$10:$AB$252,Poeng!AB$1,FALSE)</f>
        <v>10</v>
      </c>
      <c r="H98" s="847"/>
      <c r="I98" s="756" t="str">
        <f>VLOOKUP(D98,Poeng!$B$10:$AI$252,Poeng!AI$1,FALSE)&amp;" c. "&amp;ROUND(VLOOKUP(D98,Poeng!$B$10:$AE$252,Poeng!AE$1,FALSE)*100,1)&amp;" %"</f>
        <v>0 c. 0 %</v>
      </c>
      <c r="J98" s="802" t="str">
        <f>VLOOKUP(D98,Poeng!$B$10:$BE$252,Poeng!BE$1,FALSE)</f>
        <v>N/A</v>
      </c>
      <c r="K98" s="74"/>
      <c r="L98" s="242"/>
      <c r="M98" s="694"/>
      <c r="N98" s="712"/>
      <c r="O98" s="847"/>
      <c r="P98" s="766" t="str">
        <f>VLOOKUP(D98,Poeng!$B$10:$BC$252,Poeng!AJ$1,FALSE)&amp;" c. "&amp;ROUND(VLOOKUP(D98,Poeng!$B$10:$BC$252,Poeng!AF$1,FALSE)*100,1)&amp;" %"</f>
        <v>0 c. 0 %</v>
      </c>
      <c r="Q98" s="108" t="str">
        <f>VLOOKUP(D98,Poeng!$B$10:$BH$252,Poeng!BH$1,FALSE)</f>
        <v>N/A</v>
      </c>
      <c r="R98" s="644"/>
      <c r="S98" s="645"/>
      <c r="T98" s="638"/>
      <c r="U98" s="277"/>
      <c r="V98" s="847"/>
      <c r="W98" s="766" t="str">
        <f>VLOOKUP(D98,Poeng!$B$10:$BC$252,Poeng!AK$1,FALSE)&amp;" c. "&amp;ROUND(VLOOKUP(D98,Poeng!$B$10:$BC$252,Poeng!AG$1,FALSE)*100,1)&amp;" %"</f>
        <v>0 c. 0 %</v>
      </c>
      <c r="X98" s="108" t="str">
        <f>VLOOKUP(D98,Poeng!$B$10:$BK$252,Poeng!BK$1,FALSE)</f>
        <v>N/A</v>
      </c>
      <c r="Y98" s="75"/>
      <c r="Z98" s="74"/>
      <c r="AA98" s="638"/>
      <c r="AB98" s="117"/>
      <c r="AC98" s="556" t="s">
        <v>13</v>
      </c>
      <c r="AD98" s="20">
        <f t="shared" si="12"/>
        <v>1</v>
      </c>
      <c r="AE98" s="1" t="e">
        <f>VLOOKUP(L98,'Assessment Details'!$O$45:$P$48,2,FALSE)</f>
        <v>#N/A</v>
      </c>
      <c r="AF98" s="1" t="e">
        <f>VLOOKUP(S98,'Assessment Details'!$O$45:$P$48,2,FALSE)</f>
        <v>#N/A</v>
      </c>
      <c r="AG98" s="1" t="e">
        <f>VLOOKUP(Z98,'Assessment Details'!$O$45:$P$48,2,FALSE)</f>
        <v>#N/A</v>
      </c>
      <c r="AJ98" s="64"/>
      <c r="AK98" s="583" t="s">
        <v>145</v>
      </c>
      <c r="AL98" s="64"/>
      <c r="AM98" s="64"/>
      <c r="AN98" s="64"/>
      <c r="AO98" s="64"/>
      <c r="AP98" s="64"/>
      <c r="AQ98" s="64"/>
      <c r="AT98" s="20" t="str">
        <f t="shared" si="13"/>
        <v>N/A</v>
      </c>
      <c r="AU98" s="20" t="str">
        <f t="shared" si="14"/>
        <v>N/A</v>
      </c>
      <c r="AV98" s="20" t="str">
        <f t="shared" si="15"/>
        <v>N/A</v>
      </c>
      <c r="AW98" s="20"/>
      <c r="AX98" s="20"/>
      <c r="AY98" s="20"/>
      <c r="BA98" s="556"/>
    </row>
    <row r="99" spans="1:53" x14ac:dyDescent="0.25">
      <c r="A99" s="893">
        <v>90</v>
      </c>
      <c r="B99" s="894" t="s">
        <v>66</v>
      </c>
      <c r="C99" s="109" t="str">
        <f>C98</f>
        <v>Tra 02</v>
      </c>
      <c r="D99" s="717" t="s">
        <v>761</v>
      </c>
      <c r="E99" s="1078">
        <v>1</v>
      </c>
      <c r="F99" s="751" t="str">
        <f>VLOOKUP(D99,Poeng!$B$10:$R$252,Poeng!E$1,FALSE)</f>
        <v>Pre-requisite: transport assessment and travel plan</v>
      </c>
      <c r="G99" s="107" t="str">
        <f>VLOOKUP(D99,Poeng!$B$10:$AB$252,Poeng!AB$1,FALSE)</f>
        <v>Yes/No</v>
      </c>
      <c r="H99" s="37"/>
      <c r="I99" s="108" t="str">
        <f>VLOOKUP(D99,Poeng!$B$10:$AE$252,Poeng!AE$1,FALSE)</f>
        <v>-</v>
      </c>
      <c r="J99" s="109" t="str">
        <f>VLOOKUP(D99,Poeng!$B$10:$BE$252,Poeng!BE$1,FALSE)</f>
        <v>N/A</v>
      </c>
      <c r="K99" s="74"/>
      <c r="L99" s="242"/>
      <c r="M99" s="694"/>
      <c r="N99" s="712"/>
      <c r="O99" s="77"/>
      <c r="P99" s="108" t="str">
        <f>VLOOKUP(D99,Poeng!$B$10:$BC$252,Poeng!AF$1,FALSE)</f>
        <v>-</v>
      </c>
      <c r="Q99" s="108" t="str">
        <f>VLOOKUP(D99,Poeng!$B$10:$BH$252,Poeng!BH$1,FALSE)</f>
        <v>N/A</v>
      </c>
      <c r="R99" s="644"/>
      <c r="S99" s="645"/>
      <c r="T99" s="638"/>
      <c r="U99" s="277"/>
      <c r="V99" s="77"/>
      <c r="W99" s="108" t="str">
        <f>VLOOKUP(D99,Poeng!$B$10:$BC$252,Poeng!AG$1,FALSE)</f>
        <v>-</v>
      </c>
      <c r="X99" s="108" t="str">
        <f>VLOOKUP(D99,Poeng!$B$10:$BK$252,Poeng!BK$1,FALSE)</f>
        <v>N/A</v>
      </c>
      <c r="Y99" s="75"/>
      <c r="Z99" s="74"/>
      <c r="AA99" s="638"/>
      <c r="AB99" s="117"/>
      <c r="AC99" s="754"/>
      <c r="AD99" s="20">
        <f t="shared" si="12"/>
        <v>1</v>
      </c>
      <c r="AE99" s="1" t="e">
        <f>VLOOKUP(L99,'Assessment Details'!$O$45:$P$48,2,FALSE)</f>
        <v>#N/A</v>
      </c>
      <c r="AF99" s="1" t="e">
        <f>VLOOKUP(S99,'Assessment Details'!$O$45:$P$48,2,FALSE)</f>
        <v>#N/A</v>
      </c>
      <c r="AG99" s="1" t="e">
        <f>VLOOKUP(Z99,'Assessment Details'!$O$45:$P$48,2,FALSE)</f>
        <v>#N/A</v>
      </c>
      <c r="AT99" s="20"/>
      <c r="AU99" s="20"/>
      <c r="AV99" s="20"/>
      <c r="AW99" s="20"/>
      <c r="AX99" s="20"/>
      <c r="AY99" s="20"/>
      <c r="BA99" s="754"/>
    </row>
    <row r="100" spans="1:53" x14ac:dyDescent="0.25">
      <c r="A100" s="893">
        <v>91</v>
      </c>
      <c r="B100" s="894" t="s">
        <v>66</v>
      </c>
      <c r="C100" s="109" t="str">
        <f>C99</f>
        <v>Tra 02</v>
      </c>
      <c r="D100" s="717" t="s">
        <v>762</v>
      </c>
      <c r="E100" s="1079" t="s">
        <v>1168</v>
      </c>
      <c r="F100" s="751" t="str">
        <f>VLOOKUP(D100,Poeng!$B$10:$R$252,Poeng!E$1,FALSE)</f>
        <v xml:space="preserve">Transport options implementation </v>
      </c>
      <c r="G100" s="107">
        <f>VLOOKUP(D100,Poeng!$B$10:$AB$252,Poeng!AB$1,FALSE)</f>
        <v>10</v>
      </c>
      <c r="H100" s="37"/>
      <c r="I100" s="108">
        <f>VLOOKUP(D100,Poeng!$B$10:$AE$252,Poeng!AE$1,FALSE)</f>
        <v>0</v>
      </c>
      <c r="J100" s="109" t="str">
        <f>VLOOKUP(D100,Poeng!$B$10:$BE$252,Poeng!BE$1,FALSE)</f>
        <v>N/A</v>
      </c>
      <c r="K100" s="74"/>
      <c r="L100" s="242"/>
      <c r="M100" s="694"/>
      <c r="N100" s="712"/>
      <c r="O100" s="77"/>
      <c r="P100" s="108">
        <f>VLOOKUP(D100,Poeng!$B$10:$BC$252,Poeng!AF$1,FALSE)</f>
        <v>0</v>
      </c>
      <c r="Q100" s="108" t="str">
        <f>VLOOKUP(D100,Poeng!$B$10:$BH$252,Poeng!BH$1,FALSE)</f>
        <v>N/A</v>
      </c>
      <c r="R100" s="644"/>
      <c r="S100" s="645"/>
      <c r="T100" s="694"/>
      <c r="U100" s="277"/>
      <c r="V100" s="77"/>
      <c r="W100" s="108">
        <f>VLOOKUP(D100,Poeng!$B$10:$BC$252,Poeng!AG$1,FALSE)</f>
        <v>0</v>
      </c>
      <c r="X100" s="108" t="str">
        <f>VLOOKUP(D100,Poeng!$B$10:$BK$252,Poeng!BK$1,FALSE)</f>
        <v>N/A</v>
      </c>
      <c r="Y100" s="75"/>
      <c r="Z100" s="74"/>
      <c r="AA100" s="694"/>
      <c r="AB100" s="117"/>
      <c r="AC100" s="620"/>
      <c r="AD100" s="20">
        <f t="shared" si="12"/>
        <v>1</v>
      </c>
      <c r="AE100" s="1" t="e">
        <f>VLOOKUP(L100,'Assessment Details'!$O$45:$P$48,2,FALSE)</f>
        <v>#N/A</v>
      </c>
      <c r="AF100" s="1" t="e">
        <f>VLOOKUP(S100,'Assessment Details'!$O$45:$P$48,2,FALSE)</f>
        <v>#N/A</v>
      </c>
      <c r="AG100" s="1" t="e">
        <f>VLOOKUP(Z100,'Assessment Details'!$O$45:$P$48,2,FALSE)</f>
        <v>#N/A</v>
      </c>
      <c r="AJ100" s="64"/>
      <c r="AK100" s="583"/>
      <c r="AL100" s="64"/>
      <c r="AM100" s="64"/>
      <c r="AN100" s="64"/>
      <c r="AO100" s="64"/>
      <c r="AP100" s="64"/>
      <c r="AQ100" s="64"/>
      <c r="AT100" s="20"/>
      <c r="AU100" s="20"/>
      <c r="AV100" s="20"/>
      <c r="AW100" s="20"/>
      <c r="AX100" s="20"/>
      <c r="AY100" s="20"/>
      <c r="BA100" s="620"/>
    </row>
    <row r="101" spans="1:53" ht="15.75" thickBot="1" x14ac:dyDescent="0.3">
      <c r="A101" s="893">
        <v>92</v>
      </c>
      <c r="B101" s="894" t="s">
        <v>66</v>
      </c>
      <c r="C101" s="897"/>
      <c r="D101" s="717" t="s">
        <v>884</v>
      </c>
      <c r="E101" s="1082"/>
      <c r="F101" s="278" t="s">
        <v>105</v>
      </c>
      <c r="G101" s="110">
        <f>Tra_Credits</f>
        <v>13</v>
      </c>
      <c r="H101" s="115"/>
      <c r="I101" s="111">
        <f>Tra_cont_tot</f>
        <v>0</v>
      </c>
      <c r="J101" s="757" t="str">
        <f>"Credits achieved: "&amp;Tra_tot_user</f>
        <v>Credits achieved: 0</v>
      </c>
      <c r="K101" s="118"/>
      <c r="L101" s="243"/>
      <c r="M101" s="646"/>
      <c r="N101" s="712"/>
      <c r="O101" s="335"/>
      <c r="P101" s="111">
        <f>VLOOKUP(D101,Poeng!$B$10:$BC$252,Poeng!AF$1,FALSE)</f>
        <v>0</v>
      </c>
      <c r="Q101" s="757" t="str">
        <f>"Credits achieved: "&amp;Tra_d_user</f>
        <v>Credits achieved: 0</v>
      </c>
      <c r="R101" s="647"/>
      <c r="S101" s="648"/>
      <c r="T101" s="646"/>
      <c r="U101" s="277"/>
      <c r="V101" s="335"/>
      <c r="W101" s="111">
        <f>VLOOKUP(D101,Poeng!$B$10:$BC$252,Poeng!AG$1,FALSE)</f>
        <v>0</v>
      </c>
      <c r="X101" s="757" t="str">
        <f>"Credits achieved: "&amp;Tra_c_user</f>
        <v>Credits achieved: 0</v>
      </c>
      <c r="Y101" s="334"/>
      <c r="Z101" s="120"/>
      <c r="AA101" s="646"/>
      <c r="AB101" s="117"/>
      <c r="AC101" s="557"/>
      <c r="AD101" s="20">
        <f t="shared" si="12"/>
        <v>1</v>
      </c>
      <c r="AE101" s="239">
        <v>0</v>
      </c>
      <c r="AF101" s="239">
        <v>0</v>
      </c>
      <c r="AG101" s="239">
        <v>0</v>
      </c>
      <c r="AJ101" s="64"/>
      <c r="AK101" s="583" t="s">
        <v>105</v>
      </c>
      <c r="AL101" s="64"/>
      <c r="AM101" s="64"/>
      <c r="AN101" s="64"/>
      <c r="AO101" s="64"/>
      <c r="AP101" s="64"/>
      <c r="AQ101" s="64"/>
      <c r="AT101" s="20" t="str">
        <f t="shared" si="13"/>
        <v>N/A</v>
      </c>
      <c r="AU101" s="20" t="str">
        <f t="shared" si="14"/>
        <v>N/A</v>
      </c>
      <c r="AV101" s="20" t="str">
        <f t="shared" si="15"/>
        <v>N/A</v>
      </c>
      <c r="AW101" s="20"/>
      <c r="AX101" s="20"/>
      <c r="AY101" s="20"/>
      <c r="BA101" s="557"/>
    </row>
    <row r="102" spans="1:53" x14ac:dyDescent="0.25">
      <c r="A102" s="893">
        <v>93</v>
      </c>
      <c r="B102" s="894" t="s">
        <v>66</v>
      </c>
      <c r="C102" s="280"/>
      <c r="D102" s="717"/>
      <c r="E102" s="1081"/>
      <c r="F102" s="279"/>
      <c r="G102" s="280"/>
      <c r="H102" s="281"/>
      <c r="I102" s="280"/>
      <c r="J102" s="843"/>
      <c r="K102" s="282"/>
      <c r="L102" s="281"/>
      <c r="M102" s="649"/>
      <c r="N102" s="712"/>
      <c r="O102" s="283"/>
      <c r="P102" s="283"/>
      <c r="Q102" s="649"/>
      <c r="R102" s="649"/>
      <c r="S102" s="650"/>
      <c r="T102" s="649"/>
      <c r="U102" s="277"/>
      <c r="V102" s="283"/>
      <c r="W102" s="283"/>
      <c r="X102" s="649"/>
      <c r="Y102" s="282"/>
      <c r="Z102" s="283"/>
      <c r="AA102" s="649"/>
      <c r="AB102" s="117"/>
      <c r="AC102" s="282"/>
      <c r="AD102" s="20">
        <f t="shared" si="12"/>
        <v>1</v>
      </c>
      <c r="AE102" s="240">
        <v>0</v>
      </c>
      <c r="AF102" s="240">
        <v>0</v>
      </c>
      <c r="AG102" s="240">
        <v>0</v>
      </c>
      <c r="AJ102" s="64"/>
      <c r="AK102" s="583"/>
      <c r="AL102" s="64"/>
      <c r="AM102" s="64"/>
      <c r="AN102" s="64"/>
      <c r="AO102" s="64"/>
      <c r="AP102" s="64"/>
      <c r="AQ102" s="64"/>
      <c r="AT102" s="20" t="str">
        <f t="shared" si="13"/>
        <v>N/A</v>
      </c>
      <c r="AU102" s="20" t="str">
        <f t="shared" si="14"/>
        <v>N/A</v>
      </c>
      <c r="AV102" s="20" t="str">
        <f t="shared" si="15"/>
        <v>N/A</v>
      </c>
      <c r="AW102" s="20"/>
      <c r="AX102" s="20"/>
      <c r="AY102" s="20"/>
      <c r="BA102" s="282"/>
    </row>
    <row r="103" spans="1:53" ht="18.75" x14ac:dyDescent="0.25">
      <c r="A103" s="893">
        <v>94</v>
      </c>
      <c r="B103" s="892" t="s">
        <v>58</v>
      </c>
      <c r="C103" s="898"/>
      <c r="D103" s="716"/>
      <c r="E103" s="1076"/>
      <c r="F103" s="284" t="s">
        <v>53</v>
      </c>
      <c r="G103" s="273"/>
      <c r="H103" s="274"/>
      <c r="I103" s="293"/>
      <c r="J103" s="273"/>
      <c r="K103" s="285"/>
      <c r="L103" s="286"/>
      <c r="M103" s="652"/>
      <c r="N103" s="712"/>
      <c r="O103" s="296"/>
      <c r="P103" s="289"/>
      <c r="Q103" s="642"/>
      <c r="R103" s="653"/>
      <c r="S103" s="654"/>
      <c r="T103" s="655"/>
      <c r="U103" s="277"/>
      <c r="V103" s="296"/>
      <c r="W103" s="295"/>
      <c r="X103" s="642"/>
      <c r="Y103" s="285"/>
      <c r="Z103" s="295"/>
      <c r="AA103" s="652"/>
      <c r="AB103" s="117"/>
      <c r="AC103" s="294"/>
      <c r="AD103" s="20">
        <f t="shared" si="12"/>
        <v>1</v>
      </c>
      <c r="AE103" s="238">
        <v>0</v>
      </c>
      <c r="AF103" s="238">
        <v>0</v>
      </c>
      <c r="AG103" s="238">
        <v>0</v>
      </c>
      <c r="AJ103" s="64"/>
      <c r="AK103" s="583" t="s">
        <v>53</v>
      </c>
      <c r="AL103" s="64"/>
      <c r="AM103" s="64"/>
      <c r="AN103" s="64"/>
      <c r="AO103" s="64"/>
      <c r="AP103" s="64"/>
      <c r="AQ103" s="64"/>
      <c r="AT103" s="20" t="str">
        <f t="shared" si="13"/>
        <v>N/A</v>
      </c>
      <c r="AU103" s="20" t="str">
        <f t="shared" si="14"/>
        <v>N/A</v>
      </c>
      <c r="AV103" s="20" t="str">
        <f t="shared" si="15"/>
        <v>N/A</v>
      </c>
      <c r="AW103" s="20"/>
      <c r="AX103" s="20"/>
      <c r="AY103" s="20"/>
      <c r="BA103" s="294"/>
    </row>
    <row r="104" spans="1:53" x14ac:dyDescent="0.25">
      <c r="A104" s="893">
        <v>95</v>
      </c>
      <c r="B104" s="892" t="s">
        <v>58</v>
      </c>
      <c r="C104" s="802" t="s">
        <v>168</v>
      </c>
      <c r="D104" s="717" t="s">
        <v>168</v>
      </c>
      <c r="E104" s="1077"/>
      <c r="F104" s="750" t="str">
        <f>VLOOKUP(D104,Poeng!$B$10:$R$252,Poeng!E$1,FALSE)</f>
        <v>Wat 01 Water consumption</v>
      </c>
      <c r="G104" s="755">
        <f>VLOOKUP(D104,Poeng!$B$10:$AB$252,Poeng!AB$1,FALSE)</f>
        <v>5</v>
      </c>
      <c r="H104" s="846"/>
      <c r="I104" s="756" t="str">
        <f>VLOOKUP(D104,Poeng!$B$10:$AI$252,Poeng!AI$1,FALSE)&amp;" c. "&amp;ROUND(VLOOKUP(D104,Poeng!$B$10:$AE$252,Poeng!AE$1,FALSE)*100,1)&amp;" %"</f>
        <v>0 c. 0 %</v>
      </c>
      <c r="J104" s="801" t="str">
        <f>VLOOKUP(D104,Poeng!$B$10:$BE$252,Poeng!BE$1,FALSE)</f>
        <v>N/A</v>
      </c>
      <c r="K104" s="763"/>
      <c r="L104" s="764"/>
      <c r="M104" s="765"/>
      <c r="N104" s="712"/>
      <c r="O104" s="847"/>
      <c r="P104" s="905" t="str">
        <f>VLOOKUP(D104,Poeng!$B$10:$BC$252,Poeng!AJ$1,FALSE)&amp;" c. "&amp;ROUND(VLOOKUP(D104,Poeng!$B$10:$BC$252,Poeng!AF$1,FALSE)*100,1)&amp;" %"</f>
        <v>0 c. 0 %</v>
      </c>
      <c r="Q104" s="108" t="str">
        <f>VLOOKUP(D104,Poeng!$B$10:$BH$252,Poeng!BH$1,FALSE)</f>
        <v>N/A</v>
      </c>
      <c r="R104" s="644"/>
      <c r="S104" s="645"/>
      <c r="T104" s="638"/>
      <c r="U104" s="277"/>
      <c r="V104" s="847"/>
      <c r="W104" s="766" t="str">
        <f>VLOOKUP(D104,Poeng!$B$10:$BC$252,Poeng!AK$1,FALSE)&amp;" c. "&amp;ROUND(VLOOKUP(D104,Poeng!$B$10:$BC$252,Poeng!AG$1,FALSE)*100,1)&amp;" %"</f>
        <v>0 c. 0 %</v>
      </c>
      <c r="X104" s="108" t="str">
        <f>VLOOKUP(D104,Poeng!$B$10:$BK$252,Poeng!BK$1,FALSE)</f>
        <v>N/A</v>
      </c>
      <c r="Y104" s="75"/>
      <c r="Z104" s="74"/>
      <c r="AA104" s="638"/>
      <c r="AB104" s="117"/>
      <c r="AC104" s="556" t="s">
        <v>12</v>
      </c>
      <c r="AD104" s="20">
        <f t="shared" si="12"/>
        <v>1</v>
      </c>
      <c r="AE104" s="1" t="e">
        <f>VLOOKUP(L104,'Assessment Details'!$O$45:$P$48,2,FALSE)</f>
        <v>#N/A</v>
      </c>
      <c r="AF104" s="1" t="e">
        <f>VLOOKUP(S104,'Assessment Details'!$O$45:$P$48,2,FALSE)</f>
        <v>#N/A</v>
      </c>
      <c r="AG104" s="1" t="e">
        <f>VLOOKUP(Z104,'Assessment Details'!$O$45:$P$48,2,FALSE)</f>
        <v>#N/A</v>
      </c>
      <c r="AJ104" s="64"/>
      <c r="AK104" s="583" t="s">
        <v>151</v>
      </c>
      <c r="AL104" s="562" t="s">
        <v>405</v>
      </c>
      <c r="AM104" s="562" t="s">
        <v>407</v>
      </c>
      <c r="AN104" s="64"/>
      <c r="AO104" s="64"/>
      <c r="AP104" s="64"/>
      <c r="AQ104" s="64"/>
      <c r="AS104" s="1" t="s">
        <v>12</v>
      </c>
      <c r="AT104" s="20" t="str">
        <f t="shared" si="13"/>
        <v>N/A</v>
      </c>
      <c r="AU104" s="20" t="str">
        <f t="shared" si="14"/>
        <v>N/A</v>
      </c>
      <c r="AV104" s="20" t="str">
        <f t="shared" si="15"/>
        <v>N/A</v>
      </c>
      <c r="AW104" s="20"/>
      <c r="AX104" s="20"/>
      <c r="AY104" s="20"/>
      <c r="BA104" s="556"/>
    </row>
    <row r="105" spans="1:53" x14ac:dyDescent="0.25">
      <c r="A105" s="893">
        <v>96</v>
      </c>
      <c r="B105" s="892" t="s">
        <v>58</v>
      </c>
      <c r="C105" s="109" t="str">
        <f>C104</f>
        <v>Wat 01</v>
      </c>
      <c r="D105" s="717" t="s">
        <v>763</v>
      </c>
      <c r="E105" s="1079" t="s">
        <v>1195</v>
      </c>
      <c r="F105" s="751" t="str">
        <f>VLOOKUP(D105,Poeng!$B$10:$R$258,Poeng!E$1,FALSE)</f>
        <v>Water efficient components</v>
      </c>
      <c r="G105" s="107">
        <f>VLOOKUP(D105,Poeng!$B$10:$AB$258,Poeng!AB$1,FALSE)</f>
        <v>5</v>
      </c>
      <c r="H105" s="37"/>
      <c r="I105" s="108">
        <f>VLOOKUP(D105,Poeng!$B$10:$AE$258,Poeng!AE$1,FALSE)</f>
        <v>0</v>
      </c>
      <c r="J105" s="109" t="str">
        <f>VLOOKUP(D105,Poeng!$B$10:$BE$258,Poeng!BE$1,FALSE)</f>
        <v>Very Good</v>
      </c>
      <c r="K105" s="926"/>
      <c r="L105" s="927"/>
      <c r="M105" s="928"/>
      <c r="N105" s="712"/>
      <c r="O105" s="77"/>
      <c r="P105" s="108">
        <f>VLOOKUP(D105,Poeng!$B$10:$BC$258,Poeng!AF$1,FALSE)</f>
        <v>0</v>
      </c>
      <c r="Q105" s="108" t="str">
        <f>VLOOKUP(D105,Poeng!$B$10:$BH$258,Poeng!BH$1,FALSE)</f>
        <v>Very Good</v>
      </c>
      <c r="R105" s="644"/>
      <c r="S105" s="645"/>
      <c r="T105" s="638"/>
      <c r="U105" s="277"/>
      <c r="V105" s="77"/>
      <c r="W105" s="108">
        <f>VLOOKUP(D105,Poeng!$B$10:$BC$258,Poeng!AG$1,FALSE)</f>
        <v>0</v>
      </c>
      <c r="X105" s="108" t="str">
        <f>VLOOKUP(D105,Poeng!$B$10:$BK$258,Poeng!BK$1,FALSE)</f>
        <v>Very Good</v>
      </c>
      <c r="Y105" s="75"/>
      <c r="Z105" s="74"/>
      <c r="AA105" s="638"/>
      <c r="AB105" s="117"/>
      <c r="AC105" s="556"/>
      <c r="AD105" s="20">
        <f t="shared" ref="AD105" si="16">IF(G105="",1,IF(G105=0,2,1))</f>
        <v>1</v>
      </c>
      <c r="AE105" s="1" t="e">
        <f>VLOOKUP(L105,'Assessment Details'!$O$45:$P$48,2,FALSE)</f>
        <v>#N/A</v>
      </c>
      <c r="AF105" s="1" t="e">
        <f>VLOOKUP(S105,'Assessment Details'!$O$45:$P$48,2,FALSE)</f>
        <v>#N/A</v>
      </c>
      <c r="AG105" s="1" t="e">
        <f>VLOOKUP(Z105,'Assessment Details'!$O$45:$P$48,2,FALSE)</f>
        <v>#N/A</v>
      </c>
      <c r="AJ105" s="64"/>
      <c r="AK105" s="583"/>
      <c r="AL105" s="562"/>
      <c r="AM105" s="562"/>
      <c r="AN105" s="64"/>
      <c r="AO105" s="64"/>
      <c r="AP105" s="64"/>
      <c r="AQ105" s="64"/>
      <c r="AT105" s="20"/>
      <c r="AU105" s="20"/>
      <c r="AV105" s="20"/>
      <c r="AW105" s="20"/>
      <c r="AX105" s="20"/>
      <c r="AY105" s="20"/>
      <c r="BA105" s="556"/>
    </row>
    <row r="106" spans="1:53" x14ac:dyDescent="0.25">
      <c r="A106" s="893">
        <v>97</v>
      </c>
      <c r="B106" s="892" t="s">
        <v>58</v>
      </c>
      <c r="C106" s="109" t="str">
        <f>C104</f>
        <v>Wat 01</v>
      </c>
      <c r="D106" s="717" t="s">
        <v>1019</v>
      </c>
      <c r="E106" s="1078">
        <v>2</v>
      </c>
      <c r="F106" s="1042" t="str">
        <f>VLOOKUP(D106,Poeng!$B$10:$R$258,Poeng!E$1,FALSE)</f>
        <v>EU taxonomy requirements: criterion 2</v>
      </c>
      <c r="G106" s="107" t="str">
        <f>VLOOKUP(D106,Poeng!$B$10:$AB$258,Poeng!AB$1,FALSE)</f>
        <v>Yes/No</v>
      </c>
      <c r="H106" s="37"/>
      <c r="I106" s="108" t="str">
        <f>VLOOKUP(D106,Poeng!$B$10:$AE$258,Poeng!AE$1,FALSE)</f>
        <v>-</v>
      </c>
      <c r="J106" s="109" t="str">
        <f>VLOOKUP(D106,Poeng!$B$10:$BE$258,Poeng!BE$1,FALSE)</f>
        <v>N/A</v>
      </c>
      <c r="K106" s="74"/>
      <c r="L106" s="242"/>
      <c r="M106" s="694"/>
      <c r="N106" s="712"/>
      <c r="O106" s="77"/>
      <c r="P106" s="108" t="str">
        <f>VLOOKUP(D106,Poeng!$B$10:$BC$258,Poeng!AF$1,FALSE)</f>
        <v>-</v>
      </c>
      <c r="Q106" s="108" t="str">
        <f>VLOOKUP(D106,Poeng!$B$10:$BH$258,Poeng!BH$1,FALSE)</f>
        <v>N/A</v>
      </c>
      <c r="R106" s="644"/>
      <c r="S106" s="645"/>
      <c r="T106" s="638"/>
      <c r="U106" s="277"/>
      <c r="V106" s="77"/>
      <c r="W106" s="108" t="str">
        <f>VLOOKUP(D106,Poeng!$B$10:$BC$258,Poeng!AG$1,FALSE)</f>
        <v>-</v>
      </c>
      <c r="X106" s="108" t="str">
        <f>VLOOKUP(D106,Poeng!$B$10:$BK$258,Poeng!BK$1,FALSE)</f>
        <v>N/A</v>
      </c>
      <c r="Y106" s="75"/>
      <c r="Z106" s="74"/>
      <c r="AA106" s="694"/>
      <c r="AB106" s="117"/>
      <c r="AC106" s="556"/>
      <c r="AD106" s="20">
        <f t="shared" si="12"/>
        <v>1</v>
      </c>
      <c r="AE106" s="1" t="e">
        <f>VLOOKUP(L106,'Assessment Details'!$O$45:$P$48,2,FALSE)</f>
        <v>#N/A</v>
      </c>
      <c r="AF106" s="1" t="e">
        <f>VLOOKUP(S106,'Assessment Details'!$O$45:$P$48,2,FALSE)</f>
        <v>#N/A</v>
      </c>
      <c r="AG106" s="1" t="e">
        <f>VLOOKUP(Z106,'Assessment Details'!$O$45:$P$48,2,FALSE)</f>
        <v>#N/A</v>
      </c>
      <c r="AJ106" s="64"/>
      <c r="AK106" s="583"/>
      <c r="AL106" s="562"/>
      <c r="AM106" s="562"/>
      <c r="AN106" s="64"/>
      <c r="AO106" s="64"/>
      <c r="AP106" s="64"/>
      <c r="AQ106" s="64"/>
      <c r="AT106" s="20"/>
      <c r="AU106" s="20"/>
      <c r="AV106" s="20"/>
      <c r="AW106" s="20"/>
      <c r="AX106" s="20"/>
      <c r="AY106" s="20"/>
      <c r="BA106" s="556"/>
    </row>
    <row r="107" spans="1:53" x14ac:dyDescent="0.25">
      <c r="A107" s="893">
        <v>98</v>
      </c>
      <c r="B107" s="892" t="s">
        <v>58</v>
      </c>
      <c r="C107" s="802" t="s">
        <v>169</v>
      </c>
      <c r="D107" s="717" t="s">
        <v>169</v>
      </c>
      <c r="E107" s="1077"/>
      <c r="F107" s="750" t="str">
        <f>VLOOKUP(D107,Poeng!$B$10:$R$252,Poeng!E$1,FALSE)</f>
        <v>Wat 02 Water monitoring</v>
      </c>
      <c r="G107" s="755">
        <f>VLOOKUP(D107,Poeng!$B$10:$AB$252,Poeng!AB$1,FALSE)</f>
        <v>1</v>
      </c>
      <c r="H107" s="847"/>
      <c r="I107" s="756" t="str">
        <f>VLOOKUP(D107,Poeng!$B$10:$AI$252,Poeng!AI$1,FALSE)&amp;" c. "&amp;ROUND(VLOOKUP(D107,Poeng!$B$10:$AE$252,Poeng!AE$1,FALSE)*100,1)&amp;" %"</f>
        <v>0 c. 0 %</v>
      </c>
      <c r="J107" s="802" t="str">
        <f>VLOOKUP(D107,Poeng!$B$10:$BE$252,Poeng!BE$1,FALSE)</f>
        <v>N/A</v>
      </c>
      <c r="K107" s="74"/>
      <c r="L107" s="242"/>
      <c r="M107" s="694"/>
      <c r="N107" s="712"/>
      <c r="O107" s="847"/>
      <c r="P107" s="766" t="str">
        <f>VLOOKUP(D107,Poeng!$B$10:$BC$252,Poeng!AJ$1,FALSE)&amp;" c. "&amp;ROUND(VLOOKUP(D107,Poeng!$B$10:$BC$252,Poeng!AF$1,FALSE)*100,1)&amp;" %"</f>
        <v>0 c. 0 %</v>
      </c>
      <c r="Q107" s="108" t="str">
        <f>VLOOKUP(D107,Poeng!$B$10:$BH$252,Poeng!BH$1,FALSE)</f>
        <v>N/A</v>
      </c>
      <c r="R107" s="644"/>
      <c r="S107" s="645"/>
      <c r="T107" s="638"/>
      <c r="U107" s="277"/>
      <c r="V107" s="847"/>
      <c r="W107" s="766" t="str">
        <f>VLOOKUP(D107,Poeng!$B$10:$BC$252,Poeng!AK$1,FALSE)&amp;" c. "&amp;ROUND(VLOOKUP(D107,Poeng!$B$10:$BC$252,Poeng!AG$1,FALSE)*100,1)&amp;" %"</f>
        <v>0 c. 0 %</v>
      </c>
      <c r="X107" s="108" t="str">
        <f>VLOOKUP(D107,Poeng!$B$10:$BK$252,Poeng!BK$1,FALSE)</f>
        <v>N/A</v>
      </c>
      <c r="Y107" s="75"/>
      <c r="Z107" s="74"/>
      <c r="AA107" s="638"/>
      <c r="AB107" s="117"/>
      <c r="AC107" s="556" t="s">
        <v>12</v>
      </c>
      <c r="AD107" s="20">
        <f t="shared" si="12"/>
        <v>1</v>
      </c>
      <c r="AE107" s="1" t="e">
        <f>VLOOKUP(L107,'Assessment Details'!$O$45:$P$48,2,FALSE)</f>
        <v>#N/A</v>
      </c>
      <c r="AF107" s="1" t="e">
        <f>VLOOKUP(S107,'Assessment Details'!$O$45:$P$48,2,FALSE)</f>
        <v>#N/A</v>
      </c>
      <c r="AG107" s="1" t="e">
        <f>VLOOKUP(Z107,'Assessment Details'!$O$45:$P$48,2,FALSE)</f>
        <v>#N/A</v>
      </c>
      <c r="AJ107" s="64" t="str">
        <f>ais_ja</f>
        <v>Ja</v>
      </c>
      <c r="AK107" s="583" t="s">
        <v>152</v>
      </c>
      <c r="AL107" s="562" t="s">
        <v>405</v>
      </c>
      <c r="AM107" s="562" t="s">
        <v>409</v>
      </c>
      <c r="AN107" s="562" t="s">
        <v>407</v>
      </c>
      <c r="AO107" s="64"/>
      <c r="AP107" s="64"/>
      <c r="AQ107" s="64"/>
      <c r="AS107" s="1" t="s">
        <v>12</v>
      </c>
      <c r="AT107" s="20" t="str">
        <f t="shared" si="13"/>
        <v>N/A</v>
      </c>
      <c r="AU107" s="20" t="str">
        <f t="shared" si="14"/>
        <v>N/A</v>
      </c>
      <c r="AV107" s="20" t="str">
        <f t="shared" si="15"/>
        <v>N/A</v>
      </c>
      <c r="AW107" s="20"/>
      <c r="AX107" s="20"/>
      <c r="AY107" s="20"/>
      <c r="BA107" s="556"/>
    </row>
    <row r="108" spans="1:53" x14ac:dyDescent="0.25">
      <c r="A108" s="893">
        <v>99</v>
      </c>
      <c r="B108" s="892" t="s">
        <v>58</v>
      </c>
      <c r="C108" s="109" t="str">
        <f t="shared" ref="C108" si="17">C107</f>
        <v>Wat 02</v>
      </c>
      <c r="D108" s="717" t="s">
        <v>764</v>
      </c>
      <c r="E108" s="1079" t="s">
        <v>1173</v>
      </c>
      <c r="F108" s="751" t="str">
        <f>VLOOKUP(D108,Poeng!$B$10:$R$252,Poeng!E$1,FALSE)</f>
        <v>Water meter</v>
      </c>
      <c r="G108" s="107">
        <f>VLOOKUP(D108,Poeng!$B$10:$AB$252,Poeng!AB$1,FALSE)</f>
        <v>1</v>
      </c>
      <c r="H108" s="37"/>
      <c r="I108" s="108">
        <f>VLOOKUP(D108,Poeng!$B$10:$AE$252,Poeng!AE$1,FALSE)</f>
        <v>0</v>
      </c>
      <c r="J108" s="109" t="str">
        <f>VLOOKUP(D108,Poeng!$B$10:$BE$252,Poeng!BE$1,FALSE)</f>
        <v>N/A</v>
      </c>
      <c r="K108" s="74"/>
      <c r="L108" s="242"/>
      <c r="M108" s="694"/>
      <c r="N108" s="712"/>
      <c r="O108" s="77"/>
      <c r="P108" s="108">
        <f>VLOOKUP(D108,Poeng!$B$10:$BC$252,Poeng!AF$1,FALSE)</f>
        <v>0</v>
      </c>
      <c r="Q108" s="108" t="str">
        <f>VLOOKUP(D108,Poeng!$B$10:$BH$252,Poeng!BH$1,FALSE)</f>
        <v>N/A</v>
      </c>
      <c r="R108" s="644"/>
      <c r="S108" s="645"/>
      <c r="T108" s="638"/>
      <c r="U108" s="277"/>
      <c r="V108" s="77"/>
      <c r="W108" s="108">
        <f>VLOOKUP(D108,Poeng!$B$10:$BC$252,Poeng!AG$1,FALSE)</f>
        <v>0</v>
      </c>
      <c r="X108" s="108" t="str">
        <f>VLOOKUP(D108,Poeng!$B$10:$BK$252,Poeng!BK$1,FALSE)</f>
        <v>N/A</v>
      </c>
      <c r="Y108" s="75"/>
      <c r="Z108" s="74"/>
      <c r="AA108" s="638"/>
      <c r="AB108" s="117"/>
      <c r="AC108" s="556"/>
      <c r="AD108" s="20">
        <f t="shared" si="12"/>
        <v>1</v>
      </c>
      <c r="AE108" s="1" t="e">
        <f>VLOOKUP(L108,'Assessment Details'!$O$45:$P$48,2,FALSE)</f>
        <v>#N/A</v>
      </c>
      <c r="AF108" s="1" t="e">
        <f>VLOOKUP(S108,'Assessment Details'!$O$45:$P$48,2,FALSE)</f>
        <v>#N/A</v>
      </c>
      <c r="AG108" s="1" t="e">
        <f>VLOOKUP(Z108,'Assessment Details'!$O$45:$P$48,2,FALSE)</f>
        <v>#N/A</v>
      </c>
      <c r="AJ108" s="64"/>
      <c r="AK108" s="583"/>
      <c r="AL108" s="630"/>
      <c r="AM108" s="630"/>
      <c r="AN108" s="630"/>
      <c r="AP108" s="64"/>
      <c r="AQ108" s="64"/>
      <c r="AT108" s="20"/>
      <c r="AU108" s="20"/>
      <c r="AV108" s="20"/>
      <c r="AW108" s="20"/>
      <c r="AX108" s="20"/>
      <c r="AY108" s="20"/>
      <c r="BA108" s="556"/>
    </row>
    <row r="109" spans="1:53" x14ac:dyDescent="0.25">
      <c r="A109" s="893">
        <v>100</v>
      </c>
      <c r="B109" s="892" t="s">
        <v>58</v>
      </c>
      <c r="C109" s="802" t="s">
        <v>170</v>
      </c>
      <c r="D109" s="717" t="s">
        <v>170</v>
      </c>
      <c r="E109" s="1077"/>
      <c r="F109" s="750" t="str">
        <f>VLOOKUP(D109,Poeng!$B$10:$R$252,Poeng!E$1,FALSE)</f>
        <v>Wat 03 Water leak detection and prevention</v>
      </c>
      <c r="G109" s="755">
        <f>VLOOKUP(D109,Poeng!$B$10:$AB$252,Poeng!AB$1,FALSE)</f>
        <v>2</v>
      </c>
      <c r="H109" s="847"/>
      <c r="I109" s="756" t="str">
        <f>VLOOKUP(D109,Poeng!$B$10:$AI$252,Poeng!AI$1,FALSE)&amp;" c. "&amp;ROUND(VLOOKUP(D109,Poeng!$B$10:$AE$252,Poeng!AE$1,FALSE)*100,1)&amp;" %"</f>
        <v>0 c. 0 %</v>
      </c>
      <c r="J109" s="802" t="str">
        <f>VLOOKUP(D109,Poeng!$B$10:$BE$252,Poeng!BE$1,FALSE)</f>
        <v>N/A</v>
      </c>
      <c r="K109" s="74"/>
      <c r="L109" s="242"/>
      <c r="M109" s="694"/>
      <c r="N109" s="712"/>
      <c r="O109" s="847"/>
      <c r="P109" s="766" t="str">
        <f>VLOOKUP(D109,Poeng!$B$10:$BC$252,Poeng!AJ$1,FALSE)&amp;" c. "&amp;ROUND(VLOOKUP(D109,Poeng!$B$10:$BC$252,Poeng!AF$1,FALSE)*100,1)&amp;" %"</f>
        <v>0 c. 0 %</v>
      </c>
      <c r="Q109" s="108" t="str">
        <f>VLOOKUP(D109,Poeng!$B$10:$BH$252,Poeng!BH$1,FALSE)</f>
        <v>N/A</v>
      </c>
      <c r="R109" s="644"/>
      <c r="S109" s="645"/>
      <c r="T109" s="638"/>
      <c r="U109" s="277"/>
      <c r="V109" s="847"/>
      <c r="W109" s="766" t="str">
        <f>VLOOKUP(D109,Poeng!$B$10:$BC$252,Poeng!AK$1,FALSE)&amp;" c. "&amp;ROUND(VLOOKUP(D109,Poeng!$B$10:$BC$252,Poeng!AG$1,FALSE)*100,1)&amp;" %"</f>
        <v>0 c. 0 %</v>
      </c>
      <c r="X109" s="108" t="str">
        <f>VLOOKUP(D109,Poeng!$B$10:$BK$252,Poeng!BK$1,FALSE)</f>
        <v>N/A</v>
      </c>
      <c r="Y109" s="75"/>
      <c r="Z109" s="74"/>
      <c r="AA109" s="638"/>
      <c r="AB109" s="117"/>
      <c r="AC109" s="556" t="s">
        <v>12</v>
      </c>
      <c r="AD109" s="20">
        <f t="shared" si="12"/>
        <v>1</v>
      </c>
      <c r="AE109" s="1" t="e">
        <f>VLOOKUP(L109,'Assessment Details'!$O$45:$P$48,2,FALSE)</f>
        <v>#N/A</v>
      </c>
      <c r="AF109" s="1" t="e">
        <f>VLOOKUP(S109,'Assessment Details'!$O$45:$P$48,2,FALSE)</f>
        <v>#N/A</v>
      </c>
      <c r="AG109" s="1" t="e">
        <f>VLOOKUP(Z109,'Assessment Details'!$O$45:$P$48,2,FALSE)</f>
        <v>#N/A</v>
      </c>
      <c r="AJ109" s="64" t="str">
        <f>ais_ja</f>
        <v>Ja</v>
      </c>
      <c r="AK109" s="583" t="s">
        <v>153</v>
      </c>
      <c r="AL109" s="565" t="s">
        <v>448</v>
      </c>
      <c r="AM109" s="565" t="s">
        <v>447</v>
      </c>
      <c r="AN109" s="565" t="s">
        <v>449</v>
      </c>
      <c r="AO109" s="565" t="s">
        <v>439</v>
      </c>
      <c r="AP109" s="64"/>
      <c r="AQ109" s="64"/>
      <c r="AS109" s="1" t="s">
        <v>12</v>
      </c>
      <c r="AT109" s="20" t="str">
        <f t="shared" si="13"/>
        <v>N/A</v>
      </c>
      <c r="AU109" s="20" t="str">
        <f t="shared" si="14"/>
        <v>N/A</v>
      </c>
      <c r="AV109" s="20" t="str">
        <f t="shared" si="15"/>
        <v>N/A</v>
      </c>
      <c r="AW109" s="20" t="str">
        <f t="shared" si="15"/>
        <v>N/A</v>
      </c>
      <c r="AX109" s="20"/>
      <c r="AY109" s="20"/>
      <c r="BA109" s="556"/>
    </row>
    <row r="110" spans="1:53" x14ac:dyDescent="0.25">
      <c r="A110" s="893">
        <v>101</v>
      </c>
      <c r="B110" s="892" t="s">
        <v>58</v>
      </c>
      <c r="C110" s="109" t="str">
        <f t="shared" ref="C110:C112" si="18">C109</f>
        <v>Wat 03</v>
      </c>
      <c r="D110" s="717" t="s">
        <v>765</v>
      </c>
      <c r="E110" s="1078">
        <v>1</v>
      </c>
      <c r="F110" s="751" t="str">
        <f>VLOOKUP(D110,Poeng!$B$10:$R$252,Poeng!E$1,FALSE)</f>
        <v>Leak detection system</v>
      </c>
      <c r="G110" s="107">
        <f>VLOOKUP(D110,Poeng!$B$10:$AB$252,Poeng!AB$1,FALSE)</f>
        <v>1</v>
      </c>
      <c r="H110" s="37"/>
      <c r="I110" s="108">
        <f>VLOOKUP(D110,Poeng!$B$10:$AE$252,Poeng!AE$1,FALSE)</f>
        <v>0</v>
      </c>
      <c r="J110" s="109" t="str">
        <f>VLOOKUP(D110,Poeng!$B$10:$BE$252,Poeng!BE$1,FALSE)</f>
        <v>N/A</v>
      </c>
      <c r="K110" s="74"/>
      <c r="L110" s="242"/>
      <c r="M110" s="694"/>
      <c r="N110" s="712"/>
      <c r="O110" s="77"/>
      <c r="P110" s="108">
        <f>VLOOKUP(D110,Poeng!$B$10:$BC$252,Poeng!AF$1,FALSE)</f>
        <v>0</v>
      </c>
      <c r="Q110" s="108" t="str">
        <f>VLOOKUP(D110,Poeng!$B$10:$BH$252,Poeng!BH$1,FALSE)</f>
        <v>N/A</v>
      </c>
      <c r="R110" s="644"/>
      <c r="S110" s="645"/>
      <c r="T110" s="638"/>
      <c r="U110" s="277"/>
      <c r="V110" s="77"/>
      <c r="W110" s="108">
        <f>VLOOKUP(D110,Poeng!$B$10:$BC$252,Poeng!AG$1,FALSE)</f>
        <v>0</v>
      </c>
      <c r="X110" s="108" t="str">
        <f>VLOOKUP(D110,Poeng!$B$10:$BK$252,Poeng!BK$1,FALSE)</f>
        <v>N/A</v>
      </c>
      <c r="Y110" s="75"/>
      <c r="Z110" s="74"/>
      <c r="AA110" s="638"/>
      <c r="AB110" s="117"/>
      <c r="AC110" s="556"/>
      <c r="AD110" s="20">
        <f t="shared" si="12"/>
        <v>1</v>
      </c>
      <c r="AE110" s="1" t="e">
        <f>VLOOKUP(L110,'Assessment Details'!$O$45:$P$48,2,FALSE)</f>
        <v>#N/A</v>
      </c>
      <c r="AF110" s="1" t="e">
        <f>VLOOKUP(S110,'Assessment Details'!$O$45:$P$48,2,FALSE)</f>
        <v>#N/A</v>
      </c>
      <c r="AG110" s="1" t="e">
        <f>VLOOKUP(Z110,'Assessment Details'!$O$45:$P$48,2,FALSE)</f>
        <v>#N/A</v>
      </c>
      <c r="AJ110" s="64"/>
      <c r="AK110" s="583"/>
      <c r="AL110" s="565"/>
      <c r="AM110" s="565"/>
      <c r="AN110" s="565"/>
      <c r="AO110" s="565"/>
      <c r="AP110" s="64"/>
      <c r="AQ110" s="64"/>
      <c r="AT110" s="20"/>
      <c r="AU110" s="20"/>
      <c r="AV110" s="20"/>
      <c r="AW110" s="20"/>
      <c r="AX110" s="20"/>
      <c r="AY110" s="20"/>
      <c r="BA110" s="556"/>
    </row>
    <row r="111" spans="1:53" x14ac:dyDescent="0.25">
      <c r="A111" s="893">
        <v>102</v>
      </c>
      <c r="B111" s="892" t="s">
        <v>58</v>
      </c>
      <c r="C111" s="109" t="str">
        <f t="shared" si="18"/>
        <v>Wat 03</v>
      </c>
      <c r="D111" s="717" t="s">
        <v>766</v>
      </c>
      <c r="E111" s="1078">
        <v>2</v>
      </c>
      <c r="F111" s="751" t="str">
        <f>VLOOKUP(D111,Poeng!$B$10:$R$252,Poeng!E$1,FALSE)</f>
        <v>Flow control devices</v>
      </c>
      <c r="G111" s="107">
        <f>VLOOKUP(D111,Poeng!$B$10:$AB$252,Poeng!AB$1,FALSE)</f>
        <v>1</v>
      </c>
      <c r="H111" s="37"/>
      <c r="I111" s="108">
        <f>VLOOKUP(D111,Poeng!$B$10:$AE$252,Poeng!AE$1,FALSE)</f>
        <v>0</v>
      </c>
      <c r="J111" s="109" t="str">
        <f>VLOOKUP(D111,Poeng!$B$10:$BE$252,Poeng!BE$1,FALSE)</f>
        <v>N/A</v>
      </c>
      <c r="K111" s="74"/>
      <c r="L111" s="242"/>
      <c r="M111" s="694"/>
      <c r="N111" s="712"/>
      <c r="O111" s="77"/>
      <c r="P111" s="108">
        <f>VLOOKUP(D111,Poeng!$B$10:$BC$252,Poeng!AF$1,FALSE)</f>
        <v>0</v>
      </c>
      <c r="Q111" s="108" t="str">
        <f>VLOOKUP(D111,Poeng!$B$10:$BH$252,Poeng!BH$1,FALSE)</f>
        <v>N/A</v>
      </c>
      <c r="R111" s="644"/>
      <c r="S111" s="645"/>
      <c r="T111" s="638"/>
      <c r="U111" s="277"/>
      <c r="V111" s="77"/>
      <c r="W111" s="108">
        <f>VLOOKUP(D111,Poeng!$B$10:$BC$252,Poeng!AG$1,FALSE)</f>
        <v>0</v>
      </c>
      <c r="X111" s="108" t="str">
        <f>VLOOKUP(D111,Poeng!$B$10:$BK$252,Poeng!BK$1,FALSE)</f>
        <v>N/A</v>
      </c>
      <c r="Y111" s="75"/>
      <c r="Z111" s="74"/>
      <c r="AA111" s="638"/>
      <c r="AB111" s="117"/>
      <c r="AC111" s="556"/>
      <c r="AD111" s="20">
        <f t="shared" si="12"/>
        <v>1</v>
      </c>
      <c r="AE111" s="1" t="e">
        <f>VLOOKUP(L111,'Assessment Details'!$O$45:$P$48,2,FALSE)</f>
        <v>#N/A</v>
      </c>
      <c r="AF111" s="1" t="e">
        <f>VLOOKUP(S111,'Assessment Details'!$O$45:$P$48,2,FALSE)</f>
        <v>#N/A</v>
      </c>
      <c r="AG111" s="1" t="e">
        <f>VLOOKUP(Z111,'Assessment Details'!$O$45:$P$48,2,FALSE)</f>
        <v>#N/A</v>
      </c>
      <c r="AJ111" s="64"/>
      <c r="AK111" s="583"/>
      <c r="AL111" s="565"/>
      <c r="AM111" s="565"/>
      <c r="AN111" s="565"/>
      <c r="AO111" s="565"/>
      <c r="AP111" s="64"/>
      <c r="AQ111" s="64"/>
      <c r="AT111" s="20"/>
      <c r="AU111" s="20"/>
      <c r="AV111" s="20"/>
      <c r="AW111" s="20"/>
      <c r="AX111" s="20"/>
      <c r="AY111" s="20"/>
      <c r="BA111" s="556"/>
    </row>
    <row r="112" spans="1:53" x14ac:dyDescent="0.25">
      <c r="A112" s="893">
        <v>103</v>
      </c>
      <c r="B112" s="892" t="s">
        <v>58</v>
      </c>
      <c r="C112" s="109" t="str">
        <f t="shared" si="18"/>
        <v>Wat 03</v>
      </c>
      <c r="D112" s="717" t="s">
        <v>767</v>
      </c>
      <c r="E112" s="1078">
        <v>3</v>
      </c>
      <c r="F112" s="751" t="str">
        <f>VLOOKUP(D112,Poeng!$B$10:$R$252,Poeng!E$1,FALSE)</f>
        <v>Leak isolation</v>
      </c>
      <c r="G112" s="107">
        <f>VLOOKUP(D112,Poeng!$B$10:$AB$252,Poeng!AB$1,FALSE)</f>
        <v>0</v>
      </c>
      <c r="H112" s="37"/>
      <c r="I112" s="108">
        <f>VLOOKUP(D112,Poeng!$B$10:$AE$252,Poeng!AE$1,FALSE)</f>
        <v>0</v>
      </c>
      <c r="J112" s="109" t="str">
        <f>VLOOKUP(D112,Poeng!$B$10:$BE$252,Poeng!BE$1,FALSE)</f>
        <v>N/A</v>
      </c>
      <c r="K112" s="74"/>
      <c r="L112" s="242"/>
      <c r="M112" s="694"/>
      <c r="N112" s="712"/>
      <c r="O112" s="77"/>
      <c r="P112" s="108">
        <f>VLOOKUP(D112,Poeng!$B$10:$BC$252,Poeng!AF$1,FALSE)</f>
        <v>0</v>
      </c>
      <c r="Q112" s="108" t="str">
        <f>VLOOKUP(D112,Poeng!$B$10:$BH$252,Poeng!BH$1,FALSE)</f>
        <v>N/A</v>
      </c>
      <c r="R112" s="644"/>
      <c r="S112" s="645"/>
      <c r="T112" s="638"/>
      <c r="U112" s="277"/>
      <c r="V112" s="77"/>
      <c r="W112" s="108">
        <f>VLOOKUP(D112,Poeng!$B$10:$BC$252,Poeng!AG$1,FALSE)</f>
        <v>0</v>
      </c>
      <c r="X112" s="108" t="str">
        <f>VLOOKUP(D112,Poeng!$B$10:$BK$252,Poeng!BK$1,FALSE)</f>
        <v>N/A</v>
      </c>
      <c r="Y112" s="75"/>
      <c r="Z112" s="74"/>
      <c r="AA112" s="694"/>
      <c r="AB112" s="117"/>
      <c r="AC112" s="556"/>
      <c r="AD112" s="20">
        <f t="shared" si="12"/>
        <v>2</v>
      </c>
      <c r="AE112" s="1" t="e">
        <f>VLOOKUP(L112,'Assessment Details'!$O$45:$P$48,2,FALSE)</f>
        <v>#N/A</v>
      </c>
      <c r="AF112" s="1" t="e">
        <f>VLOOKUP(S112,'Assessment Details'!$O$45:$P$48,2,FALSE)</f>
        <v>#N/A</v>
      </c>
      <c r="AG112" s="1" t="e">
        <f>VLOOKUP(Z112,'Assessment Details'!$O$45:$P$48,2,FALSE)</f>
        <v>#N/A</v>
      </c>
      <c r="AJ112" s="64"/>
      <c r="AK112" s="583"/>
      <c r="AL112" s="565"/>
      <c r="AM112" s="565"/>
      <c r="AN112" s="565"/>
      <c r="AO112" s="565"/>
      <c r="AP112" s="64"/>
      <c r="AQ112" s="64"/>
      <c r="AT112" s="20"/>
      <c r="AU112" s="20"/>
      <c r="AV112" s="20"/>
      <c r="AW112" s="20"/>
      <c r="AX112" s="20"/>
      <c r="AY112" s="20"/>
      <c r="BA112" s="556"/>
    </row>
    <row r="113" spans="1:53" x14ac:dyDescent="0.25">
      <c r="A113" s="893">
        <v>104</v>
      </c>
      <c r="B113" s="892" t="s">
        <v>58</v>
      </c>
      <c r="C113" s="802" t="s">
        <v>171</v>
      </c>
      <c r="D113" s="717" t="s">
        <v>171</v>
      </c>
      <c r="E113" s="1077"/>
      <c r="F113" s="750" t="str">
        <f>VLOOKUP(D113,Poeng!$B$10:$R$252,Poeng!E$1,FALSE)</f>
        <v>Wat 04 Water efficient equipment</v>
      </c>
      <c r="G113" s="755">
        <f>VLOOKUP(D113,Poeng!$B$10:$AB$252,Poeng!AB$1,FALSE)</f>
        <v>1</v>
      </c>
      <c r="H113" s="847"/>
      <c r="I113" s="756" t="str">
        <f>VLOOKUP(D113,Poeng!$B$10:$AI$252,Poeng!AI$1,FALSE)&amp;" c. "&amp;ROUND(VLOOKUP(D113,Poeng!$B$10:$AE$252,Poeng!AE$1,FALSE)*100,1)&amp;" %"</f>
        <v>0 c. 0 %</v>
      </c>
      <c r="J113" s="802" t="str">
        <f>VLOOKUP(D113,Poeng!$B$10:$BE$252,Poeng!BE$1,FALSE)</f>
        <v>N/A</v>
      </c>
      <c r="K113" s="74"/>
      <c r="L113" s="242"/>
      <c r="M113" s="694"/>
      <c r="N113" s="712"/>
      <c r="O113" s="847"/>
      <c r="P113" s="766" t="str">
        <f>VLOOKUP(D113,Poeng!$B$10:$BC$252,Poeng!AJ$1,FALSE)&amp;" c. "&amp;ROUND(VLOOKUP(D113,Poeng!$B$10:$BC$252,Poeng!AF$1,FALSE)*100,1)&amp;" %"</f>
        <v>0 c. 0 %</v>
      </c>
      <c r="Q113" s="108" t="str">
        <f>VLOOKUP(D113,Poeng!$B$10:$BH$252,Poeng!BH$1,FALSE)</f>
        <v>N/A</v>
      </c>
      <c r="R113" s="644"/>
      <c r="S113" s="645"/>
      <c r="T113" s="638"/>
      <c r="U113" s="277"/>
      <c r="V113" s="847"/>
      <c r="W113" s="766" t="str">
        <f>VLOOKUP(D113,Poeng!$B$10:$BC$252,Poeng!AK$1,FALSE)&amp;" c. "&amp;ROUND(VLOOKUP(D113,Poeng!$B$10:$BC$252,Poeng!AG$1,FALSE)*100,1)&amp;" %"</f>
        <v>0 c. 0 %</v>
      </c>
      <c r="X113" s="108" t="str">
        <f>VLOOKUP(D113,Poeng!$B$10:$BK$252,Poeng!BK$1,FALSE)</f>
        <v>N/A</v>
      </c>
      <c r="Y113" s="75"/>
      <c r="Z113" s="74"/>
      <c r="AA113" s="638"/>
      <c r="AB113" s="117"/>
      <c r="AC113" s="556" t="s">
        <v>13</v>
      </c>
      <c r="AD113" s="20">
        <f t="shared" si="12"/>
        <v>1</v>
      </c>
      <c r="AE113" s="1" t="e">
        <f>VLOOKUP(L113,'Assessment Details'!$O$45:$P$48,2,FALSE)</f>
        <v>#N/A</v>
      </c>
      <c r="AF113" s="1" t="e">
        <f>VLOOKUP(S113,'Assessment Details'!$O$45:$P$48,2,FALSE)</f>
        <v>#N/A</v>
      </c>
      <c r="AG113" s="1" t="e">
        <f>VLOOKUP(Z113,'Assessment Details'!$O$45:$P$48,2,FALSE)</f>
        <v>#N/A</v>
      </c>
      <c r="AJ113" s="64"/>
      <c r="AK113" s="583" t="s">
        <v>154</v>
      </c>
      <c r="AL113" s="64"/>
      <c r="AM113" s="64"/>
      <c r="AN113" s="64"/>
      <c r="AO113" s="64"/>
      <c r="AP113" s="64"/>
      <c r="AQ113" s="64"/>
      <c r="AT113" s="20" t="str">
        <f t="shared" si="13"/>
        <v>N/A</v>
      </c>
      <c r="AU113" s="20" t="str">
        <f t="shared" si="14"/>
        <v>N/A</v>
      </c>
      <c r="AV113" s="20" t="str">
        <f t="shared" si="15"/>
        <v>N/A</v>
      </c>
      <c r="AW113" s="20"/>
      <c r="AX113" s="20"/>
      <c r="AY113" s="20"/>
      <c r="BA113" s="556"/>
    </row>
    <row r="114" spans="1:53" x14ac:dyDescent="0.25">
      <c r="A114" s="893">
        <v>105</v>
      </c>
      <c r="B114" s="892" t="s">
        <v>58</v>
      </c>
      <c r="C114" s="109" t="str">
        <f t="shared" ref="C114:C208" si="19">C113</f>
        <v>Wat 04</v>
      </c>
      <c r="D114" s="717" t="s">
        <v>768</v>
      </c>
      <c r="E114" s="1079" t="s">
        <v>1181</v>
      </c>
      <c r="F114" s="751" t="str">
        <f>VLOOKUP(D114,Poeng!$B$10:$R$252,Poeng!E$1,FALSE)</f>
        <v>Water efficient equipment</v>
      </c>
      <c r="G114" s="107">
        <f>VLOOKUP(D114,Poeng!$B$10:$AB$252,Poeng!AB$1,FALSE)</f>
        <v>1</v>
      </c>
      <c r="H114" s="37"/>
      <c r="I114" s="108">
        <f>VLOOKUP(D114,Poeng!$B$10:$AE$252,Poeng!AE$1,FALSE)</f>
        <v>0</v>
      </c>
      <c r="J114" s="109" t="str">
        <f>VLOOKUP(D114,Poeng!$B$10:$BE$252,Poeng!BE$1,FALSE)</f>
        <v>N/A</v>
      </c>
      <c r="K114" s="74"/>
      <c r="L114" s="242"/>
      <c r="M114" s="694"/>
      <c r="N114" s="712"/>
      <c r="O114" s="77"/>
      <c r="P114" s="108">
        <f>VLOOKUP(D114,Poeng!$B$10:$BC$252,Poeng!AF$1,FALSE)</f>
        <v>0</v>
      </c>
      <c r="Q114" s="108" t="str">
        <f>VLOOKUP(D114,Poeng!$B$10:$BH$252,Poeng!BH$1,FALSE)</f>
        <v>N/A</v>
      </c>
      <c r="R114" s="644"/>
      <c r="S114" s="645"/>
      <c r="T114" s="638"/>
      <c r="U114" s="277"/>
      <c r="V114" s="77"/>
      <c r="W114" s="108">
        <f>VLOOKUP(D114,Poeng!$B$10:$BC$252,Poeng!AG$1,FALSE)</f>
        <v>0</v>
      </c>
      <c r="X114" s="108" t="str">
        <f>VLOOKUP(D114,Poeng!$B$10:$BK$252,Poeng!BK$1,FALSE)</f>
        <v>N/A</v>
      </c>
      <c r="Y114" s="75"/>
      <c r="Z114" s="74"/>
      <c r="AA114" s="638"/>
      <c r="AB114" s="117"/>
      <c r="AC114" s="620"/>
      <c r="AD114" s="20">
        <f t="shared" si="12"/>
        <v>1</v>
      </c>
      <c r="AE114" s="1" t="e">
        <f>VLOOKUP(L114,'Assessment Details'!$O$45:$P$48,2,FALSE)</f>
        <v>#N/A</v>
      </c>
      <c r="AF114" s="1" t="e">
        <f>VLOOKUP(S114,'Assessment Details'!$O$45:$P$48,2,FALSE)</f>
        <v>#N/A</v>
      </c>
      <c r="AG114" s="1" t="e">
        <f>VLOOKUP(Z114,'Assessment Details'!$O$45:$P$48,2,FALSE)</f>
        <v>#N/A</v>
      </c>
      <c r="AJ114" s="64"/>
      <c r="AK114" s="583"/>
      <c r="AL114" s="64"/>
      <c r="AM114" s="64"/>
      <c r="AN114" s="64"/>
      <c r="AO114" s="64"/>
      <c r="AP114" s="64"/>
      <c r="AQ114" s="64"/>
      <c r="AT114" s="20"/>
      <c r="AU114" s="20"/>
      <c r="AV114" s="20"/>
      <c r="AW114" s="20"/>
      <c r="AX114" s="20"/>
      <c r="AY114" s="20"/>
      <c r="BA114" s="620"/>
    </row>
    <row r="115" spans="1:53" ht="15.75" thickBot="1" x14ac:dyDescent="0.3">
      <c r="A115" s="893">
        <v>106</v>
      </c>
      <c r="B115" s="892" t="s">
        <v>58</v>
      </c>
      <c r="C115" s="897"/>
      <c r="D115" s="717" t="s">
        <v>885</v>
      </c>
      <c r="E115" s="1082"/>
      <c r="F115" s="278" t="s">
        <v>106</v>
      </c>
      <c r="G115" s="110">
        <f>Wat_Credits</f>
        <v>9</v>
      </c>
      <c r="H115" s="115"/>
      <c r="I115" s="111">
        <f>Wat_cont_tot</f>
        <v>0</v>
      </c>
      <c r="J115" s="757" t="str">
        <f>"Credits achieved: "&amp;Wat_tot_user</f>
        <v>Credits achieved: 0</v>
      </c>
      <c r="K115" s="118"/>
      <c r="L115" s="243"/>
      <c r="M115" s="646"/>
      <c r="N115" s="712"/>
      <c r="O115" s="335"/>
      <c r="P115" s="111">
        <f>VLOOKUP(D115,Poeng!$B$10:$BC$252,Poeng!AF$1,FALSE)</f>
        <v>0</v>
      </c>
      <c r="Q115" s="757" t="str">
        <f>"Credits achieved: "&amp;Wat_d_user</f>
        <v>Credits achieved: 0</v>
      </c>
      <c r="R115" s="647"/>
      <c r="S115" s="648"/>
      <c r="T115" s="646"/>
      <c r="U115" s="277"/>
      <c r="V115" s="335"/>
      <c r="W115" s="111">
        <f>VLOOKUP(D115,Poeng!$B$10:$BC$252,Poeng!AG$1,FALSE)</f>
        <v>0</v>
      </c>
      <c r="X115" s="757" t="str">
        <f>"Credits achieved: "&amp;Wat_c_user</f>
        <v>Credits achieved: 0</v>
      </c>
      <c r="Y115" s="334"/>
      <c r="Z115" s="120"/>
      <c r="AA115" s="646"/>
      <c r="AB115" s="117"/>
      <c r="AC115" s="557"/>
      <c r="AD115" s="20">
        <f t="shared" si="12"/>
        <v>1</v>
      </c>
      <c r="AE115" s="239">
        <v>0</v>
      </c>
      <c r="AF115" s="239">
        <v>0</v>
      </c>
      <c r="AG115" s="239">
        <v>0</v>
      </c>
      <c r="AJ115" s="64"/>
      <c r="AK115" s="583" t="s">
        <v>106</v>
      </c>
      <c r="AL115" s="64"/>
      <c r="AM115" s="64"/>
      <c r="AN115" s="64"/>
      <c r="AO115" s="64"/>
      <c r="AP115" s="64"/>
      <c r="AQ115" s="64"/>
      <c r="AT115" s="20" t="str">
        <f t="shared" si="13"/>
        <v>N/A</v>
      </c>
      <c r="AU115" s="20" t="str">
        <f t="shared" si="14"/>
        <v>N/A</v>
      </c>
      <c r="AV115" s="20" t="str">
        <f t="shared" si="15"/>
        <v>N/A</v>
      </c>
      <c r="AW115" s="20"/>
      <c r="AX115" s="20"/>
      <c r="AY115" s="20"/>
      <c r="BA115" s="557"/>
    </row>
    <row r="116" spans="1:53" x14ac:dyDescent="0.25">
      <c r="A116" s="893">
        <v>107</v>
      </c>
      <c r="B116" s="892" t="s">
        <v>58</v>
      </c>
      <c r="C116" s="280"/>
      <c r="D116" s="717"/>
      <c r="E116" s="1081"/>
      <c r="F116" s="279"/>
      <c r="G116" s="280"/>
      <c r="H116" s="281"/>
      <c r="I116" s="280"/>
      <c r="J116" s="280"/>
      <c r="K116" s="282"/>
      <c r="L116" s="281"/>
      <c r="M116" s="649"/>
      <c r="N116" s="712"/>
      <c r="O116" s="283"/>
      <c r="P116" s="283"/>
      <c r="Q116" s="649"/>
      <c r="R116" s="649"/>
      <c r="S116" s="650"/>
      <c r="T116" s="649"/>
      <c r="U116" s="277"/>
      <c r="V116" s="283"/>
      <c r="W116" s="283"/>
      <c r="X116" s="649"/>
      <c r="Y116" s="282"/>
      <c r="Z116" s="283"/>
      <c r="AA116" s="649"/>
      <c r="AB116" s="117"/>
      <c r="AC116" s="282"/>
      <c r="AD116" s="20">
        <f t="shared" si="12"/>
        <v>1</v>
      </c>
      <c r="AE116" s="240">
        <v>0</v>
      </c>
      <c r="AF116" s="240">
        <v>0</v>
      </c>
      <c r="AG116" s="240">
        <v>0</v>
      </c>
      <c r="AJ116" s="64"/>
      <c r="AK116" s="583"/>
      <c r="AL116" s="64"/>
      <c r="AM116" s="64"/>
      <c r="AN116" s="64"/>
      <c r="AO116" s="64"/>
      <c r="AP116" s="64"/>
      <c r="AQ116" s="64"/>
      <c r="AT116" s="20" t="str">
        <f t="shared" si="13"/>
        <v>N/A</v>
      </c>
      <c r="AU116" s="20" t="str">
        <f t="shared" si="14"/>
        <v>N/A</v>
      </c>
      <c r="AV116" s="20" t="str">
        <f t="shared" si="15"/>
        <v>N/A</v>
      </c>
      <c r="AW116" s="20"/>
      <c r="AX116" s="20"/>
      <c r="AY116" s="20"/>
      <c r="BA116" s="282"/>
    </row>
    <row r="117" spans="1:53" ht="18.75" x14ac:dyDescent="0.25">
      <c r="A117" s="893">
        <v>108</v>
      </c>
      <c r="B117" s="894" t="s">
        <v>67</v>
      </c>
      <c r="C117" s="898"/>
      <c r="D117" s="717"/>
      <c r="E117" s="1076"/>
      <c r="F117" s="284" t="s">
        <v>54</v>
      </c>
      <c r="G117" s="273"/>
      <c r="H117" s="274"/>
      <c r="I117" s="293"/>
      <c r="J117" s="273"/>
      <c r="K117" s="285"/>
      <c r="L117" s="286"/>
      <c r="M117" s="652"/>
      <c r="N117" s="712"/>
      <c r="O117" s="296"/>
      <c r="P117" s="289"/>
      <c r="Q117" s="642"/>
      <c r="R117" s="653"/>
      <c r="S117" s="654"/>
      <c r="T117" s="655"/>
      <c r="U117" s="277"/>
      <c r="V117" s="296"/>
      <c r="W117" s="295"/>
      <c r="X117" s="642"/>
      <c r="Y117" s="285"/>
      <c r="Z117" s="295"/>
      <c r="AA117" s="652"/>
      <c r="AB117" s="117"/>
      <c r="AC117" s="294"/>
      <c r="AD117" s="20">
        <f t="shared" si="12"/>
        <v>1</v>
      </c>
      <c r="AE117" s="238">
        <v>0</v>
      </c>
      <c r="AF117" s="238">
        <v>0</v>
      </c>
      <c r="AG117" s="238">
        <v>0</v>
      </c>
      <c r="AJ117" s="64"/>
      <c r="AK117" s="583" t="s">
        <v>54</v>
      </c>
      <c r="AL117" s="64"/>
      <c r="AM117" s="64"/>
      <c r="AN117" s="64"/>
      <c r="AO117" s="64"/>
      <c r="AP117" s="64"/>
      <c r="AQ117" s="64"/>
      <c r="AT117" s="20" t="str">
        <f t="shared" si="13"/>
        <v>N/A</v>
      </c>
      <c r="AU117" s="20" t="str">
        <f t="shared" si="14"/>
        <v>N/A</v>
      </c>
      <c r="AV117" s="20" t="str">
        <f t="shared" si="15"/>
        <v>N/A</v>
      </c>
      <c r="AW117" s="20"/>
      <c r="AX117" s="20"/>
      <c r="AY117" s="20"/>
      <c r="BA117" s="294"/>
    </row>
    <row r="118" spans="1:53" ht="30" x14ac:dyDescent="0.25">
      <c r="A118" s="893">
        <v>109</v>
      </c>
      <c r="B118" s="894" t="s">
        <v>67</v>
      </c>
      <c r="C118" s="902" t="s">
        <v>172</v>
      </c>
      <c r="D118" s="717" t="s">
        <v>172</v>
      </c>
      <c r="E118" s="1084"/>
      <c r="F118" s="844" t="str">
        <f>VLOOKUP(D118,Poeng!$B$10:$R$252,Poeng!E$1,FALSE)</f>
        <v>Mat 01 Environmental impacts from construction products - Building life cycle assessment (LCA)</v>
      </c>
      <c r="G118" s="755">
        <f>VLOOKUP(D118,Poeng!$B$10:$AB$252,Poeng!AB$1,FALSE)</f>
        <v>5</v>
      </c>
      <c r="H118" s="846"/>
      <c r="I118" s="756" t="str">
        <f>VLOOKUP(D118,Poeng!$B$10:$AI$252,Poeng!AI$1,FALSE)&amp;" c. "&amp;ROUND(VLOOKUP(D118,Poeng!$B$10:$AE$252,Poeng!AE$1,FALSE)*100,1)&amp;" %"</f>
        <v>0 c. 0 %</v>
      </c>
      <c r="J118" s="801" t="str">
        <f>VLOOKUP(D118,Poeng!$B$10:$BE$252,Poeng!BE$1,FALSE)</f>
        <v>N/A</v>
      </c>
      <c r="K118" s="763"/>
      <c r="L118" s="764"/>
      <c r="M118" s="765"/>
      <c r="N118" s="712"/>
      <c r="O118" s="847"/>
      <c r="P118" s="905" t="str">
        <f>VLOOKUP(D118,Poeng!$B$10:$BC$252,Poeng!AJ$1,FALSE)&amp;" c. "&amp;ROUND(VLOOKUP(D118,Poeng!$B$10:$BC$252,Poeng!AF$1,FALSE)*100,1)&amp;" %"</f>
        <v>0 c. 0 %</v>
      </c>
      <c r="Q118" s="108" t="str">
        <f>VLOOKUP(D118,Poeng!$B$10:$BH$252,Poeng!BH$1,FALSE)</f>
        <v>N/A</v>
      </c>
      <c r="R118" s="644"/>
      <c r="S118" s="645"/>
      <c r="T118" s="638"/>
      <c r="U118" s="277"/>
      <c r="V118" s="847"/>
      <c r="W118" s="766" t="str">
        <f>VLOOKUP(D118,Poeng!$B$10:$BC$252,Poeng!AK$1,FALSE)&amp;" c. "&amp;ROUND(VLOOKUP(D118,Poeng!$B$10:$BC$252,Poeng!AG$1,FALSE)*100,1)&amp;" %"</f>
        <v>0 c. 0 %</v>
      </c>
      <c r="X118" s="108" t="str">
        <f>VLOOKUP(D118,Poeng!$B$10:$BK$252,Poeng!BK$1,FALSE)</f>
        <v>N/A</v>
      </c>
      <c r="Y118" s="75"/>
      <c r="Z118" s="74"/>
      <c r="AA118" s="638"/>
      <c r="AB118" s="117"/>
      <c r="AC118" s="556" t="s">
        <v>13</v>
      </c>
      <c r="AD118" s="20">
        <f t="shared" si="12"/>
        <v>1</v>
      </c>
      <c r="AE118" s="1" t="e">
        <f>VLOOKUP(L118,'Assessment Details'!$O$45:$P$48,2,FALSE)</f>
        <v>#N/A</v>
      </c>
      <c r="AF118" s="1" t="e">
        <f>VLOOKUP(S118,'Assessment Details'!$O$45:$P$48,2,FALSE)</f>
        <v>#N/A</v>
      </c>
      <c r="AG118" s="1" t="e">
        <f>VLOOKUP(Z118,'Assessment Details'!$O$45:$P$48,2,FALSE)</f>
        <v>#N/A</v>
      </c>
      <c r="AJ118" s="64"/>
      <c r="AK118" s="583" t="s">
        <v>155</v>
      </c>
      <c r="AL118" s="64"/>
      <c r="AM118" s="64"/>
      <c r="AN118" s="64"/>
      <c r="AO118" s="64"/>
      <c r="AP118" s="64"/>
      <c r="AQ118" s="64"/>
      <c r="AT118" s="20" t="str">
        <f t="shared" si="13"/>
        <v>N/A</v>
      </c>
      <c r="AU118" s="20" t="str">
        <f t="shared" si="14"/>
        <v>N/A</v>
      </c>
      <c r="AV118" s="20" t="str">
        <f t="shared" si="15"/>
        <v>N/A</v>
      </c>
      <c r="AW118" s="20"/>
      <c r="AX118" s="20"/>
      <c r="AY118" s="20"/>
      <c r="BA118" s="556"/>
    </row>
    <row r="119" spans="1:53" x14ac:dyDescent="0.25">
      <c r="A119" s="893">
        <v>110</v>
      </c>
      <c r="B119" s="894" t="s">
        <v>67</v>
      </c>
      <c r="C119" s="109" t="str">
        <f t="shared" si="19"/>
        <v>Mat 01</v>
      </c>
      <c r="D119" s="717" t="s">
        <v>769</v>
      </c>
      <c r="E119" s="1079" t="s">
        <v>1181</v>
      </c>
      <c r="F119" s="751" t="str">
        <f>VLOOKUP(D119,Poeng!$B$10:$R$252,Poeng!E$1,FALSE)</f>
        <v>Pre-requisite: early stage greenhouse gas calculation</v>
      </c>
      <c r="G119" s="107" t="str">
        <f>VLOOKUP(D119,Poeng!$B$10:$AB$252,Poeng!AB$1,FALSE)</f>
        <v>Yes/No</v>
      </c>
      <c r="H119" s="37"/>
      <c r="I119" s="108" t="str">
        <f>VLOOKUP(D119,Poeng!$B$10:$AE$252,Poeng!AE$1,FALSE)</f>
        <v>-</v>
      </c>
      <c r="J119" s="109" t="str">
        <f>VLOOKUP(D119,Poeng!$B$10:$BE$252,Poeng!BE$1,FALSE)</f>
        <v>Unclassified</v>
      </c>
      <c r="K119" s="74"/>
      <c r="L119" s="242"/>
      <c r="M119" s="694"/>
      <c r="N119" s="712"/>
      <c r="O119" s="77"/>
      <c r="P119" s="108" t="str">
        <f>VLOOKUP(D119,Poeng!$B$10:$BC$252,Poeng!AF$1,FALSE)</f>
        <v>-</v>
      </c>
      <c r="Q119" s="108" t="str">
        <f>VLOOKUP(D119,Poeng!$B$10:$BH$252,Poeng!BH$1,FALSE)</f>
        <v>Unclassified</v>
      </c>
      <c r="R119" s="644"/>
      <c r="S119" s="645"/>
      <c r="T119" s="638"/>
      <c r="U119" s="277"/>
      <c r="V119" s="77"/>
      <c r="W119" s="108" t="str">
        <f>VLOOKUP(D119,Poeng!$B$10:$BC$252,Poeng!AG$1,FALSE)</f>
        <v>-</v>
      </c>
      <c r="X119" s="108" t="str">
        <f>VLOOKUP(D119,Poeng!$B$10:$BK$252,Poeng!BK$1,FALSE)</f>
        <v>Unclassified</v>
      </c>
      <c r="Y119" s="75"/>
      <c r="Z119" s="74"/>
      <c r="AA119" s="638"/>
      <c r="AB119" s="117"/>
      <c r="AC119" s="754"/>
      <c r="AD119" s="20">
        <f t="shared" si="12"/>
        <v>1</v>
      </c>
      <c r="AE119" s="1" t="e">
        <f>VLOOKUP(L119,'Assessment Details'!$O$45:$P$48,2,FALSE)</f>
        <v>#N/A</v>
      </c>
      <c r="AF119" s="1" t="e">
        <f>VLOOKUP(S119,'Assessment Details'!$O$45:$P$48,2,FALSE)</f>
        <v>#N/A</v>
      </c>
      <c r="AG119" s="1" t="e">
        <f>VLOOKUP(Z119,'Assessment Details'!$O$45:$P$48,2,FALSE)</f>
        <v>#N/A</v>
      </c>
      <c r="AT119" s="20"/>
      <c r="AU119" s="20"/>
      <c r="AV119" s="20"/>
      <c r="AW119" s="20"/>
      <c r="AX119" s="20"/>
      <c r="AY119" s="20"/>
      <c r="BA119" s="754"/>
    </row>
    <row r="120" spans="1:53" x14ac:dyDescent="0.25">
      <c r="A120" s="893">
        <v>111</v>
      </c>
      <c r="B120" s="894" t="s">
        <v>67</v>
      </c>
      <c r="C120" s="109" t="str">
        <f t="shared" si="19"/>
        <v>Mat 01</v>
      </c>
      <c r="D120" s="717" t="s">
        <v>770</v>
      </c>
      <c r="E120" s="1078">
        <v>3</v>
      </c>
      <c r="F120" s="751" t="str">
        <f>VLOOKUP(D120,Poeng!$B$10:$R$252,Poeng!E$1,FALSE)</f>
        <v>Reduction of greenhouse gas emissions</v>
      </c>
      <c r="G120" s="107">
        <f>VLOOKUP(D120,Poeng!$B$10:$AB$252,Poeng!AB$1,FALSE)</f>
        <v>3</v>
      </c>
      <c r="H120" s="37"/>
      <c r="I120" s="108">
        <f>VLOOKUP(D120,Poeng!$B$10:$AE$252,Poeng!AE$1,FALSE)</f>
        <v>0</v>
      </c>
      <c r="J120" s="109" t="str">
        <f>VLOOKUP(D120,Poeng!$B$10:$BE$252,Poeng!BE$1,FALSE)</f>
        <v>Good</v>
      </c>
      <c r="K120" s="74"/>
      <c r="L120" s="242"/>
      <c r="M120" s="694"/>
      <c r="N120" s="712"/>
      <c r="O120" s="77"/>
      <c r="P120" s="108">
        <f>VLOOKUP(D120,Poeng!$B$10:$BC$252,Poeng!AF$1,FALSE)</f>
        <v>0</v>
      </c>
      <c r="Q120" s="108" t="str">
        <f>VLOOKUP(D120,Poeng!$B$10:$BH$252,Poeng!BH$1,FALSE)</f>
        <v>Good</v>
      </c>
      <c r="R120" s="644"/>
      <c r="S120" s="645"/>
      <c r="T120" s="638"/>
      <c r="U120" s="277"/>
      <c r="V120" s="77"/>
      <c r="W120" s="108">
        <f>VLOOKUP(D120,Poeng!$B$10:$BC$252,Poeng!AG$1,FALSE)</f>
        <v>0</v>
      </c>
      <c r="X120" s="108" t="str">
        <f>VLOOKUP(D120,Poeng!$B$10:$BK$252,Poeng!BK$1,FALSE)</f>
        <v>Good</v>
      </c>
      <c r="Y120" s="75"/>
      <c r="Z120" s="74"/>
      <c r="AA120" s="638"/>
      <c r="AB120" s="117"/>
      <c r="AC120" s="754"/>
      <c r="AD120" s="20">
        <f t="shared" si="12"/>
        <v>1</v>
      </c>
      <c r="AE120" s="1" t="e">
        <f>VLOOKUP(L120,'Assessment Details'!$O$45:$P$48,2,FALSE)</f>
        <v>#N/A</v>
      </c>
      <c r="AF120" s="1" t="e">
        <f>VLOOKUP(S120,'Assessment Details'!$O$45:$P$48,2,FALSE)</f>
        <v>#N/A</v>
      </c>
      <c r="AG120" s="1" t="e">
        <f>VLOOKUP(Z120,'Assessment Details'!$O$45:$P$48,2,FALSE)</f>
        <v>#N/A</v>
      </c>
      <c r="AT120" s="20"/>
      <c r="AU120" s="20"/>
      <c r="AV120" s="20"/>
      <c r="AW120" s="20"/>
      <c r="AX120" s="20"/>
      <c r="AY120" s="20"/>
      <c r="BA120" s="754"/>
    </row>
    <row r="121" spans="1:53" x14ac:dyDescent="0.25">
      <c r="A121" s="893">
        <v>112</v>
      </c>
      <c r="B121" s="894" t="s">
        <v>67</v>
      </c>
      <c r="C121" s="109" t="str">
        <f t="shared" si="19"/>
        <v>Mat 01</v>
      </c>
      <c r="D121" s="16" t="s">
        <v>771</v>
      </c>
      <c r="E121" s="1079" t="s">
        <v>1186</v>
      </c>
      <c r="F121" s="751" t="str">
        <f>VLOOKUP(D121,Poeng!$B$10:$R$252,Poeng!E$1,FALSE)</f>
        <v>Life cycle assessment of the building</v>
      </c>
      <c r="G121" s="107">
        <f>VLOOKUP(D121,Poeng!$B$10:$AB$252,Poeng!AB$1,FALSE)</f>
        <v>2</v>
      </c>
      <c r="H121" s="37"/>
      <c r="I121" s="108">
        <f>VLOOKUP(D121,Poeng!$B$10:$AE$252,Poeng!AE$1,FALSE)</f>
        <v>0</v>
      </c>
      <c r="J121" s="109" t="str">
        <f>VLOOKUP(D121,Poeng!$B$10:$BE$252,Poeng!BE$1,FALSE)</f>
        <v>N/A</v>
      </c>
      <c r="K121" s="74"/>
      <c r="L121" s="242"/>
      <c r="M121" s="694"/>
      <c r="N121" s="712"/>
      <c r="O121" s="77"/>
      <c r="P121" s="108">
        <f>VLOOKUP(D121,Poeng!$B$10:$BC$252,Poeng!AF$1,FALSE)</f>
        <v>0</v>
      </c>
      <c r="Q121" s="108" t="str">
        <f>VLOOKUP(D121,Poeng!$B$10:$BH$252,Poeng!BH$1,FALSE)</f>
        <v>N/A</v>
      </c>
      <c r="R121" s="644"/>
      <c r="S121" s="645"/>
      <c r="T121" s="638"/>
      <c r="U121" s="277"/>
      <c r="V121" s="77"/>
      <c r="W121" s="108">
        <f>VLOOKUP(D121,Poeng!$B$10:$BC$252,Poeng!AG$1,FALSE)</f>
        <v>0</v>
      </c>
      <c r="X121" s="108" t="str">
        <f>VLOOKUP(D121,Poeng!$B$10:$BK$252,Poeng!BK$1,FALSE)</f>
        <v>N/A</v>
      </c>
      <c r="Y121" s="75"/>
      <c r="Z121" s="74"/>
      <c r="AA121" s="638"/>
      <c r="AD121" s="20">
        <f t="shared" si="12"/>
        <v>1</v>
      </c>
      <c r="AE121" s="1" t="e">
        <f>VLOOKUP(L121,'Assessment Details'!$O$45:$P$48,2,FALSE)</f>
        <v>#N/A</v>
      </c>
      <c r="AF121" s="1" t="e">
        <f>VLOOKUP(S121,'Assessment Details'!$O$45:$P$48,2,FALSE)</f>
        <v>#N/A</v>
      </c>
      <c r="AG121" s="1" t="e">
        <f>VLOOKUP(Z121,'Assessment Details'!$O$45:$P$48,2,FALSE)</f>
        <v>#N/A</v>
      </c>
    </row>
    <row r="122" spans="1:53" ht="15" customHeight="1" x14ac:dyDescent="0.25">
      <c r="A122" s="893">
        <v>113</v>
      </c>
      <c r="B122" s="894" t="s">
        <v>67</v>
      </c>
      <c r="C122" s="902" t="s">
        <v>477</v>
      </c>
      <c r="D122" s="717" t="s">
        <v>477</v>
      </c>
      <c r="E122" s="1084"/>
      <c r="F122" s="844" t="str">
        <f>VLOOKUP(D122,Poeng!$B$10:$R$258,Poeng!E$1,FALSE)</f>
        <v>Mat 02 Environmental impacts from construction products - product requirements</v>
      </c>
      <c r="G122" s="755">
        <f>VLOOKUP(D122,Poeng!$B$10:$AB$258,Poeng!AB$1,FALSE)</f>
        <v>3</v>
      </c>
      <c r="H122" s="847"/>
      <c r="I122" s="756" t="str">
        <f>VLOOKUP(D122,Poeng!$B$10:$AI$258,Poeng!AI$1,FALSE)&amp;" c. "&amp;ROUND(VLOOKUP(D122,Poeng!$B$10:$AE$258,Poeng!AE$1,FALSE)*100,1)&amp;" %"</f>
        <v>0 c. 0 %</v>
      </c>
      <c r="J122" s="802" t="str">
        <f>VLOOKUP(D122,Poeng!$B$10:$BE$258,Poeng!BE$1,FALSE)</f>
        <v>N/A</v>
      </c>
      <c r="K122" s="74"/>
      <c r="L122" s="242"/>
      <c r="M122" s="694"/>
      <c r="N122" s="712"/>
      <c r="O122" s="847"/>
      <c r="P122" s="766" t="str">
        <f>VLOOKUP(D122,Poeng!$B$10:$BC$258,Poeng!AJ$1,FALSE)&amp;" c. "&amp;ROUND(VLOOKUP(D122,Poeng!$B$10:$BC$258,Poeng!AF$1,FALSE)*100,1)&amp;" %"</f>
        <v>0 c. 0 %</v>
      </c>
      <c r="Q122" s="108" t="str">
        <f>VLOOKUP(D122,Poeng!$B$10:$BH$258,Poeng!BH$1,FALSE)</f>
        <v>N/A</v>
      </c>
      <c r="R122" s="644"/>
      <c r="S122" s="645"/>
      <c r="T122" s="638"/>
      <c r="U122" s="277"/>
      <c r="V122" s="847"/>
      <c r="W122" s="766" t="str">
        <f>VLOOKUP(D122,Poeng!$B$10:$BC$258,Poeng!AK$1,FALSE)&amp;" c. "&amp;ROUND(VLOOKUP(D122,Poeng!$B$10:$BC$258,Poeng!AG$1,FALSE)*100,1)&amp;" %"</f>
        <v>0 c. 0 %</v>
      </c>
      <c r="X122" s="108" t="str">
        <f>VLOOKUP(D122,Poeng!$B$10:$BK$258,Poeng!BK$1,FALSE)</f>
        <v>N/A</v>
      </c>
      <c r="Y122" s="75"/>
      <c r="Z122" s="74"/>
      <c r="AA122" s="638"/>
      <c r="AB122" s="117"/>
      <c r="AC122" s="556"/>
      <c r="AD122" s="20">
        <f t="shared" si="12"/>
        <v>1</v>
      </c>
      <c r="AE122" s="1" t="e">
        <f>VLOOKUP(L122,'Assessment Details'!$O$45:$P$48,2,FALSE)</f>
        <v>#N/A</v>
      </c>
      <c r="AF122" s="1" t="e">
        <f>VLOOKUP(S122,'Assessment Details'!$O$45:$P$48,2,FALSE)</f>
        <v>#N/A</v>
      </c>
      <c r="AG122" s="1" t="e">
        <f>VLOOKUP(Z122,'Assessment Details'!$O$45:$P$48,2,FALSE)</f>
        <v>#N/A</v>
      </c>
      <c r="AJ122" s="64"/>
      <c r="AK122" s="583"/>
      <c r="AL122" s="64"/>
      <c r="AM122" s="64"/>
      <c r="AN122" s="64"/>
      <c r="AO122" s="64"/>
      <c r="AP122" s="64"/>
      <c r="AQ122" s="64"/>
      <c r="AT122" s="20"/>
      <c r="AU122" s="20"/>
      <c r="AV122" s="20"/>
      <c r="AW122" s="20"/>
      <c r="AX122" s="20"/>
      <c r="AY122" s="20"/>
      <c r="BA122" s="556"/>
    </row>
    <row r="123" spans="1:53" ht="30" x14ac:dyDescent="0.25">
      <c r="A123" s="893">
        <v>114</v>
      </c>
      <c r="B123" s="894" t="s">
        <v>67</v>
      </c>
      <c r="C123" s="109" t="str">
        <f t="shared" si="19"/>
        <v>Mat 02</v>
      </c>
      <c r="D123" s="16" t="s">
        <v>772</v>
      </c>
      <c r="E123" s="1078">
        <v>1</v>
      </c>
      <c r="F123" s="888" t="str">
        <f>VLOOKUP(D123,Poeng!$B$10:$R$252,Poeng!E$1,FALSE)</f>
        <v>Minimum req: absence of environmental toxins (EU taxonomy requirement: criterion 1)</v>
      </c>
      <c r="G123" s="107" t="str">
        <f>VLOOKUP(D123,Poeng!$B$10:$AB$252,Poeng!AB$1,FALSE)</f>
        <v>Yes/No</v>
      </c>
      <c r="H123" s="37"/>
      <c r="I123" s="108" t="str">
        <f>VLOOKUP(D123,Poeng!$B$10:$AE$252,Poeng!AE$1,FALSE)</f>
        <v>-</v>
      </c>
      <c r="J123" s="109" t="str">
        <f>VLOOKUP(D123,Poeng!$B$10:$BE$252,Poeng!BE$1,FALSE)</f>
        <v>Unclassified</v>
      </c>
      <c r="K123" s="74"/>
      <c r="L123" s="242"/>
      <c r="M123" s="694"/>
      <c r="N123" s="712"/>
      <c r="O123" s="77"/>
      <c r="P123" s="108" t="str">
        <f>VLOOKUP(D123,Poeng!$B$10:$BC$252,Poeng!AF$1,FALSE)</f>
        <v>-</v>
      </c>
      <c r="Q123" s="108" t="str">
        <f>VLOOKUP(D123,Poeng!$B$10:$BH$252,Poeng!BH$1,FALSE)</f>
        <v>Unclassified</v>
      </c>
      <c r="R123" s="644"/>
      <c r="S123" s="645"/>
      <c r="T123" s="638"/>
      <c r="U123" s="277"/>
      <c r="V123" s="77"/>
      <c r="W123" s="108" t="str">
        <f>VLOOKUP(D123,Poeng!$B$10:$BC$252,Poeng!AG$1,FALSE)</f>
        <v>-</v>
      </c>
      <c r="X123" s="108" t="str">
        <f>VLOOKUP(D123,Poeng!$B$10:$BK$252,Poeng!BK$1,FALSE)</f>
        <v>Unclassified</v>
      </c>
      <c r="Y123" s="75"/>
      <c r="Z123" s="74"/>
      <c r="AA123" s="638"/>
      <c r="AD123" s="20">
        <f t="shared" si="12"/>
        <v>1</v>
      </c>
      <c r="AE123" s="1" t="e">
        <f>VLOOKUP(L123,'Assessment Details'!$O$45:$P$48,2,FALSE)</f>
        <v>#N/A</v>
      </c>
      <c r="AF123" s="1" t="e">
        <f>VLOOKUP(S123,'Assessment Details'!$O$45:$P$48,2,FALSE)</f>
        <v>#N/A</v>
      </c>
      <c r="AG123" s="1" t="e">
        <f>VLOOKUP(Z123,'Assessment Details'!$O$45:$P$48,2,FALSE)</f>
        <v>#N/A</v>
      </c>
    </row>
    <row r="124" spans="1:53" x14ac:dyDescent="0.25">
      <c r="A124" s="893">
        <v>115</v>
      </c>
      <c r="B124" s="894" t="s">
        <v>67</v>
      </c>
      <c r="C124" s="109" t="str">
        <f t="shared" si="19"/>
        <v>Mat 02</v>
      </c>
      <c r="D124" s="16" t="s">
        <v>773</v>
      </c>
      <c r="E124" s="1078">
        <v>2</v>
      </c>
      <c r="F124" s="751" t="str">
        <f>VLOOKUP(D124,Poeng!$B$10:$R$252,Poeng!E$1,FALSE)</f>
        <v xml:space="preserve">EPD for construction products </v>
      </c>
      <c r="G124" s="107">
        <f>VLOOKUP(D124,Poeng!$B$10:$AB$252,Poeng!AB$1,FALSE)</f>
        <v>1</v>
      </c>
      <c r="H124" s="37"/>
      <c r="I124" s="108">
        <f>VLOOKUP(D124,Poeng!$B$10:$AE$252,Poeng!AE$1,FALSE)</f>
        <v>0</v>
      </c>
      <c r="J124" s="109" t="str">
        <f>VLOOKUP(D124,Poeng!$B$10:$BE$252,Poeng!BE$1,FALSE)</f>
        <v>N/A</v>
      </c>
      <c r="K124" s="74"/>
      <c r="L124" s="242"/>
      <c r="M124" s="694"/>
      <c r="N124" s="712"/>
      <c r="O124" s="77"/>
      <c r="P124" s="108">
        <f>VLOOKUP(D124,Poeng!$B$10:$BC$252,Poeng!AF$1,FALSE)</f>
        <v>0</v>
      </c>
      <c r="Q124" s="108" t="str">
        <f>VLOOKUP(D124,Poeng!$B$10:$BH$252,Poeng!BH$1,FALSE)</f>
        <v>N/A</v>
      </c>
      <c r="R124" s="644"/>
      <c r="S124" s="645"/>
      <c r="T124" s="638"/>
      <c r="U124" s="277"/>
      <c r="V124" s="77"/>
      <c r="W124" s="108">
        <f>VLOOKUP(D124,Poeng!$B$10:$BC$252,Poeng!AG$1,FALSE)</f>
        <v>0</v>
      </c>
      <c r="X124" s="108" t="str">
        <f>VLOOKUP(D124,Poeng!$B$10:$BK$252,Poeng!BK$1,FALSE)</f>
        <v>N/A</v>
      </c>
      <c r="Y124" s="75"/>
      <c r="Z124" s="74"/>
      <c r="AA124" s="638"/>
      <c r="AD124" s="20">
        <f t="shared" si="12"/>
        <v>1</v>
      </c>
      <c r="AE124" s="1" t="e">
        <f>VLOOKUP(L124,'Assessment Details'!$O$45:$P$48,2,FALSE)</f>
        <v>#N/A</v>
      </c>
      <c r="AF124" s="1" t="e">
        <f>VLOOKUP(S124,'Assessment Details'!$O$45:$P$48,2,FALSE)</f>
        <v>#N/A</v>
      </c>
      <c r="AG124" s="1" t="e">
        <f>VLOOKUP(Z124,'Assessment Details'!$O$45:$P$48,2,FALSE)</f>
        <v>#N/A</v>
      </c>
    </row>
    <row r="125" spans="1:53" x14ac:dyDescent="0.25">
      <c r="A125" s="893">
        <v>116</v>
      </c>
      <c r="B125" s="894" t="s">
        <v>67</v>
      </c>
      <c r="C125" s="109" t="str">
        <f t="shared" si="19"/>
        <v>Mat 02</v>
      </c>
      <c r="D125" s="16" t="s">
        <v>774</v>
      </c>
      <c r="E125" s="1078" t="s">
        <v>1182</v>
      </c>
      <c r="F125" s="751" t="str">
        <f>VLOOKUP(D125,Poeng!$B$10:$R$252,Poeng!E$1,FALSE)</f>
        <v xml:space="preserve">Performance requirements for construction products </v>
      </c>
      <c r="G125" s="107">
        <f>VLOOKUP(D125,Poeng!$B$10:$AB$252,Poeng!AB$1,FALSE)</f>
        <v>2</v>
      </c>
      <c r="H125" s="37"/>
      <c r="I125" s="108">
        <f>VLOOKUP(D125,Poeng!$B$10:$AE$252,Poeng!AE$1,FALSE)</f>
        <v>0</v>
      </c>
      <c r="J125" s="109" t="str">
        <f>VLOOKUP(D125,Poeng!$B$10:$BE$252,Poeng!BE$1,FALSE)</f>
        <v>N/A</v>
      </c>
      <c r="K125" s="74"/>
      <c r="L125" s="242"/>
      <c r="M125" s="694"/>
      <c r="N125" s="712"/>
      <c r="O125" s="77"/>
      <c r="P125" s="108">
        <f>VLOOKUP(D125,Poeng!$B$10:$BC$252,Poeng!AF$1,FALSE)</f>
        <v>0</v>
      </c>
      <c r="Q125" s="108" t="str">
        <f>VLOOKUP(D125,Poeng!$B$10:$BH$252,Poeng!BH$1,FALSE)</f>
        <v>N/A</v>
      </c>
      <c r="R125" s="644"/>
      <c r="S125" s="645"/>
      <c r="T125" s="694"/>
      <c r="U125" s="277"/>
      <c r="V125" s="77"/>
      <c r="W125" s="108">
        <f>VLOOKUP(D125,Poeng!$B$10:$BC$252,Poeng!AG$1,FALSE)</f>
        <v>0</v>
      </c>
      <c r="X125" s="108" t="str">
        <f>VLOOKUP(D125,Poeng!$B$10:$BK$252,Poeng!BK$1,FALSE)</f>
        <v>N/A</v>
      </c>
      <c r="Y125" s="75"/>
      <c r="Z125" s="74"/>
      <c r="AA125" s="694"/>
      <c r="AD125" s="20">
        <f t="shared" si="12"/>
        <v>1</v>
      </c>
      <c r="AE125" s="1" t="e">
        <f>VLOOKUP(L125,'Assessment Details'!$O$45:$P$48,2,FALSE)</f>
        <v>#N/A</v>
      </c>
      <c r="AF125" s="1" t="e">
        <f>VLOOKUP(S125,'Assessment Details'!$O$45:$P$48,2,FALSE)</f>
        <v>#N/A</v>
      </c>
      <c r="AG125" s="1" t="e">
        <f>VLOOKUP(Z125,'Assessment Details'!$O$45:$P$48,2,FALSE)</f>
        <v>#N/A</v>
      </c>
    </row>
    <row r="126" spans="1:53" x14ac:dyDescent="0.25">
      <c r="A126" s="893">
        <v>117</v>
      </c>
      <c r="B126" s="894" t="s">
        <v>67</v>
      </c>
      <c r="C126" s="802" t="s">
        <v>173</v>
      </c>
      <c r="D126" s="717" t="s">
        <v>173</v>
      </c>
      <c r="E126" s="1077"/>
      <c r="F126" s="750" t="str">
        <f>VLOOKUP(D126,Poeng!$B$10:$R$252,Poeng!E$1,FALSE)</f>
        <v>Mat 03 Responsible sourcing of construction products</v>
      </c>
      <c r="G126" s="755">
        <f>VLOOKUP(D126,Poeng!$B$10:$AB$252,Poeng!AB$1,FALSE)</f>
        <v>3</v>
      </c>
      <c r="H126" s="847"/>
      <c r="I126" s="756" t="str">
        <f>VLOOKUP(D126,Poeng!$B$10:$AI$252,Poeng!AI$1,FALSE)&amp;" c. "&amp;ROUND(VLOOKUP(D126,Poeng!$B$10:$AE$252,Poeng!AE$1,FALSE)*100,1)&amp;" %"</f>
        <v>0 c. 0 %</v>
      </c>
      <c r="J126" s="802" t="str">
        <f>VLOOKUP(D126,Poeng!$B$10:$BE$252,Poeng!BE$1,FALSE)</f>
        <v>N/A</v>
      </c>
      <c r="K126" s="74"/>
      <c r="L126" s="242"/>
      <c r="M126" s="694"/>
      <c r="N126" s="712"/>
      <c r="O126" s="847"/>
      <c r="P126" s="766" t="str">
        <f>VLOOKUP(D126,Poeng!$B$10:$BC$252,Poeng!AJ$1,FALSE)&amp;" c. "&amp;ROUND(VLOOKUP(D126,Poeng!$B$10:$BC$252,Poeng!AF$1,FALSE)*100,1)&amp;" %"</f>
        <v>0 c. 0 %</v>
      </c>
      <c r="Q126" s="108" t="str">
        <f>VLOOKUP(D126,Poeng!$B$10:$BH$252,Poeng!BH$1,FALSE)</f>
        <v>N/A</v>
      </c>
      <c r="R126" s="644"/>
      <c r="S126" s="645"/>
      <c r="T126" s="638"/>
      <c r="U126" s="277"/>
      <c r="V126" s="847"/>
      <c r="W126" s="766" t="str">
        <f>VLOOKUP(D126,Poeng!$B$10:$BC$252,Poeng!AK$1,FALSE)&amp;" c. "&amp;ROUND(VLOOKUP(D126,Poeng!$B$10:$BC$252,Poeng!AG$1,FALSE)*100,1)&amp;" %"</f>
        <v>0 c. 0 %</v>
      </c>
      <c r="X126" s="108" t="str">
        <f>VLOOKUP(D126,Poeng!$B$10:$BK$252,Poeng!BK$1,FALSE)</f>
        <v>N/A</v>
      </c>
      <c r="Y126" s="75"/>
      <c r="Z126" s="74"/>
      <c r="AA126" s="638"/>
      <c r="AB126" s="117"/>
      <c r="AC126" s="556" t="s">
        <v>13</v>
      </c>
      <c r="AD126" s="20">
        <f t="shared" si="12"/>
        <v>1</v>
      </c>
      <c r="AE126" s="1" t="e">
        <f>VLOOKUP(L126,'Assessment Details'!$O$45:$P$48,2,FALSE)</f>
        <v>#N/A</v>
      </c>
      <c r="AF126" s="1" t="e">
        <f>VLOOKUP(S126,'Assessment Details'!$O$45:$P$48,2,FALSE)</f>
        <v>#N/A</v>
      </c>
      <c r="AG126" s="1" t="e">
        <f>VLOOKUP(Z126,'Assessment Details'!$O$45:$P$48,2,FALSE)</f>
        <v>#N/A</v>
      </c>
      <c r="AJ126" s="64"/>
      <c r="AK126" s="583" t="s">
        <v>156</v>
      </c>
      <c r="AL126" s="64"/>
      <c r="AM126" s="64"/>
      <c r="AN126" s="64"/>
      <c r="AO126" s="64"/>
      <c r="AP126" s="64"/>
      <c r="AQ126" s="64"/>
      <c r="AT126" s="20" t="str">
        <f t="shared" si="13"/>
        <v>N/A</v>
      </c>
      <c r="AU126" s="20" t="str">
        <f t="shared" si="14"/>
        <v>N/A</v>
      </c>
      <c r="AV126" s="20" t="str">
        <f t="shared" si="15"/>
        <v>N/A</v>
      </c>
      <c r="AW126" s="20"/>
      <c r="AX126" s="20"/>
      <c r="AY126" s="20"/>
      <c r="BA126" s="556"/>
    </row>
    <row r="127" spans="1:53" x14ac:dyDescent="0.25">
      <c r="A127" s="893">
        <v>118</v>
      </c>
      <c r="B127" s="894" t="s">
        <v>67</v>
      </c>
      <c r="C127" s="109" t="str">
        <f t="shared" si="19"/>
        <v>Mat 03</v>
      </c>
      <c r="D127" s="16" t="s">
        <v>775</v>
      </c>
      <c r="E127" s="1078">
        <v>1</v>
      </c>
      <c r="F127" s="751" t="str">
        <f>VLOOKUP(D127,Poeng!$B$10:$R$252,Poeng!E$1,FALSE)</f>
        <v>Minimum req: legal and sustainable timber</v>
      </c>
      <c r="G127" s="107" t="str">
        <f>VLOOKUP(D127,Poeng!$B$10:$AB$252,Poeng!AB$1,FALSE)</f>
        <v>Yes/No</v>
      </c>
      <c r="H127" s="37"/>
      <c r="I127" s="108" t="str">
        <f>VLOOKUP(D127,Poeng!$B$10:$AE$252,Poeng!AE$1,FALSE)</f>
        <v>-</v>
      </c>
      <c r="J127" s="109" t="str">
        <f>VLOOKUP(D127,Poeng!$B$10:$BE$252,Poeng!BE$1,FALSE)</f>
        <v>Unclassified</v>
      </c>
      <c r="K127" s="74"/>
      <c r="L127" s="242"/>
      <c r="M127" s="694"/>
      <c r="N127" s="712"/>
      <c r="O127" s="77"/>
      <c r="P127" s="108" t="str">
        <f>VLOOKUP(D127,Poeng!$B$10:$BC$252,Poeng!AF$1,FALSE)</f>
        <v>-</v>
      </c>
      <c r="Q127" s="108" t="str">
        <f>VLOOKUP(D127,Poeng!$B$10:$BH$252,Poeng!BH$1,FALSE)</f>
        <v>Unclassified</v>
      </c>
      <c r="R127" s="644"/>
      <c r="S127" s="645"/>
      <c r="T127" s="638"/>
      <c r="U127" s="277"/>
      <c r="V127" s="77"/>
      <c r="W127" s="108" t="str">
        <f>VLOOKUP(D127,Poeng!$B$10:$BC$252,Poeng!AG$1,FALSE)</f>
        <v>-</v>
      </c>
      <c r="X127" s="108" t="str">
        <f>VLOOKUP(D127,Poeng!$B$10:$BK$252,Poeng!BK$1,FALSE)</f>
        <v>Unclassified</v>
      </c>
      <c r="Y127" s="75"/>
      <c r="Z127" s="74"/>
      <c r="AA127" s="638"/>
      <c r="AD127" s="20">
        <f t="shared" si="12"/>
        <v>1</v>
      </c>
      <c r="AE127" s="1" t="e">
        <f>VLOOKUP(L127,'Assessment Details'!$O$45:$P$48,2,FALSE)</f>
        <v>#N/A</v>
      </c>
      <c r="AF127" s="1" t="e">
        <f>VLOOKUP(S127,'Assessment Details'!$O$45:$P$48,2,FALSE)</f>
        <v>#N/A</v>
      </c>
      <c r="AG127" s="1" t="e">
        <f>VLOOKUP(Z127,'Assessment Details'!$O$45:$P$48,2,FALSE)</f>
        <v>#N/A</v>
      </c>
    </row>
    <row r="128" spans="1:53" x14ac:dyDescent="0.25">
      <c r="A128" s="893">
        <v>119</v>
      </c>
      <c r="B128" s="894" t="s">
        <v>67</v>
      </c>
      <c r="C128" s="109" t="str">
        <f t="shared" si="19"/>
        <v>Mat 03</v>
      </c>
      <c r="D128" s="16" t="s">
        <v>776</v>
      </c>
      <c r="E128" s="1078">
        <v>2</v>
      </c>
      <c r="F128" s="751" t="str">
        <f>VLOOKUP(D128,Poeng!$B$10:$R$252,Poeng!E$1,FALSE)</f>
        <v>Enabling sustainable procurement</v>
      </c>
      <c r="G128" s="107">
        <f>VLOOKUP(D128,Poeng!$B$10:$AB$252,Poeng!AB$1,FALSE)</f>
        <v>1</v>
      </c>
      <c r="H128" s="37"/>
      <c r="I128" s="108">
        <f>VLOOKUP(D128,Poeng!$B$10:$AE$252,Poeng!AE$1,FALSE)</f>
        <v>0</v>
      </c>
      <c r="J128" s="109" t="str">
        <f>VLOOKUP(D128,Poeng!$B$10:$BE$252,Poeng!BE$1,FALSE)</f>
        <v>N/A</v>
      </c>
      <c r="K128" s="74"/>
      <c r="L128" s="242"/>
      <c r="M128" s="694"/>
      <c r="N128" s="712"/>
      <c r="O128" s="77"/>
      <c r="P128" s="108">
        <f>VLOOKUP(D128,Poeng!$B$10:$BC$252,Poeng!AF$1,FALSE)</f>
        <v>0</v>
      </c>
      <c r="Q128" s="108" t="str">
        <f>VLOOKUP(D128,Poeng!$B$10:$BH$252,Poeng!BH$1,FALSE)</f>
        <v>N/A</v>
      </c>
      <c r="R128" s="644"/>
      <c r="S128" s="645"/>
      <c r="T128" s="638"/>
      <c r="U128" s="277"/>
      <c r="V128" s="77"/>
      <c r="W128" s="108">
        <f>VLOOKUP(D128,Poeng!$B$10:$BC$252,Poeng!AG$1,FALSE)</f>
        <v>0</v>
      </c>
      <c r="X128" s="108" t="str">
        <f>VLOOKUP(D128,Poeng!$B$10:$BK$252,Poeng!BK$1,FALSE)</f>
        <v>N/A</v>
      </c>
      <c r="Y128" s="75"/>
      <c r="Z128" s="74"/>
      <c r="AA128" s="638"/>
      <c r="AD128" s="20">
        <f t="shared" si="12"/>
        <v>1</v>
      </c>
      <c r="AE128" s="1" t="e">
        <f>VLOOKUP(L128,'Assessment Details'!$O$45:$P$48,2,FALSE)</f>
        <v>#N/A</v>
      </c>
      <c r="AF128" s="1" t="e">
        <f>VLOOKUP(S128,'Assessment Details'!$O$45:$P$48,2,FALSE)</f>
        <v>#N/A</v>
      </c>
      <c r="AG128" s="1" t="e">
        <f>VLOOKUP(Z128,'Assessment Details'!$O$45:$P$48,2,FALSE)</f>
        <v>#N/A</v>
      </c>
    </row>
    <row r="129" spans="1:53" x14ac:dyDescent="0.25">
      <c r="A129" s="893">
        <v>120</v>
      </c>
      <c r="B129" s="894" t="s">
        <v>67</v>
      </c>
      <c r="C129" s="109" t="str">
        <f t="shared" si="19"/>
        <v>Mat 03</v>
      </c>
      <c r="D129" s="16" t="s">
        <v>777</v>
      </c>
      <c r="E129" s="1078">
        <v>3</v>
      </c>
      <c r="F129" s="751" t="str">
        <f>VLOOKUP(D129,Poeng!$B$10:$R$252,Poeng!E$1,FALSE)</f>
        <v>Responsible sourcing of relevant materials</v>
      </c>
      <c r="G129" s="107">
        <f>VLOOKUP(D129,Poeng!$B$10:$AB$252,Poeng!AB$1,FALSE)</f>
        <v>2</v>
      </c>
      <c r="H129" s="37"/>
      <c r="I129" s="108">
        <f>VLOOKUP(D129,Poeng!$B$10:$AE$252,Poeng!AE$1,FALSE)</f>
        <v>0</v>
      </c>
      <c r="J129" s="109" t="str">
        <f>VLOOKUP(D129,Poeng!$B$10:$BE$252,Poeng!BE$1,FALSE)</f>
        <v>N/A</v>
      </c>
      <c r="K129" s="906"/>
      <c r="L129" s="242"/>
      <c r="M129" s="694"/>
      <c r="N129" s="712"/>
      <c r="O129" s="77"/>
      <c r="P129" s="108">
        <f>VLOOKUP(D129,Poeng!$B$10:$BC$252,Poeng!AF$1,FALSE)</f>
        <v>0</v>
      </c>
      <c r="Q129" s="108" t="str">
        <f>VLOOKUP(D129,Poeng!$B$10:$BH$252,Poeng!BH$1,FALSE)</f>
        <v>N/A</v>
      </c>
      <c r="R129" s="644"/>
      <c r="S129" s="645"/>
      <c r="T129" s="638"/>
      <c r="U129" s="277"/>
      <c r="V129" s="77"/>
      <c r="W129" s="108">
        <f>VLOOKUP(D129,Poeng!$B$10:$BC$252,Poeng!AG$1,FALSE)</f>
        <v>0</v>
      </c>
      <c r="X129" s="108" t="str">
        <f>VLOOKUP(D129,Poeng!$B$10:$BK$252,Poeng!BK$1,FALSE)</f>
        <v>N/A</v>
      </c>
      <c r="Y129" s="75"/>
      <c r="Z129" s="74"/>
      <c r="AA129" s="638"/>
      <c r="AD129" s="20">
        <f t="shared" si="12"/>
        <v>1</v>
      </c>
      <c r="AE129" s="1" t="e">
        <f>VLOOKUP(L129,'Assessment Details'!$O$45:$P$48,2,FALSE)</f>
        <v>#N/A</v>
      </c>
      <c r="AF129" s="1" t="e">
        <f>VLOOKUP(S129,'Assessment Details'!$O$45:$P$48,2,FALSE)</f>
        <v>#N/A</v>
      </c>
      <c r="AG129" s="1" t="e">
        <f>VLOOKUP(Z129,'Assessment Details'!$O$45:$P$48,2,FALSE)</f>
        <v>#N/A</v>
      </c>
    </row>
    <row r="130" spans="1:53" x14ac:dyDescent="0.25">
      <c r="A130" s="893">
        <v>121</v>
      </c>
      <c r="B130" s="894" t="s">
        <v>67</v>
      </c>
      <c r="C130" s="802" t="s">
        <v>174</v>
      </c>
      <c r="D130" s="717" t="s">
        <v>174</v>
      </c>
      <c r="E130" s="1077"/>
      <c r="F130" s="750" t="str">
        <f>VLOOKUP(D130,Poeng!$B$10:$R$252,Poeng!E$1,FALSE)</f>
        <v>Mat 05 Designing for durability and climate adaption</v>
      </c>
      <c r="G130" s="755">
        <f>VLOOKUP(D130,Poeng!$B$10:$AB$252,Poeng!AB$1,FALSE)</f>
        <v>4</v>
      </c>
      <c r="H130" s="847"/>
      <c r="I130" s="756" t="str">
        <f>VLOOKUP(D130,Poeng!$B$10:$AI$252,Poeng!AI$1,FALSE)&amp;" c. "&amp;ROUND(VLOOKUP(D130,Poeng!$B$10:$AE$252,Poeng!AE$1,FALSE)*100,1)&amp;" %"</f>
        <v>0 c. 0 %</v>
      </c>
      <c r="J130" s="802" t="str">
        <f>VLOOKUP(D130,Poeng!$B$10:$BE$252,Poeng!BE$1,FALSE)</f>
        <v>N/A</v>
      </c>
      <c r="K130" s="74"/>
      <c r="L130" s="242"/>
      <c r="M130" s="694"/>
      <c r="N130" s="712"/>
      <c r="O130" s="847"/>
      <c r="P130" s="766" t="str">
        <f>VLOOKUP(D130,Poeng!$B$10:$BC$252,Poeng!AJ$1,FALSE)&amp;" c. "&amp;ROUND(VLOOKUP(D130,Poeng!$B$10:$BC$252,Poeng!AF$1,FALSE)*100,1)&amp;" %"</f>
        <v>0 c. 0 %</v>
      </c>
      <c r="Q130" s="108" t="str">
        <f>VLOOKUP(D130,Poeng!$B$10:$BH$252,Poeng!BH$1,FALSE)</f>
        <v>N/A</v>
      </c>
      <c r="R130" s="644"/>
      <c r="S130" s="645"/>
      <c r="T130" s="638"/>
      <c r="U130" s="277"/>
      <c r="V130" s="847"/>
      <c r="W130" s="766" t="str">
        <f>VLOOKUP(D130,Poeng!$B$10:$BC$252,Poeng!AK$1,FALSE)&amp;" c. "&amp;ROUND(VLOOKUP(D130,Poeng!$B$10:$BC$252,Poeng!AG$1,FALSE)*100,1)&amp;" %"</f>
        <v>0 c. 0 %</v>
      </c>
      <c r="X130" s="108" t="str">
        <f>VLOOKUP(D130,Poeng!$B$10:$BK$252,Poeng!BK$1,FALSE)</f>
        <v>N/A</v>
      </c>
      <c r="Y130" s="75"/>
      <c r="Z130" s="74"/>
      <c r="AA130" s="638"/>
      <c r="AB130" s="117"/>
      <c r="AC130" s="556" t="s">
        <v>12</v>
      </c>
      <c r="AD130" s="20">
        <f t="shared" si="12"/>
        <v>1</v>
      </c>
      <c r="AE130" s="1" t="e">
        <f>VLOOKUP(L130,'Assessment Details'!$O$45:$P$48,2,FALSE)</f>
        <v>#N/A</v>
      </c>
      <c r="AF130" s="1" t="e">
        <f>VLOOKUP(S130,'Assessment Details'!$O$45:$P$48,2,FALSE)</f>
        <v>#N/A</v>
      </c>
      <c r="AG130" s="1" t="e">
        <f>VLOOKUP(Z130,'Assessment Details'!$O$45:$P$48,2,FALSE)</f>
        <v>#N/A</v>
      </c>
      <c r="AJ130" s="64" t="str">
        <f>ais_ja</f>
        <v>Ja</v>
      </c>
      <c r="AK130" s="583" t="s">
        <v>157</v>
      </c>
      <c r="AL130" s="562" t="s">
        <v>405</v>
      </c>
      <c r="AM130" s="562" t="s">
        <v>409</v>
      </c>
      <c r="AN130" s="562" t="s">
        <v>407</v>
      </c>
      <c r="AO130" s="64"/>
      <c r="AP130" s="64"/>
      <c r="AQ130" s="64"/>
      <c r="AS130" s="1" t="s">
        <v>12</v>
      </c>
      <c r="AT130" s="20" t="str">
        <f t="shared" si="13"/>
        <v>N/A</v>
      </c>
      <c r="AU130" s="20" t="str">
        <f t="shared" si="14"/>
        <v>N/A</v>
      </c>
      <c r="AV130" s="20" t="str">
        <f t="shared" si="15"/>
        <v>N/A</v>
      </c>
      <c r="AW130" s="20"/>
      <c r="AX130" s="20"/>
      <c r="AY130" s="20"/>
      <c r="BA130" s="558"/>
    </row>
    <row r="131" spans="1:53" x14ac:dyDescent="0.25">
      <c r="A131" s="893">
        <v>122</v>
      </c>
      <c r="B131" s="894" t="s">
        <v>67</v>
      </c>
      <c r="C131" s="109" t="str">
        <f t="shared" si="19"/>
        <v>Mat 05</v>
      </c>
      <c r="D131" s="717" t="s">
        <v>778</v>
      </c>
      <c r="E131" s="1078">
        <v>1</v>
      </c>
      <c r="F131" s="751" t="str">
        <f>VLOOKUP(D131,Poeng!$B$10:$R$252,Poeng!E$1,FALSE)</f>
        <v>Pre-requisite: risk analysis</v>
      </c>
      <c r="G131" s="107" t="str">
        <f>VLOOKUP(D131,Poeng!$B$10:$AB$252,Poeng!AB$1,FALSE)</f>
        <v>Yes/No</v>
      </c>
      <c r="H131" s="37"/>
      <c r="I131" s="108" t="str">
        <f>VLOOKUP(D131,Poeng!$B$10:$AE$252,Poeng!AE$1,FALSE)</f>
        <v>-</v>
      </c>
      <c r="J131" s="109" t="str">
        <f>VLOOKUP(D131,Poeng!$B$10:$BE$252,Poeng!BE$1,FALSE)</f>
        <v>N/A</v>
      </c>
      <c r="K131" s="74"/>
      <c r="L131" s="242"/>
      <c r="M131" s="694"/>
      <c r="N131" s="712"/>
      <c r="O131" s="77"/>
      <c r="P131" s="108" t="str">
        <f>VLOOKUP(D131,Poeng!$B$10:$BC$252,Poeng!AF$1,FALSE)</f>
        <v>-</v>
      </c>
      <c r="Q131" s="108" t="str">
        <f>VLOOKUP(D131,Poeng!$B$10:$BH$252,Poeng!BH$1,FALSE)</f>
        <v>N/A</v>
      </c>
      <c r="R131" s="644"/>
      <c r="S131" s="645"/>
      <c r="T131" s="638"/>
      <c r="U131" s="277"/>
      <c r="V131" s="77"/>
      <c r="W131" s="108" t="str">
        <f>VLOOKUP(D131,Poeng!$B$10:$BC$252,Poeng!AG$1,FALSE)</f>
        <v>-</v>
      </c>
      <c r="X131" s="108" t="str">
        <f>VLOOKUP(D131,Poeng!$B$10:$BK$252,Poeng!BK$1,FALSE)</f>
        <v>N/A</v>
      </c>
      <c r="Y131" s="75"/>
      <c r="Z131" s="74"/>
      <c r="AA131" s="638"/>
      <c r="AB131" s="117"/>
      <c r="AC131" s="620"/>
      <c r="AD131" s="20">
        <f t="shared" si="12"/>
        <v>1</v>
      </c>
      <c r="AE131" s="1" t="e">
        <f>VLOOKUP(L131,'Assessment Details'!$O$45:$P$48,2,FALSE)</f>
        <v>#N/A</v>
      </c>
      <c r="AF131" s="1" t="e">
        <f>VLOOKUP(S131,'Assessment Details'!$O$45:$P$48,2,FALSE)</f>
        <v>#N/A</v>
      </c>
      <c r="AG131" s="1" t="e">
        <f>VLOOKUP(Z131,'Assessment Details'!$O$45:$P$48,2,FALSE)</f>
        <v>#N/A</v>
      </c>
      <c r="AJ131" s="64"/>
      <c r="AK131" s="583"/>
      <c r="AL131" s="562"/>
      <c r="AM131" s="562"/>
      <c r="AN131" s="562"/>
      <c r="AO131" s="64"/>
      <c r="AP131" s="64"/>
      <c r="AQ131" s="64"/>
      <c r="AT131" s="20"/>
      <c r="AU131" s="20"/>
      <c r="AV131" s="20"/>
      <c r="AW131" s="20"/>
      <c r="AX131" s="20"/>
      <c r="AY131" s="20"/>
      <c r="BA131" s="621"/>
    </row>
    <row r="132" spans="1:53" x14ac:dyDescent="0.25">
      <c r="A132" s="893">
        <v>123</v>
      </c>
      <c r="B132" s="894" t="s">
        <v>67</v>
      </c>
      <c r="C132" s="109" t="str">
        <f t="shared" si="19"/>
        <v>Mat 05</v>
      </c>
      <c r="D132" s="717" t="s">
        <v>779</v>
      </c>
      <c r="E132" s="1078">
        <v>2</v>
      </c>
      <c r="F132" s="751" t="str">
        <f>VLOOKUP(D132,Poeng!$B$10:$R$252,Poeng!E$1,FALSE)</f>
        <v>Protect vulnerable parts of the building from damage</v>
      </c>
      <c r="G132" s="107">
        <f>VLOOKUP(D132,Poeng!$B$10:$AB$252,Poeng!AB$1,FALSE)</f>
        <v>1</v>
      </c>
      <c r="H132" s="890"/>
      <c r="I132" s="108">
        <f>VLOOKUP(D132,Poeng!$B$10:$AE$252,Poeng!AE$1,FALSE)</f>
        <v>0</v>
      </c>
      <c r="J132" s="109" t="str">
        <f>VLOOKUP(D132,Poeng!$B$10:$BE$252,Poeng!BE$1,FALSE)</f>
        <v>N/A</v>
      </c>
      <c r="K132" s="74"/>
      <c r="L132" s="242"/>
      <c r="M132" s="694"/>
      <c r="N132" s="712"/>
      <c r="O132" s="77"/>
      <c r="P132" s="108">
        <f>VLOOKUP(D132,Poeng!$B$10:$BC$252,Poeng!AF$1,FALSE)</f>
        <v>0</v>
      </c>
      <c r="Q132" s="108" t="str">
        <f>VLOOKUP(D132,Poeng!$B$10:$BH$252,Poeng!BH$1,FALSE)</f>
        <v>N/A</v>
      </c>
      <c r="R132" s="644"/>
      <c r="S132" s="645"/>
      <c r="T132" s="638"/>
      <c r="U132" s="277"/>
      <c r="V132" s="77"/>
      <c r="W132" s="108">
        <f>VLOOKUP(D132,Poeng!$B$10:$BC$252,Poeng!AG$1,FALSE)</f>
        <v>0</v>
      </c>
      <c r="X132" s="108" t="str">
        <f>VLOOKUP(D132,Poeng!$B$10:$BK$252,Poeng!BK$1,FALSE)</f>
        <v>N/A</v>
      </c>
      <c r="Y132" s="75"/>
      <c r="Z132" s="74"/>
      <c r="AA132" s="638"/>
      <c r="AB132" s="117"/>
      <c r="AC132" s="620"/>
      <c r="AD132" s="20">
        <f t="shared" si="12"/>
        <v>1</v>
      </c>
      <c r="AE132" s="1" t="e">
        <f>VLOOKUP(L132,'Assessment Details'!$O$45:$P$48,2,FALSE)</f>
        <v>#N/A</v>
      </c>
      <c r="AF132" s="1" t="e">
        <f>VLOOKUP(S132,'Assessment Details'!$O$45:$P$48,2,FALSE)</f>
        <v>#N/A</v>
      </c>
      <c r="AG132" s="1" t="e">
        <f>VLOOKUP(Z132,'Assessment Details'!$O$45:$P$48,2,FALSE)</f>
        <v>#N/A</v>
      </c>
      <c r="AJ132" s="64"/>
      <c r="AK132" s="583"/>
      <c r="AL132" s="562"/>
      <c r="AM132" s="562"/>
      <c r="AN132" s="562"/>
      <c r="AO132" s="64"/>
      <c r="AP132" s="64"/>
      <c r="AQ132" s="64"/>
      <c r="AT132" s="20"/>
      <c r="AU132" s="20"/>
      <c r="AV132" s="20"/>
      <c r="AW132" s="20"/>
      <c r="AX132" s="20"/>
      <c r="AY132" s="20"/>
      <c r="BA132" s="621"/>
    </row>
    <row r="133" spans="1:53" x14ac:dyDescent="0.25">
      <c r="A133" s="893">
        <v>124</v>
      </c>
      <c r="B133" s="894" t="s">
        <v>67</v>
      </c>
      <c r="C133" s="109" t="str">
        <f t="shared" si="19"/>
        <v>Mat 05</v>
      </c>
      <c r="D133" s="717" t="s">
        <v>780</v>
      </c>
      <c r="E133" s="1090" t="s">
        <v>1177</v>
      </c>
      <c r="F133" s="888" t="str">
        <f>VLOOKUP(D133,Poeng!$B$10:$R$252,Poeng!E$1,FALSE)</f>
        <v xml:space="preserve">Protecting exposed parts of the building from material degradation </v>
      </c>
      <c r="G133" s="107">
        <f>VLOOKUP(D133,Poeng!$B$10:$AB$252,Poeng!AB$1,FALSE)</f>
        <v>1</v>
      </c>
      <c r="H133" s="890"/>
      <c r="I133" s="108">
        <f>VLOOKUP(D133,Poeng!$B$10:$AE$252,Poeng!AE$1,FALSE)</f>
        <v>0</v>
      </c>
      <c r="J133" s="109" t="str">
        <f>VLOOKUP(D133,Poeng!$B$10:$BE$252,Poeng!BE$1,FALSE)</f>
        <v>N/A</v>
      </c>
      <c r="K133" s="74"/>
      <c r="L133" s="242"/>
      <c r="M133" s="694"/>
      <c r="N133" s="712"/>
      <c r="O133" s="77"/>
      <c r="P133" s="108">
        <f>VLOOKUP(D133,Poeng!$B$10:$BC$252,Poeng!AF$1,FALSE)</f>
        <v>0</v>
      </c>
      <c r="Q133" s="108" t="str">
        <f>VLOOKUP(D133,Poeng!$B$10:$BH$252,Poeng!BH$1,FALSE)</f>
        <v>N/A</v>
      </c>
      <c r="R133" s="644"/>
      <c r="S133" s="645"/>
      <c r="T133" s="638"/>
      <c r="U133" s="277"/>
      <c r="V133" s="77"/>
      <c r="W133" s="108">
        <f>VLOOKUP(D133,Poeng!$B$10:$BC$252,Poeng!AG$1,FALSE)</f>
        <v>0</v>
      </c>
      <c r="X133" s="108" t="str">
        <f>VLOOKUP(D133,Poeng!$B$10:$BK$252,Poeng!BK$1,FALSE)</f>
        <v>N/A</v>
      </c>
      <c r="Y133" s="75"/>
      <c r="Z133" s="74"/>
      <c r="AA133" s="638"/>
      <c r="AB133" s="117"/>
      <c r="AC133" s="620"/>
      <c r="AD133" s="20">
        <f t="shared" si="12"/>
        <v>1</v>
      </c>
      <c r="AE133" s="1" t="e">
        <f>VLOOKUP(L133,'Assessment Details'!$O$45:$P$48,2,FALSE)</f>
        <v>#N/A</v>
      </c>
      <c r="AF133" s="1" t="e">
        <f>VLOOKUP(S133,'Assessment Details'!$O$45:$P$48,2,FALSE)</f>
        <v>#N/A</v>
      </c>
      <c r="AG133" s="1" t="e">
        <f>VLOOKUP(Z133,'Assessment Details'!$O$45:$P$48,2,FALSE)</f>
        <v>#N/A</v>
      </c>
      <c r="AJ133" s="64"/>
      <c r="AK133" s="583"/>
      <c r="AL133" s="562"/>
      <c r="AM133" s="562"/>
      <c r="AN133" s="562"/>
      <c r="AO133" s="64"/>
      <c r="AP133" s="64"/>
      <c r="AQ133" s="64"/>
      <c r="AT133" s="20"/>
      <c r="AU133" s="20"/>
      <c r="AV133" s="20"/>
      <c r="AW133" s="20"/>
      <c r="AX133" s="20"/>
      <c r="AY133" s="20"/>
      <c r="BA133" s="621"/>
    </row>
    <row r="134" spans="1:53" x14ac:dyDescent="0.25">
      <c r="A134" s="893">
        <v>125</v>
      </c>
      <c r="B134" s="894" t="s">
        <v>67</v>
      </c>
      <c r="C134" s="109" t="str">
        <f t="shared" si="19"/>
        <v>Mat 05</v>
      </c>
      <c r="D134" s="717" t="s">
        <v>781</v>
      </c>
      <c r="E134" s="1079" t="s">
        <v>1190</v>
      </c>
      <c r="F134" s="888" t="str">
        <f>VLOOKUP(D134,Poeng!$B$10:$R$252,Poeng!E$1,FALSE)</f>
        <v>Control plan and moisture measurements</v>
      </c>
      <c r="G134" s="107">
        <f>VLOOKUP(D134,Poeng!$B$10:$AB$252,Poeng!AB$1,FALSE)</f>
        <v>1</v>
      </c>
      <c r="H134" s="890"/>
      <c r="I134" s="108">
        <f>VLOOKUP(D134,Poeng!$B$10:$AE$252,Poeng!AE$1,FALSE)</f>
        <v>0</v>
      </c>
      <c r="J134" s="109" t="str">
        <f>VLOOKUP(D134,Poeng!$B$10:$BE$252,Poeng!BE$1,FALSE)</f>
        <v>Very Good</v>
      </c>
      <c r="K134" s="74"/>
      <c r="L134" s="242"/>
      <c r="M134" s="694"/>
      <c r="N134" s="712"/>
      <c r="O134" s="77">
        <v>1</v>
      </c>
      <c r="P134" s="108">
        <f>VLOOKUP(D134,Poeng!$B$10:$BC$252,Poeng!AF$1,FALSE)</f>
        <v>0</v>
      </c>
      <c r="Q134" s="108" t="str">
        <f>VLOOKUP(D134,Poeng!$B$10:$BH$252,Poeng!BH$1,FALSE)</f>
        <v>Very Good</v>
      </c>
      <c r="R134" s="644"/>
      <c r="S134" s="645"/>
      <c r="T134" s="638"/>
      <c r="U134" s="277"/>
      <c r="V134" s="77">
        <v>1</v>
      </c>
      <c r="W134" s="108">
        <f>VLOOKUP(D134,Poeng!$B$10:$BC$252,Poeng!AG$1,FALSE)</f>
        <v>0</v>
      </c>
      <c r="X134" s="108" t="str">
        <f>VLOOKUP(D134,Poeng!$B$10:$BK$252,Poeng!BK$1,FALSE)</f>
        <v>Very Good</v>
      </c>
      <c r="Y134" s="75"/>
      <c r="Z134" s="74"/>
      <c r="AA134" s="638"/>
      <c r="AB134" s="117"/>
      <c r="AC134" s="620"/>
      <c r="AD134" s="20">
        <f t="shared" si="12"/>
        <v>1</v>
      </c>
      <c r="AE134" s="1" t="e">
        <f>VLOOKUP(L134,'Assessment Details'!$O$45:$P$48,2,FALSE)</f>
        <v>#N/A</v>
      </c>
      <c r="AF134" s="1" t="e">
        <f>VLOOKUP(S134,'Assessment Details'!$O$45:$P$48,2,FALSE)</f>
        <v>#N/A</v>
      </c>
      <c r="AG134" s="1" t="e">
        <f>VLOOKUP(Z134,'Assessment Details'!$O$45:$P$48,2,FALSE)</f>
        <v>#N/A</v>
      </c>
      <c r="AJ134" s="64"/>
      <c r="AK134" s="583"/>
      <c r="AL134" s="562"/>
      <c r="AM134" s="562"/>
      <c r="AN134" s="562"/>
      <c r="AO134" s="64"/>
      <c r="AP134" s="64"/>
      <c r="AQ134" s="64"/>
      <c r="AT134" s="20"/>
      <c r="AU134" s="20"/>
      <c r="AV134" s="20"/>
      <c r="AW134" s="20"/>
      <c r="AX134" s="20"/>
      <c r="AY134" s="20"/>
      <c r="BA134" s="621"/>
    </row>
    <row r="135" spans="1:53" x14ac:dyDescent="0.25">
      <c r="A135" s="893">
        <v>126</v>
      </c>
      <c r="B135" s="894" t="s">
        <v>67</v>
      </c>
      <c r="C135" s="109" t="str">
        <f t="shared" si="19"/>
        <v>Mat 05</v>
      </c>
      <c r="D135" s="717" t="s">
        <v>894</v>
      </c>
      <c r="E135" s="1078">
        <v>9</v>
      </c>
      <c r="F135" s="751" t="str">
        <f>VLOOKUP(D135,Poeng!$B$10:$R$252,Poeng!E$1,FALSE)</f>
        <v>Construction under cover</v>
      </c>
      <c r="G135" s="107">
        <f>VLOOKUP(D135,Poeng!$B$10:$AB$252,Poeng!AB$1,FALSE)</f>
        <v>1</v>
      </c>
      <c r="H135" s="890"/>
      <c r="I135" s="108">
        <f>VLOOKUP(D135,Poeng!$B$10:$AE$252,Poeng!AE$1,FALSE)</f>
        <v>0</v>
      </c>
      <c r="J135" s="109" t="str">
        <f>VLOOKUP(D135,Poeng!$B$10:$BE$252,Poeng!BE$1,FALSE)</f>
        <v>N/A</v>
      </c>
      <c r="K135" s="74"/>
      <c r="L135" s="242"/>
      <c r="M135" s="694"/>
      <c r="N135" s="712"/>
      <c r="O135" s="77"/>
      <c r="P135" s="108">
        <f>VLOOKUP(D135,Poeng!$B$10:$BC$252,Poeng!AF$1,FALSE)</f>
        <v>0</v>
      </c>
      <c r="Q135" s="108" t="str">
        <f>VLOOKUP(D135,Poeng!$B$10:$BH$252,Poeng!BH$1,FALSE)</f>
        <v>N/A</v>
      </c>
      <c r="R135" s="644"/>
      <c r="S135" s="645"/>
      <c r="T135" s="638"/>
      <c r="U135" s="277"/>
      <c r="V135" s="77"/>
      <c r="W135" s="108">
        <f>VLOOKUP(D135,Poeng!$B$10:$BC$252,Poeng!AG$1,FALSE)</f>
        <v>0</v>
      </c>
      <c r="X135" s="108" t="str">
        <f>VLOOKUP(D135,Poeng!$B$10:$BK$252,Poeng!BK$1,FALSE)</f>
        <v>N/A</v>
      </c>
      <c r="Y135" s="75"/>
      <c r="Z135" s="74"/>
      <c r="AA135" s="638"/>
      <c r="AB135" s="117"/>
      <c r="AC135" s="620"/>
      <c r="AD135" s="20">
        <f t="shared" si="12"/>
        <v>1</v>
      </c>
      <c r="AE135" s="1" t="e">
        <f>VLOOKUP(L135,'Assessment Details'!$O$45:$P$48,2,FALSE)</f>
        <v>#N/A</v>
      </c>
      <c r="AF135" s="1" t="e">
        <f>VLOOKUP(S135,'Assessment Details'!$O$45:$P$48,2,FALSE)</f>
        <v>#N/A</v>
      </c>
      <c r="AG135" s="1" t="e">
        <f>VLOOKUP(Z135,'Assessment Details'!$O$45:$P$48,2,FALSE)</f>
        <v>#N/A</v>
      </c>
      <c r="AJ135" s="64"/>
      <c r="AK135" s="583"/>
      <c r="AL135" s="562"/>
      <c r="AM135" s="562"/>
      <c r="AN135" s="562"/>
      <c r="AO135" s="64"/>
      <c r="AP135" s="64"/>
      <c r="AQ135" s="64"/>
      <c r="AT135" s="20"/>
      <c r="AU135" s="20"/>
      <c r="AV135" s="20"/>
      <c r="AW135" s="20"/>
      <c r="AX135" s="20"/>
      <c r="AY135" s="20"/>
      <c r="BA135" s="621"/>
    </row>
    <row r="136" spans="1:53" x14ac:dyDescent="0.25">
      <c r="A136" s="893">
        <v>127</v>
      </c>
      <c r="B136" s="894" t="s">
        <v>67</v>
      </c>
      <c r="C136" s="802" t="s">
        <v>175</v>
      </c>
      <c r="D136" s="717" t="s">
        <v>175</v>
      </c>
      <c r="E136" s="1077"/>
      <c r="F136" s="750" t="str">
        <f>VLOOKUP(D136,Poeng!$B$10:$R$252,Poeng!E$1,FALSE)</f>
        <v>Mat 06 Material efficiency</v>
      </c>
      <c r="G136" s="755">
        <f>VLOOKUP(D136,Poeng!$B$10:$AB$252,Poeng!AB$1,FALSE)</f>
        <v>3</v>
      </c>
      <c r="H136" s="847"/>
      <c r="I136" s="756" t="str">
        <f>VLOOKUP(D136,Poeng!$B$10:$AI$252,Poeng!AI$1,FALSE)&amp;" c. "&amp;ROUND(VLOOKUP(D136,Poeng!$B$10:$AE$252,Poeng!AE$1,FALSE)*100,1)&amp;" %"</f>
        <v>0 c. 0 %</v>
      </c>
      <c r="J136" s="802" t="str">
        <f>VLOOKUP(D136,Poeng!$B$10:$BE$252,Poeng!BE$1,FALSE)</f>
        <v>N/A</v>
      </c>
      <c r="K136" s="74"/>
      <c r="L136" s="242"/>
      <c r="M136" s="694"/>
      <c r="N136" s="712"/>
      <c r="O136" s="847"/>
      <c r="P136" s="766" t="str">
        <f>VLOOKUP(D136,Poeng!$B$10:$BC$252,Poeng!AJ$1,FALSE)&amp;" c. "&amp;ROUND(VLOOKUP(D136,Poeng!$B$10:$BC$252,Poeng!AF$1,FALSE)*100,1)&amp;" %"</f>
        <v>0 c. 0 %</v>
      </c>
      <c r="Q136" s="108" t="str">
        <f>VLOOKUP(D136,Poeng!$B$10:$BH$252,Poeng!BH$1,FALSE)</f>
        <v>N/A</v>
      </c>
      <c r="R136" s="644"/>
      <c r="S136" s="645"/>
      <c r="T136" s="638"/>
      <c r="U136" s="277"/>
      <c r="V136" s="847"/>
      <c r="W136" s="766" t="str">
        <f>VLOOKUP(D136,Poeng!$B$10:$BC$252,Poeng!AK$1,FALSE)&amp;" c. "&amp;ROUND(VLOOKUP(D136,Poeng!$B$10:$BC$252,Poeng!AG$1,FALSE)*100,1)&amp;" %"</f>
        <v>0 c. 0 %</v>
      </c>
      <c r="X136" s="108" t="str">
        <f>VLOOKUP(D136,Poeng!$B$10:$BK$252,Poeng!BK$1,FALSE)</f>
        <v>N/A</v>
      </c>
      <c r="Y136" s="75"/>
      <c r="Z136" s="74"/>
      <c r="AA136" s="638"/>
      <c r="AB136" s="117"/>
      <c r="AC136" s="620"/>
      <c r="AD136" s="20">
        <f t="shared" si="12"/>
        <v>1</v>
      </c>
      <c r="AE136" s="1" t="e">
        <f>VLOOKUP(L136,'Assessment Details'!$O$45:$P$48,2,FALSE)</f>
        <v>#N/A</v>
      </c>
      <c r="AF136" s="1" t="e">
        <f>VLOOKUP(S136,'Assessment Details'!$O$45:$P$48,2,FALSE)</f>
        <v>#N/A</v>
      </c>
      <c r="AG136" s="1" t="e">
        <f>VLOOKUP(Z136,'Assessment Details'!$O$45:$P$48,2,FALSE)</f>
        <v>#N/A</v>
      </c>
      <c r="AJ136" s="64"/>
      <c r="AK136" s="583"/>
      <c r="AL136" s="562"/>
      <c r="AM136" s="562"/>
      <c r="AN136" s="562"/>
      <c r="AO136" s="64"/>
      <c r="AP136" s="64"/>
      <c r="AQ136" s="64"/>
      <c r="AT136" s="20"/>
      <c r="AU136" s="20"/>
      <c r="AV136" s="20"/>
      <c r="AW136" s="20"/>
      <c r="AX136" s="20"/>
      <c r="AY136" s="20"/>
      <c r="BA136" s="621"/>
    </row>
    <row r="137" spans="1:53" ht="30" x14ac:dyDescent="0.25">
      <c r="A137" s="893">
        <v>128</v>
      </c>
      <c r="B137" s="894" t="s">
        <v>67</v>
      </c>
      <c r="C137" s="109" t="str">
        <f>C136</f>
        <v>Mat 06</v>
      </c>
      <c r="D137" s="717" t="s">
        <v>1023</v>
      </c>
      <c r="E137" s="1079">
        <v>1</v>
      </c>
      <c r="F137" s="888" t="str">
        <f>VLOOKUP(D137,Poeng!$B$10:$R$252,Poeng!E$1,FALSE)</f>
        <v>Minimum req: mapping for component reuse - criterion 1 (EU taxonomy requirement: criterion 1)</v>
      </c>
      <c r="G137" s="107" t="str">
        <f>VLOOKUP(D137,Poeng!$B$10:$AB$252,Poeng!AB$1,FALSE)</f>
        <v>Yes/No</v>
      </c>
      <c r="H137" s="37"/>
      <c r="I137" s="108" t="str">
        <f>VLOOKUP(D137,Poeng!$B$10:$AE$252,Poeng!AE$1,FALSE)</f>
        <v>-</v>
      </c>
      <c r="J137" s="109" t="str">
        <f>VLOOKUP(D137,Poeng!$B$10:$BE$252,Poeng!BE$1,FALSE)</f>
        <v>Unclassified</v>
      </c>
      <c r="K137" s="74"/>
      <c r="L137" s="242"/>
      <c r="M137" s="694"/>
      <c r="N137" s="712"/>
      <c r="O137" s="77"/>
      <c r="P137" s="108" t="str">
        <f>VLOOKUP(D137,Poeng!$B$10:$BC$252,Poeng!AF$1,FALSE)</f>
        <v>-</v>
      </c>
      <c r="Q137" s="108" t="str">
        <f>VLOOKUP(D137,Poeng!$B$10:$BH$252,Poeng!BH$1,FALSE)</f>
        <v>Unclassified</v>
      </c>
      <c r="R137" s="644"/>
      <c r="S137" s="645"/>
      <c r="T137" s="638"/>
      <c r="U137" s="277"/>
      <c r="V137" s="77"/>
      <c r="W137" s="108" t="str">
        <f>VLOOKUP(D137,Poeng!$B$10:$BC$252,Poeng!AG$1,FALSE)</f>
        <v>-</v>
      </c>
      <c r="X137" s="108" t="str">
        <f>VLOOKUP(D137,Poeng!$B$10:$BK$252,Poeng!BK$1,FALSE)</f>
        <v>Unclassified</v>
      </c>
      <c r="Y137" s="75"/>
      <c r="Z137" s="74"/>
      <c r="AA137" s="638"/>
      <c r="AB137" s="117"/>
      <c r="AC137" s="754"/>
      <c r="AD137" s="20">
        <f t="shared" ref="AD137" si="20">IF(G137="",1,IF(G137=0,2,1))</f>
        <v>1</v>
      </c>
      <c r="AE137" s="1" t="e">
        <f>VLOOKUP(L137,'Assessment Details'!$O$45:$P$48,2,FALSE)</f>
        <v>#N/A</v>
      </c>
      <c r="AF137" s="1" t="e">
        <f>VLOOKUP(S137,'Assessment Details'!$O$45:$P$48,2,FALSE)</f>
        <v>#N/A</v>
      </c>
      <c r="AG137" s="1" t="e">
        <f>VLOOKUP(Z137,'Assessment Details'!$O$45:$P$48,2,FALSE)</f>
        <v>#N/A</v>
      </c>
      <c r="AL137" s="630"/>
      <c r="AM137" s="630"/>
      <c r="AN137" s="630"/>
      <c r="AT137" s="20"/>
      <c r="AU137" s="20"/>
      <c r="AV137" s="20"/>
      <c r="AW137" s="20"/>
      <c r="AX137" s="20"/>
      <c r="AY137" s="20"/>
      <c r="BA137" s="754"/>
    </row>
    <row r="138" spans="1:53" x14ac:dyDescent="0.25">
      <c r="A138" s="893">
        <v>129</v>
      </c>
      <c r="B138" s="894" t="s">
        <v>67</v>
      </c>
      <c r="C138" s="109" t="str">
        <f>C136</f>
        <v>Mat 06</v>
      </c>
      <c r="D138" s="16" t="s">
        <v>782</v>
      </c>
      <c r="E138" s="1079" t="s">
        <v>1198</v>
      </c>
      <c r="F138" s="888" t="str">
        <f>VLOOKUP(D138,Poeng!$B$10:$R$252,Poeng!E$1,FALSE)</f>
        <v>Mapping for component reuse and implementation</v>
      </c>
      <c r="G138" s="107">
        <f>VLOOKUP(D138,Poeng!$B$10:$AB$252,Poeng!AB$1,FALSE)</f>
        <v>1</v>
      </c>
      <c r="H138" s="37"/>
      <c r="I138" s="108">
        <f>VLOOKUP(D138,Poeng!$B$10:$AE$252,Poeng!AE$1,FALSE)</f>
        <v>0</v>
      </c>
      <c r="J138" s="109" t="str">
        <f>VLOOKUP(D138,Poeng!$B$10:$BE$252,Poeng!BE$1,FALSE)</f>
        <v>Unclassified</v>
      </c>
      <c r="K138" s="74"/>
      <c r="L138" s="242"/>
      <c r="M138" s="694"/>
      <c r="N138" s="712"/>
      <c r="O138" s="77"/>
      <c r="P138" s="108">
        <f>VLOOKUP(D138,Poeng!$B$10:$BC$252,Poeng!AF$1,FALSE)</f>
        <v>0</v>
      </c>
      <c r="Q138" s="108" t="str">
        <f>VLOOKUP(D138,Poeng!$B$10:$BH$252,Poeng!BH$1,FALSE)</f>
        <v>Unclassified</v>
      </c>
      <c r="R138" s="644"/>
      <c r="S138" s="645"/>
      <c r="T138" s="638"/>
      <c r="U138" s="277"/>
      <c r="V138" s="77"/>
      <c r="W138" s="108">
        <f>VLOOKUP(D138,Poeng!$B$10:$BC$252,Poeng!AG$1,FALSE)</f>
        <v>0</v>
      </c>
      <c r="X138" s="108" t="str">
        <f>VLOOKUP(D138,Poeng!$B$10:$BK$252,Poeng!BK$1,FALSE)</f>
        <v>Unclassified</v>
      </c>
      <c r="Y138" s="75"/>
      <c r="Z138" s="74"/>
      <c r="AA138" s="638"/>
      <c r="AD138" s="20">
        <f t="shared" si="12"/>
        <v>1</v>
      </c>
      <c r="AE138" s="1" t="e">
        <f>VLOOKUP(L138,'Assessment Details'!$O$45:$P$48,2,FALSE)</f>
        <v>#N/A</v>
      </c>
      <c r="AF138" s="1" t="e">
        <f>VLOOKUP(S138,'Assessment Details'!$O$45:$P$48,2,FALSE)</f>
        <v>#N/A</v>
      </c>
      <c r="AG138" s="1" t="e">
        <f>VLOOKUP(Z138,'Assessment Details'!$O$45:$P$48,2,FALSE)</f>
        <v>#N/A</v>
      </c>
    </row>
    <row r="139" spans="1:53" x14ac:dyDescent="0.25">
      <c r="A139" s="893">
        <v>130</v>
      </c>
      <c r="B139" s="894" t="s">
        <v>67</v>
      </c>
      <c r="C139" s="109" t="str">
        <f t="shared" si="19"/>
        <v>Mat 06</v>
      </c>
      <c r="D139" s="16" t="s">
        <v>783</v>
      </c>
      <c r="E139" s="1078">
        <v>4</v>
      </c>
      <c r="F139" s="751" t="str">
        <f>VLOOKUP(D139,Poeng!$B$10:$R$252,Poeng!E$1,FALSE)</f>
        <v>Material efficency</v>
      </c>
      <c r="G139" s="107">
        <f>VLOOKUP(D139,Poeng!$B$10:$AB$252,Poeng!AB$1,FALSE)</f>
        <v>1</v>
      </c>
      <c r="H139" s="37"/>
      <c r="I139" s="108">
        <f>VLOOKUP(D139,Poeng!$B$10:$AE$252,Poeng!AE$1,FALSE)</f>
        <v>0</v>
      </c>
      <c r="J139" s="109" t="str">
        <f>VLOOKUP(D139,Poeng!$B$10:$BE$252,Poeng!BE$1,FALSE)</f>
        <v>N/A</v>
      </c>
      <c r="K139" s="74"/>
      <c r="L139" s="242"/>
      <c r="M139" s="694"/>
      <c r="N139" s="712"/>
      <c r="O139" s="77"/>
      <c r="P139" s="108">
        <f>VLOOKUP(D139,Poeng!$B$10:$BC$252,Poeng!AF$1,FALSE)</f>
        <v>0</v>
      </c>
      <c r="Q139" s="108" t="str">
        <f>VLOOKUP(D139,Poeng!$B$10:$BH$252,Poeng!BH$1,FALSE)</f>
        <v>N/A</v>
      </c>
      <c r="R139" s="644"/>
      <c r="S139" s="645"/>
      <c r="T139" s="638"/>
      <c r="U139" s="277"/>
      <c r="V139" s="77"/>
      <c r="W139" s="108">
        <f>VLOOKUP(D139,Poeng!$B$10:$BC$252,Poeng!AG$1,FALSE)</f>
        <v>0</v>
      </c>
      <c r="X139" s="108" t="str">
        <f>VLOOKUP(D139,Poeng!$B$10:$BK$252,Poeng!BK$1,FALSE)</f>
        <v>N/A</v>
      </c>
      <c r="Y139" s="75"/>
      <c r="Z139" s="74"/>
      <c r="AA139" s="638"/>
      <c r="AD139" s="20">
        <f t="shared" si="12"/>
        <v>1</v>
      </c>
      <c r="AE139" s="1" t="e">
        <f>VLOOKUP(L139,'Assessment Details'!$O$45:$P$48,2,FALSE)</f>
        <v>#N/A</v>
      </c>
      <c r="AF139" s="1" t="e">
        <f>VLOOKUP(S139,'Assessment Details'!$O$45:$P$48,2,FALSE)</f>
        <v>#N/A</v>
      </c>
      <c r="AG139" s="1" t="e">
        <f>VLOOKUP(Z139,'Assessment Details'!$O$45:$P$48,2,FALSE)</f>
        <v>#N/A</v>
      </c>
    </row>
    <row r="140" spans="1:53" x14ac:dyDescent="0.25">
      <c r="A140" s="893">
        <v>131</v>
      </c>
      <c r="B140" s="894" t="s">
        <v>67</v>
      </c>
      <c r="C140" s="109" t="str">
        <f t="shared" si="19"/>
        <v>Mat 06</v>
      </c>
      <c r="D140" s="16" t="s">
        <v>784</v>
      </c>
      <c r="E140" s="1078">
        <v>5</v>
      </c>
      <c r="F140" s="751" t="str">
        <f>VLOOKUP(D140,Poeng!$B$10:$R$252,Poeng!E$1,FALSE)</f>
        <v>Reuse of extern building components</v>
      </c>
      <c r="G140" s="107">
        <f>VLOOKUP(D140,Poeng!$B$10:$AB$252,Poeng!AB$1,FALSE)</f>
        <v>1</v>
      </c>
      <c r="H140" s="37"/>
      <c r="I140" s="108">
        <f>VLOOKUP(D140,Poeng!$B$10:$AE$252,Poeng!AE$1,FALSE)</f>
        <v>0</v>
      </c>
      <c r="J140" s="109" t="str">
        <f>VLOOKUP(D140,Poeng!$B$10:$BE$252,Poeng!BE$1,FALSE)</f>
        <v>N/A</v>
      </c>
      <c r="K140" s="74"/>
      <c r="L140" s="242"/>
      <c r="M140" s="694"/>
      <c r="N140" s="712"/>
      <c r="O140" s="77"/>
      <c r="P140" s="108">
        <f>VLOOKUP(D140,Poeng!$B$10:$BC$252,Poeng!AF$1,FALSE)</f>
        <v>0</v>
      </c>
      <c r="Q140" s="108" t="str">
        <f>VLOOKUP(D140,Poeng!$B$10:$BH$252,Poeng!BH$1,FALSE)</f>
        <v>N/A</v>
      </c>
      <c r="R140" s="644"/>
      <c r="S140" s="645"/>
      <c r="T140" s="638"/>
      <c r="U140" s="277"/>
      <c r="V140" s="77"/>
      <c r="W140" s="108">
        <f>VLOOKUP(D140,Poeng!$B$10:$BC$252,Poeng!AG$1,FALSE)</f>
        <v>0</v>
      </c>
      <c r="X140" s="108" t="str">
        <f>VLOOKUP(D140,Poeng!$B$10:$BK$252,Poeng!BK$1,FALSE)</f>
        <v>N/A</v>
      </c>
      <c r="Y140" s="75"/>
      <c r="Z140" s="74"/>
      <c r="AA140" s="638"/>
      <c r="AD140" s="20">
        <f t="shared" si="12"/>
        <v>1</v>
      </c>
      <c r="AE140" s="1" t="e">
        <f>VLOOKUP(L140,'Assessment Details'!$O$45:$P$48,2,FALSE)</f>
        <v>#N/A</v>
      </c>
      <c r="AF140" s="1" t="e">
        <f>VLOOKUP(S140,'Assessment Details'!$O$45:$P$48,2,FALSE)</f>
        <v>#N/A</v>
      </c>
      <c r="AG140" s="1" t="e">
        <f>VLOOKUP(Z140,'Assessment Details'!$O$45:$P$48,2,FALSE)</f>
        <v>#N/A</v>
      </c>
    </row>
    <row r="141" spans="1:53" x14ac:dyDescent="0.25">
      <c r="A141" s="893">
        <v>132</v>
      </c>
      <c r="B141" s="894" t="s">
        <v>67</v>
      </c>
      <c r="C141" s="802" t="s">
        <v>478</v>
      </c>
      <c r="D141" s="717" t="s">
        <v>478</v>
      </c>
      <c r="E141" s="1077"/>
      <c r="F141" s="750" t="str">
        <f>VLOOKUP(D141,Poeng!$B$10:$R$252,Poeng!E$1,FALSE)</f>
        <v>Mat 07 Design for disassembly and adaptability</v>
      </c>
      <c r="G141" s="755">
        <f>VLOOKUP(D141,Poeng!$B$10:$AB$252,Poeng!AB$1,FALSE)</f>
        <v>3</v>
      </c>
      <c r="H141" s="847"/>
      <c r="I141" s="756" t="str">
        <f>VLOOKUP(D141,Poeng!$B$10:$AI$252,Poeng!AI$1,FALSE)&amp;" c. "&amp;ROUND(VLOOKUP(D141,Poeng!$B$10:$AE$252,Poeng!AE$1,FALSE)*100,1)&amp;" %"</f>
        <v>0 c. 0 %</v>
      </c>
      <c r="J141" s="802" t="str">
        <f>VLOOKUP(D141,Poeng!$B$10:$BE$252,Poeng!BE$1,FALSE)</f>
        <v>N/A</v>
      </c>
      <c r="K141" s="74"/>
      <c r="L141" s="242"/>
      <c r="M141" s="694"/>
      <c r="N141" s="712"/>
      <c r="O141" s="847"/>
      <c r="P141" s="766" t="str">
        <f>VLOOKUP(D141,Poeng!$B$10:$BC$252,Poeng!AJ$1,FALSE)&amp;" c. "&amp;ROUND(VLOOKUP(D141,Poeng!$B$10:$BC$252,Poeng!AF$1,FALSE)*100,1)&amp;" %"</f>
        <v>0 c. 0 %</v>
      </c>
      <c r="Q141" s="108" t="str">
        <f>VLOOKUP(D141,Poeng!$B$10:$BH$252,Poeng!BH$1,FALSE)</f>
        <v>N/A</v>
      </c>
      <c r="R141" s="644"/>
      <c r="S141" s="645"/>
      <c r="T141" s="638"/>
      <c r="U141" s="277"/>
      <c r="V141" s="847"/>
      <c r="W141" s="766" t="str">
        <f>VLOOKUP(D141,Poeng!$B$10:$BC$252,Poeng!AK$1,FALSE)&amp;" c. "&amp;ROUND(VLOOKUP(D141,Poeng!$B$10:$BC$252,Poeng!AG$1,FALSE)*100,1)&amp;" %"</f>
        <v>0 c. 0 %</v>
      </c>
      <c r="X141" s="108" t="str">
        <f>VLOOKUP(D141,Poeng!$B$10:$BK$252,Poeng!BK$1,FALSE)</f>
        <v>N/A</v>
      </c>
      <c r="Y141" s="75"/>
      <c r="Z141" s="74"/>
      <c r="AA141" s="638"/>
      <c r="AB141" s="117"/>
      <c r="AC141" s="620"/>
      <c r="AD141" s="20">
        <f t="shared" si="12"/>
        <v>1</v>
      </c>
      <c r="AE141" s="1" t="e">
        <f>VLOOKUP(L141,'Assessment Details'!$O$45:$P$48,2,FALSE)</f>
        <v>#N/A</v>
      </c>
      <c r="AF141" s="1" t="e">
        <f>VLOOKUP(S141,'Assessment Details'!$O$45:$P$48,2,FALSE)</f>
        <v>#N/A</v>
      </c>
      <c r="AG141" s="1" t="e">
        <f>VLOOKUP(Z141,'Assessment Details'!$O$45:$P$48,2,FALSE)</f>
        <v>#N/A</v>
      </c>
      <c r="AJ141" s="64"/>
      <c r="AK141" s="583"/>
      <c r="AL141" s="562"/>
      <c r="AM141" s="562"/>
      <c r="AN141" s="562"/>
      <c r="AO141" s="64"/>
      <c r="AP141" s="64"/>
      <c r="AQ141" s="64"/>
      <c r="AT141" s="20"/>
      <c r="AU141" s="20"/>
      <c r="AV141" s="20"/>
      <c r="AW141" s="20"/>
      <c r="AX141" s="20"/>
      <c r="AY141" s="20"/>
      <c r="BA141" s="621"/>
    </row>
    <row r="142" spans="1:53" x14ac:dyDescent="0.25">
      <c r="A142" s="893">
        <v>133</v>
      </c>
      <c r="B142" s="894" t="s">
        <v>67</v>
      </c>
      <c r="C142" s="109" t="str">
        <f t="shared" si="19"/>
        <v>Mat 07</v>
      </c>
      <c r="D142" s="16" t="s">
        <v>785</v>
      </c>
      <c r="E142" s="1078">
        <v>1</v>
      </c>
      <c r="F142" s="751" t="str">
        <f>VLOOKUP(D142,Poeng!$B$10:$R$252,Poeng!E$1,FALSE)</f>
        <v>Resource inventory</v>
      </c>
      <c r="G142" s="107">
        <f>VLOOKUP(D142,Poeng!$B$10:$AB$252,Poeng!AB$1,FALSE)</f>
        <v>1</v>
      </c>
      <c r="H142" s="37"/>
      <c r="I142" s="108">
        <f>VLOOKUP(D142,Poeng!$B$10:$AE$252,Poeng!AE$1,FALSE)</f>
        <v>0</v>
      </c>
      <c r="J142" s="109" t="str">
        <f>VLOOKUP(D142,Poeng!$B$10:$BE$252,Poeng!BE$1,FALSE)</f>
        <v>N/A</v>
      </c>
      <c r="K142" s="74"/>
      <c r="L142" s="242"/>
      <c r="M142" s="694"/>
      <c r="N142" s="712"/>
      <c r="O142" s="77"/>
      <c r="P142" s="108">
        <f>VLOOKUP(D142,Poeng!$B$10:$BC$252,Poeng!AF$1,FALSE)</f>
        <v>0</v>
      </c>
      <c r="Q142" s="108" t="str">
        <f>VLOOKUP(D142,Poeng!$B$10:$BH$252,Poeng!BH$1,FALSE)</f>
        <v>N/A</v>
      </c>
      <c r="R142" s="644"/>
      <c r="S142" s="645"/>
      <c r="T142" s="638"/>
      <c r="U142" s="277"/>
      <c r="V142" s="77"/>
      <c r="W142" s="108">
        <f>VLOOKUP(D142,Poeng!$B$10:$BC$252,Poeng!AG$1,FALSE)</f>
        <v>0</v>
      </c>
      <c r="X142" s="108" t="str">
        <f>VLOOKUP(D142,Poeng!$B$10:$BK$252,Poeng!BK$1,FALSE)</f>
        <v>N/A</v>
      </c>
      <c r="Y142" s="75"/>
      <c r="Z142" s="74"/>
      <c r="AA142" s="638"/>
      <c r="AD142" s="20">
        <f t="shared" si="12"/>
        <v>1</v>
      </c>
      <c r="AE142" s="1" t="e">
        <f>VLOOKUP(L142,'Assessment Details'!$O$45:$P$48,2,FALSE)</f>
        <v>#N/A</v>
      </c>
      <c r="AF142" s="1" t="e">
        <f>VLOOKUP(S142,'Assessment Details'!$O$45:$P$48,2,FALSE)</f>
        <v>#N/A</v>
      </c>
      <c r="AG142" s="1" t="e">
        <f>VLOOKUP(Z142,'Assessment Details'!$O$45:$P$48,2,FALSE)</f>
        <v>#N/A</v>
      </c>
    </row>
    <row r="143" spans="1:53" ht="30" x14ac:dyDescent="0.25">
      <c r="A143" s="893">
        <v>134</v>
      </c>
      <c r="B143" s="894" t="s">
        <v>67</v>
      </c>
      <c r="C143" s="901" t="str">
        <f t="shared" si="19"/>
        <v>Mat 07</v>
      </c>
      <c r="D143" s="16" t="s">
        <v>786</v>
      </c>
      <c r="E143" s="1091" t="s">
        <v>1168</v>
      </c>
      <c r="F143" s="888" t="str">
        <f>VLOOKUP(D143,Poeng!$B$10:$R$252,Poeng!E$1,FALSE)</f>
        <v>Design for disassembly and functional adaptability - recommendations (EU taxonomy requirement: criterion 2-3)</v>
      </c>
      <c r="G143" s="107">
        <f>VLOOKUP(D143,Poeng!$B$10:$AB$252,Poeng!AB$1,FALSE)</f>
        <v>1</v>
      </c>
      <c r="H143" s="37"/>
      <c r="I143" s="108">
        <f>VLOOKUP(D143,Poeng!$B$10:$AE$252,Poeng!AE$1,FALSE)</f>
        <v>0</v>
      </c>
      <c r="J143" s="109" t="str">
        <f>VLOOKUP(D143,Poeng!$B$10:$BE$252,Poeng!BE$1,FALSE)</f>
        <v>Very Good</v>
      </c>
      <c r="K143" s="74"/>
      <c r="L143" s="242"/>
      <c r="M143" s="694"/>
      <c r="N143" s="712"/>
      <c r="O143" s="77"/>
      <c r="P143" s="108">
        <f>VLOOKUP(D143,Poeng!$B$10:$BC$252,Poeng!AF$1,FALSE)</f>
        <v>0</v>
      </c>
      <c r="Q143" s="108" t="str">
        <f>VLOOKUP(D143,Poeng!$B$10:$BH$252,Poeng!BH$1,FALSE)</f>
        <v>Very Good</v>
      </c>
      <c r="R143" s="644"/>
      <c r="S143" s="645"/>
      <c r="T143" s="638"/>
      <c r="U143" s="277"/>
      <c r="V143" s="77"/>
      <c r="W143" s="108">
        <f>VLOOKUP(D143,Poeng!$B$10:$BC$252,Poeng!AG$1,FALSE)</f>
        <v>0</v>
      </c>
      <c r="X143" s="108" t="str">
        <f>VLOOKUP(D143,Poeng!$B$10:$BK$252,Poeng!BK$1,FALSE)</f>
        <v>Very Good</v>
      </c>
      <c r="Y143" s="75"/>
      <c r="Z143" s="74"/>
      <c r="AA143" s="638"/>
      <c r="AD143" s="20">
        <f t="shared" ref="AD143:AD211" si="21">IF(G143="",1,IF(G143=0,2,1))</f>
        <v>1</v>
      </c>
      <c r="AE143" s="1" t="e">
        <f>VLOOKUP(L143,'Assessment Details'!$O$45:$P$48,2,FALSE)</f>
        <v>#N/A</v>
      </c>
      <c r="AF143" s="1" t="e">
        <f>VLOOKUP(S143,'Assessment Details'!$O$45:$P$48,2,FALSE)</f>
        <v>#N/A</v>
      </c>
      <c r="AG143" s="1" t="e">
        <f>VLOOKUP(Z143,'Assessment Details'!$O$45:$P$48,2,FALSE)</f>
        <v>#N/A</v>
      </c>
    </row>
    <row r="144" spans="1:53" ht="30" x14ac:dyDescent="0.25">
      <c r="A144" s="893">
        <v>135</v>
      </c>
      <c r="B144" s="894" t="s">
        <v>67</v>
      </c>
      <c r="C144" s="109" t="str">
        <f t="shared" si="19"/>
        <v>Mat 07</v>
      </c>
      <c r="D144" s="16" t="s">
        <v>787</v>
      </c>
      <c r="E144" s="1079" t="s">
        <v>1170</v>
      </c>
      <c r="F144" s="888" t="str">
        <f>VLOOKUP(D144,Poeng!$B$10:$R$252,Poeng!E$1,FALSE)</f>
        <v>Disassembly and functional adaptability - implementation (EU taxonomy requirement: criterion 4-6)</v>
      </c>
      <c r="G144" s="107">
        <f>VLOOKUP(D144,Poeng!$B$10:$AB$252,Poeng!AB$1,FALSE)</f>
        <v>1</v>
      </c>
      <c r="H144" s="37"/>
      <c r="I144" s="108">
        <f>VLOOKUP(D144,Poeng!$B$10:$AE$252,Poeng!AE$1,FALSE)</f>
        <v>0</v>
      </c>
      <c r="J144" s="109" t="str">
        <f>VLOOKUP(D144,Poeng!$B$10:$BE$252,Poeng!BE$1,FALSE)</f>
        <v>Very Good</v>
      </c>
      <c r="K144" s="74"/>
      <c r="L144" s="242"/>
      <c r="M144" s="694"/>
      <c r="N144" s="712"/>
      <c r="O144" s="77"/>
      <c r="P144" s="108">
        <f>VLOOKUP(D144,Poeng!$B$10:$BC$252,Poeng!AF$1,FALSE)</f>
        <v>0</v>
      </c>
      <c r="Q144" s="108" t="str">
        <f>VLOOKUP(D144,Poeng!$B$10:$BH$252,Poeng!BH$1,FALSE)</f>
        <v>Very Good</v>
      </c>
      <c r="R144" s="644"/>
      <c r="S144" s="645"/>
      <c r="T144" s="638"/>
      <c r="U144" s="277"/>
      <c r="V144" s="77"/>
      <c r="W144" s="108">
        <f>VLOOKUP(D144,Poeng!$B$10:$BC$252,Poeng!AG$1,FALSE)</f>
        <v>0</v>
      </c>
      <c r="X144" s="108" t="str">
        <f>VLOOKUP(D144,Poeng!$B$10:$BK$252,Poeng!BK$1,FALSE)</f>
        <v>Very Good</v>
      </c>
      <c r="Y144" s="75"/>
      <c r="Z144" s="74"/>
      <c r="AA144" s="638"/>
      <c r="AD144" s="20">
        <f t="shared" si="21"/>
        <v>1</v>
      </c>
      <c r="AE144" s="1" t="e">
        <f>VLOOKUP(L144,'Assessment Details'!$O$45:$P$48,2,FALSE)</f>
        <v>#N/A</v>
      </c>
      <c r="AF144" s="1" t="e">
        <f>VLOOKUP(S144,'Assessment Details'!$O$45:$P$48,2,FALSE)</f>
        <v>#N/A</v>
      </c>
      <c r="AG144" s="1" t="e">
        <f>VLOOKUP(Z144,'Assessment Details'!$O$45:$P$48,2,FALSE)</f>
        <v>#N/A</v>
      </c>
    </row>
    <row r="145" spans="1:53" ht="15.75" thickBot="1" x14ac:dyDescent="0.3">
      <c r="A145" s="893">
        <v>136</v>
      </c>
      <c r="B145" s="894" t="s">
        <v>67</v>
      </c>
      <c r="C145" s="897"/>
      <c r="D145" s="717" t="s">
        <v>886</v>
      </c>
      <c r="E145" s="1082"/>
      <c r="F145" s="278" t="s">
        <v>107</v>
      </c>
      <c r="G145" s="110">
        <f>Mat_Credits</f>
        <v>21</v>
      </c>
      <c r="H145" s="115"/>
      <c r="I145" s="111">
        <f>Mat_cont_tot</f>
        <v>0</v>
      </c>
      <c r="J145" s="757" t="str">
        <f>"Credits achieved: "&amp;Mat_tot_user</f>
        <v>Credits achieved: 0</v>
      </c>
      <c r="K145" s="118"/>
      <c r="L145" s="243"/>
      <c r="M145" s="646"/>
      <c r="N145" s="712"/>
      <c r="O145" s="335"/>
      <c r="P145" s="111">
        <f>VLOOKUP(D145,Poeng!$B$10:$BC$252,Poeng!AF$1,FALSE)</f>
        <v>0</v>
      </c>
      <c r="Q145" s="757" t="str">
        <f>"Credits achieved: "&amp;Mat_c_user</f>
        <v>Credits achieved: 0</v>
      </c>
      <c r="R145" s="647"/>
      <c r="S145" s="648"/>
      <c r="T145" s="646"/>
      <c r="U145" s="277"/>
      <c r="V145" s="335"/>
      <c r="W145" s="111">
        <f>VLOOKUP(D145,Poeng!$B$10:$BC$252,Poeng!AG$1,FALSE)</f>
        <v>0</v>
      </c>
      <c r="X145" s="757" t="str">
        <f>"Credits achieved: "&amp;Mat_d_user</f>
        <v>Credits achieved: 0</v>
      </c>
      <c r="Y145" s="334"/>
      <c r="Z145" s="120"/>
      <c r="AA145" s="646"/>
      <c r="AB145" s="117"/>
      <c r="AC145" s="557"/>
      <c r="AD145" s="20">
        <f t="shared" si="21"/>
        <v>1</v>
      </c>
      <c r="AE145" s="239">
        <v>0</v>
      </c>
      <c r="AF145" s="239">
        <v>0</v>
      </c>
      <c r="AG145" s="239">
        <v>0</v>
      </c>
      <c r="AJ145" s="64"/>
      <c r="AK145" s="583" t="s">
        <v>107</v>
      </c>
      <c r="AL145" s="64"/>
      <c r="AM145" s="64"/>
      <c r="AN145" s="64"/>
      <c r="AO145" s="64"/>
      <c r="AP145" s="64"/>
      <c r="AQ145" s="64"/>
      <c r="AT145" s="20" t="str">
        <f t="shared" si="13"/>
        <v>N/A</v>
      </c>
      <c r="AU145" s="20" t="str">
        <f t="shared" si="14"/>
        <v>N/A</v>
      </c>
      <c r="AV145" s="20" t="str">
        <f t="shared" si="15"/>
        <v>N/A</v>
      </c>
      <c r="AW145" s="20"/>
      <c r="AX145" s="20"/>
      <c r="AY145" s="20"/>
      <c r="BA145" s="557"/>
    </row>
    <row r="146" spans="1:53" x14ac:dyDescent="0.25">
      <c r="A146" s="893">
        <v>137</v>
      </c>
      <c r="B146" s="894" t="s">
        <v>67</v>
      </c>
      <c r="C146" s="899"/>
      <c r="D146" s="717"/>
      <c r="E146" s="1081"/>
      <c r="F146" s="291"/>
      <c r="G146" s="280"/>
      <c r="H146" s="281"/>
      <c r="I146" s="280"/>
      <c r="J146" s="280"/>
      <c r="K146" s="282"/>
      <c r="L146" s="281"/>
      <c r="M146" s="649"/>
      <c r="N146" s="712"/>
      <c r="O146" s="283"/>
      <c r="P146" s="283"/>
      <c r="Q146" s="649"/>
      <c r="R146" s="649"/>
      <c r="S146" s="650"/>
      <c r="T146" s="649"/>
      <c r="U146" s="277"/>
      <c r="V146" s="283"/>
      <c r="W146" s="283"/>
      <c r="X146" s="649"/>
      <c r="Y146" s="282"/>
      <c r="Z146" s="283"/>
      <c r="AA146" s="649"/>
      <c r="AB146" s="117"/>
      <c r="AC146" s="282"/>
      <c r="AD146" s="20">
        <f t="shared" si="21"/>
        <v>1</v>
      </c>
      <c r="AE146" s="240">
        <v>0</v>
      </c>
      <c r="AF146" s="240">
        <v>0</v>
      </c>
      <c r="AG146" s="240">
        <v>0</v>
      </c>
      <c r="AJ146" s="64"/>
      <c r="AK146" s="583"/>
      <c r="AL146" s="64"/>
      <c r="AM146" s="64"/>
      <c r="AN146" s="64"/>
      <c r="AO146" s="64"/>
      <c r="AP146" s="64"/>
      <c r="AQ146" s="64"/>
      <c r="AT146" s="20" t="str">
        <f t="shared" si="13"/>
        <v>N/A</v>
      </c>
      <c r="AU146" s="20" t="str">
        <f t="shared" si="14"/>
        <v>N/A</v>
      </c>
      <c r="AV146" s="20" t="str">
        <f t="shared" si="15"/>
        <v>N/A</v>
      </c>
      <c r="AW146" s="20"/>
      <c r="AX146" s="20"/>
      <c r="AY146" s="20"/>
      <c r="BA146" s="282"/>
    </row>
    <row r="147" spans="1:53" ht="18.75" x14ac:dyDescent="0.25">
      <c r="A147" s="893">
        <v>138</v>
      </c>
      <c r="B147" s="894" t="s">
        <v>68</v>
      </c>
      <c r="C147" s="900"/>
      <c r="D147" s="717"/>
      <c r="E147" s="1083"/>
      <c r="F147" s="292" t="s">
        <v>55</v>
      </c>
      <c r="G147" s="273"/>
      <c r="H147" s="274"/>
      <c r="I147" s="293"/>
      <c r="J147" s="273"/>
      <c r="K147" s="285"/>
      <c r="L147" s="286"/>
      <c r="M147" s="652"/>
      <c r="N147" s="712"/>
      <c r="O147" s="296"/>
      <c r="P147" s="289"/>
      <c r="Q147" s="642"/>
      <c r="R147" s="653"/>
      <c r="S147" s="654"/>
      <c r="T147" s="655"/>
      <c r="U147" s="277"/>
      <c r="V147" s="296"/>
      <c r="W147" s="295"/>
      <c r="X147" s="642"/>
      <c r="Y147" s="285"/>
      <c r="Z147" s="295"/>
      <c r="AA147" s="652"/>
      <c r="AB147" s="117"/>
      <c r="AC147" s="294"/>
      <c r="AD147" s="20">
        <f t="shared" si="21"/>
        <v>1</v>
      </c>
      <c r="AE147" s="238">
        <v>0</v>
      </c>
      <c r="AF147" s="238">
        <v>0</v>
      </c>
      <c r="AG147" s="238">
        <v>0</v>
      </c>
      <c r="AJ147" s="64"/>
      <c r="AK147" s="583" t="s">
        <v>55</v>
      </c>
      <c r="AL147" s="64"/>
      <c r="AM147" s="64"/>
      <c r="AN147" s="64"/>
      <c r="AO147" s="64"/>
      <c r="AP147" s="64"/>
      <c r="AQ147" s="64"/>
      <c r="AT147" s="20" t="str">
        <f t="shared" si="13"/>
        <v>N/A</v>
      </c>
      <c r="AU147" s="20" t="str">
        <f t="shared" si="14"/>
        <v>N/A</v>
      </c>
      <c r="AV147" s="20" t="str">
        <f t="shared" si="15"/>
        <v>N/A</v>
      </c>
      <c r="AW147" s="20"/>
      <c r="AX147" s="20"/>
      <c r="AY147" s="20"/>
      <c r="BA147" s="294"/>
    </row>
    <row r="148" spans="1:53" x14ac:dyDescent="0.25">
      <c r="A148" s="893">
        <v>139</v>
      </c>
      <c r="B148" s="894" t="s">
        <v>68</v>
      </c>
      <c r="C148" s="802" t="s">
        <v>176</v>
      </c>
      <c r="D148" s="717" t="s">
        <v>176</v>
      </c>
      <c r="E148" s="1077"/>
      <c r="F148" s="750" t="str">
        <f>VLOOKUP(D148,Poeng!$B$10:$R$252,Poeng!E$1,FALSE)</f>
        <v>Wst 01 Construction waste management</v>
      </c>
      <c r="G148" s="755">
        <f>VLOOKUP(D148,Poeng!$B$10:$AB$252,Poeng!AB$1,FALSE)</f>
        <v>5</v>
      </c>
      <c r="H148" s="846"/>
      <c r="I148" s="756" t="str">
        <f>VLOOKUP(D148,Poeng!$B$10:$AI$252,Poeng!AI$1,FALSE)&amp;" c. "&amp;ROUND(VLOOKUP(D148,Poeng!$B$10:$AE$252,Poeng!AE$1,FALSE)*100,1)&amp;" %"</f>
        <v>0 c. 0 %</v>
      </c>
      <c r="J148" s="801" t="str">
        <f>VLOOKUP(D148,Poeng!$B$10:$BE$252,Poeng!BE$1,FALSE)</f>
        <v>N/A</v>
      </c>
      <c r="K148" s="763"/>
      <c r="L148" s="764"/>
      <c r="M148" s="765"/>
      <c r="N148" s="712"/>
      <c r="O148" s="847"/>
      <c r="P148" s="905" t="str">
        <f>VLOOKUP(D148,Poeng!$B$10:$BC$252,Poeng!AJ$1,FALSE)&amp;" c. "&amp;ROUND(VLOOKUP(D148,Poeng!$B$10:$BC$252,Poeng!AF$1,FALSE)*100,1)&amp;" %"</f>
        <v>0 c. 0 %</v>
      </c>
      <c r="Q148" s="108" t="str">
        <f>VLOOKUP(D148,Poeng!$B$10:$BH$252,Poeng!BH$1,FALSE)</f>
        <v>N/A</v>
      </c>
      <c r="R148" s="644"/>
      <c r="S148" s="645"/>
      <c r="T148" s="638"/>
      <c r="U148" s="277"/>
      <c r="V148" s="847"/>
      <c r="W148" s="766" t="str">
        <f>VLOOKUP(D148,Poeng!$B$10:$BC$252,Poeng!AK$1,FALSE)&amp;" c. "&amp;ROUND(VLOOKUP(D148,Poeng!$B$10:$BC$252,Poeng!AG$1,FALSE)*100,1)&amp;" %"</f>
        <v>0 c. 0 %</v>
      </c>
      <c r="X148" s="108" t="str">
        <f>VLOOKUP(D148,Poeng!$B$10:$BK$252,Poeng!BK$1,FALSE)</f>
        <v>N/A</v>
      </c>
      <c r="Y148" s="75"/>
      <c r="Z148" s="74"/>
      <c r="AA148" s="638"/>
      <c r="AB148" s="117"/>
      <c r="AC148" s="556" t="s">
        <v>13</v>
      </c>
      <c r="AD148" s="20">
        <f t="shared" si="21"/>
        <v>1</v>
      </c>
      <c r="AE148" s="1" t="e">
        <f>VLOOKUP(L148,'Assessment Details'!$O$45:$P$48,2,FALSE)</f>
        <v>#N/A</v>
      </c>
      <c r="AF148" s="1" t="e">
        <f>VLOOKUP(S148,'Assessment Details'!$O$45:$P$48,2,FALSE)</f>
        <v>#N/A</v>
      </c>
      <c r="AG148" s="1" t="e">
        <f>VLOOKUP(Z148,'Assessment Details'!$O$45:$P$48,2,FALSE)</f>
        <v>#N/A</v>
      </c>
      <c r="AJ148" s="64"/>
      <c r="AK148" s="583" t="s">
        <v>158</v>
      </c>
      <c r="AL148" s="64"/>
      <c r="AM148" s="64"/>
      <c r="AN148" s="64"/>
      <c r="AO148" s="64"/>
      <c r="AP148" s="64"/>
      <c r="AQ148" s="64"/>
      <c r="AT148" s="20" t="str">
        <f t="shared" si="13"/>
        <v>N/A</v>
      </c>
      <c r="AU148" s="20" t="str">
        <f t="shared" si="14"/>
        <v>N/A</v>
      </c>
      <c r="AV148" s="20" t="str">
        <f t="shared" si="15"/>
        <v>N/A</v>
      </c>
      <c r="AW148" s="20"/>
      <c r="AX148" s="20"/>
      <c r="AY148" s="20"/>
      <c r="BA148" s="556"/>
    </row>
    <row r="149" spans="1:53" x14ac:dyDescent="0.25">
      <c r="A149" s="893">
        <v>140</v>
      </c>
      <c r="B149" s="894" t="s">
        <v>68</v>
      </c>
      <c r="C149" s="109" t="str">
        <f>C148</f>
        <v>Wst 01</v>
      </c>
      <c r="D149" s="717" t="s">
        <v>788</v>
      </c>
      <c r="E149" s="1079" t="s">
        <v>1181</v>
      </c>
      <c r="F149" s="751" t="str">
        <f>VLOOKUP(D149,Poeng!$B$10:$R$258,Poeng!E$1,FALSE)</f>
        <v>Resource managment plan</v>
      </c>
      <c r="G149" s="107">
        <f>VLOOKUP(D149,Poeng!$B$10:$AB$258,Poeng!AB$1,FALSE)</f>
        <v>1</v>
      </c>
      <c r="H149" s="37"/>
      <c r="I149" s="108">
        <f>VLOOKUP(D149,Poeng!$B$10:$AE$258,Poeng!AE$1,FALSE)</f>
        <v>0</v>
      </c>
      <c r="J149" s="109" t="str">
        <f>VLOOKUP(D149,Poeng!$B$10:$BE$258,Poeng!BE$1,FALSE)</f>
        <v>Good</v>
      </c>
      <c r="K149" s="926"/>
      <c r="L149" s="927"/>
      <c r="M149" s="928"/>
      <c r="N149" s="712"/>
      <c r="O149" s="77"/>
      <c r="P149" s="108">
        <f>VLOOKUP(D149,Poeng!$B$10:$BC$258,Poeng!AF$1,FALSE)</f>
        <v>0</v>
      </c>
      <c r="Q149" s="108" t="str">
        <f>VLOOKUP(D149,Poeng!$B$10:$BH$258,Poeng!BH$1,FALSE)</f>
        <v>Good</v>
      </c>
      <c r="R149" s="644"/>
      <c r="S149" s="645"/>
      <c r="T149" s="638"/>
      <c r="U149" s="277"/>
      <c r="V149" s="77"/>
      <c r="W149" s="108">
        <f>VLOOKUP(D149,Poeng!$B$10:$BC$258,Poeng!AG$1,FALSE)</f>
        <v>0</v>
      </c>
      <c r="X149" s="108" t="str">
        <f>VLOOKUP(D149,Poeng!$B$10:$BK$258,Poeng!BK$1,FALSE)</f>
        <v>Good</v>
      </c>
      <c r="Y149" s="75"/>
      <c r="Z149" s="74"/>
      <c r="AA149" s="638"/>
      <c r="AB149" s="117"/>
      <c r="AC149" s="754"/>
      <c r="AD149" s="20">
        <f t="shared" ref="AD149" si="22">IF(G149="",1,IF(G149=0,2,1))</f>
        <v>1</v>
      </c>
      <c r="AE149" s="1" t="e">
        <f>VLOOKUP(L149,'Assessment Details'!$O$45:$P$48,2,FALSE)</f>
        <v>#N/A</v>
      </c>
      <c r="AF149" s="1" t="e">
        <f>VLOOKUP(S149,'Assessment Details'!$O$45:$P$48,2,FALSE)</f>
        <v>#N/A</v>
      </c>
      <c r="AG149" s="1" t="e">
        <f>VLOOKUP(Z149,'Assessment Details'!$O$45:$P$48,2,FALSE)</f>
        <v>#N/A</v>
      </c>
      <c r="AT149" s="20"/>
      <c r="AU149" s="20"/>
      <c r="AV149" s="20"/>
      <c r="AW149" s="20"/>
      <c r="AX149" s="20"/>
      <c r="AY149" s="20"/>
      <c r="BA149" s="754"/>
    </row>
    <row r="150" spans="1:53" x14ac:dyDescent="0.25">
      <c r="A150" s="893">
        <v>141</v>
      </c>
      <c r="B150" s="894" t="s">
        <v>68</v>
      </c>
      <c r="C150" s="109" t="str">
        <f>C148</f>
        <v>Wst 01</v>
      </c>
      <c r="D150" s="16" t="s">
        <v>1021</v>
      </c>
      <c r="E150" s="1078">
        <v>1</v>
      </c>
      <c r="F150" s="1042" t="str">
        <f>VLOOKUP(D150,Poeng!$B$10:$R$258,Poeng!E$1,FALSE)</f>
        <v>EU taxonomy requirement: criterion 1</v>
      </c>
      <c r="G150" s="107" t="str">
        <f>VLOOKUP(D150,Poeng!$B$10:$AB$258,Poeng!AB$1,FALSE)</f>
        <v>Yes/No</v>
      </c>
      <c r="H150" s="37"/>
      <c r="I150" s="108" t="str">
        <f>VLOOKUP(D150,Poeng!$B$10:$AE$258,Poeng!AE$1,FALSE)</f>
        <v>-</v>
      </c>
      <c r="J150" s="109" t="str">
        <f>VLOOKUP(D150,Poeng!$B$10:$BE$258,Poeng!BE$1,FALSE)</f>
        <v>N/A</v>
      </c>
      <c r="K150" s="74"/>
      <c r="L150" s="242"/>
      <c r="M150" s="694"/>
      <c r="N150" s="712"/>
      <c r="O150" s="77"/>
      <c r="P150" s="108" t="str">
        <f>VLOOKUP(D150,Poeng!$B$10:$BC$258,Poeng!AF$1,FALSE)</f>
        <v>-</v>
      </c>
      <c r="Q150" s="108" t="str">
        <f>VLOOKUP(D150,Poeng!$B$10:$BH$258,Poeng!BH$1,FALSE)</f>
        <v>N/A</v>
      </c>
      <c r="R150" s="644"/>
      <c r="S150" s="645"/>
      <c r="T150" s="638"/>
      <c r="U150" s="277"/>
      <c r="V150" s="77"/>
      <c r="W150" s="108" t="str">
        <f>VLOOKUP(D150,Poeng!$B$10:$BC$258,Poeng!AG$1,FALSE)</f>
        <v>-</v>
      </c>
      <c r="X150" s="108" t="str">
        <f>VLOOKUP(D150,Poeng!$B$10:$BK$258,Poeng!BK$1,FALSE)</f>
        <v>N/A</v>
      </c>
      <c r="Y150" s="75"/>
      <c r="Z150" s="74"/>
      <c r="AA150" s="638"/>
      <c r="AD150" s="20">
        <f t="shared" si="21"/>
        <v>1</v>
      </c>
      <c r="AE150" s="1" t="e">
        <f>VLOOKUP(L150,'Assessment Details'!$O$45:$P$48,2,FALSE)</f>
        <v>#N/A</v>
      </c>
      <c r="AF150" s="1" t="e">
        <f>VLOOKUP(S150,'Assessment Details'!$O$45:$P$48,2,FALSE)</f>
        <v>#N/A</v>
      </c>
      <c r="AG150" s="1" t="e">
        <f>VLOOKUP(Z150,'Assessment Details'!$O$45:$P$48,2,FALSE)</f>
        <v>#N/A</v>
      </c>
    </row>
    <row r="151" spans="1:53" x14ac:dyDescent="0.25">
      <c r="A151" s="893">
        <v>142</v>
      </c>
      <c r="B151" s="894" t="s">
        <v>68</v>
      </c>
      <c r="C151" s="109" t="str">
        <f t="shared" si="19"/>
        <v>Wst 01</v>
      </c>
      <c r="D151" s="16" t="s">
        <v>789</v>
      </c>
      <c r="E151" s="1078">
        <v>3</v>
      </c>
      <c r="F151" s="751" t="str">
        <f>VLOOKUP(D151,Poeng!$B$10:$R$252,Poeng!E$1,FALSE)</f>
        <v>Amount of construction waste</v>
      </c>
      <c r="G151" s="107">
        <f>VLOOKUP(D151,Poeng!$B$10:$AB$252,Poeng!AB$1,FALSE)</f>
        <v>2</v>
      </c>
      <c r="H151" s="37"/>
      <c r="I151" s="108">
        <f>VLOOKUP(D151,Poeng!$B$10:$AE$252,Poeng!AE$1,FALSE)</f>
        <v>0</v>
      </c>
      <c r="J151" s="109" t="str">
        <f>VLOOKUP(D151,Poeng!$B$10:$BE$252,Poeng!BE$1,FALSE)</f>
        <v>Excellent</v>
      </c>
      <c r="K151" s="74"/>
      <c r="L151" s="242"/>
      <c r="M151" s="694"/>
      <c r="N151" s="712"/>
      <c r="O151" s="77"/>
      <c r="P151" s="108">
        <f>VLOOKUP(D151,Poeng!$B$10:$BC$252,Poeng!AF$1,FALSE)</f>
        <v>0</v>
      </c>
      <c r="Q151" s="108" t="str">
        <f>VLOOKUP(D151,Poeng!$B$10:$BH$252,Poeng!BH$1,FALSE)</f>
        <v>Excellent</v>
      </c>
      <c r="R151" s="644"/>
      <c r="S151" s="645"/>
      <c r="T151" s="638"/>
      <c r="U151" s="277"/>
      <c r="V151" s="77"/>
      <c r="W151" s="108">
        <f>VLOOKUP(D151,Poeng!$B$10:$BC$252,Poeng!AG$1,FALSE)</f>
        <v>0</v>
      </c>
      <c r="X151" s="108" t="str">
        <f>VLOOKUP(D151,Poeng!$B$10:$BK$252,Poeng!BK$1,FALSE)</f>
        <v>Excellent</v>
      </c>
      <c r="Y151" s="75"/>
      <c r="Z151" s="74"/>
      <c r="AA151" s="638"/>
      <c r="AD151" s="20">
        <f t="shared" si="21"/>
        <v>1</v>
      </c>
      <c r="AE151" s="1" t="e">
        <f>VLOOKUP(L151,'Assessment Details'!$O$45:$P$48,2,FALSE)</f>
        <v>#N/A</v>
      </c>
      <c r="AF151" s="1" t="e">
        <f>VLOOKUP(S151,'Assessment Details'!$O$45:$P$48,2,FALSE)</f>
        <v>#N/A</v>
      </c>
      <c r="AG151" s="1" t="e">
        <f>VLOOKUP(Z151,'Assessment Details'!$O$45:$P$48,2,FALSE)</f>
        <v>#N/A</v>
      </c>
    </row>
    <row r="152" spans="1:53" x14ac:dyDescent="0.25">
      <c r="A152" s="893">
        <v>143</v>
      </c>
      <c r="B152" s="894" t="s">
        <v>68</v>
      </c>
      <c r="C152" s="109" t="str">
        <f t="shared" si="19"/>
        <v>Wst 01</v>
      </c>
      <c r="D152" s="16" t="s">
        <v>790</v>
      </c>
      <c r="E152" s="1078">
        <v>4</v>
      </c>
      <c r="F152" s="751" t="str">
        <f>VLOOKUP(D152,Poeng!$B$10:$R$252,Poeng!E$1,FALSE)</f>
        <v>Waste sorting, reuse and recycling</v>
      </c>
      <c r="G152" s="107">
        <f>VLOOKUP(D152,Poeng!$B$10:$AB$252,Poeng!AB$1,FALSE)</f>
        <v>2</v>
      </c>
      <c r="H152" s="37"/>
      <c r="I152" s="108">
        <f>VLOOKUP(D152,Poeng!$B$10:$AE$252,Poeng!AE$1,FALSE)</f>
        <v>0</v>
      </c>
      <c r="J152" s="109" t="str">
        <f>VLOOKUP(D152,Poeng!$B$10:$BE$252,Poeng!BE$1,FALSE)</f>
        <v>Very Good</v>
      </c>
      <c r="K152" s="74"/>
      <c r="L152" s="242"/>
      <c r="M152" s="694"/>
      <c r="N152" s="712"/>
      <c r="O152" s="77"/>
      <c r="P152" s="108">
        <f>VLOOKUP(D152,Poeng!$B$10:$BC$252,Poeng!AF$1,FALSE)</f>
        <v>0</v>
      </c>
      <c r="Q152" s="108" t="str">
        <f>VLOOKUP(D152,Poeng!$B$10:$BH$252,Poeng!BH$1,FALSE)</f>
        <v>Very Good</v>
      </c>
      <c r="R152" s="644"/>
      <c r="S152" s="645"/>
      <c r="T152" s="638"/>
      <c r="U152" s="277"/>
      <c r="V152" s="77"/>
      <c r="W152" s="108">
        <f>VLOOKUP(D152,Poeng!$B$10:$BC$252,Poeng!AG$1,FALSE)</f>
        <v>0</v>
      </c>
      <c r="X152" s="108" t="str">
        <f>VLOOKUP(D152,Poeng!$B$10:$BK$252,Poeng!BK$1,FALSE)</f>
        <v>Very Good</v>
      </c>
      <c r="Y152" s="75"/>
      <c r="Z152" s="74"/>
      <c r="AA152" s="638"/>
      <c r="AD152" s="20">
        <f t="shared" si="21"/>
        <v>1</v>
      </c>
      <c r="AE152" s="1" t="e">
        <f>VLOOKUP(L152,'Assessment Details'!$O$45:$P$48,2,FALSE)</f>
        <v>#N/A</v>
      </c>
      <c r="AF152" s="1" t="e">
        <f>VLOOKUP(S152,'Assessment Details'!$O$45:$P$48,2,FALSE)</f>
        <v>#N/A</v>
      </c>
      <c r="AG152" s="1" t="e">
        <f>VLOOKUP(Z152,'Assessment Details'!$O$45:$P$48,2,FALSE)</f>
        <v>#N/A</v>
      </c>
    </row>
    <row r="153" spans="1:53" x14ac:dyDescent="0.25">
      <c r="A153" s="893">
        <v>144</v>
      </c>
      <c r="B153" s="894" t="s">
        <v>68</v>
      </c>
      <c r="C153" s="109" t="str">
        <f t="shared" si="19"/>
        <v>Wst 01</v>
      </c>
      <c r="D153" s="16" t="s">
        <v>979</v>
      </c>
      <c r="E153" s="1078">
        <v>4</v>
      </c>
      <c r="F153" s="1042" t="str">
        <f>VLOOKUP(D153,Poeng!$B$10:$R$252,Poeng!E$1,FALSE)</f>
        <v>EU taxonomy requirement: criterion 4, ready for reuse &gt;70%</v>
      </c>
      <c r="G153" s="107" t="str">
        <f>VLOOKUP(D153,Poeng!$B$10:$AB$252,Poeng!AB$1,FALSE)</f>
        <v>Yes/No</v>
      </c>
      <c r="H153" s="37"/>
      <c r="I153" s="108" t="str">
        <f>VLOOKUP(D153,Poeng!$B$10:$AE$252,Poeng!AE$1,FALSE)</f>
        <v>-</v>
      </c>
      <c r="J153" s="109" t="str">
        <f>VLOOKUP(D153,Poeng!$B$10:$BE$252,Poeng!BE$1,FALSE)</f>
        <v>Very Good</v>
      </c>
      <c r="K153" s="74"/>
      <c r="L153" s="242"/>
      <c r="M153" s="694"/>
      <c r="N153" s="712"/>
      <c r="O153" s="77"/>
      <c r="P153" s="108" t="str">
        <f>VLOOKUP(D153,Poeng!$B$10:$BC$252,Poeng!AF$1,FALSE)</f>
        <v>-</v>
      </c>
      <c r="Q153" s="108" t="str">
        <f>VLOOKUP(D153,Poeng!$B$10:$BH$252,Poeng!BH$1,FALSE)</f>
        <v>Very Good</v>
      </c>
      <c r="R153" s="644"/>
      <c r="S153" s="645"/>
      <c r="T153" s="638"/>
      <c r="U153" s="277"/>
      <c r="V153" s="77"/>
      <c r="W153" s="108" t="str">
        <f>VLOOKUP(D153,Poeng!$B$10:$BC$252,Poeng!AG$1,FALSE)</f>
        <v>-</v>
      </c>
      <c r="X153" s="108" t="str">
        <f>VLOOKUP(D153,Poeng!$B$10:$BK$252,Poeng!BK$1,FALSE)</f>
        <v>Very Good</v>
      </c>
      <c r="Y153" s="75"/>
      <c r="Z153" s="74"/>
      <c r="AA153" s="638"/>
      <c r="AD153" s="20">
        <f t="shared" ref="AD153" si="23">IF(G153="",1,IF(G153=0,2,1))</f>
        <v>1</v>
      </c>
      <c r="AE153" s="1" t="e">
        <f>VLOOKUP(L153,'Assessment Details'!$O$45:$P$48,2,FALSE)</f>
        <v>#N/A</v>
      </c>
      <c r="AF153" s="1" t="e">
        <f>VLOOKUP(S153,'Assessment Details'!$O$45:$P$48,2,FALSE)</f>
        <v>#N/A</v>
      </c>
      <c r="AG153" s="1" t="e">
        <f>VLOOKUP(Z153,'Assessment Details'!$O$45:$P$48,2,FALSE)</f>
        <v>#N/A</v>
      </c>
    </row>
    <row r="154" spans="1:53" x14ac:dyDescent="0.25">
      <c r="A154" s="893">
        <v>145</v>
      </c>
      <c r="B154" s="894" t="s">
        <v>68</v>
      </c>
      <c r="C154" s="802" t="s">
        <v>372</v>
      </c>
      <c r="D154" s="717" t="s">
        <v>372</v>
      </c>
      <c r="E154" s="1077"/>
      <c r="F154" s="750" t="str">
        <f>VLOOKUP(D154,Poeng!$B$10:$R$252,Poeng!E$1,FALSE)</f>
        <v>Wst 03a Operational waste</v>
      </c>
      <c r="G154" s="755">
        <f>VLOOKUP(D154,Poeng!$B$10:$AB$252,Poeng!AB$1,FALSE)</f>
        <v>1</v>
      </c>
      <c r="H154" s="847"/>
      <c r="I154" s="756" t="str">
        <f>VLOOKUP(D154,Poeng!$B$10:$AI$252,Poeng!AI$1,FALSE)&amp;" c. "&amp;ROUND(VLOOKUP(D154,Poeng!$B$10:$AE$252,Poeng!AE$1,FALSE)*100,1)&amp;" %"</f>
        <v>0 c. 0 %</v>
      </c>
      <c r="J154" s="802" t="str">
        <f>VLOOKUP(D154,Poeng!$B$10:$BE$252,Poeng!BE$1,FALSE)</f>
        <v>N/A</v>
      </c>
      <c r="K154" s="74"/>
      <c r="L154" s="242"/>
      <c r="M154" s="694"/>
      <c r="N154" s="712"/>
      <c r="O154" s="847"/>
      <c r="P154" s="766" t="str">
        <f>VLOOKUP(D154,Poeng!$B$10:$BC$252,Poeng!AJ$1,FALSE)&amp;" c. "&amp;ROUND(VLOOKUP(D154,Poeng!$B$10:$BC$252,Poeng!AF$1,FALSE)*100,1)&amp;" %"</f>
        <v>0 c. 0 %</v>
      </c>
      <c r="Q154" s="108" t="str">
        <f>VLOOKUP(D154,Poeng!$B$10:$BH$252,Poeng!BH$1,FALSE)</f>
        <v>N/A</v>
      </c>
      <c r="R154" s="644"/>
      <c r="S154" s="645"/>
      <c r="T154" s="638"/>
      <c r="U154" s="277"/>
      <c r="V154" s="847"/>
      <c r="W154" s="766" t="str">
        <f>VLOOKUP(D154,Poeng!$B$10:$BC$252,Poeng!AK$1,FALSE)&amp;" c. "&amp;ROUND(VLOOKUP(D154,Poeng!$B$10:$BC$252,Poeng!AG$1,FALSE)*100,1)&amp;" %"</f>
        <v>0 c. 0 %</v>
      </c>
      <c r="X154" s="108" t="str">
        <f>VLOOKUP(D154,Poeng!$B$10:$BK$252,Poeng!BK$1,FALSE)</f>
        <v>N/A</v>
      </c>
      <c r="Y154" s="75"/>
      <c r="Z154" s="74"/>
      <c r="AA154" s="638"/>
      <c r="AB154" s="117"/>
      <c r="AC154" s="556" t="s">
        <v>12</v>
      </c>
      <c r="AD154" s="20">
        <f t="shared" si="21"/>
        <v>1</v>
      </c>
      <c r="AE154" s="1" t="e">
        <f>VLOOKUP(L154,'Assessment Details'!$O$45:$P$48,2,FALSE)</f>
        <v>#N/A</v>
      </c>
      <c r="AF154" s="1" t="e">
        <f>VLOOKUP(S154,'Assessment Details'!$O$45:$P$48,2,FALSE)</f>
        <v>#N/A</v>
      </c>
      <c r="AG154" s="1" t="e">
        <f>VLOOKUP(Z154,'Assessment Details'!$O$45:$P$48,2,FALSE)</f>
        <v>#N/A</v>
      </c>
      <c r="AJ154" s="64"/>
      <c r="AK154" s="583" t="s">
        <v>165</v>
      </c>
      <c r="AL154" s="562" t="s">
        <v>12</v>
      </c>
      <c r="AM154" s="562" t="s">
        <v>11</v>
      </c>
      <c r="AN154" s="64"/>
      <c r="AO154" s="64"/>
      <c r="AP154" s="64"/>
      <c r="AQ154" s="64"/>
      <c r="AT154" s="20" t="str">
        <f t="shared" si="13"/>
        <v>N/A</v>
      </c>
      <c r="AU154" s="20" t="str">
        <f t="shared" si="14"/>
        <v>N/A</v>
      </c>
      <c r="AV154" s="20" t="str">
        <f t="shared" si="15"/>
        <v>N/A</v>
      </c>
      <c r="AW154" s="20"/>
      <c r="AX154" s="20"/>
      <c r="AY154" s="20"/>
      <c r="BA154" s="556"/>
    </row>
    <row r="155" spans="1:53" x14ac:dyDescent="0.25">
      <c r="A155" s="893">
        <v>146</v>
      </c>
      <c r="B155" s="894" t="s">
        <v>68</v>
      </c>
      <c r="C155" s="109" t="str">
        <f t="shared" si="19"/>
        <v>Wst 03a</v>
      </c>
      <c r="D155" s="717" t="s">
        <v>791</v>
      </c>
      <c r="E155" s="1079" t="s">
        <v>1178</v>
      </c>
      <c r="F155" s="751" t="str">
        <f>VLOOKUP(D155,Poeng!$B$10:$R$252,Poeng!E$1,FALSE)</f>
        <v>Operational waste</v>
      </c>
      <c r="G155" s="107">
        <f>VLOOKUP(D155,Poeng!$B$10:$AB$252,Poeng!AB$1,FALSE)</f>
        <v>1</v>
      </c>
      <c r="H155" s="37"/>
      <c r="I155" s="108">
        <f>VLOOKUP(D155,Poeng!$B$10:$AE$252,Poeng!AE$1,FALSE)</f>
        <v>0</v>
      </c>
      <c r="J155" s="109" t="str">
        <f>VLOOKUP(D155,Poeng!$B$10:$BE$252,Poeng!BE$1,FALSE)</f>
        <v>Very Good</v>
      </c>
      <c r="K155" s="74"/>
      <c r="L155" s="242"/>
      <c r="M155" s="694"/>
      <c r="N155" s="712"/>
      <c r="O155" s="77"/>
      <c r="P155" s="108">
        <f>VLOOKUP(D155,Poeng!$B$10:$BC$252,Poeng!AF$1,FALSE)</f>
        <v>0</v>
      </c>
      <c r="Q155" s="108" t="str">
        <f>VLOOKUP(D155,Poeng!$B$10:$BH$252,Poeng!BH$1,FALSE)</f>
        <v>Very Good</v>
      </c>
      <c r="R155" s="644"/>
      <c r="S155" s="645"/>
      <c r="T155" s="638"/>
      <c r="U155" s="277"/>
      <c r="V155" s="77"/>
      <c r="W155" s="108">
        <f>VLOOKUP(D155,Poeng!$B$10:$BC$252,Poeng!AG$1,FALSE)</f>
        <v>0</v>
      </c>
      <c r="X155" s="108" t="str">
        <f>VLOOKUP(D155,Poeng!$B$10:$BK$252,Poeng!BK$1,FALSE)</f>
        <v>Very Good</v>
      </c>
      <c r="Y155" s="75"/>
      <c r="Z155" s="74"/>
      <c r="AA155" s="638"/>
      <c r="AB155" s="117"/>
      <c r="AC155" s="556"/>
      <c r="AD155" s="20">
        <f t="shared" si="21"/>
        <v>1</v>
      </c>
      <c r="AE155" s="1" t="e">
        <f>VLOOKUP(L155,'Assessment Details'!$O$45:$P$48,2,FALSE)</f>
        <v>#N/A</v>
      </c>
      <c r="AF155" s="1" t="e">
        <f>VLOOKUP(S155,'Assessment Details'!$O$45:$P$48,2,FALSE)</f>
        <v>#N/A</v>
      </c>
      <c r="AG155" s="1" t="e">
        <f>VLOOKUP(Z155,'Assessment Details'!$O$45:$P$48,2,FALSE)</f>
        <v>#N/A</v>
      </c>
      <c r="AJ155" s="64"/>
      <c r="AK155" s="583"/>
      <c r="AL155" s="562"/>
      <c r="AM155" s="562"/>
      <c r="AN155" s="64"/>
      <c r="AO155" s="64"/>
      <c r="AP155" s="64"/>
      <c r="AQ155" s="64"/>
      <c r="AT155" s="20"/>
      <c r="AU155" s="20"/>
      <c r="AV155" s="20"/>
      <c r="AW155" s="20"/>
      <c r="AX155" s="20"/>
      <c r="AY155" s="20"/>
      <c r="BA155" s="556"/>
    </row>
    <row r="156" spans="1:53" x14ac:dyDescent="0.25">
      <c r="A156" s="893">
        <v>147</v>
      </c>
      <c r="B156" s="894" t="s">
        <v>68</v>
      </c>
      <c r="C156" s="802" t="s">
        <v>374</v>
      </c>
      <c r="D156" s="717" t="s">
        <v>374</v>
      </c>
      <c r="E156" s="1077"/>
      <c r="F156" s="750" t="str">
        <f>VLOOKUP(D156,Poeng!$B$10:$R$252,Poeng!E$1,FALSE)</f>
        <v>Wst 03b Operational waste</v>
      </c>
      <c r="G156" s="755">
        <f>VLOOKUP(D156,Poeng!$B$10:$AB$252,Poeng!AB$1,FALSE)</f>
        <v>0</v>
      </c>
      <c r="H156" s="847"/>
      <c r="I156" s="756" t="str">
        <f>VLOOKUP(D156,Poeng!$B$10:$AI$252,Poeng!AI$1,FALSE)&amp;" c. "&amp;ROUND(VLOOKUP(D156,Poeng!$B$10:$AE$252,Poeng!AE$1,FALSE)*100,1)&amp;" %"</f>
        <v>0 c. 0 %</v>
      </c>
      <c r="J156" s="802" t="str">
        <f>VLOOKUP(D156,Poeng!$B$10:$BE$252,Poeng!BE$1,FALSE)</f>
        <v>N/A</v>
      </c>
      <c r="K156" s="74"/>
      <c r="L156" s="242"/>
      <c r="M156" s="694"/>
      <c r="N156" s="712"/>
      <c r="O156" s="847"/>
      <c r="P156" s="766" t="str">
        <f>VLOOKUP(D156,Poeng!$B$10:$BC$252,Poeng!AJ$1,FALSE)&amp;" c. "&amp;ROUND(VLOOKUP(D156,Poeng!$B$10:$BC$252,Poeng!AF$1,FALSE)*100,1)&amp;" %"</f>
        <v>0 c. 0 %</v>
      </c>
      <c r="Q156" s="108" t="str">
        <f>VLOOKUP(D156,Poeng!$B$10:$BH$252,Poeng!BH$1,FALSE)</f>
        <v>N/A</v>
      </c>
      <c r="R156" s="644"/>
      <c r="S156" s="645"/>
      <c r="T156" s="638"/>
      <c r="U156" s="277"/>
      <c r="V156" s="847"/>
      <c r="W156" s="766" t="str">
        <f>VLOOKUP(D156,Poeng!$B$10:$BC$252,Poeng!AK$1,FALSE)&amp;" c. "&amp;ROUND(VLOOKUP(D156,Poeng!$B$10:$BC$252,Poeng!AG$1,FALSE)*100,1)&amp;" %"</f>
        <v>0 c. 0 %</v>
      </c>
      <c r="X156" s="108" t="str">
        <f>VLOOKUP(D156,Poeng!$B$10:$BK$252,Poeng!BK$1,FALSE)</f>
        <v>N/A</v>
      </c>
      <c r="Y156" s="75"/>
      <c r="Z156" s="74"/>
      <c r="AA156" s="638"/>
      <c r="AB156" s="117"/>
      <c r="AC156" s="556"/>
      <c r="AD156" s="20">
        <f t="shared" si="21"/>
        <v>2</v>
      </c>
      <c r="AE156" s="1" t="e">
        <f>VLOOKUP(L156,'Assessment Details'!$O$45:$P$48,2,FALSE)</f>
        <v>#N/A</v>
      </c>
      <c r="AF156" s="1" t="e">
        <f>VLOOKUP(S156,'Assessment Details'!$O$45:$P$48,2,FALSE)</f>
        <v>#N/A</v>
      </c>
      <c r="AG156" s="1" t="e">
        <f>VLOOKUP(Z156,'Assessment Details'!$O$45:$P$48,2,FALSE)</f>
        <v>#N/A</v>
      </c>
      <c r="AJ156" s="64"/>
      <c r="AK156" s="583"/>
      <c r="AL156" s="562"/>
      <c r="AM156" s="562"/>
      <c r="AN156" s="64"/>
      <c r="AO156" s="64"/>
      <c r="AP156" s="64"/>
      <c r="AQ156" s="64"/>
      <c r="AT156" s="20"/>
      <c r="AU156" s="20"/>
      <c r="AV156" s="20"/>
      <c r="AW156" s="20"/>
      <c r="AX156" s="20"/>
      <c r="AY156" s="20"/>
      <c r="BA156" s="556"/>
    </row>
    <row r="157" spans="1:53" x14ac:dyDescent="0.25">
      <c r="A157" s="893">
        <v>148</v>
      </c>
      <c r="B157" s="894" t="s">
        <v>68</v>
      </c>
      <c r="C157" s="109" t="str">
        <f t="shared" si="19"/>
        <v>Wst 03b</v>
      </c>
      <c r="D157" s="717" t="s">
        <v>792</v>
      </c>
      <c r="E157" s="1079" t="s">
        <v>1181</v>
      </c>
      <c r="F157" s="751" t="str">
        <f>VLOOKUP(D157,Poeng!$B$10:$R$252,Poeng!E$1,FALSE)</f>
        <v>Sorting of waste</v>
      </c>
      <c r="G157" s="107">
        <f>VLOOKUP(D157,Poeng!$B$10:$AB$252,Poeng!AB$1,FALSE)</f>
        <v>0</v>
      </c>
      <c r="H157" s="37"/>
      <c r="I157" s="108">
        <f>VLOOKUP(D157,Poeng!$B$10:$AE$252,Poeng!AE$1,FALSE)</f>
        <v>0</v>
      </c>
      <c r="J157" s="109" t="str">
        <f>VLOOKUP(D157,Poeng!$B$10:$BE$252,Poeng!BE$1,FALSE)</f>
        <v>N/A</v>
      </c>
      <c r="K157" s="74"/>
      <c r="L157" s="242"/>
      <c r="M157" s="694"/>
      <c r="N157" s="712"/>
      <c r="O157" s="77"/>
      <c r="P157" s="108">
        <f>VLOOKUP(D157,Poeng!$B$10:$BC$252,Poeng!AF$1,FALSE)</f>
        <v>0</v>
      </c>
      <c r="Q157" s="108" t="str">
        <f>VLOOKUP(D157,Poeng!$B$10:$BH$252,Poeng!BH$1,FALSE)</f>
        <v>N/A</v>
      </c>
      <c r="R157" s="644"/>
      <c r="S157" s="645"/>
      <c r="T157" s="694"/>
      <c r="U157" s="277"/>
      <c r="V157" s="77"/>
      <c r="W157" s="108">
        <f>VLOOKUP(D157,Poeng!$B$10:$BC$252,Poeng!AG$1,FALSE)</f>
        <v>0</v>
      </c>
      <c r="X157" s="108" t="str">
        <f>VLOOKUP(D157,Poeng!$B$10:$BK$252,Poeng!BK$1,FALSE)</f>
        <v>N/A</v>
      </c>
      <c r="Y157" s="75"/>
      <c r="Z157" s="74"/>
      <c r="AA157" s="694"/>
      <c r="AB157" s="117"/>
      <c r="AC157" s="556"/>
      <c r="AD157" s="20">
        <f t="shared" si="21"/>
        <v>2</v>
      </c>
      <c r="AE157" s="1" t="e">
        <f>VLOOKUP(L157,'Assessment Details'!$O$45:$P$48,2,FALSE)</f>
        <v>#N/A</v>
      </c>
      <c r="AF157" s="1" t="e">
        <f>VLOOKUP(S157,'Assessment Details'!$O$45:$P$48,2,FALSE)</f>
        <v>#N/A</v>
      </c>
      <c r="AG157" s="1" t="e">
        <f>VLOOKUP(Z157,'Assessment Details'!$O$45:$P$48,2,FALSE)</f>
        <v>#N/A</v>
      </c>
      <c r="AJ157" s="64"/>
      <c r="AK157" s="583"/>
      <c r="AL157" s="562"/>
      <c r="AM157" s="562"/>
      <c r="AN157" s="64"/>
      <c r="AO157" s="64"/>
      <c r="AP157" s="64"/>
      <c r="AQ157" s="64"/>
      <c r="AT157" s="20"/>
      <c r="AU157" s="20"/>
      <c r="AV157" s="20"/>
      <c r="AW157" s="20"/>
      <c r="AX157" s="20"/>
      <c r="AY157" s="20"/>
      <c r="BA157" s="556"/>
    </row>
    <row r="158" spans="1:53" x14ac:dyDescent="0.25">
      <c r="A158" s="893">
        <v>149</v>
      </c>
      <c r="B158" s="894" t="s">
        <v>68</v>
      </c>
      <c r="C158" s="802" t="s">
        <v>178</v>
      </c>
      <c r="D158" s="717" t="s">
        <v>178</v>
      </c>
      <c r="E158" s="1077"/>
      <c r="F158" s="750" t="str">
        <f>VLOOKUP(D158,Poeng!$B$10:$R$252,Poeng!E$1,FALSE)</f>
        <v>Wst 04 Speculative finishes</v>
      </c>
      <c r="G158" s="755">
        <f>VLOOKUP(D158,Poeng!$B$10:$AB$252,Poeng!AB$1,FALSE)</f>
        <v>1</v>
      </c>
      <c r="H158" s="847"/>
      <c r="I158" s="756" t="str">
        <f>VLOOKUP(D158,Poeng!$B$10:$AI$252,Poeng!AI$1,FALSE)&amp;" c. "&amp;ROUND(VLOOKUP(D158,Poeng!$B$10:$AE$252,Poeng!AE$1,FALSE)*100,1)&amp;" %"</f>
        <v>0 c. 0 %</v>
      </c>
      <c r="J158" s="802" t="str">
        <f>VLOOKUP(D158,Poeng!$B$10:$BE$252,Poeng!BE$1,FALSE)</f>
        <v>N/A</v>
      </c>
      <c r="K158" s="74"/>
      <c r="L158" s="242"/>
      <c r="M158" s="694"/>
      <c r="N158" s="712"/>
      <c r="O158" s="847"/>
      <c r="P158" s="766" t="str">
        <f>VLOOKUP(D158,Poeng!$B$10:$BC$252,Poeng!AJ$1,FALSE)&amp;" c. "&amp;ROUND(VLOOKUP(D158,Poeng!$B$10:$BC$252,Poeng!AF$1,FALSE)*100,1)&amp;" %"</f>
        <v>0 c. 0 %</v>
      </c>
      <c r="Q158" s="108" t="str">
        <f>VLOOKUP(D158,Poeng!$B$10:$BH$252,Poeng!BH$1,FALSE)</f>
        <v>N/A</v>
      </c>
      <c r="R158" s="644"/>
      <c r="S158" s="645"/>
      <c r="T158" s="638"/>
      <c r="U158" s="277"/>
      <c r="V158" s="847"/>
      <c r="W158" s="766" t="str">
        <f>VLOOKUP(D158,Poeng!$B$10:$BC$252,Poeng!AK$1,FALSE)&amp;" c. "&amp;ROUND(VLOOKUP(D158,Poeng!$B$10:$BC$252,Poeng!AG$1,FALSE)*100,1)&amp;" %"</f>
        <v>0 c. 0 %</v>
      </c>
      <c r="X158" s="108" t="str">
        <f>VLOOKUP(D158,Poeng!$B$10:$BK$252,Poeng!BK$1,FALSE)</f>
        <v>N/A</v>
      </c>
      <c r="Y158" s="75"/>
      <c r="Z158" s="74"/>
      <c r="AA158" s="638"/>
      <c r="AB158" s="117"/>
      <c r="AC158" s="556" t="s">
        <v>12</v>
      </c>
      <c r="AD158" s="20">
        <f t="shared" si="21"/>
        <v>1</v>
      </c>
      <c r="AE158" s="1" t="e">
        <f>VLOOKUP(L158,'Assessment Details'!$O$45:$P$48,2,FALSE)</f>
        <v>#N/A</v>
      </c>
      <c r="AF158" s="1" t="e">
        <f>VLOOKUP(S158,'Assessment Details'!$O$45:$P$48,2,FALSE)</f>
        <v>#N/A</v>
      </c>
      <c r="AG158" s="1" t="e">
        <f>VLOOKUP(Z158,'Assessment Details'!$O$45:$P$48,2,FALSE)</f>
        <v>#N/A</v>
      </c>
      <c r="AJ158" s="64"/>
      <c r="AK158" s="583" t="s">
        <v>214</v>
      </c>
      <c r="AL158" s="562" t="s">
        <v>12</v>
      </c>
      <c r="AM158" s="562" t="s">
        <v>11</v>
      </c>
      <c r="AN158" s="64"/>
      <c r="AO158" s="64"/>
      <c r="AP158" s="64"/>
      <c r="AQ158" s="64"/>
      <c r="AT158" s="20" t="str">
        <f t="shared" si="13"/>
        <v>N/A</v>
      </c>
      <c r="AU158" s="20" t="str">
        <f t="shared" si="14"/>
        <v>N/A</v>
      </c>
      <c r="AV158" s="20" t="str">
        <f t="shared" si="15"/>
        <v>N/A</v>
      </c>
      <c r="AW158" s="20"/>
      <c r="AX158" s="20"/>
      <c r="AY158" s="20"/>
      <c r="BA158" s="556"/>
    </row>
    <row r="159" spans="1:53" x14ac:dyDescent="0.25">
      <c r="A159" s="893">
        <v>150</v>
      </c>
      <c r="B159" s="894" t="s">
        <v>68</v>
      </c>
      <c r="C159" s="109" t="str">
        <f t="shared" si="19"/>
        <v>Wst 04</v>
      </c>
      <c r="D159" s="717" t="s">
        <v>793</v>
      </c>
      <c r="E159" s="1079" t="s">
        <v>1198</v>
      </c>
      <c r="F159" s="751" t="str">
        <f>VLOOKUP(D159,Poeng!$B$10:$R$252,Poeng!E$1,FALSE)</f>
        <v xml:space="preserve">User involvement surface finishes </v>
      </c>
      <c r="G159" s="107">
        <f>VLOOKUP(D159,Poeng!$B$10:$AB$252,Poeng!AB$1,FALSE)</f>
        <v>1</v>
      </c>
      <c r="H159" s="37"/>
      <c r="I159" s="108">
        <f>VLOOKUP(D159,Poeng!$B$10:$AE$252,Poeng!AE$1,FALSE)</f>
        <v>0</v>
      </c>
      <c r="J159" s="109" t="str">
        <f>VLOOKUP(D159,Poeng!$B$10:$BE$252,Poeng!BE$1,FALSE)</f>
        <v>N/A</v>
      </c>
      <c r="K159" s="74"/>
      <c r="L159" s="242"/>
      <c r="M159" s="694"/>
      <c r="N159" s="712"/>
      <c r="O159" s="77"/>
      <c r="P159" s="108">
        <f>VLOOKUP(D159,Poeng!$B$10:$BC$252,Poeng!AF$1,FALSE)</f>
        <v>0</v>
      </c>
      <c r="Q159" s="108" t="str">
        <f>VLOOKUP(D159,Poeng!$B$10:$BH$252,Poeng!BH$1,FALSE)</f>
        <v>N/A</v>
      </c>
      <c r="R159" s="644"/>
      <c r="S159" s="645"/>
      <c r="T159" s="638"/>
      <c r="U159" s="277"/>
      <c r="V159" s="77"/>
      <c r="W159" s="108">
        <f>VLOOKUP(D159,Poeng!$B$10:$BC$252,Poeng!AG$1,FALSE)</f>
        <v>0</v>
      </c>
      <c r="X159" s="108" t="str">
        <f>VLOOKUP(D159,Poeng!$B$10:$BK$252,Poeng!BK$1,FALSE)</f>
        <v>N/A</v>
      </c>
      <c r="Y159" s="75"/>
      <c r="Z159" s="74"/>
      <c r="AA159" s="638"/>
      <c r="AB159" s="117"/>
      <c r="AC159" s="620"/>
      <c r="AD159" s="20">
        <f t="shared" si="21"/>
        <v>1</v>
      </c>
      <c r="AE159" s="1" t="e">
        <f>VLOOKUP(L159,'Assessment Details'!$O$45:$P$48,2,FALSE)</f>
        <v>#N/A</v>
      </c>
      <c r="AF159" s="1" t="e">
        <f>VLOOKUP(S159,'Assessment Details'!$O$45:$P$48,2,FALSE)</f>
        <v>#N/A</v>
      </c>
      <c r="AG159" s="1" t="e">
        <f>VLOOKUP(Z159,'Assessment Details'!$O$45:$P$48,2,FALSE)</f>
        <v>#N/A</v>
      </c>
      <c r="AJ159" s="64"/>
      <c r="AK159" s="583"/>
      <c r="AL159" s="562"/>
      <c r="AM159" s="562"/>
      <c r="AN159" s="64"/>
      <c r="AO159" s="64"/>
      <c r="AP159" s="64"/>
      <c r="AQ159" s="64"/>
      <c r="AT159" s="20"/>
      <c r="AU159" s="20"/>
      <c r="AV159" s="20"/>
      <c r="AW159" s="20"/>
      <c r="AX159" s="20"/>
      <c r="AY159" s="20"/>
      <c r="BA159" s="620"/>
    </row>
    <row r="160" spans="1:53" ht="15.75" thickBot="1" x14ac:dyDescent="0.3">
      <c r="A160" s="893">
        <v>151</v>
      </c>
      <c r="B160" s="894" t="s">
        <v>68</v>
      </c>
      <c r="C160" s="903"/>
      <c r="D160" s="717" t="s">
        <v>887</v>
      </c>
      <c r="E160" s="1085"/>
      <c r="F160" s="298" t="s">
        <v>108</v>
      </c>
      <c r="G160" s="110">
        <f>Wst_Credits</f>
        <v>7</v>
      </c>
      <c r="H160" s="115"/>
      <c r="I160" s="111">
        <f>Wst_cont_tot</f>
        <v>0</v>
      </c>
      <c r="J160" s="757" t="str">
        <f>"Credits achieved: "&amp;Wst_tot_user</f>
        <v>Credits achieved: 0</v>
      </c>
      <c r="K160" s="118"/>
      <c r="L160" s="243"/>
      <c r="M160" s="646"/>
      <c r="N160" s="712"/>
      <c r="O160" s="335"/>
      <c r="P160" s="111">
        <f>VLOOKUP(D160,Poeng!$B$10:$BC$252,Poeng!AF$1,FALSE)</f>
        <v>0</v>
      </c>
      <c r="Q160" s="757" t="str">
        <f>"Credits achieved: "&amp;Wst_d_user</f>
        <v>Credits achieved: 0</v>
      </c>
      <c r="R160" s="647"/>
      <c r="S160" s="648"/>
      <c r="T160" s="646"/>
      <c r="U160" s="277"/>
      <c r="V160" s="335"/>
      <c r="W160" s="111">
        <f>VLOOKUP(D160,Poeng!$B$10:$BC$252,Poeng!AG$1,FALSE)</f>
        <v>0</v>
      </c>
      <c r="X160" s="757" t="str">
        <f>"Credits achieved: "&amp;Wst_c_user</f>
        <v>Credits achieved: 0</v>
      </c>
      <c r="Y160" s="334"/>
      <c r="Z160" s="120"/>
      <c r="AA160" s="646"/>
      <c r="AB160" s="117"/>
      <c r="AC160" s="557"/>
      <c r="AD160" s="20">
        <f t="shared" si="21"/>
        <v>1</v>
      </c>
      <c r="AE160" s="239">
        <v>0</v>
      </c>
      <c r="AF160" s="239">
        <v>0</v>
      </c>
      <c r="AG160" s="239">
        <v>0</v>
      </c>
      <c r="AJ160" s="64"/>
      <c r="AK160" s="583" t="s">
        <v>108</v>
      </c>
      <c r="AL160" s="64"/>
      <c r="AM160" s="64"/>
      <c r="AN160" s="64"/>
      <c r="AO160" s="64"/>
      <c r="AP160" s="64"/>
      <c r="AQ160" s="64"/>
      <c r="AT160" s="20" t="str">
        <f t="shared" si="13"/>
        <v>N/A</v>
      </c>
      <c r="AU160" s="20" t="str">
        <f t="shared" si="14"/>
        <v>N/A</v>
      </c>
      <c r="AV160" s="20" t="str">
        <f t="shared" si="15"/>
        <v>N/A</v>
      </c>
      <c r="AW160" s="20"/>
      <c r="AX160" s="20"/>
      <c r="AY160" s="20"/>
      <c r="BA160" s="557"/>
    </row>
    <row r="161" spans="1:53" x14ac:dyDescent="0.25">
      <c r="A161" s="893">
        <v>152</v>
      </c>
      <c r="B161" s="894" t="s">
        <v>68</v>
      </c>
      <c r="C161" s="899"/>
      <c r="D161" s="717"/>
      <c r="E161" s="1081"/>
      <c r="F161" s="291"/>
      <c r="G161" s="280"/>
      <c r="H161" s="281"/>
      <c r="I161" s="280"/>
      <c r="J161" s="280"/>
      <c r="K161" s="282"/>
      <c r="L161" s="281"/>
      <c r="M161" s="649"/>
      <c r="N161" s="712"/>
      <c r="O161" s="283"/>
      <c r="P161" s="283"/>
      <c r="Q161" s="649"/>
      <c r="R161" s="649"/>
      <c r="S161" s="650"/>
      <c r="T161" s="649"/>
      <c r="U161" s="277"/>
      <c r="V161" s="283"/>
      <c r="W161" s="283"/>
      <c r="X161" s="649"/>
      <c r="Y161" s="282"/>
      <c r="Z161" s="283"/>
      <c r="AA161" s="649"/>
      <c r="AB161" s="117"/>
      <c r="AC161" s="282"/>
      <c r="AD161" s="20">
        <f t="shared" si="21"/>
        <v>1</v>
      </c>
      <c r="AE161" s="240">
        <v>0</v>
      </c>
      <c r="AF161" s="240">
        <v>0</v>
      </c>
      <c r="AG161" s="240">
        <v>0</v>
      </c>
      <c r="AJ161" s="64"/>
      <c r="AK161" s="583"/>
      <c r="AL161" s="64"/>
      <c r="AM161" s="64"/>
      <c r="AN161" s="64"/>
      <c r="AO161" s="64"/>
      <c r="AP161" s="64"/>
      <c r="AQ161" s="64"/>
      <c r="AT161" s="20" t="str">
        <f t="shared" si="13"/>
        <v>N/A</v>
      </c>
      <c r="AU161" s="20" t="str">
        <f t="shared" si="14"/>
        <v>N/A</v>
      </c>
      <c r="AV161" s="20" t="str">
        <f t="shared" si="15"/>
        <v>N/A</v>
      </c>
      <c r="AW161" s="20"/>
      <c r="AX161" s="20"/>
      <c r="AY161" s="20"/>
      <c r="BA161" s="282"/>
    </row>
    <row r="162" spans="1:53" ht="18.75" x14ac:dyDescent="0.25">
      <c r="A162" s="893">
        <v>153</v>
      </c>
      <c r="B162" s="894" t="s">
        <v>69</v>
      </c>
      <c r="C162" s="900"/>
      <c r="D162" s="717"/>
      <c r="E162" s="1083"/>
      <c r="F162" s="292" t="s">
        <v>56</v>
      </c>
      <c r="G162" s="273"/>
      <c r="H162" s="274"/>
      <c r="I162" s="293"/>
      <c r="J162" s="273"/>
      <c r="K162" s="285"/>
      <c r="L162" s="286"/>
      <c r="M162" s="652"/>
      <c r="N162" s="712"/>
      <c r="O162" s="296"/>
      <c r="P162" s="289"/>
      <c r="Q162" s="642"/>
      <c r="R162" s="653"/>
      <c r="S162" s="654"/>
      <c r="T162" s="655"/>
      <c r="U162" s="277"/>
      <c r="V162" s="296"/>
      <c r="W162" s="295"/>
      <c r="X162" s="642"/>
      <c r="Y162" s="285"/>
      <c r="Z162" s="295"/>
      <c r="AA162" s="652"/>
      <c r="AB162" s="117"/>
      <c r="AC162" s="294"/>
      <c r="AD162" s="20">
        <f t="shared" si="21"/>
        <v>1</v>
      </c>
      <c r="AE162" s="238">
        <v>0</v>
      </c>
      <c r="AF162" s="238">
        <v>0</v>
      </c>
      <c r="AG162" s="238">
        <v>0</v>
      </c>
      <c r="AJ162" s="64"/>
      <c r="AK162" s="583" t="s">
        <v>56</v>
      </c>
      <c r="AL162" s="64"/>
      <c r="AM162" s="64"/>
      <c r="AN162" s="64"/>
      <c r="AO162" s="64"/>
      <c r="AP162" s="64"/>
      <c r="AQ162" s="64"/>
      <c r="AT162" s="20" t="str">
        <f t="shared" ref="AT162:AT226" si="24">IF($AK$4=ais_nei,AIS_NA,IF(AL162="",AIS_NA,AL162))</f>
        <v>N/A</v>
      </c>
      <c r="AU162" s="20" t="str">
        <f t="shared" ref="AU162:AU226" si="25">IF($AK$4=ais_nei,AIS_NA,IF(AM162="",AIS_NA,AM162))</f>
        <v>N/A</v>
      </c>
      <c r="AV162" s="20" t="str">
        <f t="shared" ref="AV162:AW226" si="26">IF($AK$4=ais_nei,AIS_NA,IF(AN162="",AIS_NA,AN162))</f>
        <v>N/A</v>
      </c>
      <c r="AW162" s="20"/>
      <c r="AX162" s="20"/>
      <c r="AY162" s="20"/>
      <c r="BA162" s="294"/>
    </row>
    <row r="163" spans="1:53" x14ac:dyDescent="0.25">
      <c r="A163" s="893">
        <v>154</v>
      </c>
      <c r="B163" s="894" t="s">
        <v>69</v>
      </c>
      <c r="C163" s="802" t="s">
        <v>179</v>
      </c>
      <c r="D163" s="717" t="s">
        <v>179</v>
      </c>
      <c r="E163" s="1077"/>
      <c r="F163" s="750" t="str">
        <f>VLOOKUP(D163,Poeng!$B$10:$R$252,Poeng!E$1,FALSE)</f>
        <v>LE 01 Site selection</v>
      </c>
      <c r="G163" s="755">
        <f>VLOOKUP(D163,Poeng!$B$10:$AB$252,Poeng!AB$1,FALSE)</f>
        <v>2</v>
      </c>
      <c r="H163" s="846"/>
      <c r="I163" s="756" t="str">
        <f>VLOOKUP(D163,Poeng!$B$10:$AI$252,Poeng!AI$1,FALSE)&amp;" c. "&amp;ROUND(VLOOKUP(D163,Poeng!$B$10:$AE$252,Poeng!AE$1,FALSE)*100,1)&amp;" %"</f>
        <v>0 c. 0 %</v>
      </c>
      <c r="J163" s="801" t="str">
        <f>VLOOKUP(D163,Poeng!$B$10:$BE$252,Poeng!BE$1,FALSE)</f>
        <v>N/A</v>
      </c>
      <c r="K163" s="763"/>
      <c r="L163" s="764"/>
      <c r="M163" s="765"/>
      <c r="N163" s="712"/>
      <c r="O163" s="847"/>
      <c r="P163" s="905" t="str">
        <f>VLOOKUP(D163,Poeng!$B$10:$BC$252,Poeng!AJ$1,FALSE)&amp;" c. "&amp;ROUND(VLOOKUP(D163,Poeng!$B$10:$BC$252,Poeng!AF$1,FALSE)*100,1)&amp;" %"</f>
        <v>0 c. 0 %</v>
      </c>
      <c r="Q163" s="108" t="str">
        <f>VLOOKUP(D163,Poeng!$B$10:$BH$252,Poeng!BH$1,FALSE)</f>
        <v>N/A</v>
      </c>
      <c r="R163" s="644"/>
      <c r="S163" s="645"/>
      <c r="T163" s="638"/>
      <c r="U163" s="277"/>
      <c r="V163" s="847"/>
      <c r="W163" s="766" t="str">
        <f>VLOOKUP(D163,Poeng!$B$10:$BC$252,Poeng!AK$1,FALSE)&amp;" c. "&amp;ROUND(VLOOKUP(D163,Poeng!$B$10:$BC$252,Poeng!AG$1,FALSE)*100,1)&amp;" %"</f>
        <v>0 c. 0 %</v>
      </c>
      <c r="X163" s="108" t="str">
        <f>VLOOKUP(D163,Poeng!$B$10:$BK$252,Poeng!BK$1,FALSE)</f>
        <v>N/A</v>
      </c>
      <c r="Y163" s="75"/>
      <c r="Z163" s="74"/>
      <c r="AA163" s="638"/>
      <c r="AB163" s="117"/>
      <c r="AC163" s="556" t="s">
        <v>13</v>
      </c>
      <c r="AD163" s="20">
        <f t="shared" si="21"/>
        <v>1</v>
      </c>
      <c r="AE163" s="1" t="e">
        <f>VLOOKUP(L163,'Assessment Details'!$O$45:$P$48,2,FALSE)</f>
        <v>#N/A</v>
      </c>
      <c r="AF163" s="1" t="e">
        <f>VLOOKUP(S163,'Assessment Details'!$O$45:$P$48,2,FALSE)</f>
        <v>#N/A</v>
      </c>
      <c r="AG163" s="1" t="e">
        <f>VLOOKUP(Z163,'Assessment Details'!$O$45:$P$48,2,FALSE)</f>
        <v>#N/A</v>
      </c>
      <c r="AJ163" s="64"/>
      <c r="AK163" s="583" t="s">
        <v>159</v>
      </c>
      <c r="AL163" s="64"/>
      <c r="AM163" s="64"/>
      <c r="AN163" s="64"/>
      <c r="AO163" s="64"/>
      <c r="AP163" s="64"/>
      <c r="AQ163" s="64"/>
      <c r="AT163" s="20" t="str">
        <f t="shared" si="24"/>
        <v>N/A</v>
      </c>
      <c r="AU163" s="20" t="str">
        <f t="shared" si="25"/>
        <v>N/A</v>
      </c>
      <c r="AV163" s="20" t="str">
        <f t="shared" si="26"/>
        <v>N/A</v>
      </c>
      <c r="AW163" s="20"/>
      <c r="AX163" s="20"/>
      <c r="AY163" s="20"/>
      <c r="BA163" s="556"/>
    </row>
    <row r="164" spans="1:53" x14ac:dyDescent="0.25">
      <c r="A164" s="893">
        <v>155</v>
      </c>
      <c r="B164" s="894" t="s">
        <v>69</v>
      </c>
      <c r="C164" s="109" t="str">
        <f t="shared" si="19"/>
        <v>LE 01</v>
      </c>
      <c r="D164" s="717" t="s">
        <v>796</v>
      </c>
      <c r="E164" s="1090" t="s">
        <v>1181</v>
      </c>
      <c r="F164" s="751" t="str">
        <f>VLOOKUP(D164,Poeng!$B$10:$R$252,Poeng!E$1,FALSE)</f>
        <v>Previously occupied land</v>
      </c>
      <c r="G164" s="107">
        <f>VLOOKUP(D164,Poeng!$B$10:$AB$252,Poeng!AB$1,FALSE)</f>
        <v>2</v>
      </c>
      <c r="H164" s="37"/>
      <c r="I164" s="108">
        <f>VLOOKUP(D164,Poeng!$B$10:$AE$252,Poeng!AE$1,FALSE)</f>
        <v>0</v>
      </c>
      <c r="J164" s="109" t="str">
        <f>VLOOKUP(D164,Poeng!$B$10:$BE$252,Poeng!BE$1,FALSE)</f>
        <v>N/A</v>
      </c>
      <c r="K164" s="74"/>
      <c r="L164" s="242"/>
      <c r="M164" s="694"/>
      <c r="N164" s="712"/>
      <c r="O164" s="77"/>
      <c r="P164" s="108">
        <f>VLOOKUP(D164,Poeng!$B$10:$BC$252,Poeng!AF$1,FALSE)</f>
        <v>0</v>
      </c>
      <c r="Q164" s="108" t="str">
        <f>VLOOKUP(D164,Poeng!$B$10:$BH$252,Poeng!BH$1,FALSE)</f>
        <v>N/A</v>
      </c>
      <c r="R164" s="644"/>
      <c r="S164" s="645"/>
      <c r="T164" s="638"/>
      <c r="U164" s="277"/>
      <c r="V164" s="77"/>
      <c r="W164" s="108">
        <f>VLOOKUP(D164,Poeng!$B$10:$BC$252,Poeng!AG$1,FALSE)</f>
        <v>0</v>
      </c>
      <c r="X164" s="108" t="str">
        <f>VLOOKUP(D164,Poeng!$B$10:$BK$252,Poeng!BK$1,FALSE)</f>
        <v>N/A</v>
      </c>
      <c r="Y164" s="75"/>
      <c r="Z164" s="74"/>
      <c r="AA164" s="638"/>
      <c r="AB164" s="117"/>
      <c r="AC164" s="556"/>
      <c r="AD164" s="20">
        <f t="shared" si="21"/>
        <v>1</v>
      </c>
      <c r="AE164" s="1" t="e">
        <f>VLOOKUP(L164,'Assessment Details'!$O$45:$P$48,2,FALSE)</f>
        <v>#N/A</v>
      </c>
      <c r="AF164" s="1" t="e">
        <f>VLOOKUP(S164,'Assessment Details'!$O$45:$P$48,2,FALSE)</f>
        <v>#N/A</v>
      </c>
      <c r="AG164" s="1" t="e">
        <f>VLOOKUP(Z164,'Assessment Details'!$O$45:$P$48,2,FALSE)</f>
        <v>#N/A</v>
      </c>
      <c r="AJ164" s="64"/>
      <c r="AK164" s="583"/>
      <c r="AL164" s="64"/>
      <c r="AM164" s="64"/>
      <c r="AN164" s="64"/>
      <c r="AO164" s="64"/>
      <c r="AP164" s="64"/>
      <c r="AQ164" s="64"/>
      <c r="AT164" s="20"/>
      <c r="AU164" s="20"/>
      <c r="AV164" s="20"/>
      <c r="AW164" s="20"/>
      <c r="AX164" s="20"/>
      <c r="AY164" s="20"/>
      <c r="BA164" s="556"/>
    </row>
    <row r="165" spans="1:53" ht="14.25" customHeight="1" x14ac:dyDescent="0.25">
      <c r="A165" s="893">
        <v>156</v>
      </c>
      <c r="B165" s="894" t="s">
        <v>69</v>
      </c>
      <c r="C165" s="109" t="str">
        <f t="shared" si="19"/>
        <v>LE 01</v>
      </c>
      <c r="D165" s="717" t="s">
        <v>980</v>
      </c>
      <c r="E165" s="1078">
        <v>2</v>
      </c>
      <c r="F165" s="888" t="str">
        <f>VLOOKUP(D165,Poeng!$B$10:$R$252,Poeng!E$1,FALSE)</f>
        <v>Minimum req: agricultural area / forest (EU taxonomy requirement: criterion 2)</v>
      </c>
      <c r="G165" s="107" t="str">
        <f>VLOOKUP(D165,Poeng!$B$10:$AB$252,Poeng!AB$1,FALSE)</f>
        <v>Yes/No</v>
      </c>
      <c r="H165" s="37"/>
      <c r="I165" s="108" t="str">
        <f>VLOOKUP(D165,Poeng!$B$10:$AE$252,Poeng!AE$1,FALSE)</f>
        <v>-</v>
      </c>
      <c r="J165" s="109" t="str">
        <f>VLOOKUP(D165,Poeng!$B$10:$BE$252,Poeng!BE$1,FALSE)</f>
        <v>Very Good</v>
      </c>
      <c r="K165" s="74"/>
      <c r="L165" s="242"/>
      <c r="M165" s="694"/>
      <c r="N165" s="712"/>
      <c r="O165" s="77"/>
      <c r="P165" s="108" t="str">
        <f>VLOOKUP(D165,Poeng!$B$10:$BC$252,Poeng!AF$1,FALSE)</f>
        <v>-</v>
      </c>
      <c r="Q165" s="108" t="str">
        <f>VLOOKUP(D165,Poeng!$B$10:$BH$252,Poeng!BH$1,FALSE)</f>
        <v>Very Good</v>
      </c>
      <c r="R165" s="644"/>
      <c r="S165" s="645"/>
      <c r="T165" s="638"/>
      <c r="U165" s="277"/>
      <c r="V165" s="77"/>
      <c r="W165" s="108" t="str">
        <f>VLOOKUP(D165,Poeng!$B$10:$BC$252,Poeng!AG$1,FALSE)</f>
        <v>-</v>
      </c>
      <c r="X165" s="108" t="str">
        <f>VLOOKUP(D165,Poeng!$B$10:$BK$252,Poeng!BK$1,FALSE)</f>
        <v>Very Good</v>
      </c>
      <c r="Y165" s="75"/>
      <c r="Z165" s="74"/>
      <c r="AA165" s="638"/>
      <c r="AB165" s="117"/>
      <c r="AC165" s="556"/>
      <c r="AD165" s="20">
        <f t="shared" ref="AD165" si="27">IF(G165="",1,IF(G165=0,2,1))</f>
        <v>1</v>
      </c>
      <c r="AE165" s="1" t="e">
        <f>VLOOKUP(L165,'Assessment Details'!$O$45:$P$48,2,FALSE)</f>
        <v>#N/A</v>
      </c>
      <c r="AF165" s="1" t="e">
        <f>VLOOKUP(S165,'Assessment Details'!$O$45:$P$48,2,FALSE)</f>
        <v>#N/A</v>
      </c>
      <c r="AG165" s="1" t="e">
        <f>VLOOKUP(Z165,'Assessment Details'!$O$45:$P$48,2,FALSE)</f>
        <v>#N/A</v>
      </c>
      <c r="AJ165" s="64"/>
      <c r="AK165" s="583"/>
      <c r="AL165" s="64"/>
      <c r="AM165" s="64"/>
      <c r="AN165" s="64"/>
      <c r="AO165" s="64"/>
      <c r="AP165" s="64"/>
      <c r="AQ165" s="64"/>
      <c r="AT165" s="20"/>
      <c r="AU165" s="20"/>
      <c r="AV165" s="20"/>
      <c r="AW165" s="20"/>
      <c r="AX165" s="20"/>
      <c r="AY165" s="20"/>
      <c r="BA165" s="556"/>
    </row>
    <row r="166" spans="1:53" x14ac:dyDescent="0.25">
      <c r="A166" s="893">
        <v>157</v>
      </c>
      <c r="B166" s="894" t="s">
        <v>69</v>
      </c>
      <c r="C166" s="802" t="s">
        <v>180</v>
      </c>
      <c r="D166" s="717" t="s">
        <v>180</v>
      </c>
      <c r="E166" s="1077"/>
      <c r="F166" s="750" t="str">
        <f>VLOOKUP(D166,Poeng!$B$10:$R$252,Poeng!E$1,FALSE)</f>
        <v>LE 02 Ecological risks and opportunities</v>
      </c>
      <c r="G166" s="755">
        <f>VLOOKUP(D166,Poeng!$B$10:$AB$252,Poeng!AB$1,FALSE)</f>
        <v>2</v>
      </c>
      <c r="H166" s="847"/>
      <c r="I166" s="756" t="str">
        <f>VLOOKUP(D166,Poeng!$B$10:$AI$252,Poeng!AI$1,FALSE)&amp;" c. "&amp;ROUND(VLOOKUP(D166,Poeng!$B$10:$AE$252,Poeng!AE$1,FALSE)*100,1)&amp;" %"</f>
        <v>0 c. 0 %</v>
      </c>
      <c r="J166" s="802" t="str">
        <f>VLOOKUP(D166,Poeng!$B$10:$BE$252,Poeng!BE$1,FALSE)</f>
        <v>N/A</v>
      </c>
      <c r="K166" s="74"/>
      <c r="L166" s="242"/>
      <c r="M166" s="694"/>
      <c r="N166" s="712"/>
      <c r="O166" s="847"/>
      <c r="P166" s="766" t="str">
        <f>VLOOKUP(D166,Poeng!$B$10:$BC$252,Poeng!AJ$1,FALSE)&amp;" c. "&amp;ROUND(VLOOKUP(D166,Poeng!$B$10:$BC$252,Poeng!AF$1,FALSE)*100,1)&amp;" %"</f>
        <v>0 c. 0 %</v>
      </c>
      <c r="Q166" s="108" t="str">
        <f>VLOOKUP(D166,Poeng!$B$10:$BH$252,Poeng!BH$1,FALSE)</f>
        <v>N/A</v>
      </c>
      <c r="R166" s="644"/>
      <c r="S166" s="645"/>
      <c r="T166" s="638"/>
      <c r="U166" s="277"/>
      <c r="V166" s="847"/>
      <c r="W166" s="766" t="str">
        <f>VLOOKUP(D166,Poeng!$B$10:$BC$252,Poeng!AK$1,FALSE)&amp;" c. "&amp;ROUND(VLOOKUP(D166,Poeng!$B$10:$BC$252,Poeng!AG$1,FALSE)*100,1)&amp;" %"</f>
        <v>0 c. 0 %</v>
      </c>
      <c r="X166" s="108" t="str">
        <f>VLOOKUP(D166,Poeng!$B$10:$BK$252,Poeng!BK$1,FALSE)</f>
        <v>N/A</v>
      </c>
      <c r="Y166" s="75"/>
      <c r="Z166" s="74"/>
      <c r="AA166" s="638"/>
      <c r="AB166" s="117"/>
      <c r="AC166" s="556" t="s">
        <v>13</v>
      </c>
      <c r="AD166" s="20">
        <f t="shared" si="21"/>
        <v>1</v>
      </c>
      <c r="AE166" s="1" t="e">
        <f>VLOOKUP(L166,'Assessment Details'!$O$45:$P$48,2,FALSE)</f>
        <v>#N/A</v>
      </c>
      <c r="AF166" s="1" t="e">
        <f>VLOOKUP(S166,'Assessment Details'!$O$45:$P$48,2,FALSE)</f>
        <v>#N/A</v>
      </c>
      <c r="AG166" s="1" t="e">
        <f>VLOOKUP(Z166,'Assessment Details'!$O$45:$P$48,2,FALSE)</f>
        <v>#N/A</v>
      </c>
      <c r="AJ166" s="64"/>
      <c r="AK166" s="583" t="s">
        <v>160</v>
      </c>
      <c r="AL166" s="64"/>
      <c r="AM166" s="64"/>
      <c r="AN166" s="64"/>
      <c r="AO166" s="64"/>
      <c r="AP166" s="64"/>
      <c r="AQ166" s="64"/>
      <c r="AT166" s="20" t="str">
        <f t="shared" si="24"/>
        <v>N/A</v>
      </c>
      <c r="AU166" s="20" t="str">
        <f t="shared" si="25"/>
        <v>N/A</v>
      </c>
      <c r="AV166" s="20" t="str">
        <f t="shared" si="26"/>
        <v>N/A</v>
      </c>
      <c r="AW166" s="20"/>
      <c r="AX166" s="20"/>
      <c r="AY166" s="20"/>
      <c r="BA166" s="556"/>
    </row>
    <row r="167" spans="1:53" x14ac:dyDescent="0.25">
      <c r="A167" s="893">
        <v>158</v>
      </c>
      <c r="B167" s="894" t="s">
        <v>69</v>
      </c>
      <c r="C167" s="109" t="str">
        <f t="shared" si="19"/>
        <v>LE 02</v>
      </c>
      <c r="D167" s="717" t="s">
        <v>797</v>
      </c>
      <c r="E167" s="1078">
        <v>1</v>
      </c>
      <c r="F167" s="751" t="str">
        <f>VLOOKUP(D167,Poeng!$B$10:$R$252,Poeng!E$1,FALSE)</f>
        <v>Pre-requisite: statutory obligations fulfilled</v>
      </c>
      <c r="G167" s="107" t="str">
        <f>VLOOKUP(D167,Poeng!$B$10:$AB$252,Poeng!AB$1,FALSE)</f>
        <v>Yes/No</v>
      </c>
      <c r="H167" s="37"/>
      <c r="I167" s="108" t="str">
        <f>VLOOKUP(D167,Poeng!$B$10:$AE$252,Poeng!AE$1,FALSE)</f>
        <v>-</v>
      </c>
      <c r="J167" s="109" t="str">
        <f>VLOOKUP(D167,Poeng!$B$10:$BE$252,Poeng!BE$1,FALSE)</f>
        <v>N/A</v>
      </c>
      <c r="K167" s="74"/>
      <c r="L167" s="242"/>
      <c r="M167" s="694"/>
      <c r="N167" s="712"/>
      <c r="O167" s="77"/>
      <c r="P167" s="108" t="str">
        <f>VLOOKUP(D167,Poeng!$B$10:$BC$252,Poeng!AF$1,FALSE)</f>
        <v>-</v>
      </c>
      <c r="Q167" s="108" t="str">
        <f>VLOOKUP(D167,Poeng!$B$10:$BH$252,Poeng!BH$1,FALSE)</f>
        <v>N/A</v>
      </c>
      <c r="R167" s="644"/>
      <c r="S167" s="645"/>
      <c r="T167" s="638"/>
      <c r="U167" s="277"/>
      <c r="V167" s="77"/>
      <c r="W167" s="108" t="str">
        <f>VLOOKUP(D167,Poeng!$B$10:$BC$252,Poeng!AG$1,FALSE)</f>
        <v>-</v>
      </c>
      <c r="X167" s="108" t="str">
        <f>VLOOKUP(D167,Poeng!$B$10:$BK$252,Poeng!BK$1,FALSE)</f>
        <v>N/A</v>
      </c>
      <c r="Y167" s="75"/>
      <c r="Z167" s="74"/>
      <c r="AA167" s="638"/>
      <c r="AB167" s="117"/>
      <c r="AC167" s="556"/>
      <c r="AD167" s="20">
        <f t="shared" si="21"/>
        <v>1</v>
      </c>
      <c r="AE167" s="1" t="e">
        <f>VLOOKUP(L167,'Assessment Details'!$O$45:$P$48,2,FALSE)</f>
        <v>#N/A</v>
      </c>
      <c r="AF167" s="1" t="e">
        <f>VLOOKUP(S167,'Assessment Details'!$O$45:$P$48,2,FALSE)</f>
        <v>#N/A</v>
      </c>
      <c r="AG167" s="1" t="e">
        <f>VLOOKUP(Z167,'Assessment Details'!$O$45:$P$48,2,FALSE)</f>
        <v>#N/A</v>
      </c>
      <c r="AJ167" s="64"/>
      <c r="AK167" s="583"/>
      <c r="AL167" s="64"/>
      <c r="AM167" s="64"/>
      <c r="AN167" s="64"/>
      <c r="AO167" s="64"/>
      <c r="AP167" s="64"/>
      <c r="AQ167" s="64"/>
      <c r="AT167" s="20"/>
      <c r="AU167" s="20"/>
      <c r="AV167" s="20"/>
      <c r="AW167" s="20"/>
      <c r="AX167" s="20"/>
      <c r="AY167" s="20"/>
      <c r="BA167" s="556"/>
    </row>
    <row r="168" spans="1:53" x14ac:dyDescent="0.25">
      <c r="A168" s="893">
        <v>159</v>
      </c>
      <c r="B168" s="894" t="s">
        <v>69</v>
      </c>
      <c r="C168" s="109" t="str">
        <f t="shared" si="19"/>
        <v>LE 02</v>
      </c>
      <c r="D168" s="717" t="s">
        <v>798</v>
      </c>
      <c r="E168" s="1079" t="s">
        <v>1169</v>
      </c>
      <c r="F168" s="751" t="str">
        <f>VLOOKUP(D168,Poeng!$B$10:$R$252,Poeng!E$1,FALSE)</f>
        <v>Survey and evaluation (EU taxonomy requirement: criterion 2-4)</v>
      </c>
      <c r="G168" s="107">
        <f>VLOOKUP(D168,Poeng!$B$10:$AB$252,Poeng!AB$1,FALSE)</f>
        <v>1</v>
      </c>
      <c r="H168" s="37"/>
      <c r="I168" s="108">
        <f>VLOOKUP(D168,Poeng!$B$10:$AE$252,Poeng!AE$1,FALSE)</f>
        <v>0</v>
      </c>
      <c r="J168" s="109" t="str">
        <f>VLOOKUP(D168,Poeng!$B$10:$BE$252,Poeng!BE$1,FALSE)</f>
        <v>Good</v>
      </c>
      <c r="K168" s="74"/>
      <c r="L168" s="242"/>
      <c r="M168" s="694"/>
      <c r="N168" s="712"/>
      <c r="O168" s="77"/>
      <c r="P168" s="108">
        <f>VLOOKUP(D168,Poeng!$B$10:$BC$252,Poeng!AF$1,FALSE)</f>
        <v>0</v>
      </c>
      <c r="Q168" s="108" t="str">
        <f>VLOOKUP(D168,Poeng!$B$10:$BH$252,Poeng!BH$1,FALSE)</f>
        <v>Good</v>
      </c>
      <c r="R168" s="644"/>
      <c r="S168" s="645"/>
      <c r="T168" s="638"/>
      <c r="U168" s="277"/>
      <c r="V168" s="77"/>
      <c r="W168" s="108">
        <f>VLOOKUP(D168,Poeng!$B$10:$BC$252,Poeng!AG$1,FALSE)</f>
        <v>0</v>
      </c>
      <c r="X168" s="108" t="str">
        <f>VLOOKUP(D168,Poeng!$B$10:$BK$252,Poeng!BK$1,FALSE)</f>
        <v>Good</v>
      </c>
      <c r="Y168" s="75"/>
      <c r="Z168" s="74"/>
      <c r="AA168" s="638"/>
      <c r="AB168" s="117"/>
      <c r="AC168" s="556"/>
      <c r="AD168" s="20">
        <f t="shared" si="21"/>
        <v>1</v>
      </c>
      <c r="AE168" s="1" t="e">
        <f>VLOOKUP(L168,'Assessment Details'!$O$45:$P$48,2,FALSE)</f>
        <v>#N/A</v>
      </c>
      <c r="AF168" s="1" t="e">
        <f>VLOOKUP(S168,'Assessment Details'!$O$45:$P$48,2,FALSE)</f>
        <v>#N/A</v>
      </c>
      <c r="AG168" s="1" t="e">
        <f>VLOOKUP(Z168,'Assessment Details'!$O$45:$P$48,2,FALSE)</f>
        <v>#N/A</v>
      </c>
      <c r="AJ168" s="64"/>
      <c r="AK168" s="583"/>
      <c r="AL168" s="64"/>
      <c r="AM168" s="64"/>
      <c r="AN168" s="64"/>
      <c r="AO168" s="64"/>
      <c r="AP168" s="64"/>
      <c r="AQ168" s="64"/>
      <c r="AT168" s="20"/>
      <c r="AU168" s="20"/>
      <c r="AV168" s="20"/>
      <c r="AW168" s="20"/>
      <c r="AX168" s="20"/>
      <c r="AY168" s="20"/>
      <c r="BA168" s="556"/>
    </row>
    <row r="169" spans="1:53" x14ac:dyDescent="0.25">
      <c r="A169" s="893">
        <v>160</v>
      </c>
      <c r="B169" s="894" t="s">
        <v>69</v>
      </c>
      <c r="C169" s="109" t="str">
        <f t="shared" si="19"/>
        <v>LE 02</v>
      </c>
      <c r="D169" s="717" t="s">
        <v>799</v>
      </c>
      <c r="E169" s="1079" t="s">
        <v>1174</v>
      </c>
      <c r="F169" s="751" t="str">
        <f>VLOOKUP(D169,Poeng!$B$10:$R$252,Poeng!E$1,FALSE)</f>
        <v>Determin ecological possibilities</v>
      </c>
      <c r="G169" s="107">
        <f>VLOOKUP(D169,Poeng!$B$10:$AB$252,Poeng!AB$1,FALSE)</f>
        <v>1</v>
      </c>
      <c r="H169" s="37"/>
      <c r="I169" s="108">
        <f>VLOOKUP(D169,Poeng!$B$10:$AE$252,Poeng!AE$1,FALSE)</f>
        <v>0</v>
      </c>
      <c r="J169" s="109" t="str">
        <f>VLOOKUP(D169,Poeng!$B$10:$BE$252,Poeng!BE$1,FALSE)</f>
        <v>N/A</v>
      </c>
      <c r="K169" s="74"/>
      <c r="L169" s="242"/>
      <c r="M169" s="694"/>
      <c r="N169" s="712"/>
      <c r="O169" s="77"/>
      <c r="P169" s="108">
        <f>VLOOKUP(D169,Poeng!$B$10:$BC$252,Poeng!AF$1,FALSE)</f>
        <v>0</v>
      </c>
      <c r="Q169" s="108" t="str">
        <f>VLOOKUP(D169,Poeng!$B$10:$BH$252,Poeng!BH$1,FALSE)</f>
        <v>N/A</v>
      </c>
      <c r="R169" s="644"/>
      <c r="S169" s="645"/>
      <c r="T169" s="638"/>
      <c r="U169" s="277"/>
      <c r="V169" s="77"/>
      <c r="W169" s="108">
        <f>VLOOKUP(D169,Poeng!$B$10:$BC$252,Poeng!AG$1,FALSE)</f>
        <v>0</v>
      </c>
      <c r="X169" s="108" t="str">
        <f>VLOOKUP(D169,Poeng!$B$10:$BK$252,Poeng!BK$1,FALSE)</f>
        <v>N/A</v>
      </c>
      <c r="Y169" s="75"/>
      <c r="Z169" s="74"/>
      <c r="AA169" s="638"/>
      <c r="AB169" s="117"/>
      <c r="AC169" s="556"/>
      <c r="AD169" s="20">
        <f t="shared" si="21"/>
        <v>1</v>
      </c>
      <c r="AE169" s="1" t="e">
        <f>VLOOKUP(L169,'Assessment Details'!$O$45:$P$48,2,FALSE)</f>
        <v>#N/A</v>
      </c>
      <c r="AF169" s="1" t="e">
        <f>VLOOKUP(S169,'Assessment Details'!$O$45:$P$48,2,FALSE)</f>
        <v>#N/A</v>
      </c>
      <c r="AG169" s="1" t="e">
        <f>VLOOKUP(Z169,'Assessment Details'!$O$45:$P$48,2,FALSE)</f>
        <v>#N/A</v>
      </c>
      <c r="AJ169" s="64"/>
      <c r="AK169" s="583"/>
      <c r="AL169" s="64"/>
      <c r="AM169" s="64"/>
      <c r="AN169" s="64"/>
      <c r="AO169" s="64"/>
      <c r="AP169" s="64"/>
      <c r="AQ169" s="64"/>
      <c r="AT169" s="20"/>
      <c r="AU169" s="20"/>
      <c r="AV169" s="20"/>
      <c r="AW169" s="20"/>
      <c r="AX169" s="20"/>
      <c r="AY169" s="20"/>
      <c r="BA169" s="556"/>
    </row>
    <row r="170" spans="1:53" x14ac:dyDescent="0.25">
      <c r="A170" s="893">
        <v>161</v>
      </c>
      <c r="B170" s="894" t="s">
        <v>69</v>
      </c>
      <c r="C170" s="802" t="s">
        <v>479</v>
      </c>
      <c r="D170" s="717" t="s">
        <v>479</v>
      </c>
      <c r="E170" s="1077"/>
      <c r="F170" s="750" t="str">
        <f>VLOOKUP(D170,Poeng!$B$10:$R$252,Poeng!E$1,FALSE)</f>
        <v>LE 03 Managing impacts on ecology</v>
      </c>
      <c r="G170" s="755">
        <f>VLOOKUP(D170,Poeng!$B$10:$AB$252,Poeng!AB$1,FALSE)</f>
        <v>3</v>
      </c>
      <c r="H170" s="847"/>
      <c r="I170" s="756" t="str">
        <f>VLOOKUP(D170,Poeng!$B$10:$AI$252,Poeng!AI$1,FALSE)&amp;" c. "&amp;ROUND(VLOOKUP(D170,Poeng!$B$10:$AE$252,Poeng!AE$1,FALSE)*100,1)&amp;" %"</f>
        <v>0 c. 0 %</v>
      </c>
      <c r="J170" s="802" t="str">
        <f>VLOOKUP(D170,Poeng!$B$10:$BE$252,Poeng!BE$1,FALSE)</f>
        <v>N/A</v>
      </c>
      <c r="K170" s="74"/>
      <c r="L170" s="242"/>
      <c r="M170" s="694"/>
      <c r="N170" s="712"/>
      <c r="O170" s="847"/>
      <c r="P170" s="766" t="str">
        <f>VLOOKUP(D170,Poeng!$B$10:$BC$252,Poeng!AJ$1,FALSE)&amp;" c. "&amp;ROUND(VLOOKUP(D170,Poeng!$B$10:$BC$252,Poeng!AF$1,FALSE)*100,1)&amp;" %"</f>
        <v>0 c. 0 %</v>
      </c>
      <c r="Q170" s="108" t="str">
        <f>VLOOKUP(D170,Poeng!$B$10:$BH$252,Poeng!BH$1,FALSE)</f>
        <v>N/A</v>
      </c>
      <c r="R170" s="644"/>
      <c r="S170" s="645"/>
      <c r="T170" s="638"/>
      <c r="U170" s="277"/>
      <c r="V170" s="847"/>
      <c r="W170" s="766" t="str">
        <f>VLOOKUP(D170,Poeng!$B$10:$BC$252,Poeng!AK$1,FALSE)&amp;" c. "&amp;ROUND(VLOOKUP(D170,Poeng!$B$10:$BC$252,Poeng!AG$1,FALSE)*100,1)&amp;" %"</f>
        <v>0 c. 0 %</v>
      </c>
      <c r="X170" s="108" t="str">
        <f>VLOOKUP(D170,Poeng!$B$10:$BK$252,Poeng!BK$1,FALSE)</f>
        <v>N/A</v>
      </c>
      <c r="Y170" s="75"/>
      <c r="Z170" s="74"/>
      <c r="AA170" s="638"/>
      <c r="AB170" s="117"/>
      <c r="AC170" s="556"/>
      <c r="AD170" s="20">
        <f t="shared" si="21"/>
        <v>1</v>
      </c>
      <c r="AE170" s="1" t="e">
        <f>VLOOKUP(L170,'Assessment Details'!$O$45:$P$48,2,FALSE)</f>
        <v>#N/A</v>
      </c>
      <c r="AF170" s="1" t="e">
        <f>VLOOKUP(S170,'Assessment Details'!$O$45:$P$48,2,FALSE)</f>
        <v>#N/A</v>
      </c>
      <c r="AG170" s="1" t="e">
        <f>VLOOKUP(Z170,'Assessment Details'!$O$45:$P$48,2,FALSE)</f>
        <v>#N/A</v>
      </c>
      <c r="AJ170" s="64"/>
      <c r="AK170" s="583"/>
      <c r="AL170" s="64"/>
      <c r="AM170" s="64"/>
      <c r="AN170" s="64"/>
      <c r="AO170" s="64"/>
      <c r="AP170" s="64"/>
      <c r="AQ170" s="64"/>
      <c r="AT170" s="20"/>
      <c r="AU170" s="20"/>
      <c r="AV170" s="20"/>
      <c r="AW170" s="20"/>
      <c r="AX170" s="20"/>
      <c r="AY170" s="20"/>
      <c r="BA170" s="556"/>
    </row>
    <row r="171" spans="1:53" x14ac:dyDescent="0.25">
      <c r="A171" s="893">
        <v>162</v>
      </c>
      <c r="B171" s="894" t="s">
        <v>69</v>
      </c>
      <c r="C171" s="109" t="s">
        <v>479</v>
      </c>
      <c r="D171" s="717" t="s">
        <v>800</v>
      </c>
      <c r="E171" s="1078">
        <v>1</v>
      </c>
      <c r="F171" s="751" t="str">
        <f>VLOOKUP(D171,Poeng!$B$10:$R$252,Poeng!E$1,FALSE)</f>
        <v>Pre-requisite: ecological risks and opportunities</v>
      </c>
      <c r="G171" s="107" t="str">
        <f>VLOOKUP(D171,Poeng!$B$10:$AB$252,Poeng!AB$1,FALSE)</f>
        <v>Yes/No</v>
      </c>
      <c r="H171" s="1060"/>
      <c r="I171" s="756" t="str">
        <f>Poeng!AI243</f>
        <v>No</v>
      </c>
      <c r="J171" s="109" t="str">
        <f>VLOOKUP(D171,Poeng!$B$10:$BE$252,Poeng!BE$1,FALSE)</f>
        <v>N/A</v>
      </c>
      <c r="K171" s="74"/>
      <c r="L171" s="242"/>
      <c r="M171" s="694"/>
      <c r="N171" s="712"/>
      <c r="O171" s="1061"/>
      <c r="P171" s="766" t="str">
        <f>Poeng!AJ243</f>
        <v>No</v>
      </c>
      <c r="Q171" s="108" t="str">
        <f>VLOOKUP(D171,Poeng!$B$10:$BH$252,Poeng!BH$1,FALSE)</f>
        <v>N/A</v>
      </c>
      <c r="R171" s="644"/>
      <c r="S171" s="645"/>
      <c r="T171" s="638"/>
      <c r="U171" s="277"/>
      <c r="V171" s="1061"/>
      <c r="W171" s="766" t="str">
        <f>Poeng!AK243</f>
        <v>No</v>
      </c>
      <c r="X171" s="108" t="str">
        <f>VLOOKUP(D171,Poeng!$B$10:$BK$252,Poeng!BK$1,FALSE)</f>
        <v>N/A</v>
      </c>
      <c r="Y171" s="75"/>
      <c r="Z171" s="74"/>
      <c r="AA171" s="638"/>
      <c r="AB171" s="117"/>
      <c r="AC171" s="556"/>
      <c r="AD171" s="20">
        <f t="shared" ref="AD171" si="28">IF(G171="",1,IF(G171=0,2,1))</f>
        <v>1</v>
      </c>
      <c r="AE171" s="1" t="e">
        <f>VLOOKUP(L171,'Assessment Details'!$O$45:$P$48,2,FALSE)</f>
        <v>#N/A</v>
      </c>
      <c r="AF171" s="1" t="e">
        <f>VLOOKUP(S171,'Assessment Details'!$O$45:$P$48,2,FALSE)</f>
        <v>#N/A</v>
      </c>
      <c r="AG171" s="1" t="e">
        <f>VLOOKUP(Z171,'Assessment Details'!$O$45:$P$48,2,FALSE)</f>
        <v>#N/A</v>
      </c>
      <c r="AJ171" s="64"/>
      <c r="AK171" s="583"/>
      <c r="AL171" s="64"/>
      <c r="AM171" s="64"/>
      <c r="AN171" s="64"/>
      <c r="AO171" s="64"/>
      <c r="AP171" s="64"/>
      <c r="AQ171" s="64"/>
      <c r="AT171" s="20"/>
      <c r="AU171" s="20"/>
      <c r="AV171" s="20"/>
      <c r="AW171" s="20"/>
      <c r="AX171" s="20"/>
      <c r="AY171" s="20"/>
      <c r="BA171" s="556"/>
    </row>
    <row r="172" spans="1:53" x14ac:dyDescent="0.25">
      <c r="A172" s="893">
        <v>163</v>
      </c>
      <c r="B172" s="894" t="s">
        <v>69</v>
      </c>
      <c r="C172" s="109" t="s">
        <v>479</v>
      </c>
      <c r="D172" s="717" t="s">
        <v>801</v>
      </c>
      <c r="E172" s="1079" t="s">
        <v>1169</v>
      </c>
      <c r="F172" s="751" t="str">
        <f>VLOOKUP(D172,Poeng!$B$10:$R$252,Poeng!E$1,FALSE)</f>
        <v>Planning and measures on site</v>
      </c>
      <c r="G172" s="107">
        <f>VLOOKUP(D172,Poeng!$B$10:$AB$252,Poeng!AB$1,FALSE)</f>
        <v>1</v>
      </c>
      <c r="H172" s="37"/>
      <c r="I172" s="108">
        <f>VLOOKUP(D172,Poeng!$B$10:$AE$252,Poeng!AE$1,FALSE)</f>
        <v>0</v>
      </c>
      <c r="J172" s="109" t="str">
        <f>VLOOKUP(D172,Poeng!$B$10:$BE$252,Poeng!BE$1,FALSE)</f>
        <v>N/A</v>
      </c>
      <c r="K172" s="74"/>
      <c r="L172" s="242"/>
      <c r="M172" s="694"/>
      <c r="N172" s="712"/>
      <c r="O172" s="77"/>
      <c r="P172" s="108">
        <f>VLOOKUP(D172,Poeng!$B$10:$BC$252,Poeng!AF$1,FALSE)</f>
        <v>0</v>
      </c>
      <c r="Q172" s="108" t="str">
        <f>VLOOKUP(D172,Poeng!$B$10:$BH$252,Poeng!BH$1,FALSE)</f>
        <v>N/A</v>
      </c>
      <c r="R172" s="644"/>
      <c r="S172" s="645"/>
      <c r="T172" s="694"/>
      <c r="U172" s="277"/>
      <c r="V172" s="77"/>
      <c r="W172" s="108">
        <f>VLOOKUP(D172,Poeng!$B$10:$BC$252,Poeng!AG$1,FALSE)</f>
        <v>0</v>
      </c>
      <c r="X172" s="108" t="str">
        <f>VLOOKUP(D172,Poeng!$B$10:$BK$252,Poeng!BK$1,FALSE)</f>
        <v>N/A</v>
      </c>
      <c r="Y172" s="75"/>
      <c r="Z172" s="74"/>
      <c r="AA172" s="694"/>
      <c r="AB172" s="117"/>
      <c r="AC172" s="556"/>
      <c r="AD172" s="20">
        <f t="shared" si="21"/>
        <v>1</v>
      </c>
      <c r="AE172" s="1" t="e">
        <f>VLOOKUP(L172,'Assessment Details'!$O$45:$P$48,2,FALSE)</f>
        <v>#N/A</v>
      </c>
      <c r="AF172" s="1" t="e">
        <f>VLOOKUP(S172,'Assessment Details'!$O$45:$P$48,2,FALSE)</f>
        <v>#N/A</v>
      </c>
      <c r="AG172" s="1" t="e">
        <f>VLOOKUP(Z172,'Assessment Details'!$O$45:$P$48,2,FALSE)</f>
        <v>#N/A</v>
      </c>
      <c r="AJ172" s="64"/>
      <c r="AK172" s="583"/>
      <c r="AL172" s="64"/>
      <c r="AM172" s="64"/>
      <c r="AN172" s="64"/>
      <c r="AO172" s="64"/>
      <c r="AP172" s="64"/>
      <c r="AQ172" s="64"/>
      <c r="AT172" s="20"/>
      <c r="AU172" s="20"/>
      <c r="AV172" s="20"/>
      <c r="AW172" s="20"/>
      <c r="AX172" s="20"/>
      <c r="AY172" s="20"/>
      <c r="BA172" s="556"/>
    </row>
    <row r="173" spans="1:53" x14ac:dyDescent="0.25">
      <c r="A173" s="893">
        <v>164</v>
      </c>
      <c r="B173" s="894" t="s">
        <v>69</v>
      </c>
      <c r="C173" s="109" t="s">
        <v>479</v>
      </c>
      <c r="D173" s="717" t="s">
        <v>802</v>
      </c>
      <c r="E173" s="1079" t="s">
        <v>1174</v>
      </c>
      <c r="F173" s="751" t="str">
        <f>VLOOKUP(D173,Poeng!$B$10:$R$252,Poeng!E$1,FALSE)</f>
        <v>Managing negative impacts</v>
      </c>
      <c r="G173" s="107">
        <f>VLOOKUP(D173,Poeng!$B$10:$AB$252,Poeng!AB$1,FALSE)</f>
        <v>2</v>
      </c>
      <c r="H173" s="37"/>
      <c r="I173" s="108">
        <f>VLOOKUP(D173,Poeng!$B$10:$AE$252,Poeng!AE$1,FALSE)</f>
        <v>0</v>
      </c>
      <c r="J173" s="109" t="str">
        <f>VLOOKUP(D173,Poeng!$B$10:$BE$252,Poeng!BE$1,FALSE)</f>
        <v>N/A</v>
      </c>
      <c r="K173" s="74"/>
      <c r="L173" s="242"/>
      <c r="M173" s="694"/>
      <c r="N173" s="712"/>
      <c r="O173" s="77"/>
      <c r="P173" s="108">
        <f>VLOOKUP(D173,Poeng!$B$10:$BC$252,Poeng!AF$1,FALSE)</f>
        <v>0</v>
      </c>
      <c r="Q173" s="108" t="str">
        <f>VLOOKUP(D173,Poeng!$B$10:$BH$252,Poeng!BH$1,FALSE)</f>
        <v>N/A</v>
      </c>
      <c r="R173" s="644"/>
      <c r="S173" s="645"/>
      <c r="T173" s="694"/>
      <c r="U173" s="277"/>
      <c r="V173" s="77"/>
      <c r="W173" s="108">
        <f>VLOOKUP(D173,Poeng!$B$10:$BC$252,Poeng!AG$1,FALSE)</f>
        <v>0</v>
      </c>
      <c r="X173" s="108" t="str">
        <f>VLOOKUP(D173,Poeng!$B$10:$BK$252,Poeng!BK$1,FALSE)</f>
        <v>N/A</v>
      </c>
      <c r="Y173" s="75"/>
      <c r="Z173" s="74"/>
      <c r="AA173" s="694"/>
      <c r="AB173" s="117"/>
      <c r="AC173" s="556"/>
      <c r="AD173" s="20">
        <f t="shared" si="21"/>
        <v>1</v>
      </c>
      <c r="AE173" s="1" t="e">
        <f>VLOOKUP(L173,'Assessment Details'!$O$45:$P$48,2,FALSE)</f>
        <v>#N/A</v>
      </c>
      <c r="AF173" s="1" t="e">
        <f>VLOOKUP(S173,'Assessment Details'!$O$45:$P$48,2,FALSE)</f>
        <v>#N/A</v>
      </c>
      <c r="AG173" s="1" t="e">
        <f>VLOOKUP(Z173,'Assessment Details'!$O$45:$P$48,2,FALSE)</f>
        <v>#N/A</v>
      </c>
      <c r="AJ173" s="64"/>
      <c r="AK173" s="583"/>
      <c r="AL173" s="64"/>
      <c r="AM173" s="64"/>
      <c r="AN173" s="64"/>
      <c r="AO173" s="64"/>
      <c r="AP173" s="64"/>
      <c r="AQ173" s="64"/>
      <c r="AT173" s="20"/>
      <c r="AU173" s="20"/>
      <c r="AV173" s="20"/>
      <c r="AW173" s="20"/>
      <c r="AX173" s="20"/>
      <c r="AY173" s="20"/>
      <c r="BA173" s="556"/>
    </row>
    <row r="174" spans="1:53" x14ac:dyDescent="0.25">
      <c r="A174" s="893">
        <v>165</v>
      </c>
      <c r="B174" s="894" t="s">
        <v>69</v>
      </c>
      <c r="C174" s="802" t="s">
        <v>181</v>
      </c>
      <c r="D174" s="717" t="s">
        <v>181</v>
      </c>
      <c r="E174" s="1077"/>
      <c r="F174" s="750" t="str">
        <f>VLOOKUP(D174,Poeng!$B$10:$R$252,Poeng!E$1,FALSE)</f>
        <v>LE 04 Ecological change and enhancement</v>
      </c>
      <c r="G174" s="755">
        <f>VLOOKUP(D174,Poeng!$B$10:$AB$252,Poeng!AB$1,FALSE)</f>
        <v>4</v>
      </c>
      <c r="H174" s="847"/>
      <c r="I174" s="756" t="str">
        <f>VLOOKUP(D174,Poeng!$B$10:$AI$252,Poeng!AI$1,FALSE)&amp;" c. "&amp;ROUND(VLOOKUP(D174,Poeng!$B$10:$AE$252,Poeng!AE$1,FALSE)*100,1)&amp;" %"</f>
        <v>0 c. 0 %</v>
      </c>
      <c r="J174" s="802" t="str">
        <f>VLOOKUP(D174,Poeng!$B$10:$BE$252,Poeng!BE$1,FALSE)</f>
        <v>N/A</v>
      </c>
      <c r="K174" s="74"/>
      <c r="L174" s="242"/>
      <c r="M174" s="694"/>
      <c r="N174" s="712"/>
      <c r="O174" s="847"/>
      <c r="P174" s="766" t="str">
        <f>VLOOKUP(D174,Poeng!$B$10:$BC$252,Poeng!AJ$1,FALSE)&amp;" c. "&amp;ROUND(VLOOKUP(D174,Poeng!$B$10:$BC$252,Poeng!AF$1,FALSE)*100,1)&amp;" %"</f>
        <v>0 c. 0 %</v>
      </c>
      <c r="Q174" s="108" t="str">
        <f>VLOOKUP(D174,Poeng!$B$10:$BH$252,Poeng!BH$1,FALSE)</f>
        <v>N/A</v>
      </c>
      <c r="R174" s="644"/>
      <c r="S174" s="645"/>
      <c r="T174" s="694"/>
      <c r="U174" s="277"/>
      <c r="V174" s="847"/>
      <c r="W174" s="766" t="str">
        <f>VLOOKUP(D174,Poeng!$B$10:$BC$252,Poeng!AK$1,FALSE)&amp;" c. "&amp;ROUND(VLOOKUP(D174,Poeng!$B$10:$BC$252,Poeng!AG$1,FALSE)*100,1)&amp;" %"</f>
        <v>0 c. 0 %</v>
      </c>
      <c r="X174" s="108" t="str">
        <f>VLOOKUP(D174,Poeng!$B$10:$BK$252,Poeng!BK$1,FALSE)</f>
        <v>N/A</v>
      </c>
      <c r="Y174" s="75"/>
      <c r="Z174" s="74"/>
      <c r="AA174" s="694"/>
      <c r="AB174" s="117"/>
      <c r="AC174" s="556" t="s">
        <v>13</v>
      </c>
      <c r="AD174" s="20">
        <f t="shared" si="21"/>
        <v>1</v>
      </c>
      <c r="AE174" s="1" t="e">
        <f>VLOOKUP(L174,'Assessment Details'!$O$45:$P$48,2,FALSE)</f>
        <v>#N/A</v>
      </c>
      <c r="AF174" s="1" t="e">
        <f>VLOOKUP(S174,'Assessment Details'!$O$45:$P$48,2,FALSE)</f>
        <v>#N/A</v>
      </c>
      <c r="AG174" s="1" t="e">
        <f>VLOOKUP(Z174,'Assessment Details'!$O$45:$P$48,2,FALSE)</f>
        <v>#N/A</v>
      </c>
      <c r="AJ174" s="64"/>
      <c r="AK174" s="583" t="s">
        <v>161</v>
      </c>
      <c r="AL174" s="64"/>
      <c r="AM174" s="64"/>
      <c r="AN174" s="64"/>
      <c r="AO174" s="64"/>
      <c r="AP174" s="64"/>
      <c r="AQ174" s="64"/>
      <c r="AT174" s="20" t="str">
        <f t="shared" si="24"/>
        <v>N/A</v>
      </c>
      <c r="AU174" s="20" t="str">
        <f t="shared" si="25"/>
        <v>N/A</v>
      </c>
      <c r="AV174" s="20" t="str">
        <f t="shared" si="26"/>
        <v>N/A</v>
      </c>
      <c r="AW174" s="20"/>
      <c r="AX174" s="20"/>
      <c r="AY174" s="20"/>
      <c r="BA174" s="556"/>
    </row>
    <row r="175" spans="1:53" x14ac:dyDescent="0.25">
      <c r="A175" s="893">
        <v>166</v>
      </c>
      <c r="B175" s="894" t="s">
        <v>69</v>
      </c>
      <c r="C175" s="109" t="str">
        <f t="shared" si="19"/>
        <v>LE 04</v>
      </c>
      <c r="D175" s="717" t="s">
        <v>803</v>
      </c>
      <c r="E175" s="1079" t="s">
        <v>1181</v>
      </c>
      <c r="F175" s="751" t="str">
        <f>VLOOKUP(D175,Poeng!$B$10:$R$252,Poeng!E$1,FALSE)</f>
        <v>Pre-requisite: managing negative impacts on ecology</v>
      </c>
      <c r="G175" s="107" t="str">
        <f>VLOOKUP(D175,Poeng!$B$10:$AB$252,Poeng!AB$1,FALSE)</f>
        <v>Yes/No</v>
      </c>
      <c r="H175" s="37"/>
      <c r="I175" s="108" t="str">
        <f>VLOOKUP(D175,Poeng!$B$10:$AE$252,Poeng!AE$1,FALSE)</f>
        <v>-</v>
      </c>
      <c r="J175" s="109" t="str">
        <f>VLOOKUP(D175,Poeng!$B$10:$BE$252,Poeng!BE$1,FALSE)</f>
        <v>N/A</v>
      </c>
      <c r="K175" s="74"/>
      <c r="L175" s="242"/>
      <c r="M175" s="694"/>
      <c r="N175" s="712"/>
      <c r="O175" s="77"/>
      <c r="P175" s="108" t="str">
        <f>VLOOKUP(D175,Poeng!$B$10:$BC$252,Poeng!AF$1,FALSE)</f>
        <v>-</v>
      </c>
      <c r="Q175" s="108" t="str">
        <f>VLOOKUP(D175,Poeng!$B$10:$BH$252,Poeng!BH$1,FALSE)</f>
        <v>N/A</v>
      </c>
      <c r="R175" s="644"/>
      <c r="S175" s="645"/>
      <c r="T175" s="638"/>
      <c r="U175" s="277"/>
      <c r="V175" s="77"/>
      <c r="W175" s="108" t="str">
        <f>VLOOKUP(D175,Poeng!$B$10:$BC$252,Poeng!AG$1,FALSE)</f>
        <v>-</v>
      </c>
      <c r="X175" s="108" t="str">
        <f>VLOOKUP(D175,Poeng!$B$10:$BK$252,Poeng!BK$1,FALSE)</f>
        <v>N/A</v>
      </c>
      <c r="Y175" s="75"/>
      <c r="Z175" s="74"/>
      <c r="AA175" s="638"/>
      <c r="AB175" s="117"/>
      <c r="AC175" s="556"/>
      <c r="AD175" s="20">
        <f t="shared" si="21"/>
        <v>1</v>
      </c>
      <c r="AE175" s="1" t="e">
        <f>VLOOKUP(L175,'Assessment Details'!$O$45:$P$48,2,FALSE)</f>
        <v>#N/A</v>
      </c>
      <c r="AF175" s="1" t="e">
        <f>VLOOKUP(S175,'Assessment Details'!$O$45:$P$48,2,FALSE)</f>
        <v>#N/A</v>
      </c>
      <c r="AG175" s="1" t="e">
        <f>VLOOKUP(Z175,'Assessment Details'!$O$45:$P$48,2,FALSE)</f>
        <v>#N/A</v>
      </c>
      <c r="AJ175" s="64"/>
      <c r="AK175" s="583"/>
      <c r="AL175" s="64"/>
      <c r="AM175" s="64"/>
      <c r="AN175" s="64"/>
      <c r="AO175" s="64"/>
      <c r="AP175" s="64"/>
      <c r="AQ175" s="64"/>
      <c r="AT175" s="20"/>
      <c r="AU175" s="20"/>
      <c r="AV175" s="20"/>
      <c r="AW175" s="20"/>
      <c r="AX175" s="20"/>
      <c r="AY175" s="20"/>
      <c r="BA175" s="556"/>
    </row>
    <row r="176" spans="1:53" x14ac:dyDescent="0.25">
      <c r="A176" s="893">
        <v>167</v>
      </c>
      <c r="B176" s="894" t="s">
        <v>69</v>
      </c>
      <c r="C176" s="109" t="str">
        <f t="shared" si="19"/>
        <v>LE 04</v>
      </c>
      <c r="D176" s="717" t="s">
        <v>804</v>
      </c>
      <c r="E176" s="1079" t="s">
        <v>1187</v>
      </c>
      <c r="F176" s="751" t="str">
        <f>VLOOKUP(D176,Poeng!$B$10:$R$252,Poeng!E$1,FALSE)</f>
        <v>Ecological enhancement</v>
      </c>
      <c r="G176" s="107">
        <f>VLOOKUP(D176,Poeng!$B$10:$AB$252,Poeng!AB$1,FALSE)</f>
        <v>1</v>
      </c>
      <c r="H176" s="37"/>
      <c r="I176" s="108">
        <f>VLOOKUP(D176,Poeng!$B$10:$AE$252,Poeng!AE$1,FALSE)</f>
        <v>0</v>
      </c>
      <c r="J176" s="109" t="str">
        <f>VLOOKUP(D176,Poeng!$B$10:$BE$252,Poeng!BE$1,FALSE)</f>
        <v>Excellent</v>
      </c>
      <c r="K176" s="74"/>
      <c r="L176" s="242"/>
      <c r="M176" s="694"/>
      <c r="N176" s="712"/>
      <c r="O176" s="77"/>
      <c r="P176" s="108">
        <f>VLOOKUP(D176,Poeng!$B$10:$BC$252,Poeng!AF$1,FALSE)</f>
        <v>0</v>
      </c>
      <c r="Q176" s="108" t="str">
        <f>VLOOKUP(D176,Poeng!$B$10:$BH$252,Poeng!BH$1,FALSE)</f>
        <v>Excellent</v>
      </c>
      <c r="R176" s="644"/>
      <c r="S176" s="645"/>
      <c r="T176" s="638"/>
      <c r="U176" s="277"/>
      <c r="V176" s="77"/>
      <c r="W176" s="108">
        <f>VLOOKUP(D176,Poeng!$B$10:$BC$252,Poeng!AG$1,FALSE)</f>
        <v>0</v>
      </c>
      <c r="X176" s="108" t="str">
        <f>VLOOKUP(D176,Poeng!$B$10:$BK$252,Poeng!BK$1,FALSE)</f>
        <v>Excellent</v>
      </c>
      <c r="Y176" s="75"/>
      <c r="Z176" s="74"/>
      <c r="AA176" s="638"/>
      <c r="AB176" s="117"/>
      <c r="AC176" s="556"/>
      <c r="AD176" s="20">
        <f t="shared" si="21"/>
        <v>1</v>
      </c>
      <c r="AE176" s="1" t="e">
        <f>VLOOKUP(L176,'Assessment Details'!$O$45:$P$48,2,FALSE)</f>
        <v>#N/A</v>
      </c>
      <c r="AF176" s="1" t="e">
        <f>VLOOKUP(S176,'Assessment Details'!$O$45:$P$48,2,FALSE)</f>
        <v>#N/A</v>
      </c>
      <c r="AG176" s="1" t="e">
        <f>VLOOKUP(Z176,'Assessment Details'!$O$45:$P$48,2,FALSE)</f>
        <v>#N/A</v>
      </c>
      <c r="AJ176" s="64"/>
      <c r="AK176" s="583"/>
      <c r="AL176" s="64"/>
      <c r="AM176" s="64"/>
      <c r="AN176" s="64"/>
      <c r="AO176" s="64"/>
      <c r="AP176" s="64"/>
      <c r="AQ176" s="64"/>
      <c r="AT176" s="20"/>
      <c r="AU176" s="20"/>
      <c r="AV176" s="20"/>
      <c r="AW176" s="20"/>
      <c r="AX176" s="20"/>
      <c r="AY176" s="20"/>
      <c r="BA176" s="556"/>
    </row>
    <row r="177" spans="1:53" x14ac:dyDescent="0.25">
      <c r="A177" s="893">
        <v>168</v>
      </c>
      <c r="B177" s="894" t="s">
        <v>69</v>
      </c>
      <c r="C177" s="109" t="str">
        <f t="shared" si="19"/>
        <v>LE 04</v>
      </c>
      <c r="D177" s="717" t="s">
        <v>805</v>
      </c>
      <c r="E177" s="1078">
        <v>5</v>
      </c>
      <c r="F177" s="751" t="str">
        <f>VLOOKUP(D177,Poeng!$B$10:$R$252,Poeng!E$1,FALSE)</f>
        <v>Calculation of change in biodiversity</v>
      </c>
      <c r="G177" s="107">
        <f>VLOOKUP(D177,Poeng!$B$10:$AB$252,Poeng!AB$1,FALSE)</f>
        <v>3</v>
      </c>
      <c r="H177" s="37"/>
      <c r="I177" s="108">
        <f>VLOOKUP(D177,Poeng!$B$10:$AE$252,Poeng!AE$1,FALSE)</f>
        <v>0</v>
      </c>
      <c r="J177" s="109" t="str">
        <f>VLOOKUP(D177,Poeng!$B$10:$BE$252,Poeng!BE$1,FALSE)</f>
        <v>N/A</v>
      </c>
      <c r="K177" s="74"/>
      <c r="L177" s="242"/>
      <c r="M177" s="694"/>
      <c r="N177" s="712"/>
      <c r="O177" s="77"/>
      <c r="P177" s="108">
        <f>VLOOKUP(D177,Poeng!$B$10:$BC$252,Poeng!AF$1,FALSE)</f>
        <v>0</v>
      </c>
      <c r="Q177" s="108" t="str">
        <f>VLOOKUP(D177,Poeng!$B$10:$BH$252,Poeng!BH$1,FALSE)</f>
        <v>N/A</v>
      </c>
      <c r="R177" s="644"/>
      <c r="S177" s="645"/>
      <c r="T177" s="638"/>
      <c r="U177" s="277"/>
      <c r="V177" s="77"/>
      <c r="W177" s="108">
        <f>VLOOKUP(D177,Poeng!$B$10:$BC$252,Poeng!AG$1,FALSE)</f>
        <v>0</v>
      </c>
      <c r="X177" s="108" t="str">
        <f>VLOOKUP(D177,Poeng!$B$10:$BK$252,Poeng!BK$1,FALSE)</f>
        <v>N/A</v>
      </c>
      <c r="Y177" s="75"/>
      <c r="Z177" s="74"/>
      <c r="AA177" s="638"/>
      <c r="AB177" s="117"/>
      <c r="AC177" s="556"/>
      <c r="AD177" s="20">
        <f t="shared" si="21"/>
        <v>1</v>
      </c>
      <c r="AE177" s="1" t="e">
        <f>VLOOKUP(L177,'Assessment Details'!$O$45:$P$48,2,FALSE)</f>
        <v>#N/A</v>
      </c>
      <c r="AF177" s="1" t="e">
        <f>VLOOKUP(S177,'Assessment Details'!$O$45:$P$48,2,FALSE)</f>
        <v>#N/A</v>
      </c>
      <c r="AG177" s="1" t="e">
        <f>VLOOKUP(Z177,'Assessment Details'!$O$45:$P$48,2,FALSE)</f>
        <v>#N/A</v>
      </c>
      <c r="AJ177" s="64"/>
      <c r="AK177" s="583"/>
      <c r="AL177" s="64"/>
      <c r="AM177" s="64"/>
      <c r="AN177" s="64"/>
      <c r="AO177" s="64"/>
      <c r="AP177" s="64"/>
      <c r="AQ177" s="64"/>
      <c r="AT177" s="20"/>
      <c r="AU177" s="20"/>
      <c r="AV177" s="20"/>
      <c r="AW177" s="20"/>
      <c r="AX177" s="20"/>
      <c r="AY177" s="20"/>
      <c r="BA177" s="556"/>
    </row>
    <row r="178" spans="1:53" x14ac:dyDescent="0.25">
      <c r="A178" s="893">
        <v>169</v>
      </c>
      <c r="B178" s="894" t="s">
        <v>69</v>
      </c>
      <c r="C178" s="802" t="s">
        <v>182</v>
      </c>
      <c r="D178" s="717" t="s">
        <v>182</v>
      </c>
      <c r="E178" s="1077"/>
      <c r="F178" s="750" t="str">
        <f>VLOOKUP(D178,Poeng!$B$10:$R$252,Poeng!E$1,FALSE)</f>
        <v>LE 05 Long term ecology management and maintenance</v>
      </c>
      <c r="G178" s="755">
        <f>VLOOKUP(D178,Poeng!$B$10:$AB$252,Poeng!AB$1,FALSE)</f>
        <v>2</v>
      </c>
      <c r="H178" s="847"/>
      <c r="I178" s="756" t="str">
        <f>VLOOKUP(D178,Poeng!$B$10:$AI$252,Poeng!AI$1,FALSE)&amp;" c. "&amp;ROUND(VLOOKUP(D178,Poeng!$B$10:$AE$252,Poeng!AE$1,FALSE)*100,1)&amp;" %"</f>
        <v>0 c. 0 %</v>
      </c>
      <c r="J178" s="802" t="str">
        <f>VLOOKUP(D178,Poeng!$B$10:$BE$252,Poeng!BE$1,FALSE)</f>
        <v>N/A</v>
      </c>
      <c r="K178" s="74"/>
      <c r="L178" s="242"/>
      <c r="M178" s="694"/>
      <c r="N178" s="712"/>
      <c r="O178" s="847"/>
      <c r="P178" s="766" t="str">
        <f>VLOOKUP(D178,Poeng!$B$10:$BC$252,Poeng!AJ$1,FALSE)&amp;" c. "&amp;ROUND(VLOOKUP(D178,Poeng!$B$10:$BC$252,Poeng!AF$1,FALSE)*100,1)&amp;" %"</f>
        <v>0 c. 0 %</v>
      </c>
      <c r="Q178" s="108" t="str">
        <f>VLOOKUP(D178,Poeng!$B$10:$BH$252,Poeng!BH$1,FALSE)</f>
        <v>N/A</v>
      </c>
      <c r="R178" s="644"/>
      <c r="S178" s="645"/>
      <c r="T178" s="638"/>
      <c r="U178" s="277"/>
      <c r="V178" s="847"/>
      <c r="W178" s="766" t="str">
        <f>VLOOKUP(D178,Poeng!$B$10:$BC$252,Poeng!AK$1,FALSE)&amp;" c. "&amp;ROUND(VLOOKUP(D178,Poeng!$B$10:$BC$252,Poeng!AG$1,FALSE)*100,1)&amp;" %"</f>
        <v>0 c. 0 %</v>
      </c>
      <c r="X178" s="108" t="str">
        <f>VLOOKUP(D178,Poeng!$B$10:$BK$252,Poeng!BK$1,FALSE)</f>
        <v>N/A</v>
      </c>
      <c r="Y178" s="75"/>
      <c r="Z178" s="74"/>
      <c r="AA178" s="638"/>
      <c r="AB178" s="117"/>
      <c r="AC178" s="556" t="s">
        <v>13</v>
      </c>
      <c r="AD178" s="20">
        <f t="shared" si="21"/>
        <v>1</v>
      </c>
      <c r="AE178" s="1" t="e">
        <f>VLOOKUP(L178,'Assessment Details'!$O$45:$P$48,2,FALSE)</f>
        <v>#N/A</v>
      </c>
      <c r="AF178" s="1" t="e">
        <f>VLOOKUP(S178,'Assessment Details'!$O$45:$P$48,2,FALSE)</f>
        <v>#N/A</v>
      </c>
      <c r="AG178" s="1" t="e">
        <f>VLOOKUP(Z178,'Assessment Details'!$O$45:$P$48,2,FALSE)</f>
        <v>#N/A</v>
      </c>
      <c r="AJ178" s="64"/>
      <c r="AK178" s="583" t="s">
        <v>162</v>
      </c>
      <c r="AL178" s="64"/>
      <c r="AM178" s="64"/>
      <c r="AN178" s="64"/>
      <c r="AO178" s="64"/>
      <c r="AP178" s="64"/>
      <c r="AQ178" s="64"/>
      <c r="AT178" s="20" t="str">
        <f t="shared" si="24"/>
        <v>N/A</v>
      </c>
      <c r="AU178" s="20" t="str">
        <f t="shared" si="25"/>
        <v>N/A</v>
      </c>
      <c r="AV178" s="20" t="str">
        <f t="shared" si="26"/>
        <v>N/A</v>
      </c>
      <c r="AW178" s="20"/>
      <c r="AX178" s="20"/>
      <c r="AY178" s="20"/>
      <c r="BA178" s="556"/>
    </row>
    <row r="179" spans="1:53" x14ac:dyDescent="0.25">
      <c r="A179" s="893">
        <v>170</v>
      </c>
      <c r="B179" s="894" t="s">
        <v>69</v>
      </c>
      <c r="C179" s="901" t="str">
        <f t="shared" si="19"/>
        <v>LE 05</v>
      </c>
      <c r="D179" s="717" t="s">
        <v>806</v>
      </c>
      <c r="E179" s="1091" t="s">
        <v>1181</v>
      </c>
      <c r="F179" s="888" t="str">
        <f>VLOOKUP(D179,Poeng!$B$10:$R$252,Poeng!E$1,FALSE)</f>
        <v>Pre-requisite: statutory obligations, planning and site implementation</v>
      </c>
      <c r="G179" s="107" t="str">
        <f>VLOOKUP(D179,Poeng!$B$10:$AB$252,Poeng!AB$1,FALSE)</f>
        <v>Yes/No</v>
      </c>
      <c r="H179" s="37"/>
      <c r="I179" s="108" t="str">
        <f>VLOOKUP(D179,Poeng!$B$10:$AE$252,Poeng!AE$1,FALSE)</f>
        <v>-</v>
      </c>
      <c r="J179" s="109" t="str">
        <f>VLOOKUP(D179,Poeng!$B$10:$BE$252,Poeng!BE$1,FALSE)</f>
        <v>N/A</v>
      </c>
      <c r="K179" s="74"/>
      <c r="L179" s="242"/>
      <c r="M179" s="694"/>
      <c r="N179" s="712"/>
      <c r="O179" s="77"/>
      <c r="P179" s="108" t="str">
        <f>VLOOKUP(D179,Poeng!$B$10:$BC$252,Poeng!AF$1,FALSE)</f>
        <v>-</v>
      </c>
      <c r="Q179" s="108" t="str">
        <f>VLOOKUP(D179,Poeng!$B$10:$BH$252,Poeng!BH$1,FALSE)</f>
        <v>N/A</v>
      </c>
      <c r="R179" s="644"/>
      <c r="S179" s="645"/>
      <c r="T179" s="638"/>
      <c r="U179" s="277"/>
      <c r="V179" s="77"/>
      <c r="W179" s="108" t="str">
        <f>VLOOKUP(D179,Poeng!$B$10:$BC$252,Poeng!AG$1,FALSE)</f>
        <v>-</v>
      </c>
      <c r="X179" s="108" t="str">
        <f>VLOOKUP(D179,Poeng!$B$10:$BK$252,Poeng!BK$1,FALSE)</f>
        <v>N/A</v>
      </c>
      <c r="Y179" s="75"/>
      <c r="Z179" s="74"/>
      <c r="AA179" s="638"/>
      <c r="AB179" s="117"/>
      <c r="AC179" s="556"/>
      <c r="AD179" s="20">
        <f t="shared" si="21"/>
        <v>1</v>
      </c>
      <c r="AE179" s="1" t="e">
        <f>VLOOKUP(L179,'Assessment Details'!$O$45:$P$48,2,FALSE)</f>
        <v>#N/A</v>
      </c>
      <c r="AF179" s="1" t="e">
        <f>VLOOKUP(S179,'Assessment Details'!$O$45:$P$48,2,FALSE)</f>
        <v>#N/A</v>
      </c>
      <c r="AG179" s="1" t="e">
        <f>VLOOKUP(Z179,'Assessment Details'!$O$45:$P$48,2,FALSE)</f>
        <v>#N/A</v>
      </c>
      <c r="AJ179" s="64"/>
      <c r="AK179" s="583"/>
      <c r="AL179" s="64"/>
      <c r="AM179" s="64"/>
      <c r="AN179" s="64"/>
      <c r="AO179" s="64"/>
      <c r="AP179" s="64"/>
      <c r="AQ179" s="64"/>
      <c r="AT179" s="20"/>
      <c r="AU179" s="20"/>
      <c r="AV179" s="20"/>
      <c r="AW179" s="20"/>
      <c r="AX179" s="20"/>
      <c r="AY179" s="20"/>
      <c r="BA179" s="556"/>
    </row>
    <row r="180" spans="1:53" x14ac:dyDescent="0.25">
      <c r="A180" s="893">
        <v>171</v>
      </c>
      <c r="B180" s="894" t="s">
        <v>69</v>
      </c>
      <c r="C180" s="109" t="str">
        <f t="shared" si="19"/>
        <v>LE 05</v>
      </c>
      <c r="D180" s="717" t="s">
        <v>807</v>
      </c>
      <c r="E180" s="1079" t="s">
        <v>1187</v>
      </c>
      <c r="F180" s="751" t="str">
        <f>VLOOKUP(D180,Poeng!$B$10:$R$252,Poeng!E$1,FALSE)</f>
        <v>Management and maintenance throughout the project</v>
      </c>
      <c r="G180" s="107">
        <f>VLOOKUP(D180,Poeng!$B$10:$AB$252,Poeng!AB$1,FALSE)</f>
        <v>1</v>
      </c>
      <c r="H180" s="37"/>
      <c r="I180" s="108">
        <f>VLOOKUP(D180,Poeng!$B$10:$AE$252,Poeng!AE$1,FALSE)</f>
        <v>0</v>
      </c>
      <c r="J180" s="109" t="str">
        <f>VLOOKUP(D180,Poeng!$B$10:$BE$252,Poeng!BE$1,FALSE)</f>
        <v>N/A</v>
      </c>
      <c r="K180" s="74"/>
      <c r="L180" s="242"/>
      <c r="M180" s="694"/>
      <c r="N180" s="712"/>
      <c r="O180" s="77"/>
      <c r="P180" s="108">
        <f>VLOOKUP(D180,Poeng!$B$10:$BC$252,Poeng!AF$1,FALSE)</f>
        <v>0</v>
      </c>
      <c r="Q180" s="108" t="str">
        <f>VLOOKUP(D180,Poeng!$B$10:$BH$252,Poeng!BH$1,FALSE)</f>
        <v>N/A</v>
      </c>
      <c r="R180" s="644"/>
      <c r="S180" s="645"/>
      <c r="T180" s="638"/>
      <c r="U180" s="277"/>
      <c r="V180" s="77"/>
      <c r="W180" s="108">
        <f>VLOOKUP(D180,Poeng!$B$10:$BC$252,Poeng!AG$1,FALSE)</f>
        <v>0</v>
      </c>
      <c r="X180" s="108" t="str">
        <f>VLOOKUP(D180,Poeng!$B$10:$BK$252,Poeng!BK$1,FALSE)</f>
        <v>N/A</v>
      </c>
      <c r="Y180" s="75"/>
      <c r="Z180" s="74"/>
      <c r="AA180" s="638"/>
      <c r="AB180" s="117"/>
      <c r="AC180" s="556"/>
      <c r="AD180" s="20">
        <f t="shared" si="21"/>
        <v>1</v>
      </c>
      <c r="AE180" s="1" t="e">
        <f>VLOOKUP(L180,'Assessment Details'!$O$45:$P$48,2,FALSE)</f>
        <v>#N/A</v>
      </c>
      <c r="AF180" s="1" t="e">
        <f>VLOOKUP(S180,'Assessment Details'!$O$45:$P$48,2,FALSE)</f>
        <v>#N/A</v>
      </c>
      <c r="AG180" s="1" t="e">
        <f>VLOOKUP(Z180,'Assessment Details'!$O$45:$P$48,2,FALSE)</f>
        <v>#N/A</v>
      </c>
      <c r="AJ180" s="64"/>
      <c r="AK180" s="583"/>
      <c r="AL180" s="64"/>
      <c r="AM180" s="64"/>
      <c r="AN180" s="64"/>
      <c r="AO180" s="64"/>
      <c r="AP180" s="64"/>
      <c r="AQ180" s="64"/>
      <c r="AT180" s="20"/>
      <c r="AU180" s="20"/>
      <c r="AV180" s="20"/>
      <c r="AW180" s="20"/>
      <c r="AX180" s="20"/>
      <c r="AY180" s="20"/>
      <c r="BA180" s="556"/>
    </row>
    <row r="181" spans="1:53" x14ac:dyDescent="0.25">
      <c r="A181" s="893">
        <v>172</v>
      </c>
      <c r="B181" s="894" t="s">
        <v>69</v>
      </c>
      <c r="C181" s="109" t="str">
        <f t="shared" si="19"/>
        <v>LE 05</v>
      </c>
      <c r="D181" s="717" t="s">
        <v>808</v>
      </c>
      <c r="E181" s="1079" t="s">
        <v>1174</v>
      </c>
      <c r="F181" s="751" t="str">
        <f>VLOOKUP(D181,Poeng!$B$10:$R$252,Poeng!E$1,FALSE)</f>
        <v>Landscape and ecology management plan</v>
      </c>
      <c r="G181" s="107">
        <f>VLOOKUP(D181,Poeng!$B$10:$AB$252,Poeng!AB$1,FALSE)</f>
        <v>1</v>
      </c>
      <c r="H181" s="37"/>
      <c r="I181" s="108">
        <f>VLOOKUP(D181,Poeng!$B$10:$AE$252,Poeng!AE$1,FALSE)</f>
        <v>0</v>
      </c>
      <c r="J181" s="109" t="str">
        <f>VLOOKUP(D181,Poeng!$B$10:$BE$252,Poeng!BE$1,FALSE)</f>
        <v>N/A</v>
      </c>
      <c r="K181" s="74"/>
      <c r="L181" s="242"/>
      <c r="M181" s="694"/>
      <c r="N181" s="712"/>
      <c r="O181" s="77"/>
      <c r="P181" s="108">
        <f>VLOOKUP(D181,Poeng!$B$10:$BC$252,Poeng!AF$1,FALSE)</f>
        <v>0</v>
      </c>
      <c r="Q181" s="108" t="str">
        <f>VLOOKUP(D181,Poeng!$B$10:$BH$252,Poeng!BH$1,FALSE)</f>
        <v>N/A</v>
      </c>
      <c r="R181" s="644"/>
      <c r="S181" s="645"/>
      <c r="T181" s="638"/>
      <c r="U181" s="277"/>
      <c r="V181" s="77"/>
      <c r="W181" s="108">
        <f>VLOOKUP(D181,Poeng!$B$10:$BC$252,Poeng!AG$1,FALSE)</f>
        <v>0</v>
      </c>
      <c r="X181" s="108" t="str">
        <f>VLOOKUP(D181,Poeng!$B$10:$BK$252,Poeng!BK$1,FALSE)</f>
        <v>N/A</v>
      </c>
      <c r="Y181" s="75"/>
      <c r="Z181" s="74"/>
      <c r="AA181" s="638"/>
      <c r="AB181" s="117"/>
      <c r="AC181" s="556"/>
      <c r="AD181" s="20">
        <f t="shared" si="21"/>
        <v>1</v>
      </c>
      <c r="AE181" s="1" t="e">
        <f>VLOOKUP(L181,'Assessment Details'!$O$45:$P$48,2,FALSE)</f>
        <v>#N/A</v>
      </c>
      <c r="AF181" s="1" t="e">
        <f>VLOOKUP(S181,'Assessment Details'!$O$45:$P$48,2,FALSE)</f>
        <v>#N/A</v>
      </c>
      <c r="AG181" s="1" t="e">
        <f>VLOOKUP(Z181,'Assessment Details'!$O$45:$P$48,2,FALSE)</f>
        <v>#N/A</v>
      </c>
      <c r="AJ181" s="64"/>
      <c r="AK181" s="583"/>
      <c r="AL181" s="64"/>
      <c r="AM181" s="64"/>
      <c r="AN181" s="64"/>
      <c r="AO181" s="64"/>
      <c r="AP181" s="64"/>
      <c r="AQ181" s="64"/>
      <c r="AT181" s="20"/>
      <c r="AU181" s="20"/>
      <c r="AV181" s="20"/>
      <c r="AW181" s="20"/>
      <c r="AX181" s="20"/>
      <c r="AY181" s="20"/>
      <c r="BA181" s="556"/>
    </row>
    <row r="182" spans="1:53" x14ac:dyDescent="0.25">
      <c r="A182" s="893">
        <v>173</v>
      </c>
      <c r="B182" s="894" t="s">
        <v>69</v>
      </c>
      <c r="C182" s="802" t="s">
        <v>183</v>
      </c>
      <c r="D182" s="717" t="s">
        <v>183</v>
      </c>
      <c r="E182" s="1077"/>
      <c r="F182" s="750" t="str">
        <f>VLOOKUP(D182,Poeng!$B$10:$R$252,Poeng!E$1,FALSE)</f>
        <v>LE 06 Climate adaption</v>
      </c>
      <c r="G182" s="755">
        <f>VLOOKUP(D182,Poeng!$B$10:$AB$252,Poeng!AB$1,FALSE)</f>
        <v>1</v>
      </c>
      <c r="H182" s="847"/>
      <c r="I182" s="756" t="str">
        <f>VLOOKUP(D182,Poeng!$B$10:$AI$252,Poeng!AI$1,FALSE)&amp;" c. "&amp;ROUND(VLOOKUP(D182,Poeng!$B$10:$AE$252,Poeng!AE$1,FALSE)*100,1)&amp;" %"</f>
        <v>0 c. 0 %</v>
      </c>
      <c r="J182" s="802" t="str">
        <f>VLOOKUP(D182,Poeng!$B$10:$BE$252,Poeng!BE$1,FALSE)</f>
        <v>N/A</v>
      </c>
      <c r="K182" s="74"/>
      <c r="L182" s="242"/>
      <c r="M182" s="694"/>
      <c r="N182" s="712"/>
      <c r="O182" s="847"/>
      <c r="P182" s="766" t="str">
        <f>VLOOKUP(D182,Poeng!$B$10:$BC$252,Poeng!AJ$1,FALSE)&amp;" c. "&amp;ROUND(VLOOKUP(D182,Poeng!$B$10:$BC$252,Poeng!AF$1,FALSE)*100,1)&amp;" %"</f>
        <v>0 c. 0 %</v>
      </c>
      <c r="Q182" s="108" t="str">
        <f>VLOOKUP(D182,Poeng!$B$10:$BH$252,Poeng!BH$1,FALSE)</f>
        <v>N/A</v>
      </c>
      <c r="R182" s="644"/>
      <c r="S182" s="645"/>
      <c r="T182" s="638"/>
      <c r="U182" s="277"/>
      <c r="V182" s="847"/>
      <c r="W182" s="766" t="str">
        <f>VLOOKUP(D182,Poeng!$B$10:$BC$252,Poeng!AK$1,FALSE)&amp;" c. "&amp;ROUND(VLOOKUP(D182,Poeng!$B$10:$BC$252,Poeng!AG$1,FALSE)*100,1)&amp;" %"</f>
        <v>0 c. 0 %</v>
      </c>
      <c r="X182" s="108" t="str">
        <f>VLOOKUP(D182,Poeng!$B$10:$BK$252,Poeng!BK$1,FALSE)</f>
        <v>N/A</v>
      </c>
      <c r="Y182" s="75"/>
      <c r="Z182" s="74"/>
      <c r="AA182" s="638"/>
      <c r="AB182" s="117"/>
      <c r="AC182" s="556" t="s">
        <v>13</v>
      </c>
      <c r="AD182" s="20">
        <f t="shared" si="21"/>
        <v>1</v>
      </c>
      <c r="AE182" s="1" t="e">
        <f>VLOOKUP(L182,'Assessment Details'!$O$45:$P$48,2,FALSE)</f>
        <v>#N/A</v>
      </c>
      <c r="AF182" s="1" t="e">
        <f>VLOOKUP(S182,'Assessment Details'!$O$45:$P$48,2,FALSE)</f>
        <v>#N/A</v>
      </c>
      <c r="AG182" s="1" t="e">
        <f>VLOOKUP(Z182,'Assessment Details'!$O$45:$P$48,2,FALSE)</f>
        <v>#N/A</v>
      </c>
      <c r="AJ182" s="64"/>
      <c r="AK182" s="583" t="s">
        <v>166</v>
      </c>
      <c r="AL182" s="64"/>
      <c r="AM182" s="64"/>
      <c r="AN182" s="64"/>
      <c r="AO182" s="64"/>
      <c r="AP182" s="64"/>
      <c r="AQ182" s="64"/>
      <c r="AT182" s="20" t="str">
        <f t="shared" si="24"/>
        <v>N/A</v>
      </c>
      <c r="AU182" s="20" t="str">
        <f t="shared" si="25"/>
        <v>N/A</v>
      </c>
      <c r="AV182" s="20" t="str">
        <f t="shared" si="26"/>
        <v>N/A</v>
      </c>
      <c r="AW182" s="20"/>
      <c r="AX182" s="20"/>
      <c r="AY182" s="20"/>
      <c r="BA182" s="556"/>
    </row>
    <row r="183" spans="1:53" x14ac:dyDescent="0.25">
      <c r="A183" s="893">
        <v>174</v>
      </c>
      <c r="B183" s="894" t="s">
        <v>69</v>
      </c>
      <c r="C183" s="109" t="str">
        <f t="shared" si="19"/>
        <v>LE 06</v>
      </c>
      <c r="D183" s="717" t="s">
        <v>809</v>
      </c>
      <c r="E183" s="1079" t="s">
        <v>1194</v>
      </c>
      <c r="F183" s="751" t="str">
        <f>VLOOKUP(D183,Poeng!$B$10:$R$252,Poeng!E$1,FALSE)</f>
        <v>Risk assessment (EU taxonomy requirement: criterion 1-6)</v>
      </c>
      <c r="G183" s="107">
        <f>VLOOKUP(D183,Poeng!$B$10:$AB$252,Poeng!AB$1,FALSE)</f>
        <v>1</v>
      </c>
      <c r="H183" s="37"/>
      <c r="I183" s="108">
        <f>VLOOKUP(D183,Poeng!$B$10:$AE$252,Poeng!AE$1,FALSE)</f>
        <v>0</v>
      </c>
      <c r="J183" s="109" t="str">
        <f>VLOOKUP(D183,Poeng!$B$10:$BE$252,Poeng!BE$1,FALSE)</f>
        <v>Very Good</v>
      </c>
      <c r="K183" s="74"/>
      <c r="L183" s="242"/>
      <c r="M183" s="694"/>
      <c r="N183" s="712"/>
      <c r="O183" s="77"/>
      <c r="P183" s="108">
        <f>VLOOKUP(D183,Poeng!$B$10:$BC$252,Poeng!AF$1,FALSE)</f>
        <v>0</v>
      </c>
      <c r="Q183" s="108" t="str">
        <f>VLOOKUP(D183,Poeng!$B$10:$BH$252,Poeng!BH$1,FALSE)</f>
        <v>Very Good</v>
      </c>
      <c r="R183" s="644"/>
      <c r="S183" s="645"/>
      <c r="T183" s="638"/>
      <c r="U183" s="277"/>
      <c r="V183" s="77"/>
      <c r="W183" s="108">
        <f>VLOOKUP(D183,Poeng!$B$10:$BC$252,Poeng!AG$1,FALSE)</f>
        <v>0</v>
      </c>
      <c r="X183" s="108" t="str">
        <f>VLOOKUP(D183,Poeng!$B$10:$BK$252,Poeng!BK$1,FALSE)</f>
        <v>Very Good</v>
      </c>
      <c r="Y183" s="75"/>
      <c r="Z183" s="74"/>
      <c r="AA183" s="638"/>
      <c r="AB183" s="117"/>
      <c r="AC183" s="620"/>
      <c r="AD183" s="20">
        <f t="shared" si="21"/>
        <v>1</v>
      </c>
      <c r="AE183" s="1" t="e">
        <f>VLOOKUP(L183,'Assessment Details'!$O$45:$P$48,2,FALSE)</f>
        <v>#N/A</v>
      </c>
      <c r="AF183" s="1" t="e">
        <f>VLOOKUP(S183,'Assessment Details'!$O$45:$P$48,2,FALSE)</f>
        <v>#N/A</v>
      </c>
      <c r="AG183" s="1" t="e">
        <f>VLOOKUP(Z183,'Assessment Details'!$O$45:$P$48,2,FALSE)</f>
        <v>#N/A</v>
      </c>
      <c r="AJ183" s="64"/>
      <c r="AK183" s="583"/>
      <c r="AL183" s="64"/>
      <c r="AM183" s="64"/>
      <c r="AN183" s="64"/>
      <c r="AO183" s="64"/>
      <c r="AP183" s="64"/>
      <c r="AQ183" s="64"/>
      <c r="AT183" s="20"/>
      <c r="AU183" s="20"/>
      <c r="AV183" s="20"/>
      <c r="AW183" s="20"/>
      <c r="AX183" s="20"/>
      <c r="AY183" s="20"/>
      <c r="BA183" s="620"/>
    </row>
    <row r="184" spans="1:53" x14ac:dyDescent="0.25">
      <c r="A184" s="893">
        <v>175</v>
      </c>
      <c r="B184" s="894" t="s">
        <v>69</v>
      </c>
      <c r="C184" s="802" t="s">
        <v>480</v>
      </c>
      <c r="D184" s="717" t="s">
        <v>480</v>
      </c>
      <c r="E184" s="1077"/>
      <c r="F184" s="750" t="str">
        <f>VLOOKUP(D184,Poeng!$B$10:$R$252,Poeng!E$1,FALSE)</f>
        <v>LE 07 Flooding and storm surge</v>
      </c>
      <c r="G184" s="755">
        <f>VLOOKUP(D184,Poeng!$B$10:$AB$252,Poeng!AB$1,FALSE)</f>
        <v>2</v>
      </c>
      <c r="H184" s="847"/>
      <c r="I184" s="756" t="str">
        <f>VLOOKUP(D184,Poeng!$B$10:$AI$252,Poeng!AI$1,FALSE)&amp;" c. "&amp;ROUND(VLOOKUP(D184,Poeng!$B$10:$AE$252,Poeng!AE$1,FALSE)*100,1)&amp;" %"</f>
        <v>0 c. 0 %</v>
      </c>
      <c r="J184" s="802" t="str">
        <f>VLOOKUP(D184,Poeng!$B$10:$BE$252,Poeng!BE$1,FALSE)</f>
        <v>N/A</v>
      </c>
      <c r="K184" s="74"/>
      <c r="L184" s="242"/>
      <c r="M184" s="694"/>
      <c r="N184" s="712"/>
      <c r="O184" s="847"/>
      <c r="P184" s="766" t="str">
        <f>VLOOKUP(D184,Poeng!$B$10:$BC$252,Poeng!AJ$1,FALSE)&amp;" c. "&amp;ROUND(VLOOKUP(D184,Poeng!$B$10:$BC$252,Poeng!AF$1,FALSE)*100,1)&amp;" %"</f>
        <v>0 c. 0 %</v>
      </c>
      <c r="Q184" s="108" t="str">
        <f>VLOOKUP(D184,Poeng!$B$10:$BH$252,Poeng!BH$1,FALSE)</f>
        <v>N/A</v>
      </c>
      <c r="R184" s="644"/>
      <c r="S184" s="645"/>
      <c r="T184" s="638"/>
      <c r="U184" s="277"/>
      <c r="V184" s="847"/>
      <c r="W184" s="766" t="str">
        <f>VLOOKUP(D184,Poeng!$B$10:$BC$252,Poeng!AK$1,FALSE)&amp;" c. "&amp;ROUND(VLOOKUP(D184,Poeng!$B$10:$BC$252,Poeng!AG$1,FALSE)*100,1)&amp;" %"</f>
        <v>0 c. 0 %</v>
      </c>
      <c r="X184" s="108" t="str">
        <f>VLOOKUP(D184,Poeng!$B$10:$BK$252,Poeng!BK$1,FALSE)</f>
        <v>N/A</v>
      </c>
      <c r="Y184" s="75"/>
      <c r="Z184" s="74"/>
      <c r="AA184" s="638"/>
      <c r="AB184" s="117"/>
      <c r="AC184" s="620"/>
      <c r="AD184" s="20">
        <f t="shared" si="21"/>
        <v>1</v>
      </c>
      <c r="AE184" s="1" t="e">
        <f>VLOOKUP(L184,'Assessment Details'!$O$45:$P$48,2,FALSE)</f>
        <v>#N/A</v>
      </c>
      <c r="AF184" s="1" t="e">
        <f>VLOOKUP(S184,'Assessment Details'!$O$45:$P$48,2,FALSE)</f>
        <v>#N/A</v>
      </c>
      <c r="AG184" s="1" t="e">
        <f>VLOOKUP(Z184,'Assessment Details'!$O$45:$P$48,2,FALSE)</f>
        <v>#N/A</v>
      </c>
      <c r="AJ184" s="64"/>
      <c r="AK184" s="583"/>
      <c r="AL184" s="64"/>
      <c r="AM184" s="64"/>
      <c r="AN184" s="64"/>
      <c r="AO184" s="64"/>
      <c r="AP184" s="64"/>
      <c r="AQ184" s="64"/>
      <c r="AT184" s="20"/>
      <c r="AU184" s="20"/>
      <c r="AV184" s="20"/>
      <c r="AW184" s="20"/>
      <c r="AX184" s="20"/>
      <c r="AY184" s="20"/>
      <c r="BA184" s="620"/>
    </row>
    <row r="185" spans="1:53" x14ac:dyDescent="0.25">
      <c r="A185" s="893">
        <v>176</v>
      </c>
      <c r="B185" s="894" t="s">
        <v>69</v>
      </c>
      <c r="C185" s="109" t="str">
        <f t="shared" si="19"/>
        <v>LE 07</v>
      </c>
      <c r="D185" s="717" t="s">
        <v>810</v>
      </c>
      <c r="E185" s="1078">
        <v>1</v>
      </c>
      <c r="F185" s="751" t="str">
        <f>VLOOKUP(D185,Poeng!$B$10:$R$252,Poeng!E$1,FALSE)</f>
        <v>Pre-requisite: flood risk assessment</v>
      </c>
      <c r="G185" s="107" t="str">
        <f>VLOOKUP(D185,Poeng!$B$10:$AB$252,Poeng!AB$1,FALSE)</f>
        <v>Yes/No</v>
      </c>
      <c r="H185" s="37"/>
      <c r="I185" s="108" t="str">
        <f>VLOOKUP(D185,Poeng!$B$10:$AE$252,Poeng!AE$1,FALSE)</f>
        <v>-</v>
      </c>
      <c r="J185" s="109" t="str">
        <f>VLOOKUP(D185,Poeng!$B$10:$BE$252,Poeng!BE$1,FALSE)</f>
        <v>N/A</v>
      </c>
      <c r="K185" s="74"/>
      <c r="L185" s="242"/>
      <c r="M185" s="694"/>
      <c r="N185" s="712"/>
      <c r="O185" s="77"/>
      <c r="P185" s="108" t="str">
        <f>VLOOKUP(D185,Poeng!$B$10:$BC$252,Poeng!AF$1,FALSE)</f>
        <v>-</v>
      </c>
      <c r="Q185" s="108" t="str">
        <f>VLOOKUP(D185,Poeng!$B$10:$BH$252,Poeng!BH$1,FALSE)</f>
        <v>N/A</v>
      </c>
      <c r="R185" s="644"/>
      <c r="S185" s="645"/>
      <c r="T185" s="638"/>
      <c r="U185" s="277"/>
      <c r="V185" s="77"/>
      <c r="W185" s="108" t="str">
        <f>VLOOKUP(D185,Poeng!$B$10:$BC$252,Poeng!AG$1,FALSE)</f>
        <v>-</v>
      </c>
      <c r="X185" s="108" t="str">
        <f>VLOOKUP(D185,Poeng!$B$10:$BK$252,Poeng!BK$1,FALSE)</f>
        <v>N/A</v>
      </c>
      <c r="Y185" s="75"/>
      <c r="Z185" s="74"/>
      <c r="AA185" s="638"/>
      <c r="AB185" s="117"/>
      <c r="AC185" s="620"/>
      <c r="AD185" s="20">
        <f t="shared" si="21"/>
        <v>1</v>
      </c>
      <c r="AE185" s="1" t="e">
        <f>VLOOKUP(L185,'Assessment Details'!$O$45:$P$48,2,FALSE)</f>
        <v>#N/A</v>
      </c>
      <c r="AF185" s="1" t="e">
        <f>VLOOKUP(S185,'Assessment Details'!$O$45:$P$48,2,FALSE)</f>
        <v>#N/A</v>
      </c>
      <c r="AG185" s="1" t="e">
        <f>VLOOKUP(Z185,'Assessment Details'!$O$45:$P$48,2,FALSE)</f>
        <v>#N/A</v>
      </c>
      <c r="AJ185" s="64"/>
      <c r="AK185" s="583"/>
      <c r="AL185" s="64"/>
      <c r="AM185" s="64"/>
      <c r="AN185" s="64"/>
      <c r="AO185" s="64"/>
      <c r="AP185" s="64"/>
      <c r="AQ185" s="64"/>
      <c r="AT185" s="20"/>
      <c r="AU185" s="20"/>
      <c r="AV185" s="20"/>
      <c r="AW185" s="20"/>
      <c r="AX185" s="20"/>
      <c r="AY185" s="20"/>
      <c r="BA185" s="620"/>
    </row>
    <row r="186" spans="1:53" x14ac:dyDescent="0.25">
      <c r="A186" s="893">
        <v>177</v>
      </c>
      <c r="B186" s="894" t="s">
        <v>69</v>
      </c>
      <c r="C186" s="109" t="str">
        <f t="shared" si="19"/>
        <v>LE 07</v>
      </c>
      <c r="D186" s="717" t="s">
        <v>811</v>
      </c>
      <c r="E186" s="1079" t="s">
        <v>1168</v>
      </c>
      <c r="F186" s="751" t="str">
        <f>VLOOKUP(D186,Poeng!$B$10:$R$252,Poeng!E$1,FALSE)</f>
        <v>Resilience against flood and storm surge</v>
      </c>
      <c r="G186" s="107">
        <f>VLOOKUP(D186,Poeng!$B$10:$AB$252,Poeng!AB$1,FALSE)</f>
        <v>2</v>
      </c>
      <c r="H186" s="37"/>
      <c r="I186" s="108">
        <f>VLOOKUP(D186,Poeng!$B$10:$AE$252,Poeng!AE$1,FALSE)</f>
        <v>0</v>
      </c>
      <c r="J186" s="109" t="str">
        <f>VLOOKUP(D186,Poeng!$B$10:$BE$252,Poeng!BE$1,FALSE)</f>
        <v>N/A</v>
      </c>
      <c r="K186" s="74"/>
      <c r="L186" s="242"/>
      <c r="M186" s="694"/>
      <c r="N186" s="712"/>
      <c r="O186" s="77"/>
      <c r="P186" s="108">
        <f>VLOOKUP(D186,Poeng!$B$10:$BC$252,Poeng!AF$1,FALSE)</f>
        <v>0</v>
      </c>
      <c r="Q186" s="108" t="str">
        <f>VLOOKUP(D186,Poeng!$B$10:$BH$252,Poeng!BH$1,FALSE)</f>
        <v>N/A</v>
      </c>
      <c r="R186" s="644"/>
      <c r="S186" s="645"/>
      <c r="T186" s="638"/>
      <c r="U186" s="277"/>
      <c r="V186" s="77"/>
      <c r="W186" s="108">
        <f>VLOOKUP(D186,Poeng!$B$10:$BC$252,Poeng!AG$1,FALSE)</f>
        <v>0</v>
      </c>
      <c r="X186" s="108" t="str">
        <f>VLOOKUP(D186,Poeng!$B$10:$BK$252,Poeng!BK$1,FALSE)</f>
        <v>N/A</v>
      </c>
      <c r="Y186" s="75"/>
      <c r="Z186" s="74"/>
      <c r="AA186" s="638"/>
      <c r="AB186" s="117"/>
      <c r="AC186" s="620"/>
      <c r="AD186" s="20">
        <f t="shared" si="21"/>
        <v>1</v>
      </c>
      <c r="AE186" s="1" t="e">
        <f>VLOOKUP(L186,'Assessment Details'!$O$45:$P$48,2,FALSE)</f>
        <v>#N/A</v>
      </c>
      <c r="AF186" s="1" t="e">
        <f>VLOOKUP(S186,'Assessment Details'!$O$45:$P$48,2,FALSE)</f>
        <v>#N/A</v>
      </c>
      <c r="AG186" s="1" t="e">
        <f>VLOOKUP(Z186,'Assessment Details'!$O$45:$P$48,2,FALSE)</f>
        <v>#N/A</v>
      </c>
      <c r="AJ186" s="64"/>
      <c r="AK186" s="583"/>
      <c r="AL186" s="64"/>
      <c r="AM186" s="64"/>
      <c r="AN186" s="64"/>
      <c r="AO186" s="64"/>
      <c r="AP186" s="64"/>
      <c r="AQ186" s="64"/>
      <c r="AT186" s="20"/>
      <c r="AU186" s="20"/>
      <c r="AV186" s="20"/>
      <c r="AW186" s="20"/>
      <c r="AX186" s="20"/>
      <c r="AY186" s="20"/>
      <c r="BA186" s="620"/>
    </row>
    <row r="187" spans="1:53" x14ac:dyDescent="0.25">
      <c r="A187" s="893">
        <v>178</v>
      </c>
      <c r="B187" s="894" t="s">
        <v>69</v>
      </c>
      <c r="C187" s="802" t="s">
        <v>481</v>
      </c>
      <c r="D187" s="717" t="s">
        <v>481</v>
      </c>
      <c r="E187" s="1077"/>
      <c r="F187" s="750" t="str">
        <f>VLOOKUP(D187,Poeng!$B$10:$R$252,Poeng!E$1,FALSE)</f>
        <v>LE 08 Local surface water handling</v>
      </c>
      <c r="G187" s="755">
        <f>VLOOKUP(D187,Poeng!$B$10:$AB$252,Poeng!AB$1,FALSE)</f>
        <v>3</v>
      </c>
      <c r="H187" s="847"/>
      <c r="I187" s="756" t="str">
        <f>VLOOKUP(D187,Poeng!$B$10:$AI$252,Poeng!AI$1,FALSE)&amp;" c. "&amp;ROUND(VLOOKUP(D187,Poeng!$B$10:$AE$252,Poeng!AE$1,FALSE)*100,1)&amp;" %"</f>
        <v>0 c. 0 %</v>
      </c>
      <c r="J187" s="802" t="str">
        <f>VLOOKUP(D187,Poeng!$B$10:$BE$252,Poeng!BE$1,FALSE)</f>
        <v>N/A</v>
      </c>
      <c r="K187" s="74"/>
      <c r="L187" s="242"/>
      <c r="M187" s="694"/>
      <c r="N187" s="712"/>
      <c r="O187" s="847"/>
      <c r="P187" s="766" t="str">
        <f>VLOOKUP(D187,Poeng!$B$10:$BC$252,Poeng!AJ$1,FALSE)&amp;" c. "&amp;ROUND(VLOOKUP(D187,Poeng!$B$10:$BC$252,Poeng!AF$1,FALSE)*100,1)&amp;" %"</f>
        <v>0 c. 0 %</v>
      </c>
      <c r="Q187" s="108" t="str">
        <f>VLOOKUP(D187,Poeng!$B$10:$BH$252,Poeng!BH$1,FALSE)</f>
        <v>N/A</v>
      </c>
      <c r="R187" s="644"/>
      <c r="S187" s="645"/>
      <c r="T187" s="638"/>
      <c r="U187" s="277"/>
      <c r="V187" s="847"/>
      <c r="W187" s="766" t="str">
        <f>VLOOKUP(D187,Poeng!$B$10:$BC$252,Poeng!AK$1,FALSE)&amp;" c. "&amp;ROUND(VLOOKUP(D187,Poeng!$B$10:$BC$252,Poeng!AG$1,FALSE)*100,1)&amp;" %"</f>
        <v>0 c. 0 %</v>
      </c>
      <c r="X187" s="108" t="str">
        <f>VLOOKUP(D187,Poeng!$B$10:$BK$252,Poeng!BK$1,FALSE)</f>
        <v>N/A</v>
      </c>
      <c r="Y187" s="75"/>
      <c r="Z187" s="74"/>
      <c r="AA187" s="638"/>
      <c r="AB187" s="117"/>
      <c r="AC187" s="620"/>
      <c r="AD187" s="20">
        <f t="shared" si="21"/>
        <v>1</v>
      </c>
      <c r="AE187" s="1" t="e">
        <f>VLOOKUP(L187,'Assessment Details'!$O$45:$P$48,2,FALSE)</f>
        <v>#N/A</v>
      </c>
      <c r="AF187" s="1" t="e">
        <f>VLOOKUP(S187,'Assessment Details'!$O$45:$P$48,2,FALSE)</f>
        <v>#N/A</v>
      </c>
      <c r="AG187" s="1" t="e">
        <f>VLOOKUP(Z187,'Assessment Details'!$O$45:$P$48,2,FALSE)</f>
        <v>#N/A</v>
      </c>
      <c r="AJ187" s="64"/>
      <c r="AK187" s="583"/>
      <c r="AL187" s="64"/>
      <c r="AM187" s="64"/>
      <c r="AN187" s="64"/>
      <c r="AO187" s="64"/>
      <c r="AP187" s="64"/>
      <c r="AQ187" s="64"/>
      <c r="AT187" s="20"/>
      <c r="AU187" s="20"/>
      <c r="AV187" s="20"/>
      <c r="AW187" s="20"/>
      <c r="AX187" s="20"/>
      <c r="AY187" s="20"/>
      <c r="BA187" s="620"/>
    </row>
    <row r="188" spans="1:53" x14ac:dyDescent="0.25">
      <c r="A188" s="893">
        <v>179</v>
      </c>
      <c r="B188" s="894" t="s">
        <v>69</v>
      </c>
      <c r="C188" s="109" t="str">
        <f t="shared" si="19"/>
        <v>LE 08</v>
      </c>
      <c r="D188" s="717" t="s">
        <v>812</v>
      </c>
      <c r="E188" s="1079" t="s">
        <v>1198</v>
      </c>
      <c r="F188" s="751" t="str">
        <f>VLOOKUP(D188,Poeng!$B$10:$R$252,Poeng!E$1,FALSE)</f>
        <v>Pre-requisite: risk assessment and the "three- step strategy"</v>
      </c>
      <c r="G188" s="107" t="str">
        <f>VLOOKUP(D188,Poeng!$B$10:$AB$252,Poeng!AB$1,FALSE)</f>
        <v>Yes/No</v>
      </c>
      <c r="H188" s="37"/>
      <c r="I188" s="108" t="str">
        <f>VLOOKUP(D188,Poeng!$B$10:$AE$252,Poeng!AE$1,FALSE)</f>
        <v>-</v>
      </c>
      <c r="J188" s="109" t="str">
        <f>VLOOKUP(D188,Poeng!$B$10:$BE$252,Poeng!BE$1,FALSE)</f>
        <v>N/A</v>
      </c>
      <c r="K188" s="74"/>
      <c r="L188" s="242"/>
      <c r="M188" s="694"/>
      <c r="N188" s="712"/>
      <c r="O188" s="77"/>
      <c r="P188" s="108" t="str">
        <f>VLOOKUP(D188,Poeng!$B$10:$BC$252,Poeng!AF$1,FALSE)</f>
        <v>-</v>
      </c>
      <c r="Q188" s="108" t="str">
        <f>VLOOKUP(D188,Poeng!$B$10:$BH$252,Poeng!BH$1,FALSE)</f>
        <v>N/A</v>
      </c>
      <c r="R188" s="644"/>
      <c r="S188" s="645"/>
      <c r="T188" s="638"/>
      <c r="U188" s="277"/>
      <c r="V188" s="77"/>
      <c r="W188" s="108" t="str">
        <f>VLOOKUP(D188,Poeng!$B$10:$BC$252,Poeng!AG$1,FALSE)</f>
        <v>-</v>
      </c>
      <c r="X188" s="108" t="str">
        <f>VLOOKUP(D188,Poeng!$B$10:$BK$252,Poeng!BK$1,FALSE)</f>
        <v>N/A</v>
      </c>
      <c r="Y188" s="75"/>
      <c r="Z188" s="74"/>
      <c r="AA188" s="638"/>
      <c r="AB188" s="117"/>
      <c r="AC188" s="620"/>
      <c r="AD188" s="20">
        <f t="shared" si="21"/>
        <v>1</v>
      </c>
      <c r="AE188" s="1" t="e">
        <f>VLOOKUP(L188,'Assessment Details'!$O$45:$P$48,2,FALSE)</f>
        <v>#N/A</v>
      </c>
      <c r="AF188" s="1" t="e">
        <f>VLOOKUP(S188,'Assessment Details'!$O$45:$P$48,2,FALSE)</f>
        <v>#N/A</v>
      </c>
      <c r="AG188" s="1" t="e">
        <f>VLOOKUP(Z188,'Assessment Details'!$O$45:$P$48,2,FALSE)</f>
        <v>#N/A</v>
      </c>
      <c r="AJ188" s="64"/>
      <c r="AK188" s="583"/>
      <c r="AL188" s="64"/>
      <c r="AM188" s="64"/>
      <c r="AN188" s="64"/>
      <c r="AO188" s="64"/>
      <c r="AP188" s="64"/>
      <c r="AQ188" s="64"/>
      <c r="AT188" s="20"/>
      <c r="AU188" s="20"/>
      <c r="AV188" s="20"/>
      <c r="AW188" s="20"/>
      <c r="AX188" s="20"/>
      <c r="AY188" s="20"/>
      <c r="BA188" s="620"/>
    </row>
    <row r="189" spans="1:53" x14ac:dyDescent="0.25">
      <c r="A189" s="893">
        <v>180</v>
      </c>
      <c r="B189" s="894" t="s">
        <v>69</v>
      </c>
      <c r="C189" s="109" t="str">
        <f>C188</f>
        <v>LE 08</v>
      </c>
      <c r="D189" s="717" t="s">
        <v>813</v>
      </c>
      <c r="E189" s="1079" t="s">
        <v>1199</v>
      </c>
      <c r="F189" s="751" t="str">
        <f>VLOOKUP(D189,Poeng!$B$10:$R$252,Poeng!E$1,FALSE)</f>
        <v>5 mm precipitation</v>
      </c>
      <c r="G189" s="107">
        <f>VLOOKUP(D189,Poeng!$B$10:$AB$252,Poeng!AB$1,FALSE)</f>
        <v>1</v>
      </c>
      <c r="H189" s="37"/>
      <c r="I189" s="108">
        <f>VLOOKUP(D189,Poeng!$B$10:$AE$252,Poeng!AE$1,FALSE)</f>
        <v>0</v>
      </c>
      <c r="J189" s="109" t="str">
        <f>VLOOKUP(D189,Poeng!$B$10:$BE$252,Poeng!BE$1,FALSE)</f>
        <v>N/A</v>
      </c>
      <c r="K189" s="74"/>
      <c r="L189" s="242"/>
      <c r="M189" s="694"/>
      <c r="N189" s="712"/>
      <c r="O189" s="77"/>
      <c r="P189" s="108">
        <f>VLOOKUP(D189,Poeng!$B$10:$BC$252,Poeng!AF$1,FALSE)</f>
        <v>0</v>
      </c>
      <c r="Q189" s="108" t="str">
        <f>VLOOKUP(D189,Poeng!$B$10:$BH$252,Poeng!BH$1,FALSE)</f>
        <v>N/A</v>
      </c>
      <c r="R189" s="644"/>
      <c r="S189" s="645"/>
      <c r="T189" s="638"/>
      <c r="U189" s="277"/>
      <c r="V189" s="77"/>
      <c r="W189" s="108">
        <f>VLOOKUP(D189,Poeng!$B$10:$BC$252,Poeng!AG$1,FALSE)</f>
        <v>0</v>
      </c>
      <c r="X189" s="108" t="str">
        <f>VLOOKUP(D189,Poeng!$B$10:$BK$252,Poeng!BK$1,FALSE)</f>
        <v>N/A</v>
      </c>
      <c r="Y189" s="75"/>
      <c r="Z189" s="74"/>
      <c r="AA189" s="638"/>
      <c r="AB189" s="117"/>
      <c r="AC189" s="620"/>
      <c r="AD189" s="20">
        <f t="shared" si="21"/>
        <v>1</v>
      </c>
      <c r="AE189" s="1" t="e">
        <f>VLOOKUP(L189,'Assessment Details'!$O$45:$P$48,2,FALSE)</f>
        <v>#N/A</v>
      </c>
      <c r="AF189" s="1" t="e">
        <f>VLOOKUP(S189,'Assessment Details'!$O$45:$P$48,2,FALSE)</f>
        <v>#N/A</v>
      </c>
      <c r="AG189" s="1" t="e">
        <f>VLOOKUP(Z189,'Assessment Details'!$O$45:$P$48,2,FALSE)</f>
        <v>#N/A</v>
      </c>
      <c r="AJ189" s="64"/>
      <c r="AK189" s="583"/>
      <c r="AL189" s="64"/>
      <c r="AM189" s="64"/>
      <c r="AN189" s="64"/>
      <c r="AO189" s="64"/>
      <c r="AP189" s="64"/>
      <c r="AQ189" s="64"/>
      <c r="AT189" s="20"/>
      <c r="AU189" s="20"/>
      <c r="AV189" s="20"/>
      <c r="AW189" s="20"/>
      <c r="AX189" s="20"/>
      <c r="AY189" s="20"/>
      <c r="BA189" s="620"/>
    </row>
    <row r="190" spans="1:53" x14ac:dyDescent="0.25">
      <c r="A190" s="893">
        <v>181</v>
      </c>
      <c r="B190" s="894" t="s">
        <v>69</v>
      </c>
      <c r="C190" s="109" t="str">
        <f>C188</f>
        <v>LE 08</v>
      </c>
      <c r="D190" s="717" t="s">
        <v>814</v>
      </c>
      <c r="E190" s="1079" t="s">
        <v>1189</v>
      </c>
      <c r="F190" s="751" t="str">
        <f>VLOOKUP(D190,Poeng!$B$10:$R$252,Poeng!E$1,FALSE)</f>
        <v>Maximum run-off</v>
      </c>
      <c r="G190" s="107">
        <f>VLOOKUP(D190,Poeng!$B$10:$AB$252,Poeng!AB$1,FALSE)</f>
        <v>1</v>
      </c>
      <c r="H190" s="37"/>
      <c r="I190" s="108">
        <f>VLOOKUP(D190,Poeng!$B$10:$AE$252,Poeng!AE$1,FALSE)</f>
        <v>0</v>
      </c>
      <c r="J190" s="109" t="str">
        <f>VLOOKUP(D190,Poeng!$B$10:$BE$252,Poeng!BE$1,FALSE)</f>
        <v>N/A</v>
      </c>
      <c r="K190" s="74"/>
      <c r="L190" s="242"/>
      <c r="M190" s="694"/>
      <c r="N190" s="712"/>
      <c r="O190" s="77"/>
      <c r="P190" s="108">
        <f>VLOOKUP(D190,Poeng!$B$10:$BC$252,Poeng!AF$1,FALSE)</f>
        <v>0</v>
      </c>
      <c r="Q190" s="108" t="str">
        <f>VLOOKUP(D190,Poeng!$B$10:$BH$252,Poeng!BH$1,FALSE)</f>
        <v>N/A</v>
      </c>
      <c r="R190" s="644"/>
      <c r="S190" s="645"/>
      <c r="T190" s="638"/>
      <c r="U190" s="277"/>
      <c r="V190" s="77"/>
      <c r="W190" s="108">
        <f>VLOOKUP(D190,Poeng!$B$10:$BC$252,Poeng!AG$1,FALSE)</f>
        <v>0</v>
      </c>
      <c r="X190" s="108" t="str">
        <f>VLOOKUP(D190,Poeng!$B$10:$BK$252,Poeng!BK$1,FALSE)</f>
        <v>N/A</v>
      </c>
      <c r="Y190" s="75"/>
      <c r="Z190" s="74"/>
      <c r="AA190" s="638"/>
      <c r="AB190" s="117"/>
      <c r="AC190" s="620"/>
      <c r="AD190" s="20">
        <f t="shared" ref="AD190" si="29">IF(G190="",1,IF(G190=0,2,1))</f>
        <v>1</v>
      </c>
      <c r="AE190" s="1" t="e">
        <f>VLOOKUP(L190,'Assessment Details'!$O$45:$P$48,2,FALSE)</f>
        <v>#N/A</v>
      </c>
      <c r="AF190" s="1" t="e">
        <f>VLOOKUP(S190,'Assessment Details'!$O$45:$P$48,2,FALSE)</f>
        <v>#N/A</v>
      </c>
      <c r="AG190" s="1" t="e">
        <f>VLOOKUP(Z190,'Assessment Details'!$O$45:$P$48,2,FALSE)</f>
        <v>#N/A</v>
      </c>
      <c r="AJ190" s="64"/>
      <c r="AK190" s="583"/>
      <c r="AL190" s="64"/>
      <c r="AM190" s="64"/>
      <c r="AN190" s="64"/>
      <c r="AO190" s="64"/>
      <c r="AP190" s="64"/>
      <c r="AQ190" s="64"/>
      <c r="AT190" s="20"/>
      <c r="AU190" s="20"/>
      <c r="AV190" s="20"/>
      <c r="AW190" s="20"/>
      <c r="AX190" s="20"/>
      <c r="AY190" s="20"/>
      <c r="BA190" s="620"/>
    </row>
    <row r="191" spans="1:53" x14ac:dyDescent="0.25">
      <c r="A191" s="893">
        <v>182</v>
      </c>
      <c r="B191" s="894" t="s">
        <v>69</v>
      </c>
      <c r="C191" s="109" t="str">
        <f>C189</f>
        <v>LE 08</v>
      </c>
      <c r="D191" s="717" t="s">
        <v>960</v>
      </c>
      <c r="E191" s="1079" t="s">
        <v>1180</v>
      </c>
      <c r="F191" s="751" t="str">
        <f>VLOOKUP(D191,Poeng!$B$10:$R$252,Poeng!E$1,FALSE)</f>
        <v>Measures for surface-based water management</v>
      </c>
      <c r="G191" s="107">
        <f>VLOOKUP(D191,Poeng!$B$10:$AB$252,Poeng!AB$1,FALSE)</f>
        <v>1</v>
      </c>
      <c r="H191" s="37"/>
      <c r="I191" s="108">
        <f>VLOOKUP(D191,Poeng!$B$10:$AE$252,Poeng!AE$1,FALSE)</f>
        <v>0</v>
      </c>
      <c r="J191" s="109" t="str">
        <f>VLOOKUP(D191,Poeng!$B$10:$BE$252,Poeng!BE$1,FALSE)</f>
        <v>N/A</v>
      </c>
      <c r="K191" s="74"/>
      <c r="L191" s="242"/>
      <c r="M191" s="694"/>
      <c r="N191" s="712"/>
      <c r="O191" s="77"/>
      <c r="P191" s="108">
        <f>VLOOKUP(D191,Poeng!$B$10:$BC$252,Poeng!AF$1,FALSE)</f>
        <v>0</v>
      </c>
      <c r="Q191" s="108" t="str">
        <f>VLOOKUP(D191,Poeng!$B$10:$BH$252,Poeng!BH$1,FALSE)</f>
        <v>N/A</v>
      </c>
      <c r="R191" s="644"/>
      <c r="S191" s="645"/>
      <c r="T191" s="638"/>
      <c r="U191" s="277"/>
      <c r="V191" s="77"/>
      <c r="W191" s="108">
        <f>VLOOKUP(D191,Poeng!$B$10:$BC$252,Poeng!AG$1,FALSE)</f>
        <v>0</v>
      </c>
      <c r="X191" s="108" t="str">
        <f>VLOOKUP(D191,Poeng!$B$10:$BK$252,Poeng!BK$1,FALSE)</f>
        <v>N/A</v>
      </c>
      <c r="Y191" s="75"/>
      <c r="Z191" s="74"/>
      <c r="AA191" s="638"/>
      <c r="AB191" s="117"/>
      <c r="AC191" s="620"/>
      <c r="AD191" s="20">
        <f t="shared" si="21"/>
        <v>1</v>
      </c>
      <c r="AE191" s="1" t="e">
        <f>VLOOKUP(L191,'Assessment Details'!$O$45:$P$48,2,FALSE)</f>
        <v>#N/A</v>
      </c>
      <c r="AF191" s="1" t="e">
        <f>VLOOKUP(S191,'Assessment Details'!$O$45:$P$48,2,FALSE)</f>
        <v>#N/A</v>
      </c>
      <c r="AG191" s="1" t="e">
        <f>VLOOKUP(Z191,'Assessment Details'!$O$45:$P$48,2,FALSE)</f>
        <v>#N/A</v>
      </c>
      <c r="AJ191" s="64"/>
      <c r="AK191" s="583"/>
      <c r="AL191" s="64"/>
      <c r="AM191" s="64"/>
      <c r="AN191" s="64"/>
      <c r="AO191" s="64"/>
      <c r="AP191" s="64"/>
      <c r="AQ191" s="64"/>
      <c r="AT191" s="20"/>
      <c r="AU191" s="20"/>
      <c r="AV191" s="20"/>
      <c r="AW191" s="20"/>
      <c r="AX191" s="20"/>
      <c r="AY191" s="20"/>
      <c r="BA191" s="620"/>
    </row>
    <row r="192" spans="1:53" ht="15.75" thickBot="1" x14ac:dyDescent="0.3">
      <c r="A192" s="893">
        <v>183</v>
      </c>
      <c r="B192" s="894" t="s">
        <v>69</v>
      </c>
      <c r="C192" s="903"/>
      <c r="D192" s="717" t="s">
        <v>888</v>
      </c>
      <c r="E192" s="1085"/>
      <c r="F192" s="298" t="s">
        <v>109</v>
      </c>
      <c r="G192" s="110">
        <f>LE_Credits</f>
        <v>19</v>
      </c>
      <c r="H192" s="115"/>
      <c r="I192" s="111">
        <f>LE_cont_tot</f>
        <v>0</v>
      </c>
      <c r="J192" s="757" t="str">
        <f>"Credits achieved: "&amp;Lue_tot_user</f>
        <v>Credits achieved: 0</v>
      </c>
      <c r="K192" s="118"/>
      <c r="L192" s="243"/>
      <c r="M192" s="646"/>
      <c r="N192" s="712"/>
      <c r="O192" s="335"/>
      <c r="P192" s="111">
        <f>VLOOKUP(D192,Poeng!$B$10:$BC$252,Poeng!AF$1,FALSE)</f>
        <v>0</v>
      </c>
      <c r="Q192" s="757" t="str">
        <f>"Credits achieved: "&amp;Lue_d_user</f>
        <v>Credits achieved: 0</v>
      </c>
      <c r="R192" s="647"/>
      <c r="S192" s="648"/>
      <c r="T192" s="646"/>
      <c r="U192" s="277"/>
      <c r="V192" s="335"/>
      <c r="W192" s="111">
        <f>VLOOKUP(D192,Poeng!$B$10:$BC$252,Poeng!AG$1,FALSE)</f>
        <v>0</v>
      </c>
      <c r="X192" s="757" t="str">
        <f>"Credits achieved: "&amp;Lue_c_user</f>
        <v>Credits achieved: 0</v>
      </c>
      <c r="Y192" s="334"/>
      <c r="Z192" s="120"/>
      <c r="AA192" s="646"/>
      <c r="AB192" s="117"/>
      <c r="AC192" s="557"/>
      <c r="AD192" s="20">
        <f t="shared" si="21"/>
        <v>1</v>
      </c>
      <c r="AE192" s="239">
        <v>0</v>
      </c>
      <c r="AF192" s="239">
        <v>0</v>
      </c>
      <c r="AG192" s="239">
        <v>0</v>
      </c>
      <c r="AJ192" s="64"/>
      <c r="AK192" s="583" t="s">
        <v>109</v>
      </c>
      <c r="AL192" s="64"/>
      <c r="AM192" s="64"/>
      <c r="AN192" s="64"/>
      <c r="AO192" s="64"/>
      <c r="AP192" s="64"/>
      <c r="AQ192" s="64"/>
      <c r="AT192" s="20" t="str">
        <f t="shared" si="24"/>
        <v>N/A</v>
      </c>
      <c r="AU192" s="20" t="str">
        <f t="shared" si="25"/>
        <v>N/A</v>
      </c>
      <c r="AV192" s="20" t="str">
        <f t="shared" si="26"/>
        <v>N/A</v>
      </c>
      <c r="AW192" s="20"/>
      <c r="AX192" s="20"/>
      <c r="AY192" s="20"/>
      <c r="BA192" s="557"/>
    </row>
    <row r="193" spans="1:53" x14ac:dyDescent="0.25">
      <c r="A193" s="893">
        <v>184</v>
      </c>
      <c r="B193" s="894" t="s">
        <v>69</v>
      </c>
      <c r="C193" s="280"/>
      <c r="D193" s="717"/>
      <c r="E193" s="1081"/>
      <c r="F193" s="279"/>
      <c r="G193" s="280"/>
      <c r="H193" s="281"/>
      <c r="I193" s="280"/>
      <c r="J193" s="280"/>
      <c r="K193" s="282"/>
      <c r="L193" s="281"/>
      <c r="M193" s="649"/>
      <c r="N193" s="712"/>
      <c r="O193" s="283"/>
      <c r="P193" s="283"/>
      <c r="Q193" s="649"/>
      <c r="R193" s="649"/>
      <c r="S193" s="650"/>
      <c r="T193" s="649"/>
      <c r="U193" s="277"/>
      <c r="V193" s="283"/>
      <c r="W193" s="283"/>
      <c r="X193" s="649"/>
      <c r="Y193" s="282"/>
      <c r="Z193" s="283"/>
      <c r="AA193" s="649"/>
      <c r="AB193" s="117"/>
      <c r="AC193" s="282"/>
      <c r="AD193" s="20">
        <f t="shared" si="21"/>
        <v>1</v>
      </c>
      <c r="AE193" s="240">
        <v>0</v>
      </c>
      <c r="AF193" s="240">
        <v>0</v>
      </c>
      <c r="AG193" s="240">
        <v>0</v>
      </c>
      <c r="AJ193" s="64"/>
      <c r="AK193" s="583"/>
      <c r="AL193" s="64"/>
      <c r="AM193" s="64"/>
      <c r="AN193" s="64"/>
      <c r="AO193" s="64"/>
      <c r="AP193" s="64"/>
      <c r="AQ193" s="64"/>
      <c r="AT193" s="20" t="str">
        <f t="shared" si="24"/>
        <v>N/A</v>
      </c>
      <c r="AU193" s="20" t="str">
        <f t="shared" si="25"/>
        <v>N/A</v>
      </c>
      <c r="AV193" s="20" t="str">
        <f t="shared" si="26"/>
        <v>N/A</v>
      </c>
      <c r="AW193" s="20"/>
      <c r="AX193" s="20"/>
      <c r="AY193" s="20"/>
      <c r="BA193" s="282"/>
    </row>
    <row r="194" spans="1:53" ht="18.75" x14ac:dyDescent="0.25">
      <c r="A194" s="893">
        <v>185</v>
      </c>
      <c r="B194" s="894" t="s">
        <v>70</v>
      </c>
      <c r="C194" s="898"/>
      <c r="D194" s="717"/>
      <c r="E194" s="1076"/>
      <c r="F194" s="284" t="s">
        <v>57</v>
      </c>
      <c r="G194" s="273"/>
      <c r="H194" s="274"/>
      <c r="I194" s="293"/>
      <c r="J194" s="273"/>
      <c r="K194" s="285"/>
      <c r="L194" s="286"/>
      <c r="M194" s="652"/>
      <c r="N194" s="712"/>
      <c r="O194" s="296"/>
      <c r="P194" s="289"/>
      <c r="Q194" s="642"/>
      <c r="R194" s="653"/>
      <c r="S194" s="654"/>
      <c r="T194" s="655"/>
      <c r="U194" s="277"/>
      <c r="V194" s="296"/>
      <c r="W194" s="295"/>
      <c r="X194" s="642"/>
      <c r="Y194" s="285"/>
      <c r="Z194" s="295"/>
      <c r="AA194" s="652"/>
      <c r="AB194" s="117"/>
      <c r="AC194" s="294"/>
      <c r="AD194" s="20">
        <f t="shared" si="21"/>
        <v>1</v>
      </c>
      <c r="AE194" s="238">
        <v>0</v>
      </c>
      <c r="AF194" s="238">
        <v>0</v>
      </c>
      <c r="AG194" s="238">
        <v>0</v>
      </c>
      <c r="AJ194" s="64"/>
      <c r="AK194" s="583" t="s">
        <v>57</v>
      </c>
      <c r="AL194" s="64"/>
      <c r="AM194" s="64"/>
      <c r="AN194" s="64"/>
      <c r="AO194" s="64"/>
      <c r="AP194" s="64"/>
      <c r="AQ194" s="64"/>
      <c r="AT194" s="20" t="str">
        <f t="shared" si="24"/>
        <v>N/A</v>
      </c>
      <c r="AU194" s="20" t="str">
        <f t="shared" si="25"/>
        <v>N/A</v>
      </c>
      <c r="AV194" s="20" t="str">
        <f t="shared" si="26"/>
        <v>N/A</v>
      </c>
      <c r="AW194" s="20"/>
      <c r="AX194" s="20"/>
      <c r="AY194" s="20"/>
      <c r="BA194" s="294"/>
    </row>
    <row r="195" spans="1:53" x14ac:dyDescent="0.25">
      <c r="A195" s="893">
        <v>186</v>
      </c>
      <c r="B195" s="894" t="s">
        <v>70</v>
      </c>
      <c r="C195" s="802" t="s">
        <v>184</v>
      </c>
      <c r="D195" s="717" t="s">
        <v>184</v>
      </c>
      <c r="E195" s="1077"/>
      <c r="F195" s="750" t="str">
        <f>VLOOKUP(D195,Poeng!$B$10:$R$252,Poeng!E$1,FALSE)</f>
        <v>POL 01 Impacts of refrigerants</v>
      </c>
      <c r="G195" s="755">
        <f>VLOOKUP(D195,Poeng!$B$10:$AB$252,Poeng!AB$1,FALSE)</f>
        <v>3</v>
      </c>
      <c r="H195" s="846"/>
      <c r="I195" s="756" t="str">
        <f>VLOOKUP(D195,Poeng!$B$10:$AI$252,Poeng!AI$1,FALSE)&amp;" c. "&amp;ROUND(VLOOKUP(D195,Poeng!$B$10:$AE$252,Poeng!AE$1,FALSE)*100,1)&amp;" %"</f>
        <v>0 c. 0 %</v>
      </c>
      <c r="J195" s="801" t="str">
        <f>VLOOKUP(D195,Poeng!$B$10:$BE$252,Poeng!BE$1,FALSE)</f>
        <v>N/A</v>
      </c>
      <c r="K195" s="763"/>
      <c r="L195" s="764"/>
      <c r="M195" s="765"/>
      <c r="N195" s="712"/>
      <c r="O195" s="847"/>
      <c r="P195" s="905" t="str">
        <f>VLOOKUP(D195,Poeng!$B$10:$BC$252,Poeng!AJ$1,FALSE)&amp;" c. "&amp;ROUND(VLOOKUP(D195,Poeng!$B$10:$BC$252,Poeng!AF$1,FALSE)*100,1)&amp;" %"</f>
        <v>0 c. 0 %</v>
      </c>
      <c r="Q195" s="108" t="str">
        <f>VLOOKUP(D195,Poeng!$B$10:$BH$252,Poeng!BH$1,FALSE)</f>
        <v>N/A</v>
      </c>
      <c r="R195" s="644"/>
      <c r="S195" s="645"/>
      <c r="T195" s="638"/>
      <c r="U195" s="277"/>
      <c r="V195" s="847"/>
      <c r="W195" s="766" t="str">
        <f>VLOOKUP(D195,Poeng!$B$10:$BC$252,Poeng!AK$1,FALSE)&amp;" c. "&amp;ROUND(VLOOKUP(D195,Poeng!$B$10:$BC$252,Poeng!AG$1,FALSE)*100,1)&amp;" %"</f>
        <v>0 c. 0 %</v>
      </c>
      <c r="X195" s="108" t="str">
        <f>VLOOKUP(D195,Poeng!$B$10:$BK$252,Poeng!BK$1,FALSE)</f>
        <v>N/A</v>
      </c>
      <c r="Y195" s="75"/>
      <c r="Z195" s="74"/>
      <c r="AA195" s="638"/>
      <c r="AB195" s="117"/>
      <c r="AC195" s="556" t="s">
        <v>12</v>
      </c>
      <c r="AD195" s="20">
        <f t="shared" si="21"/>
        <v>1</v>
      </c>
      <c r="AE195" s="1" t="e">
        <f>VLOOKUP(L195,'Assessment Details'!$O$45:$P$48,2,FALSE)</f>
        <v>#N/A</v>
      </c>
      <c r="AF195" s="1" t="e">
        <f>VLOOKUP(S195,'Assessment Details'!$O$45:$P$48,2,FALSE)</f>
        <v>#N/A</v>
      </c>
      <c r="AG195" s="1" t="e">
        <f>VLOOKUP(Z195,'Assessment Details'!$O$45:$P$48,2,FALSE)</f>
        <v>#N/A</v>
      </c>
      <c r="AJ195" s="64" t="str">
        <f>ais_ja</f>
        <v>Ja</v>
      </c>
      <c r="AK195" s="583" t="s">
        <v>163</v>
      </c>
      <c r="AL195" s="562" t="s">
        <v>405</v>
      </c>
      <c r="AM195" s="562" t="s">
        <v>409</v>
      </c>
      <c r="AN195" s="562" t="s">
        <v>407</v>
      </c>
      <c r="AO195" s="566" t="s">
        <v>410</v>
      </c>
      <c r="AP195" s="64"/>
      <c r="AQ195" s="64"/>
      <c r="AS195" s="1" t="s">
        <v>12</v>
      </c>
      <c r="AT195" s="20" t="str">
        <f t="shared" si="24"/>
        <v>N/A</v>
      </c>
      <c r="AU195" s="20" t="str">
        <f t="shared" si="25"/>
        <v>N/A</v>
      </c>
      <c r="AV195" s="20" t="str">
        <f t="shared" si="26"/>
        <v>N/A</v>
      </c>
      <c r="AW195" s="20" t="str">
        <f t="shared" si="26"/>
        <v>N/A</v>
      </c>
      <c r="AX195" s="20"/>
      <c r="AY195" s="20"/>
      <c r="BA195" s="556"/>
    </row>
    <row r="196" spans="1:53" x14ac:dyDescent="0.25">
      <c r="A196" s="893">
        <v>187</v>
      </c>
      <c r="B196" s="894" t="s">
        <v>70</v>
      </c>
      <c r="C196" s="109" t="str">
        <f t="shared" si="19"/>
        <v>POL 01</v>
      </c>
      <c r="D196" s="717" t="s">
        <v>815</v>
      </c>
      <c r="E196" s="1078">
        <v>1</v>
      </c>
      <c r="F196" s="751" t="str">
        <f>VLOOKUP(D196,Poeng!$B$10:$R$252,Poeng!E$1,FALSE)</f>
        <v>No refrigerants in the building</v>
      </c>
      <c r="G196" s="107">
        <f>VLOOKUP(D196,Poeng!$B$10:$AB$252,Poeng!AB$1,FALSE)</f>
        <v>3</v>
      </c>
      <c r="H196" s="37"/>
      <c r="I196" s="108">
        <f>VLOOKUP(D196,Poeng!$B$10:$AE$252,Poeng!AE$1,FALSE)</f>
        <v>0</v>
      </c>
      <c r="J196" s="109" t="str">
        <f>VLOOKUP(D196,Poeng!$B$10:$BE$252,Poeng!BE$1,FALSE)</f>
        <v>N/A</v>
      </c>
      <c r="K196" s="74"/>
      <c r="L196" s="242"/>
      <c r="M196" s="694"/>
      <c r="N196" s="712"/>
      <c r="O196" s="77"/>
      <c r="P196" s="108">
        <f>VLOOKUP(D196,Poeng!$B$10:$BC$252,Poeng!AF$1,FALSE)</f>
        <v>0</v>
      </c>
      <c r="Q196" s="108" t="str">
        <f>VLOOKUP(D196,Poeng!$B$10:$BH$252,Poeng!BH$1,FALSE)</f>
        <v>N/A</v>
      </c>
      <c r="R196" s="644"/>
      <c r="S196" s="645"/>
      <c r="T196" s="638"/>
      <c r="U196" s="277"/>
      <c r="V196" s="77"/>
      <c r="W196" s="108">
        <f>VLOOKUP(D196,Poeng!$B$10:$BC$252,Poeng!AG$1,FALSE)</f>
        <v>0</v>
      </c>
      <c r="X196" s="108" t="str">
        <f>VLOOKUP(D196,Poeng!$B$10:$BK$252,Poeng!BK$1,FALSE)</f>
        <v>N/A</v>
      </c>
      <c r="Y196" s="75"/>
      <c r="Z196" s="74"/>
      <c r="AA196" s="638"/>
      <c r="AB196" s="117"/>
      <c r="AC196" s="556"/>
      <c r="AD196" s="20">
        <f t="shared" si="21"/>
        <v>1</v>
      </c>
      <c r="AE196" s="1" t="e">
        <f>VLOOKUP(L196,'Assessment Details'!$O$45:$P$48,2,FALSE)</f>
        <v>#N/A</v>
      </c>
      <c r="AF196" s="1" t="e">
        <f>VLOOKUP(S196,'Assessment Details'!$O$45:$P$48,2,FALSE)</f>
        <v>#N/A</v>
      </c>
      <c r="AG196" s="1" t="e">
        <f>VLOOKUP(Z196,'Assessment Details'!$O$45:$P$48,2,FALSE)</f>
        <v>#N/A</v>
      </c>
      <c r="AJ196" s="64"/>
      <c r="AK196" s="583"/>
      <c r="AL196" s="562"/>
      <c r="AM196" s="562"/>
      <c r="AN196" s="562"/>
      <c r="AO196" s="566"/>
      <c r="AP196" s="64"/>
      <c r="AQ196" s="64"/>
      <c r="AT196" s="20"/>
      <c r="AU196" s="20"/>
      <c r="AV196" s="20"/>
      <c r="AW196" s="20"/>
      <c r="AX196" s="20"/>
      <c r="AY196" s="20"/>
      <c r="BA196" s="556"/>
    </row>
    <row r="197" spans="1:53" x14ac:dyDescent="0.25">
      <c r="A197" s="893">
        <v>188</v>
      </c>
      <c r="B197" s="894" t="s">
        <v>70</v>
      </c>
      <c r="C197" s="109" t="str">
        <f t="shared" si="19"/>
        <v>POL 01</v>
      </c>
      <c r="D197" s="717" t="s">
        <v>816</v>
      </c>
      <c r="E197" s="1078">
        <v>2</v>
      </c>
      <c r="F197" s="751" t="str">
        <f>VLOOKUP(D197,Poeng!$B$10:$R$252,Poeng!E$1,FALSE)</f>
        <v>Pre-requisite: impact of refrigerants</v>
      </c>
      <c r="G197" s="107">
        <f>VLOOKUP(D197,Poeng!$B$10:$AB$252,Poeng!AB$1,FALSE)</f>
        <v>0</v>
      </c>
      <c r="H197" s="37"/>
      <c r="I197" s="108" t="str">
        <f>VLOOKUP(D197,Poeng!$B$10:$AE$252,Poeng!AE$1,FALSE)</f>
        <v>-</v>
      </c>
      <c r="J197" s="109" t="str">
        <f>VLOOKUP(D197,Poeng!$B$10:$BE$252,Poeng!BE$1,FALSE)</f>
        <v>N/A</v>
      </c>
      <c r="K197" s="74"/>
      <c r="L197" s="242"/>
      <c r="M197" s="694"/>
      <c r="N197" s="712"/>
      <c r="O197" s="77"/>
      <c r="P197" s="108" t="str">
        <f>VLOOKUP(D197,Poeng!$B$10:$BC$252,Poeng!AF$1,FALSE)</f>
        <v>-</v>
      </c>
      <c r="Q197" s="108" t="str">
        <f>VLOOKUP(D197,Poeng!$B$10:$BH$252,Poeng!BH$1,FALSE)</f>
        <v>N/A</v>
      </c>
      <c r="R197" s="644"/>
      <c r="S197" s="645"/>
      <c r="T197" s="638"/>
      <c r="U197" s="277"/>
      <c r="V197" s="77"/>
      <c r="W197" s="108" t="str">
        <f>VLOOKUP(D197,Poeng!$B$10:$BC$252,Poeng!AG$1,FALSE)</f>
        <v>-</v>
      </c>
      <c r="X197" s="108" t="str">
        <f>VLOOKUP(D197,Poeng!$B$10:$BK$252,Poeng!BK$1,FALSE)</f>
        <v>N/A</v>
      </c>
      <c r="Y197" s="75"/>
      <c r="Z197" s="74"/>
      <c r="AA197" s="638"/>
      <c r="AB197" s="117"/>
      <c r="AC197" s="556"/>
      <c r="AD197" s="20">
        <f t="shared" si="21"/>
        <v>2</v>
      </c>
      <c r="AE197" s="1" t="e">
        <f>VLOOKUP(L197,'Assessment Details'!$O$45:$P$48,2,FALSE)</f>
        <v>#N/A</v>
      </c>
      <c r="AF197" s="1" t="e">
        <f>VLOOKUP(S197,'Assessment Details'!$O$45:$P$48,2,FALSE)</f>
        <v>#N/A</v>
      </c>
      <c r="AG197" s="1" t="e">
        <f>VLOOKUP(Z197,'Assessment Details'!$O$45:$P$48,2,FALSE)</f>
        <v>#N/A</v>
      </c>
      <c r="AJ197" s="64"/>
      <c r="AK197" s="583"/>
      <c r="AL197" s="562"/>
      <c r="AM197" s="562"/>
      <c r="AN197" s="562"/>
      <c r="AO197" s="566"/>
      <c r="AP197" s="64"/>
      <c r="AQ197" s="64"/>
      <c r="AT197" s="20"/>
      <c r="AU197" s="20"/>
      <c r="AV197" s="20"/>
      <c r="AW197" s="20"/>
      <c r="AX197" s="20"/>
      <c r="AY197" s="20"/>
      <c r="BA197" s="556"/>
    </row>
    <row r="198" spans="1:53" x14ac:dyDescent="0.25">
      <c r="A198" s="893">
        <v>189</v>
      </c>
      <c r="B198" s="894" t="s">
        <v>70</v>
      </c>
      <c r="C198" s="109" t="str">
        <f t="shared" si="19"/>
        <v>POL 01</v>
      </c>
      <c r="D198" s="717" t="s">
        <v>817</v>
      </c>
      <c r="E198" s="1078" t="s">
        <v>1200</v>
      </c>
      <c r="F198" s="751" t="str">
        <f>VLOOKUP(D198,Poeng!$B$10:$R$252,Poeng!E$1,FALSE)</f>
        <v>Impact of refrigerants</v>
      </c>
      <c r="G198" s="107">
        <f>VLOOKUP(D198,Poeng!$B$10:$AB$252,Poeng!AB$1,FALSE)</f>
        <v>0</v>
      </c>
      <c r="H198" s="37"/>
      <c r="I198" s="108">
        <f>VLOOKUP(D198,Poeng!$B$10:$AE$252,Poeng!AE$1,FALSE)</f>
        <v>0</v>
      </c>
      <c r="J198" s="109" t="str">
        <f>VLOOKUP(D198,Poeng!$B$10:$BE$252,Poeng!BE$1,FALSE)</f>
        <v>N/A</v>
      </c>
      <c r="K198" s="74"/>
      <c r="L198" s="242"/>
      <c r="M198" s="694"/>
      <c r="N198" s="712"/>
      <c r="O198" s="77"/>
      <c r="P198" s="108">
        <f>VLOOKUP(D198,Poeng!$B$10:$BC$252,Poeng!AF$1,FALSE)</f>
        <v>0</v>
      </c>
      <c r="Q198" s="108" t="str">
        <f>VLOOKUP(D198,Poeng!$B$10:$BH$252,Poeng!BH$1,FALSE)</f>
        <v>N/A</v>
      </c>
      <c r="R198" s="644"/>
      <c r="S198" s="645"/>
      <c r="T198" s="638"/>
      <c r="U198" s="277"/>
      <c r="V198" s="77"/>
      <c r="W198" s="108">
        <f>VLOOKUP(D198,Poeng!$B$10:$BC$252,Poeng!AG$1,FALSE)</f>
        <v>0</v>
      </c>
      <c r="X198" s="108" t="str">
        <f>VLOOKUP(D198,Poeng!$B$10:$BK$252,Poeng!BK$1,FALSE)</f>
        <v>N/A</v>
      </c>
      <c r="Y198" s="75"/>
      <c r="Z198" s="74"/>
      <c r="AA198" s="638"/>
      <c r="AB198" s="117"/>
      <c r="AC198" s="556"/>
      <c r="AD198" s="20">
        <f t="shared" si="21"/>
        <v>2</v>
      </c>
      <c r="AE198" s="1" t="e">
        <f>VLOOKUP(L198,'Assessment Details'!$O$45:$P$48,2,FALSE)</f>
        <v>#N/A</v>
      </c>
      <c r="AF198" s="1" t="e">
        <f>VLOOKUP(S198,'Assessment Details'!$O$45:$P$48,2,FALSE)</f>
        <v>#N/A</v>
      </c>
      <c r="AG198" s="1" t="e">
        <f>VLOOKUP(Z198,'Assessment Details'!$O$45:$P$48,2,FALSE)</f>
        <v>#N/A</v>
      </c>
      <c r="AJ198" s="64"/>
      <c r="AK198" s="583"/>
      <c r="AL198" s="562"/>
      <c r="AM198" s="562"/>
      <c r="AN198" s="562"/>
      <c r="AO198" s="566"/>
      <c r="AP198" s="64"/>
      <c r="AQ198" s="64"/>
      <c r="AT198" s="20"/>
      <c r="AU198" s="20"/>
      <c r="AV198" s="20"/>
      <c r="AW198" s="20"/>
      <c r="AX198" s="20"/>
      <c r="AY198" s="20"/>
      <c r="BA198" s="556"/>
    </row>
    <row r="199" spans="1:53" x14ac:dyDescent="0.25">
      <c r="A199" s="893">
        <v>190</v>
      </c>
      <c r="B199" s="894" t="s">
        <v>70</v>
      </c>
      <c r="C199" s="109" t="str">
        <f>C197</f>
        <v>POL 01</v>
      </c>
      <c r="D199" s="717" t="s">
        <v>896</v>
      </c>
      <c r="E199" s="1079" t="s">
        <v>1189</v>
      </c>
      <c r="F199" s="751" t="str">
        <f>VLOOKUP(D199,Poeng!$B$10:$R$252,Poeng!E$1,FALSE)</f>
        <v>Leak detection</v>
      </c>
      <c r="G199" s="107">
        <f>VLOOKUP(D199,Poeng!$B$10:$AB$252,Poeng!AB$1,FALSE)</f>
        <v>0</v>
      </c>
      <c r="H199" s="37"/>
      <c r="I199" s="108">
        <f>VLOOKUP(D199,Poeng!$B$10:$AE$252,Poeng!AE$1,FALSE)</f>
        <v>0</v>
      </c>
      <c r="J199" s="109" t="str">
        <f>VLOOKUP(D199,Poeng!$B$10:$BE$252,Poeng!BE$1,FALSE)</f>
        <v>N/A</v>
      </c>
      <c r="K199" s="74"/>
      <c r="L199" s="242"/>
      <c r="M199" s="694"/>
      <c r="N199" s="712"/>
      <c r="O199" s="77"/>
      <c r="P199" s="108">
        <f>VLOOKUP(D199,Poeng!$B$10:$BC$252,Poeng!AF$1,FALSE)</f>
        <v>0</v>
      </c>
      <c r="Q199" s="108" t="str">
        <f>VLOOKUP(D199,Poeng!$B$10:$BH$252,Poeng!BH$1,FALSE)</f>
        <v>N/A</v>
      </c>
      <c r="R199" s="644"/>
      <c r="S199" s="645"/>
      <c r="T199" s="638"/>
      <c r="U199" s="277"/>
      <c r="V199" s="77"/>
      <c r="W199" s="108">
        <f>VLOOKUP(D199,Poeng!$B$10:$BC$252,Poeng!AG$1,FALSE)</f>
        <v>0</v>
      </c>
      <c r="X199" s="108" t="str">
        <f>VLOOKUP(D199,Poeng!$B$10:$BK$252,Poeng!BK$1,FALSE)</f>
        <v>N/A</v>
      </c>
      <c r="Y199" s="75"/>
      <c r="Z199" s="74"/>
      <c r="AA199" s="638"/>
      <c r="AB199" s="117"/>
      <c r="AC199" s="556"/>
      <c r="AD199" s="20">
        <f t="shared" si="21"/>
        <v>2</v>
      </c>
      <c r="AE199" s="1" t="e">
        <f>VLOOKUP(L199,'Assessment Details'!$O$45:$P$48,2,FALSE)</f>
        <v>#N/A</v>
      </c>
      <c r="AF199" s="1" t="e">
        <f>VLOOKUP(S199,'Assessment Details'!$O$45:$P$48,2,FALSE)</f>
        <v>#N/A</v>
      </c>
      <c r="AG199" s="1" t="e">
        <f>VLOOKUP(Z199,'Assessment Details'!$O$45:$P$48,2,FALSE)</f>
        <v>#N/A</v>
      </c>
      <c r="AJ199" s="64"/>
      <c r="AK199" s="583"/>
      <c r="AL199" s="562"/>
      <c r="AM199" s="562"/>
      <c r="AN199" s="562"/>
      <c r="AO199" s="566"/>
      <c r="AP199" s="64"/>
      <c r="AQ199" s="64"/>
      <c r="AT199" s="20"/>
      <c r="AU199" s="20"/>
      <c r="AV199" s="20"/>
      <c r="AW199" s="20"/>
      <c r="AX199" s="20"/>
      <c r="AY199" s="20"/>
      <c r="BA199" s="556"/>
    </row>
    <row r="200" spans="1:53" x14ac:dyDescent="0.25">
      <c r="A200" s="893">
        <v>191</v>
      </c>
      <c r="B200" s="894" t="s">
        <v>70</v>
      </c>
      <c r="C200" s="802" t="s">
        <v>185</v>
      </c>
      <c r="D200" s="717" t="s">
        <v>185</v>
      </c>
      <c r="E200" s="1077"/>
      <c r="F200" s="750" t="str">
        <f>VLOOKUP(D200,Poeng!$B$10:$R$252,Poeng!E$1,FALSE)</f>
        <v>POL 02 Local air quality</v>
      </c>
      <c r="G200" s="755">
        <f>VLOOKUP(D200,Poeng!$B$10:$AB$252,Poeng!AB$1,FALSE)</f>
        <v>2</v>
      </c>
      <c r="H200" s="847"/>
      <c r="I200" s="756" t="str">
        <f>VLOOKUP(D200,Poeng!$B$10:$AI$252,Poeng!AI$1,FALSE)&amp;" c. "&amp;ROUND(VLOOKUP(D200,Poeng!$B$10:$AE$252,Poeng!AE$1,FALSE)*100,1)&amp;" %"</f>
        <v>0 c. 0 %</v>
      </c>
      <c r="J200" s="802" t="str">
        <f>VLOOKUP(D200,Poeng!$B$10:$BE$252,Poeng!BE$1,FALSE)</f>
        <v>N/A</v>
      </c>
      <c r="K200" s="74"/>
      <c r="L200" s="242"/>
      <c r="M200" s="694"/>
      <c r="N200" s="712"/>
      <c r="O200" s="847"/>
      <c r="P200" s="766" t="str">
        <f>VLOOKUP(D200,Poeng!$B$10:$BC$252,Poeng!AJ$1,FALSE)&amp;" c. "&amp;ROUND(VLOOKUP(D200,Poeng!$B$10:$BC$252,Poeng!AF$1,FALSE)*100,1)&amp;" %"</f>
        <v>0 c. 0 %</v>
      </c>
      <c r="Q200" s="108" t="str">
        <f>VLOOKUP(D200,Poeng!$B$10:$BH$252,Poeng!BH$1,FALSE)</f>
        <v>N/A</v>
      </c>
      <c r="R200" s="644"/>
      <c r="S200" s="645"/>
      <c r="T200" s="638"/>
      <c r="U200" s="277"/>
      <c r="V200" s="847"/>
      <c r="W200" s="766" t="str">
        <f>VLOOKUP(D200,Poeng!$B$10:$BC$252,Poeng!AK$1,FALSE)&amp;" c. "&amp;ROUND(VLOOKUP(D200,Poeng!$B$10:$BC$252,Poeng!AG$1,FALSE)*100,1)&amp;" %"</f>
        <v>0 c. 0 %</v>
      </c>
      <c r="X200" s="108" t="str">
        <f>VLOOKUP(D200,Poeng!$B$10:$BK$252,Poeng!BK$1,FALSE)</f>
        <v>N/A</v>
      </c>
      <c r="Y200" s="75"/>
      <c r="Z200" s="74"/>
      <c r="AA200" s="638"/>
      <c r="AB200" s="117"/>
      <c r="AC200" s="556" t="s">
        <v>12</v>
      </c>
      <c r="AD200" s="20">
        <f t="shared" si="21"/>
        <v>1</v>
      </c>
      <c r="AE200" s="1" t="e">
        <f>VLOOKUP(L200,'Assessment Details'!$O$45:$P$48,2,FALSE)</f>
        <v>#N/A</v>
      </c>
      <c r="AF200" s="1" t="e">
        <f>VLOOKUP(S200,'Assessment Details'!$O$45:$P$48,2,FALSE)</f>
        <v>#N/A</v>
      </c>
      <c r="AG200" s="1" t="e">
        <f>VLOOKUP(Z200,'Assessment Details'!$O$45:$P$48,2,FALSE)</f>
        <v>#N/A</v>
      </c>
      <c r="AJ200" s="64" t="str">
        <f>ais_ja</f>
        <v>Ja</v>
      </c>
      <c r="AK200" s="583" t="s">
        <v>396</v>
      </c>
      <c r="AL200" s="562" t="s">
        <v>405</v>
      </c>
      <c r="AM200" s="562" t="s">
        <v>409</v>
      </c>
      <c r="AN200" s="562" t="s">
        <v>407</v>
      </c>
      <c r="AO200" s="64"/>
      <c r="AP200" s="64"/>
      <c r="AQ200" s="64"/>
      <c r="AS200" s="1" t="s">
        <v>12</v>
      </c>
      <c r="AT200" s="20" t="str">
        <f t="shared" si="24"/>
        <v>N/A</v>
      </c>
      <c r="AU200" s="20" t="str">
        <f t="shared" si="25"/>
        <v>N/A</v>
      </c>
      <c r="AV200" s="20" t="str">
        <f t="shared" si="26"/>
        <v>N/A</v>
      </c>
      <c r="AW200" s="20"/>
      <c r="AX200" s="20"/>
      <c r="AY200" s="20"/>
      <c r="BA200" s="556"/>
    </row>
    <row r="201" spans="1:53" x14ac:dyDescent="0.25">
      <c r="A201" s="893">
        <v>192</v>
      </c>
      <c r="B201" s="894" t="s">
        <v>70</v>
      </c>
      <c r="C201" s="109" t="str">
        <f t="shared" si="19"/>
        <v>POL 02</v>
      </c>
      <c r="D201" s="717" t="s">
        <v>818</v>
      </c>
      <c r="E201" s="1078">
        <v>1</v>
      </c>
      <c r="F201" s="751" t="str">
        <f>VLOOKUP(D201,Poeng!$B$10:$R$252,Poeng!E$1,FALSE)</f>
        <v>Non-combustion heating and hot water system</v>
      </c>
      <c r="G201" s="107">
        <f>VLOOKUP(D201,Poeng!$B$10:$AB$252,Poeng!AB$1,FALSE)</f>
        <v>2</v>
      </c>
      <c r="H201" s="37"/>
      <c r="I201" s="108">
        <f>VLOOKUP(D201,Poeng!$B$10:$AE$252,Poeng!AE$1,FALSE)</f>
        <v>0</v>
      </c>
      <c r="J201" s="109" t="str">
        <f>VLOOKUP(D201,Poeng!$B$10:$BE$252,Poeng!BE$1,FALSE)</f>
        <v>N/A</v>
      </c>
      <c r="K201" s="74"/>
      <c r="L201" s="242"/>
      <c r="M201" s="694"/>
      <c r="N201" s="712"/>
      <c r="O201" s="77"/>
      <c r="P201" s="108">
        <f>VLOOKUP(D201,Poeng!$B$10:$BC$252,Poeng!AF$1,FALSE)</f>
        <v>0</v>
      </c>
      <c r="Q201" s="108" t="str">
        <f>VLOOKUP(D201,Poeng!$B$10:$BH$252,Poeng!BH$1,FALSE)</f>
        <v>N/A</v>
      </c>
      <c r="R201" s="644"/>
      <c r="S201" s="645"/>
      <c r="T201" s="638"/>
      <c r="U201" s="277"/>
      <c r="V201" s="77"/>
      <c r="W201" s="108">
        <f>VLOOKUP(D201,Poeng!$B$10:$BC$252,Poeng!AG$1,FALSE)</f>
        <v>0</v>
      </c>
      <c r="X201" s="108" t="str">
        <f>VLOOKUP(D201,Poeng!$B$10:$BK$252,Poeng!BK$1,FALSE)</f>
        <v>N/A</v>
      </c>
      <c r="Y201" s="75"/>
      <c r="Z201" s="74"/>
      <c r="AA201" s="638"/>
      <c r="AB201" s="117"/>
      <c r="AC201" s="556"/>
      <c r="AD201" s="20">
        <f t="shared" si="21"/>
        <v>1</v>
      </c>
      <c r="AE201" s="1" t="e">
        <f>VLOOKUP(L201,'Assessment Details'!$O$45:$P$48,2,FALSE)</f>
        <v>#N/A</v>
      </c>
      <c r="AF201" s="1" t="e">
        <f>VLOOKUP(S201,'Assessment Details'!$O$45:$P$48,2,FALSE)</f>
        <v>#N/A</v>
      </c>
      <c r="AG201" s="1" t="e">
        <f>VLOOKUP(Z201,'Assessment Details'!$O$45:$P$48,2,FALSE)</f>
        <v>#N/A</v>
      </c>
      <c r="AJ201" s="64"/>
      <c r="AK201" s="583"/>
      <c r="AL201" s="562"/>
      <c r="AM201" s="562"/>
      <c r="AN201" s="562"/>
      <c r="AO201" s="64"/>
      <c r="AP201" s="64"/>
      <c r="AQ201" s="64"/>
      <c r="AT201" s="20"/>
      <c r="AU201" s="20"/>
      <c r="AV201" s="20"/>
      <c r="AW201" s="20"/>
      <c r="AX201" s="20"/>
      <c r="AY201" s="20"/>
      <c r="BA201" s="556"/>
    </row>
    <row r="202" spans="1:53" x14ac:dyDescent="0.25">
      <c r="A202" s="893">
        <v>193</v>
      </c>
      <c r="B202" s="894" t="s">
        <v>70</v>
      </c>
      <c r="C202" s="109" t="str">
        <f t="shared" si="19"/>
        <v>POL 02</v>
      </c>
      <c r="D202" s="717" t="s">
        <v>819</v>
      </c>
      <c r="E202" s="1090" t="s">
        <v>1168</v>
      </c>
      <c r="F202" s="751" t="str">
        <f>VLOOKUP(D202,Poeng!$B$10:$R$252,Poeng!E$1,FALSE)</f>
        <v>Combustion-powered heating and hot water</v>
      </c>
      <c r="G202" s="107">
        <f>VLOOKUP(D202,Poeng!$B$10:$AB$252,Poeng!AB$1,FALSE)</f>
        <v>0</v>
      </c>
      <c r="H202" s="37"/>
      <c r="I202" s="108">
        <f>VLOOKUP(D202,Poeng!$B$10:$AE$252,Poeng!AE$1,FALSE)</f>
        <v>0</v>
      </c>
      <c r="J202" s="109" t="str">
        <f>VLOOKUP(D202,Poeng!$B$10:$BE$252,Poeng!BE$1,FALSE)</f>
        <v>N/A</v>
      </c>
      <c r="K202" s="74"/>
      <c r="L202" s="242"/>
      <c r="M202" s="694"/>
      <c r="N202" s="712"/>
      <c r="O202" s="77"/>
      <c r="P202" s="108">
        <f>VLOOKUP(D202,Poeng!$B$10:$BC$252,Poeng!AF$1,FALSE)</f>
        <v>0</v>
      </c>
      <c r="Q202" s="108" t="str">
        <f>VLOOKUP(D202,Poeng!$B$10:$BH$252,Poeng!BH$1,FALSE)</f>
        <v>N/A</v>
      </c>
      <c r="R202" s="644"/>
      <c r="S202" s="645"/>
      <c r="T202" s="638"/>
      <c r="U202" s="277"/>
      <c r="V202" s="77"/>
      <c r="W202" s="108">
        <f>VLOOKUP(D202,Poeng!$B$10:$BC$252,Poeng!AG$1,FALSE)</f>
        <v>0</v>
      </c>
      <c r="X202" s="108" t="str">
        <f>VLOOKUP(D202,Poeng!$B$10:$BK$252,Poeng!BK$1,FALSE)</f>
        <v>N/A</v>
      </c>
      <c r="Y202" s="75"/>
      <c r="Z202" s="74"/>
      <c r="AA202" s="638"/>
      <c r="AB202" s="117"/>
      <c r="AC202" s="556"/>
      <c r="AD202" s="20">
        <f t="shared" si="21"/>
        <v>2</v>
      </c>
      <c r="AE202" s="1" t="e">
        <f>VLOOKUP(L202,'Assessment Details'!$O$45:$P$48,2,FALSE)</f>
        <v>#N/A</v>
      </c>
      <c r="AF202" s="1" t="e">
        <f>VLOOKUP(S202,'Assessment Details'!$O$45:$P$48,2,FALSE)</f>
        <v>#N/A</v>
      </c>
      <c r="AG202" s="1" t="e">
        <f>VLOOKUP(Z202,'Assessment Details'!$O$45:$P$48,2,FALSE)</f>
        <v>#N/A</v>
      </c>
      <c r="AJ202" s="64"/>
      <c r="AK202" s="583"/>
      <c r="AL202" s="562"/>
      <c r="AM202" s="562"/>
      <c r="AN202" s="562"/>
      <c r="AO202" s="64"/>
      <c r="AP202" s="64"/>
      <c r="AQ202" s="64"/>
      <c r="AT202" s="20"/>
      <c r="AU202" s="20"/>
      <c r="AV202" s="20"/>
      <c r="AW202" s="20"/>
      <c r="AX202" s="20"/>
      <c r="AY202" s="20"/>
      <c r="BA202" s="556"/>
    </row>
    <row r="203" spans="1:53" x14ac:dyDescent="0.25">
      <c r="A203" s="893">
        <v>194</v>
      </c>
      <c r="B203" s="894" t="s">
        <v>70</v>
      </c>
      <c r="C203" s="802" t="s">
        <v>187</v>
      </c>
      <c r="D203" s="717" t="s">
        <v>187</v>
      </c>
      <c r="E203" s="1077"/>
      <c r="F203" s="750" t="str">
        <f>VLOOKUP(D203,Poeng!$B$10:$R$252,Poeng!E$1,FALSE)</f>
        <v>POL 04 Reduction of night time light pollution</v>
      </c>
      <c r="G203" s="755">
        <f>VLOOKUP(D203,Poeng!$B$10:$AB$252,Poeng!AB$1,FALSE)</f>
        <v>1</v>
      </c>
      <c r="H203" s="847"/>
      <c r="I203" s="756" t="str">
        <f>VLOOKUP(D203,Poeng!$B$10:$AI$252,Poeng!AI$1,FALSE)&amp;" c. "&amp;ROUND(VLOOKUP(D203,Poeng!$B$10:$AE$252,Poeng!AE$1,FALSE)*100,1)&amp;" %"</f>
        <v>0 c. 0 %</v>
      </c>
      <c r="J203" s="802" t="str">
        <f>VLOOKUP(D203,Poeng!$B$10:$BE$252,Poeng!BE$1,FALSE)</f>
        <v>N/A</v>
      </c>
      <c r="K203" s="74"/>
      <c r="L203" s="242"/>
      <c r="M203" s="694"/>
      <c r="N203" s="712"/>
      <c r="O203" s="847"/>
      <c r="P203" s="766" t="str">
        <f>VLOOKUP(D203,Poeng!$B$10:$BC$252,Poeng!AJ$1,FALSE)&amp;" c. "&amp;ROUND(VLOOKUP(D203,Poeng!$B$10:$BC$252,Poeng!AF$1,FALSE)*100,1)&amp;" %"</f>
        <v>0 c. 0 %</v>
      </c>
      <c r="Q203" s="108" t="str">
        <f>VLOOKUP(D203,Poeng!$B$10:$BH$252,Poeng!BH$1,FALSE)</f>
        <v>N/A</v>
      </c>
      <c r="R203" s="644"/>
      <c r="S203" s="645"/>
      <c r="T203" s="638"/>
      <c r="U203" s="277"/>
      <c r="V203" s="847"/>
      <c r="W203" s="766" t="str">
        <f>VLOOKUP(D203,Poeng!$B$10:$BC$252,Poeng!AK$1,FALSE)&amp;" c. "&amp;ROUND(VLOOKUP(D203,Poeng!$B$10:$BC$252,Poeng!AG$1,FALSE)*100,1)&amp;" %"</f>
        <v>0 c. 0 %</v>
      </c>
      <c r="X203" s="108" t="str">
        <f>VLOOKUP(D203,Poeng!$B$10:$BK$252,Poeng!BK$1,FALSE)</f>
        <v>N/A</v>
      </c>
      <c r="Y203" s="75"/>
      <c r="Z203" s="74"/>
      <c r="AA203" s="638"/>
      <c r="AB203" s="117"/>
      <c r="AC203" s="556" t="s">
        <v>12</v>
      </c>
      <c r="AD203" s="20">
        <f t="shared" si="21"/>
        <v>1</v>
      </c>
      <c r="AE203" s="1" t="e">
        <f>VLOOKUP(L203,'Assessment Details'!$O$45:$P$48,2,FALSE)</f>
        <v>#N/A</v>
      </c>
      <c r="AF203" s="1" t="e">
        <f>VLOOKUP(S203,'Assessment Details'!$O$45:$P$48,2,FALSE)</f>
        <v>#N/A</v>
      </c>
      <c r="AG203" s="1" t="e">
        <f>VLOOKUP(Z203,'Assessment Details'!$O$45:$P$48,2,FALSE)</f>
        <v>#N/A</v>
      </c>
      <c r="AJ203" s="64" t="str">
        <f>ais_ja</f>
        <v>Ja</v>
      </c>
      <c r="AK203" s="583" t="s">
        <v>164</v>
      </c>
      <c r="AL203" s="562" t="s">
        <v>405</v>
      </c>
      <c r="AM203" s="562" t="s">
        <v>409</v>
      </c>
      <c r="AN203" s="562" t="s">
        <v>407</v>
      </c>
      <c r="AO203" s="64"/>
      <c r="AP203" s="64"/>
      <c r="AQ203" s="64"/>
      <c r="AS203" s="1" t="s">
        <v>12</v>
      </c>
      <c r="AT203" s="20" t="str">
        <f t="shared" si="24"/>
        <v>N/A</v>
      </c>
      <c r="AU203" s="20" t="str">
        <f t="shared" si="25"/>
        <v>N/A</v>
      </c>
      <c r="AV203" s="20" t="str">
        <f t="shared" si="26"/>
        <v>N/A</v>
      </c>
      <c r="AW203" s="20"/>
      <c r="AX203" s="20"/>
      <c r="AY203" s="20"/>
      <c r="BA203" s="556"/>
    </row>
    <row r="204" spans="1:53" x14ac:dyDescent="0.25">
      <c r="A204" s="893">
        <v>195</v>
      </c>
      <c r="B204" s="894" t="s">
        <v>70</v>
      </c>
      <c r="C204" s="109" t="str">
        <f t="shared" si="19"/>
        <v>POL 04</v>
      </c>
      <c r="D204" s="717" t="s">
        <v>820</v>
      </c>
      <c r="E204" s="1078">
        <v>1</v>
      </c>
      <c r="F204" s="751" t="str">
        <f>VLOOKUP(D204,Poeng!$B$10:$R$252,Poeng!E$1,FALSE)</f>
        <v xml:space="preserve">No external lighting pollution </v>
      </c>
      <c r="G204" s="107">
        <f>VLOOKUP(D204,Poeng!$B$10:$AB$252,Poeng!AB$1,FALSE)</f>
        <v>1</v>
      </c>
      <c r="H204" s="37"/>
      <c r="I204" s="108">
        <f>VLOOKUP(D204,Poeng!$B$10:$AE$252,Poeng!AE$1,FALSE)</f>
        <v>0</v>
      </c>
      <c r="J204" s="109" t="str">
        <f>VLOOKUP(D204,Poeng!$B$10:$BE$252,Poeng!BE$1,FALSE)</f>
        <v>N/A</v>
      </c>
      <c r="K204" s="74"/>
      <c r="L204" s="242"/>
      <c r="M204" s="694"/>
      <c r="N204" s="712"/>
      <c r="O204" s="77"/>
      <c r="P204" s="108">
        <f>VLOOKUP(D204,Poeng!$B$10:$BC$252,Poeng!AF$1,FALSE)</f>
        <v>0</v>
      </c>
      <c r="Q204" s="108" t="str">
        <f>VLOOKUP(D204,Poeng!$B$10:$BH$252,Poeng!BH$1,FALSE)</f>
        <v>N/A</v>
      </c>
      <c r="R204" s="644"/>
      <c r="S204" s="645"/>
      <c r="T204" s="638"/>
      <c r="U204" s="277"/>
      <c r="V204" s="77"/>
      <c r="W204" s="108">
        <f>VLOOKUP(D204,Poeng!$B$10:$BC$252,Poeng!AG$1,FALSE)</f>
        <v>0</v>
      </c>
      <c r="X204" s="108" t="str">
        <f>VLOOKUP(D204,Poeng!$B$10:$BK$252,Poeng!BK$1,FALSE)</f>
        <v>N/A</v>
      </c>
      <c r="Y204" s="75"/>
      <c r="Z204" s="74"/>
      <c r="AA204" s="638"/>
      <c r="AB204" s="117"/>
      <c r="AC204" s="556"/>
      <c r="AD204" s="20">
        <f t="shared" si="21"/>
        <v>1</v>
      </c>
      <c r="AE204" s="1" t="e">
        <f>VLOOKUP(L204,'Assessment Details'!$O$45:$P$48,2,FALSE)</f>
        <v>#N/A</v>
      </c>
      <c r="AF204" s="1" t="e">
        <f>VLOOKUP(S204,'Assessment Details'!$O$45:$P$48,2,FALSE)</f>
        <v>#N/A</v>
      </c>
      <c r="AG204" s="1" t="e">
        <f>VLOOKUP(Z204,'Assessment Details'!$O$45:$P$48,2,FALSE)</f>
        <v>#N/A</v>
      </c>
      <c r="AJ204" s="64"/>
      <c r="AK204" s="583"/>
      <c r="AL204" s="562"/>
      <c r="AM204" s="562"/>
      <c r="AN204" s="562"/>
      <c r="AO204" s="64"/>
      <c r="AP204" s="64"/>
      <c r="AQ204" s="64"/>
      <c r="AT204" s="20"/>
      <c r="AU204" s="20"/>
      <c r="AV204" s="20"/>
      <c r="AW204" s="20"/>
      <c r="AX204" s="20"/>
      <c r="AY204" s="20"/>
      <c r="BA204" s="556"/>
    </row>
    <row r="205" spans="1:53" x14ac:dyDescent="0.25">
      <c r="A205" s="893">
        <v>196</v>
      </c>
      <c r="B205" s="894" t="s">
        <v>70</v>
      </c>
      <c r="C205" s="109" t="str">
        <f t="shared" si="19"/>
        <v>POL 04</v>
      </c>
      <c r="D205" s="717" t="s">
        <v>821</v>
      </c>
      <c r="E205" s="1079" t="s">
        <v>1169</v>
      </c>
      <c r="F205" s="751" t="str">
        <f>VLOOKUP(D205,Poeng!$B$10:$R$252,Poeng!E$1,FALSE)</f>
        <v>Minimizing external light pollution</v>
      </c>
      <c r="G205" s="107">
        <f>VLOOKUP(D205,Poeng!$B$10:$AB$252,Poeng!AB$1,FALSE)</f>
        <v>0</v>
      </c>
      <c r="H205" s="37"/>
      <c r="I205" s="108">
        <f>VLOOKUP(D205,Poeng!$B$10:$AE$252,Poeng!AE$1,FALSE)</f>
        <v>0</v>
      </c>
      <c r="J205" s="109" t="str">
        <f>VLOOKUP(D205,Poeng!$B$10:$BE$252,Poeng!BE$1,FALSE)</f>
        <v>N/A</v>
      </c>
      <c r="K205" s="74"/>
      <c r="L205" s="242"/>
      <c r="M205" s="694"/>
      <c r="N205" s="712"/>
      <c r="O205" s="77"/>
      <c r="P205" s="108">
        <f>VLOOKUP(D205,Poeng!$B$10:$BC$252,Poeng!AF$1,FALSE)</f>
        <v>0</v>
      </c>
      <c r="Q205" s="108" t="str">
        <f>VLOOKUP(D205,Poeng!$B$10:$BH$252,Poeng!BH$1,FALSE)</f>
        <v>N/A</v>
      </c>
      <c r="R205" s="644"/>
      <c r="S205" s="645"/>
      <c r="T205" s="638"/>
      <c r="U205" s="277"/>
      <c r="V205" s="77"/>
      <c r="W205" s="108">
        <f>VLOOKUP(D205,Poeng!$B$10:$BC$252,Poeng!AG$1,FALSE)</f>
        <v>0</v>
      </c>
      <c r="X205" s="108" t="str">
        <f>VLOOKUP(D205,Poeng!$B$10:$BK$252,Poeng!BK$1,FALSE)</f>
        <v>N/A</v>
      </c>
      <c r="Y205" s="75"/>
      <c r="Z205" s="74"/>
      <c r="AA205" s="638"/>
      <c r="AB205" s="117"/>
      <c r="AC205" s="556"/>
      <c r="AD205" s="20">
        <f t="shared" si="21"/>
        <v>2</v>
      </c>
      <c r="AE205" s="1" t="e">
        <f>VLOOKUP(L205,'Assessment Details'!$O$45:$P$48,2,FALSE)</f>
        <v>#N/A</v>
      </c>
      <c r="AF205" s="1" t="e">
        <f>VLOOKUP(S205,'Assessment Details'!$O$45:$P$48,2,FALSE)</f>
        <v>#N/A</v>
      </c>
      <c r="AG205" s="1" t="e">
        <f>VLOOKUP(Z205,'Assessment Details'!$O$45:$P$48,2,FALSE)</f>
        <v>#N/A</v>
      </c>
      <c r="AJ205" s="64"/>
      <c r="AK205" s="583"/>
      <c r="AL205" s="562"/>
      <c r="AM205" s="562"/>
      <c r="AN205" s="562"/>
      <c r="AO205" s="64"/>
      <c r="AP205" s="64"/>
      <c r="AQ205" s="64"/>
      <c r="AT205" s="20"/>
      <c r="AU205" s="20"/>
      <c r="AV205" s="20"/>
      <c r="AW205" s="20"/>
      <c r="AX205" s="20"/>
      <c r="AY205" s="20"/>
      <c r="BA205" s="556"/>
    </row>
    <row r="206" spans="1:53" x14ac:dyDescent="0.25">
      <c r="A206" s="893">
        <v>197</v>
      </c>
      <c r="B206" s="894" t="s">
        <v>70</v>
      </c>
      <c r="C206" s="802" t="s">
        <v>188</v>
      </c>
      <c r="D206" s="717" t="s">
        <v>188</v>
      </c>
      <c r="E206" s="1077"/>
      <c r="F206" s="750" t="str">
        <f>VLOOKUP(D206,Poeng!$B$10:$R$252,Poeng!E$1,FALSE)</f>
        <v>POL 05 Reduction of noise pollution</v>
      </c>
      <c r="G206" s="755">
        <f>VLOOKUP(D206,Poeng!$B$10:$AB$252,Poeng!AB$1,FALSE)</f>
        <v>1</v>
      </c>
      <c r="H206" s="847"/>
      <c r="I206" s="756" t="str">
        <f>VLOOKUP(D206,Poeng!$B$10:$AI$252,Poeng!AI$1,FALSE)&amp;" c. "&amp;ROUND(VLOOKUP(D206,Poeng!$B$10:$AE$252,Poeng!AE$1,FALSE)*100,1)&amp;" %"</f>
        <v>0 c. 0 %</v>
      </c>
      <c r="J206" s="802" t="str">
        <f>VLOOKUP(D206,Poeng!$B$10:$BE$252,Poeng!BE$1,FALSE)</f>
        <v>N/A</v>
      </c>
      <c r="K206" s="74"/>
      <c r="L206" s="242"/>
      <c r="M206" s="694"/>
      <c r="N206" s="712"/>
      <c r="O206" s="847"/>
      <c r="P206" s="766" t="str">
        <f>VLOOKUP(D206,Poeng!$B$10:$BC$252,Poeng!AJ$1,FALSE)&amp;" c. "&amp;ROUND(VLOOKUP(D206,Poeng!$B$10:$BC$252,Poeng!AF$1,FALSE)*100,1)&amp;" %"</f>
        <v>0 c. 0 %</v>
      </c>
      <c r="Q206" s="108" t="str">
        <f>VLOOKUP(D206,Poeng!$B$10:$BH$252,Poeng!BH$1,FALSE)</f>
        <v>N/A</v>
      </c>
      <c r="R206" s="644"/>
      <c r="S206" s="645"/>
      <c r="T206" s="638"/>
      <c r="U206" s="277"/>
      <c r="V206" s="847"/>
      <c r="W206" s="766" t="str">
        <f>VLOOKUP(D206,Poeng!$B$10:$BC$252,Poeng!AK$1,FALSE)&amp;" c. "&amp;ROUND(VLOOKUP(D206,Poeng!$B$10:$BC$252,Poeng!AG$1,FALSE)*100,1)&amp;" %"</f>
        <v>0 c. 0 %</v>
      </c>
      <c r="X206" s="108" t="str">
        <f>VLOOKUP(D206,Poeng!$B$10:$BK$252,Poeng!BK$1,FALSE)</f>
        <v>N/A</v>
      </c>
      <c r="Y206" s="75"/>
      <c r="Z206" s="74"/>
      <c r="AA206" s="638"/>
      <c r="AB206" s="117"/>
      <c r="AC206" s="556" t="s">
        <v>12</v>
      </c>
      <c r="AD206" s="20">
        <f t="shared" si="21"/>
        <v>1</v>
      </c>
      <c r="AE206" s="1" t="e">
        <f>VLOOKUP(L206,'Assessment Details'!$O$45:$P$48,2,FALSE)</f>
        <v>#N/A</v>
      </c>
      <c r="AF206" s="1" t="e">
        <f>VLOOKUP(S206,'Assessment Details'!$O$45:$P$48,2,FALSE)</f>
        <v>#N/A</v>
      </c>
      <c r="AG206" s="1" t="e">
        <f>VLOOKUP(Z206,'Assessment Details'!$O$45:$P$48,2,FALSE)</f>
        <v>#N/A</v>
      </c>
      <c r="AJ206" s="64" t="str">
        <f>ais_ja</f>
        <v>Ja</v>
      </c>
      <c r="AK206" s="583" t="s">
        <v>167</v>
      </c>
      <c r="AL206" s="562" t="s">
        <v>405</v>
      </c>
      <c r="AM206" s="562" t="s">
        <v>409</v>
      </c>
      <c r="AN206" s="562" t="s">
        <v>407</v>
      </c>
      <c r="AO206" s="64"/>
      <c r="AP206" s="64"/>
      <c r="AQ206" s="64"/>
      <c r="AS206" s="1" t="s">
        <v>12</v>
      </c>
      <c r="AT206" s="20" t="str">
        <f t="shared" si="24"/>
        <v>N/A</v>
      </c>
      <c r="AU206" s="20" t="str">
        <f t="shared" si="25"/>
        <v>N/A</v>
      </c>
      <c r="AV206" s="20" t="str">
        <f t="shared" si="26"/>
        <v>N/A</v>
      </c>
      <c r="AW206" s="20"/>
      <c r="AX206" s="20"/>
      <c r="AY206" s="20"/>
      <c r="BA206" s="556"/>
    </row>
    <row r="207" spans="1:53" x14ac:dyDescent="0.25">
      <c r="A207" s="893">
        <v>198</v>
      </c>
      <c r="B207" s="894" t="s">
        <v>70</v>
      </c>
      <c r="C207" s="109" t="str">
        <f t="shared" si="19"/>
        <v>POL 05</v>
      </c>
      <c r="D207" s="717" t="s">
        <v>822</v>
      </c>
      <c r="E207" s="1078">
        <v>1</v>
      </c>
      <c r="F207" s="751" t="str">
        <f>VLOOKUP(D207,Poeng!$B$10:$R$252,Poeng!E$1,FALSE)</f>
        <v>No noise-sensitive areas</v>
      </c>
      <c r="G207" s="107">
        <f>VLOOKUP(D207,Poeng!$B$10:$AB$252,Poeng!AB$1,FALSE)</f>
        <v>1</v>
      </c>
      <c r="H207" s="37"/>
      <c r="I207" s="108">
        <f>VLOOKUP(D207,Poeng!$B$10:$AE$252,Poeng!AE$1,FALSE)</f>
        <v>0</v>
      </c>
      <c r="J207" s="109" t="str">
        <f>VLOOKUP(D207,Poeng!$B$10:$BE$252,Poeng!BE$1,FALSE)</f>
        <v>N/A</v>
      </c>
      <c r="K207" s="74"/>
      <c r="L207" s="242"/>
      <c r="M207" s="694"/>
      <c r="N207" s="712"/>
      <c r="O207" s="77"/>
      <c r="P207" s="108">
        <f>VLOOKUP(D207,Poeng!$B$10:$BC$252,Poeng!AF$1,FALSE)</f>
        <v>0</v>
      </c>
      <c r="Q207" s="108" t="str">
        <f>VLOOKUP(D207,Poeng!$B$10:$BH$252,Poeng!BH$1,FALSE)</f>
        <v>N/A</v>
      </c>
      <c r="R207" s="644"/>
      <c r="S207" s="645"/>
      <c r="T207" s="638"/>
      <c r="U207" s="277"/>
      <c r="V207" s="77"/>
      <c r="W207" s="108">
        <f>VLOOKUP(D207,Poeng!$B$10:$BC$252,Poeng!AG$1,FALSE)</f>
        <v>0</v>
      </c>
      <c r="X207" s="108" t="str">
        <f>VLOOKUP(D207,Poeng!$B$10:$BK$252,Poeng!BK$1,FALSE)</f>
        <v>N/A</v>
      </c>
      <c r="Y207" s="75"/>
      <c r="Z207" s="74"/>
      <c r="AA207" s="638"/>
      <c r="AB207" s="117"/>
      <c r="AC207" s="620"/>
      <c r="AD207" s="20">
        <f t="shared" si="21"/>
        <v>1</v>
      </c>
      <c r="AE207" s="1" t="e">
        <f>VLOOKUP(L207,'Assessment Details'!$O$45:$P$48,2,FALSE)</f>
        <v>#N/A</v>
      </c>
      <c r="AF207" s="1" t="e">
        <f>VLOOKUP(S207,'Assessment Details'!$O$45:$P$48,2,FALSE)</f>
        <v>#N/A</v>
      </c>
      <c r="AG207" s="1" t="e">
        <f>VLOOKUP(Z207,'Assessment Details'!$O$45:$P$48,2,FALSE)</f>
        <v>#N/A</v>
      </c>
      <c r="AJ207" s="64"/>
      <c r="AK207" s="583"/>
      <c r="AL207" s="562"/>
      <c r="AM207" s="562"/>
      <c r="AN207" s="562"/>
      <c r="AO207" s="64"/>
      <c r="AP207" s="64"/>
      <c r="AQ207" s="64"/>
      <c r="AT207" s="20"/>
      <c r="AU207" s="20"/>
      <c r="AV207" s="20"/>
      <c r="AW207" s="20"/>
      <c r="AX207" s="20"/>
      <c r="AY207" s="20"/>
      <c r="BA207" s="620"/>
    </row>
    <row r="208" spans="1:53" x14ac:dyDescent="0.25">
      <c r="A208" s="893">
        <v>199</v>
      </c>
      <c r="B208" s="894" t="s">
        <v>70</v>
      </c>
      <c r="C208" s="109" t="str">
        <f t="shared" si="19"/>
        <v>POL 05</v>
      </c>
      <c r="D208" s="717" t="s">
        <v>823</v>
      </c>
      <c r="E208" s="1079" t="s">
        <v>1196</v>
      </c>
      <c r="F208" s="751" t="str">
        <f>VLOOKUP(D208,Poeng!$B$10:$R$252,Poeng!E$1,FALSE)</f>
        <v>Minimizing noise pollution in noise-sensitive areas</v>
      </c>
      <c r="G208" s="107">
        <f>VLOOKUP(D208,Poeng!$B$10:$AB$252,Poeng!AB$1,FALSE)</f>
        <v>0</v>
      </c>
      <c r="H208" s="37"/>
      <c r="I208" s="108">
        <f>VLOOKUP(D208,Poeng!$B$10:$AE$252,Poeng!AE$1,FALSE)</f>
        <v>0</v>
      </c>
      <c r="J208" s="109" t="str">
        <f>VLOOKUP(D208,Poeng!$B$10:$BE$252,Poeng!BE$1,FALSE)</f>
        <v>N/A</v>
      </c>
      <c r="K208" s="74"/>
      <c r="L208" s="242"/>
      <c r="M208" s="694"/>
      <c r="N208" s="712"/>
      <c r="O208" s="77"/>
      <c r="P208" s="108">
        <f>VLOOKUP(D208,Poeng!$B$10:$BC$252,Poeng!AF$1,FALSE)</f>
        <v>0</v>
      </c>
      <c r="Q208" s="108" t="str">
        <f>VLOOKUP(D208,Poeng!$B$10:$BH$252,Poeng!BH$1,FALSE)</f>
        <v>N/A</v>
      </c>
      <c r="R208" s="644"/>
      <c r="S208" s="645"/>
      <c r="T208" s="638"/>
      <c r="U208" s="277"/>
      <c r="V208" s="77"/>
      <c r="W208" s="108">
        <f>VLOOKUP(D208,Poeng!$B$10:$BC$252,Poeng!AG$1,FALSE)</f>
        <v>0</v>
      </c>
      <c r="X208" s="108" t="str">
        <f>VLOOKUP(D208,Poeng!$B$10:$BK$252,Poeng!BK$1,FALSE)</f>
        <v>N/A</v>
      </c>
      <c r="Y208" s="75"/>
      <c r="Z208" s="74"/>
      <c r="AA208" s="638"/>
      <c r="AB208" s="117"/>
      <c r="AC208" s="620"/>
      <c r="AD208" s="20">
        <f t="shared" si="21"/>
        <v>2</v>
      </c>
      <c r="AE208" s="1" t="e">
        <f>VLOOKUP(L208,'Assessment Details'!$O$45:$P$48,2,FALSE)</f>
        <v>#N/A</v>
      </c>
      <c r="AF208" s="1" t="e">
        <f>VLOOKUP(S208,'Assessment Details'!$O$45:$P$48,2,FALSE)</f>
        <v>#N/A</v>
      </c>
      <c r="AG208" s="1" t="e">
        <f>VLOOKUP(Z208,'Assessment Details'!$O$45:$P$48,2,FALSE)</f>
        <v>#N/A</v>
      </c>
      <c r="AJ208" s="64"/>
      <c r="AK208" s="583"/>
      <c r="AL208" s="562"/>
      <c r="AM208" s="562"/>
      <c r="AN208" s="562"/>
      <c r="AO208" s="64"/>
      <c r="AP208" s="64"/>
      <c r="AQ208" s="64"/>
      <c r="AT208" s="20"/>
      <c r="AU208" s="20"/>
      <c r="AV208" s="20"/>
      <c r="AW208" s="20"/>
      <c r="AX208" s="20"/>
      <c r="AY208" s="20"/>
      <c r="BA208" s="620"/>
    </row>
    <row r="209" spans="1:53" ht="15.75" thickBot="1" x14ac:dyDescent="0.3">
      <c r="A209" s="893">
        <v>200</v>
      </c>
      <c r="B209" s="894" t="s">
        <v>70</v>
      </c>
      <c r="C209" s="897"/>
      <c r="D209" s="717" t="s">
        <v>889</v>
      </c>
      <c r="E209" s="1082"/>
      <c r="F209" s="278" t="s">
        <v>110</v>
      </c>
      <c r="G209" s="110">
        <f>Pol_Credits</f>
        <v>7</v>
      </c>
      <c r="H209" s="115"/>
      <c r="I209" s="111">
        <f>Pol_cont_tot</f>
        <v>0</v>
      </c>
      <c r="J209" s="757" t="str">
        <f>"Credits achieved: "&amp;Pol_tot_user</f>
        <v>Credits achieved: 0</v>
      </c>
      <c r="K209" s="118"/>
      <c r="L209" s="243"/>
      <c r="M209" s="646"/>
      <c r="N209" s="712"/>
      <c r="O209" s="335"/>
      <c r="P209" s="111">
        <f>VLOOKUP(D209,Poeng!$B$10:$BC$252,Poeng!AF$1,FALSE)</f>
        <v>0</v>
      </c>
      <c r="Q209" s="757" t="str">
        <f>"Credits achieved: "&amp;Pol_d_user</f>
        <v>Credits achieved: 0</v>
      </c>
      <c r="R209" s="647"/>
      <c r="S209" s="648"/>
      <c r="T209" s="646"/>
      <c r="U209" s="277"/>
      <c r="V209" s="335"/>
      <c r="W209" s="111">
        <f>VLOOKUP(D209,Poeng!$B$10:$BC$252,Poeng!AG$1,FALSE)</f>
        <v>0</v>
      </c>
      <c r="X209" s="757" t="str">
        <f>"Credits achieved: "&amp;Pol_c_user</f>
        <v>Credits achieved: 0</v>
      </c>
      <c r="Y209" s="334"/>
      <c r="Z209" s="120"/>
      <c r="AA209" s="646"/>
      <c r="AB209" s="117"/>
      <c r="AC209" s="557"/>
      <c r="AD209" s="20">
        <f t="shared" si="21"/>
        <v>1</v>
      </c>
      <c r="AE209" s="239">
        <v>0</v>
      </c>
      <c r="AF209" s="239">
        <v>0</v>
      </c>
      <c r="AG209" s="239">
        <v>0</v>
      </c>
      <c r="AJ209" s="64"/>
      <c r="AK209" s="583" t="s">
        <v>110</v>
      </c>
      <c r="AL209" s="64"/>
      <c r="AM209" s="64"/>
      <c r="AN209" s="64"/>
      <c r="AO209" s="64"/>
      <c r="AP209" s="64"/>
      <c r="AQ209" s="64"/>
      <c r="AT209" s="20" t="str">
        <f t="shared" si="24"/>
        <v>N/A</v>
      </c>
      <c r="AU209" s="20" t="str">
        <f t="shared" si="25"/>
        <v>N/A</v>
      </c>
      <c r="AV209" s="20" t="str">
        <f t="shared" si="26"/>
        <v>N/A</v>
      </c>
      <c r="AW209" s="20"/>
      <c r="AX209" s="20"/>
      <c r="AY209" s="20"/>
      <c r="BA209" s="557"/>
    </row>
    <row r="210" spans="1:53" x14ac:dyDescent="0.25">
      <c r="A210" s="893">
        <v>201</v>
      </c>
      <c r="B210" s="894" t="s">
        <v>70</v>
      </c>
      <c r="C210" s="280"/>
      <c r="D210" s="717"/>
      <c r="E210" s="1081"/>
      <c r="F210" s="279"/>
      <c r="G210" s="280"/>
      <c r="H210" s="281"/>
      <c r="I210" s="280"/>
      <c r="J210" s="280"/>
      <c r="K210" s="282"/>
      <c r="L210" s="281"/>
      <c r="M210" s="649"/>
      <c r="N210" s="712"/>
      <c r="O210" s="283"/>
      <c r="P210" s="283"/>
      <c r="Q210" s="649"/>
      <c r="R210" s="649"/>
      <c r="S210" s="650"/>
      <c r="T210" s="649"/>
      <c r="U210" s="277"/>
      <c r="V210" s="283"/>
      <c r="W210" s="283"/>
      <c r="X210" s="649"/>
      <c r="Y210" s="282"/>
      <c r="Z210" s="283"/>
      <c r="AA210" s="649"/>
      <c r="AB210" s="117"/>
      <c r="AC210" s="282"/>
      <c r="AD210" s="20">
        <f t="shared" si="21"/>
        <v>1</v>
      </c>
      <c r="AE210" s="240">
        <v>0</v>
      </c>
      <c r="AF210" s="240">
        <v>0</v>
      </c>
      <c r="AG210" s="240">
        <v>0</v>
      </c>
      <c r="AJ210" s="64"/>
      <c r="AK210" s="583"/>
      <c r="AL210" s="64"/>
      <c r="AM210" s="64"/>
      <c r="AN210" s="64"/>
      <c r="AO210" s="64"/>
      <c r="AP210" s="64"/>
      <c r="AQ210" s="64"/>
      <c r="AT210" s="20" t="str">
        <f t="shared" si="24"/>
        <v>N/A</v>
      </c>
      <c r="AU210" s="20" t="str">
        <f t="shared" si="25"/>
        <v>N/A</v>
      </c>
      <c r="AV210" s="20" t="str">
        <f t="shared" si="26"/>
        <v>N/A</v>
      </c>
      <c r="AW210" s="20"/>
      <c r="AX210" s="20"/>
      <c r="AY210" s="20"/>
      <c r="BA210" s="282"/>
    </row>
    <row r="211" spans="1:53" ht="18.75" x14ac:dyDescent="0.25">
      <c r="A211" s="893">
        <v>202</v>
      </c>
      <c r="B211" s="894" t="s">
        <v>824</v>
      </c>
      <c r="C211" s="898"/>
      <c r="D211" s="717"/>
      <c r="E211" s="1076"/>
      <c r="F211" s="284" t="s">
        <v>254</v>
      </c>
      <c r="G211" s="273"/>
      <c r="H211" s="274"/>
      <c r="I211" s="293"/>
      <c r="J211" s="273"/>
      <c r="K211" s="285"/>
      <c r="L211" s="286"/>
      <c r="M211" s="652"/>
      <c r="N211" s="712"/>
      <c r="O211" s="296"/>
      <c r="P211" s="289"/>
      <c r="Q211" s="642"/>
      <c r="R211" s="653"/>
      <c r="S211" s="654"/>
      <c r="T211" s="655"/>
      <c r="U211" s="277"/>
      <c r="V211" s="296"/>
      <c r="W211" s="295"/>
      <c r="X211" s="642"/>
      <c r="Y211" s="285"/>
      <c r="Z211" s="295"/>
      <c r="AA211" s="652"/>
      <c r="AB211" s="117"/>
      <c r="AC211" s="294"/>
      <c r="AD211" s="20">
        <f t="shared" si="21"/>
        <v>1</v>
      </c>
      <c r="AE211" s="238">
        <v>0</v>
      </c>
      <c r="AF211" s="238">
        <v>0</v>
      </c>
      <c r="AG211" s="238">
        <v>0</v>
      </c>
      <c r="AJ211" s="64"/>
      <c r="AK211" s="583" t="s">
        <v>254</v>
      </c>
      <c r="AL211" s="64"/>
      <c r="AM211" s="64"/>
      <c r="AN211" s="64"/>
      <c r="AO211" s="64"/>
      <c r="AP211" s="64"/>
      <c r="AQ211" s="64"/>
      <c r="AT211" s="20" t="str">
        <f t="shared" si="24"/>
        <v>N/A</v>
      </c>
      <c r="AU211" s="20" t="str">
        <f t="shared" si="25"/>
        <v>N/A</v>
      </c>
      <c r="AV211" s="20" t="str">
        <f t="shared" si="26"/>
        <v>N/A</v>
      </c>
      <c r="AW211" s="20"/>
      <c r="AX211" s="20"/>
      <c r="AY211" s="20"/>
      <c r="BA211" s="294"/>
    </row>
    <row r="212" spans="1:53" x14ac:dyDescent="0.25">
      <c r="A212" s="893">
        <v>203</v>
      </c>
      <c r="B212" s="894" t="s">
        <v>824</v>
      </c>
      <c r="C212" s="1092" t="s">
        <v>93</v>
      </c>
      <c r="D212" s="717" t="s">
        <v>189</v>
      </c>
      <c r="E212" s="1079">
        <v>14</v>
      </c>
      <c r="F212" s="276" t="str">
        <f>VLOOKUP(D212,Poeng!$B$10:$R$252,Poeng!E$1,FALSE)</f>
        <v xml:space="preserve">Inn 01 - Man 03: Reduction of direct emissions from construction sites </v>
      </c>
      <c r="G212" s="107">
        <f>Inn01_credits</f>
        <v>1</v>
      </c>
      <c r="H212" s="37"/>
      <c r="I212" s="108">
        <f>Inn01_cont</f>
        <v>0</v>
      </c>
      <c r="J212" s="114" t="str">
        <f>Inn01_minstd</f>
        <v>N/A</v>
      </c>
      <c r="K212" s="74"/>
      <c r="L212" s="242"/>
      <c r="M212" s="638"/>
      <c r="N212" s="712"/>
      <c r="O212" s="77"/>
      <c r="P212" s="904">
        <f>VLOOKUP(D212,Poeng!$B$10:$BC$252,Poeng!AF$1,FALSE)</f>
        <v>0</v>
      </c>
      <c r="Q212" s="108" t="str">
        <f>VLOOKUP(D212,Poeng!$B$10:$BH$252,Poeng!BH$1,FALSE)</f>
        <v>N/A</v>
      </c>
      <c r="R212" s="644"/>
      <c r="S212" s="645"/>
      <c r="T212" s="638"/>
      <c r="U212" s="277"/>
      <c r="V212" s="77"/>
      <c r="W212" s="108">
        <f>VLOOKUP(D212,Poeng!$B$10:$BC$252,Poeng!AG$1,FALSE)</f>
        <v>0</v>
      </c>
      <c r="X212" s="108" t="str">
        <f>VLOOKUP(D212,Poeng!$B$10:$BK$252,Poeng!BK$1,FALSE)</f>
        <v>N/A</v>
      </c>
      <c r="Y212" s="75"/>
      <c r="Z212" s="74"/>
      <c r="AA212" s="638"/>
      <c r="AB212" s="117"/>
      <c r="AC212" s="556" t="s">
        <v>13</v>
      </c>
      <c r="AD212" s="20">
        <f t="shared" ref="AD212:AD226" si="30">IF(G212="",1,IF(G212=0,2,1))</f>
        <v>1</v>
      </c>
      <c r="AE212" s="1" t="e">
        <f>VLOOKUP(L212,'Assessment Details'!$O$45:$P$48,2,FALSE)</f>
        <v>#N/A</v>
      </c>
      <c r="AF212" s="1" t="e">
        <f>VLOOKUP(S212,'Assessment Details'!$O$45:$P$48,2,FALSE)</f>
        <v>#N/A</v>
      </c>
      <c r="AG212" s="1" t="e">
        <f>VLOOKUP(Z212,'Assessment Details'!$O$45:$P$48,2,FALSE)</f>
        <v>#N/A</v>
      </c>
      <c r="AJ212" s="64"/>
      <c r="AK212" s="583" t="s">
        <v>335</v>
      </c>
      <c r="AL212" s="64"/>
      <c r="AM212" s="64"/>
      <c r="AN212" s="64"/>
      <c r="AO212" s="64"/>
      <c r="AP212" s="64"/>
      <c r="AQ212" s="64"/>
      <c r="AT212" s="20" t="str">
        <f t="shared" si="24"/>
        <v>N/A</v>
      </c>
      <c r="AU212" s="20" t="str">
        <f t="shared" si="25"/>
        <v>N/A</v>
      </c>
      <c r="AV212" s="20" t="str">
        <f t="shared" si="26"/>
        <v>N/A</v>
      </c>
      <c r="AW212" s="20"/>
      <c r="AX212" s="20"/>
      <c r="AY212" s="20"/>
      <c r="BA212" s="556"/>
    </row>
    <row r="213" spans="1:53" x14ac:dyDescent="0.25">
      <c r="A213" s="893">
        <v>204</v>
      </c>
      <c r="B213" s="894" t="s">
        <v>824</v>
      </c>
      <c r="C213" s="1092" t="s">
        <v>116</v>
      </c>
      <c r="D213" s="717" t="s">
        <v>190</v>
      </c>
      <c r="E213" s="1096" t="s">
        <v>1201</v>
      </c>
      <c r="F213" s="276" t="str">
        <f>VLOOKUP(D213,Poeng!$B$10:$R$252,Poeng!E$1,FALSE)</f>
        <v xml:space="preserve">Inn 02 - Hea 01: View out, high level </v>
      </c>
      <c r="G213" s="107">
        <f>Inn02_credits</f>
        <v>1</v>
      </c>
      <c r="H213" s="37"/>
      <c r="I213" s="108">
        <f>Inn02_cont</f>
        <v>0</v>
      </c>
      <c r="J213" s="114" t="str">
        <f>Inn02_minstd</f>
        <v>N/A</v>
      </c>
      <c r="K213" s="74"/>
      <c r="L213" s="242"/>
      <c r="M213" s="638"/>
      <c r="N213" s="712"/>
      <c r="O213" s="77"/>
      <c r="P213" s="108">
        <f>VLOOKUP(D213,Poeng!$B$10:$BC$252,Poeng!AF$1,FALSE)</f>
        <v>0</v>
      </c>
      <c r="Q213" s="108" t="str">
        <f>VLOOKUP(D213,Poeng!$B$10:$BH$252,Poeng!BH$1,FALSE)</f>
        <v>N/A</v>
      </c>
      <c r="R213" s="644"/>
      <c r="S213" s="645"/>
      <c r="T213" s="638"/>
      <c r="U213" s="277"/>
      <c r="V213" s="77"/>
      <c r="W213" s="108">
        <f>VLOOKUP(D213,Poeng!$B$10:$BC$252,Poeng!AG$1,FALSE)</f>
        <v>0</v>
      </c>
      <c r="X213" s="108" t="str">
        <f>VLOOKUP(D213,Poeng!$B$10:$BK$252,Poeng!BK$1,FALSE)</f>
        <v>N/A</v>
      </c>
      <c r="Y213" s="75"/>
      <c r="Z213" s="74"/>
      <c r="AA213" s="638"/>
      <c r="AB213" s="117"/>
      <c r="AC213" s="556" t="s">
        <v>13</v>
      </c>
      <c r="AD213" s="20">
        <f t="shared" si="30"/>
        <v>1</v>
      </c>
      <c r="AE213" s="1" t="e">
        <f>VLOOKUP(L213,'Assessment Details'!$O$45:$P$48,2,FALSE)</f>
        <v>#N/A</v>
      </c>
      <c r="AF213" s="1" t="e">
        <f>VLOOKUP(S213,'Assessment Details'!$O$45:$P$48,2,FALSE)</f>
        <v>#N/A</v>
      </c>
      <c r="AG213" s="1" t="e">
        <f>VLOOKUP(Z213,'Assessment Details'!$O$45:$P$48,2,FALSE)</f>
        <v>#N/A</v>
      </c>
      <c r="AJ213" s="64"/>
      <c r="AK213" s="583" t="s">
        <v>336</v>
      </c>
      <c r="AL213" s="64"/>
      <c r="AM213" s="64"/>
      <c r="AN213" s="64"/>
      <c r="AO213" s="64"/>
      <c r="AP213" s="64"/>
      <c r="AQ213" s="64"/>
      <c r="AT213" s="20" t="str">
        <f t="shared" si="24"/>
        <v>N/A</v>
      </c>
      <c r="AU213" s="20" t="str">
        <f t="shared" si="25"/>
        <v>N/A</v>
      </c>
      <c r="AV213" s="20" t="str">
        <f t="shared" si="26"/>
        <v>N/A</v>
      </c>
      <c r="AW213" s="20"/>
      <c r="AX213" s="20"/>
      <c r="AY213" s="20"/>
      <c r="BA213" s="556"/>
    </row>
    <row r="214" spans="1:53" x14ac:dyDescent="0.25">
      <c r="A214" s="893">
        <v>205</v>
      </c>
      <c r="B214" s="894" t="s">
        <v>824</v>
      </c>
      <c r="C214" s="1092" t="s">
        <v>117</v>
      </c>
      <c r="D214" s="717" t="s">
        <v>191</v>
      </c>
      <c r="E214" s="1097">
        <v>12</v>
      </c>
      <c r="F214" s="276" t="str">
        <f>VLOOKUP(D214,Poeng!$B$10:$R$252,Poeng!E$1,FALSE)</f>
        <v>Inn 03 - Hea 02: Emissions from construction products</v>
      </c>
      <c r="G214" s="107">
        <f>Inn03_credits</f>
        <v>1</v>
      </c>
      <c r="H214" s="37"/>
      <c r="I214" s="108">
        <f>Inn03_cont</f>
        <v>0</v>
      </c>
      <c r="J214" s="114" t="str">
        <f>Inn03_minstd</f>
        <v>N/A</v>
      </c>
      <c r="K214" s="74"/>
      <c r="L214" s="242"/>
      <c r="M214" s="638"/>
      <c r="N214" s="712"/>
      <c r="O214" s="77"/>
      <c r="P214" s="108">
        <f>VLOOKUP(D214,Poeng!$B$10:$BC$252,Poeng!AF$1,FALSE)</f>
        <v>0</v>
      </c>
      <c r="Q214" s="108" t="str">
        <f>VLOOKUP(D214,Poeng!$B$10:$BH$252,Poeng!BH$1,FALSE)</f>
        <v>N/A</v>
      </c>
      <c r="R214" s="644"/>
      <c r="S214" s="645"/>
      <c r="T214" s="638"/>
      <c r="U214" s="277"/>
      <c r="V214" s="77"/>
      <c r="W214" s="108">
        <f>VLOOKUP(D214,Poeng!$B$10:$BC$252,Poeng!AG$1,FALSE)</f>
        <v>0</v>
      </c>
      <c r="X214" s="108" t="str">
        <f>VLOOKUP(D214,Poeng!$B$10:$BK$252,Poeng!BK$1,FALSE)</f>
        <v>N/A</v>
      </c>
      <c r="Y214" s="75"/>
      <c r="Z214" s="74"/>
      <c r="AA214" s="638"/>
      <c r="AB214" s="117"/>
      <c r="AC214" s="556" t="s">
        <v>13</v>
      </c>
      <c r="AD214" s="20">
        <f t="shared" si="30"/>
        <v>1</v>
      </c>
      <c r="AE214" s="1" t="e">
        <f>VLOOKUP(L214,'Assessment Details'!$O$45:$P$48,2,FALSE)</f>
        <v>#N/A</v>
      </c>
      <c r="AF214" s="1" t="e">
        <f>VLOOKUP(S214,'Assessment Details'!$O$45:$P$48,2,FALSE)</f>
        <v>#N/A</v>
      </c>
      <c r="AG214" s="1" t="e">
        <f>VLOOKUP(Z214,'Assessment Details'!$O$45:$P$48,2,FALSE)</f>
        <v>#N/A</v>
      </c>
      <c r="AJ214" s="64"/>
      <c r="AK214" s="583" t="s">
        <v>337</v>
      </c>
      <c r="AL214" s="64"/>
      <c r="AM214" s="64"/>
      <c r="AN214" s="64"/>
      <c r="AO214" s="64"/>
      <c r="AP214" s="64"/>
      <c r="AQ214" s="64"/>
      <c r="AT214" s="20" t="str">
        <f t="shared" si="24"/>
        <v>N/A</v>
      </c>
      <c r="AU214" s="20" t="str">
        <f t="shared" si="25"/>
        <v>N/A</v>
      </c>
      <c r="AV214" s="20" t="str">
        <f t="shared" si="26"/>
        <v>N/A</v>
      </c>
      <c r="AW214" s="20"/>
      <c r="AX214" s="20"/>
      <c r="AY214" s="20"/>
      <c r="BA214" s="556"/>
    </row>
    <row r="215" spans="1:53" x14ac:dyDescent="0.25">
      <c r="A215" s="893">
        <v>206</v>
      </c>
      <c r="B215" s="894" t="s">
        <v>824</v>
      </c>
      <c r="C215" s="1092" t="s">
        <v>121</v>
      </c>
      <c r="D215" s="717" t="s">
        <v>192</v>
      </c>
      <c r="E215" s="1096" t="s">
        <v>1180</v>
      </c>
      <c r="F215" s="276" t="str">
        <f>VLOOKUP(D215,Poeng!$B$10:$R$252,Poeng!E$1,FALSE)</f>
        <v xml:space="preserve">Inn 04 - Hea 06: Biofilik design </v>
      </c>
      <c r="G215" s="107">
        <f>Inn04_credits</f>
        <v>1</v>
      </c>
      <c r="H215" s="37"/>
      <c r="I215" s="108">
        <f>Inn04_cont</f>
        <v>0</v>
      </c>
      <c r="J215" s="114" t="str">
        <f>Inn04_minstd</f>
        <v>N/A</v>
      </c>
      <c r="K215" s="74"/>
      <c r="L215" s="242"/>
      <c r="M215" s="638"/>
      <c r="N215" s="712"/>
      <c r="O215" s="77"/>
      <c r="P215" s="108">
        <f>VLOOKUP(D215,Poeng!$B$10:$BC$252,Poeng!AF$1,FALSE)</f>
        <v>0</v>
      </c>
      <c r="Q215" s="108" t="str">
        <f>VLOOKUP(D215,Poeng!$B$10:$BH$252,Poeng!BH$1,FALSE)</f>
        <v>N/A</v>
      </c>
      <c r="R215" s="644"/>
      <c r="S215" s="645"/>
      <c r="T215" s="638"/>
      <c r="U215" s="277"/>
      <c r="V215" s="77"/>
      <c r="W215" s="108">
        <f>VLOOKUP(D215,Poeng!$B$10:$BC$252,Poeng!AG$1,FALSE)</f>
        <v>0</v>
      </c>
      <c r="X215" s="108" t="str">
        <f>VLOOKUP(D215,Poeng!$B$10:$BK$252,Poeng!BK$1,FALSE)</f>
        <v>N/A</v>
      </c>
      <c r="Y215" s="75"/>
      <c r="Z215" s="74"/>
      <c r="AA215" s="638"/>
      <c r="AB215" s="117"/>
      <c r="AC215" s="556" t="s">
        <v>13</v>
      </c>
      <c r="AD215" s="20">
        <f t="shared" si="30"/>
        <v>1</v>
      </c>
      <c r="AE215" s="1" t="e">
        <f>VLOOKUP(L215,'Assessment Details'!$O$45:$P$48,2,FALSE)</f>
        <v>#N/A</v>
      </c>
      <c r="AF215" s="1" t="e">
        <f>VLOOKUP(S215,'Assessment Details'!$O$45:$P$48,2,FALSE)</f>
        <v>#N/A</v>
      </c>
      <c r="AG215" s="1" t="e">
        <f>VLOOKUP(Z215,'Assessment Details'!$O$45:$P$48,2,FALSE)</f>
        <v>#N/A</v>
      </c>
      <c r="AJ215" s="64"/>
      <c r="AK215" s="583" t="s">
        <v>338</v>
      </c>
      <c r="AL215" s="64"/>
      <c r="AM215" s="64"/>
      <c r="AN215" s="64"/>
      <c r="AO215" s="64"/>
      <c r="AP215" s="64"/>
      <c r="AQ215" s="64"/>
      <c r="AT215" s="20" t="str">
        <f t="shared" si="24"/>
        <v>N/A</v>
      </c>
      <c r="AU215" s="20" t="str">
        <f t="shared" si="25"/>
        <v>N/A</v>
      </c>
      <c r="AV215" s="20" t="str">
        <f t="shared" si="26"/>
        <v>N/A</v>
      </c>
      <c r="AW215" s="20"/>
      <c r="AX215" s="20"/>
      <c r="AY215" s="20"/>
      <c r="BA215" s="556"/>
    </row>
    <row r="216" spans="1:53" x14ac:dyDescent="0.25">
      <c r="A216" s="893">
        <v>207</v>
      </c>
      <c r="B216" s="894" t="s">
        <v>824</v>
      </c>
      <c r="C216" s="1092" t="s">
        <v>134</v>
      </c>
      <c r="D216" s="717" t="s">
        <v>193</v>
      </c>
      <c r="E216" s="1096" t="s">
        <v>1202</v>
      </c>
      <c r="F216" s="276" t="str">
        <f>VLOOKUP(D216,Poeng!$B$10:$R$252,Poeng!E$1,FALSE)</f>
        <v xml:space="preserve">Inn 05 - Ene 01: Post-occupancy stage </v>
      </c>
      <c r="G216" s="107">
        <f>Inn05_credits</f>
        <v>2</v>
      </c>
      <c r="H216" s="37"/>
      <c r="I216" s="108">
        <f>Inn05_cont</f>
        <v>0</v>
      </c>
      <c r="J216" s="114" t="str">
        <f>Inn05_minstd</f>
        <v>N/A</v>
      </c>
      <c r="K216" s="74"/>
      <c r="L216" s="242"/>
      <c r="M216" s="638"/>
      <c r="N216" s="712"/>
      <c r="O216" s="77"/>
      <c r="P216" s="108">
        <f>VLOOKUP(D216,Poeng!$B$10:$BC$252,Poeng!AF$1,FALSE)</f>
        <v>0</v>
      </c>
      <c r="Q216" s="108" t="str">
        <f>VLOOKUP(D216,Poeng!$B$10:$BH$252,Poeng!BH$1,FALSE)</f>
        <v>N/A</v>
      </c>
      <c r="R216" s="644"/>
      <c r="S216" s="645"/>
      <c r="T216" s="638"/>
      <c r="U216" s="277"/>
      <c r="V216" s="77"/>
      <c r="W216" s="108">
        <f>VLOOKUP(D216,Poeng!$B$10:$BC$252,Poeng!AG$1,FALSE)</f>
        <v>0</v>
      </c>
      <c r="X216" s="108" t="str">
        <f>VLOOKUP(D216,Poeng!$B$10:$BK$252,Poeng!BK$1,FALSE)</f>
        <v>N/A</v>
      </c>
      <c r="Y216" s="75"/>
      <c r="Z216" s="74"/>
      <c r="AA216" s="638"/>
      <c r="AB216" s="117"/>
      <c r="AC216" s="556" t="s">
        <v>13</v>
      </c>
      <c r="AD216" s="20">
        <f t="shared" si="30"/>
        <v>1</v>
      </c>
      <c r="AE216" s="1" t="e">
        <f>VLOOKUP(L216,'Assessment Details'!$O$45:$P$48,2,FALSE)</f>
        <v>#N/A</v>
      </c>
      <c r="AF216" s="1" t="e">
        <f>VLOOKUP(S216,'Assessment Details'!$O$45:$P$48,2,FALSE)</f>
        <v>#N/A</v>
      </c>
      <c r="AG216" s="1" t="e">
        <f>VLOOKUP(Z216,'Assessment Details'!$O$45:$P$48,2,FALSE)</f>
        <v>#N/A</v>
      </c>
      <c r="AJ216" s="64"/>
      <c r="AK216" s="583" t="s">
        <v>248</v>
      </c>
      <c r="AL216" s="64"/>
      <c r="AM216" s="64"/>
      <c r="AN216" s="64"/>
      <c r="AO216" s="64"/>
      <c r="AP216" s="64"/>
      <c r="AQ216" s="64"/>
      <c r="AT216" s="20" t="str">
        <f t="shared" si="24"/>
        <v>N/A</v>
      </c>
      <c r="AU216" s="20" t="str">
        <f t="shared" si="25"/>
        <v>N/A</v>
      </c>
      <c r="AV216" s="20" t="str">
        <f t="shared" si="26"/>
        <v>N/A</v>
      </c>
      <c r="AW216" s="20"/>
      <c r="AX216" s="20"/>
      <c r="AY216" s="20"/>
      <c r="BA216" s="556"/>
    </row>
    <row r="217" spans="1:53" x14ac:dyDescent="0.25">
      <c r="A217" s="893">
        <v>208</v>
      </c>
      <c r="B217" s="894" t="s">
        <v>824</v>
      </c>
      <c r="C217" s="1092" t="s">
        <v>134</v>
      </c>
      <c r="D217" s="717" t="s">
        <v>194</v>
      </c>
      <c r="E217" s="1096">
        <v>21</v>
      </c>
      <c r="F217" s="276" t="str">
        <f>VLOOKUP(D217,Poeng!$B$10:$R$252,Poeng!E$1,FALSE)</f>
        <v xml:space="preserve">Inn 06 - Ene 01: Plus house </v>
      </c>
      <c r="G217" s="107">
        <f>Inn06_credits</f>
        <v>1</v>
      </c>
      <c r="H217" s="37"/>
      <c r="I217" s="108">
        <f>Inn06_cont</f>
        <v>0</v>
      </c>
      <c r="J217" s="114" t="str">
        <f>Inn06_minstd</f>
        <v>N/A</v>
      </c>
      <c r="K217" s="74"/>
      <c r="L217" s="242"/>
      <c r="M217" s="638"/>
      <c r="N217" s="712"/>
      <c r="O217" s="77"/>
      <c r="P217" s="108">
        <f>VLOOKUP(D217,Poeng!$B$10:$BC$252,Poeng!AF$1,FALSE)</f>
        <v>0</v>
      </c>
      <c r="Q217" s="108" t="str">
        <f>VLOOKUP(D217,Poeng!$B$10:$BH$252,Poeng!BH$1,FALSE)</f>
        <v>N/A</v>
      </c>
      <c r="R217" s="644"/>
      <c r="S217" s="645"/>
      <c r="T217" s="638"/>
      <c r="U217" s="277"/>
      <c r="V217" s="77"/>
      <c r="W217" s="108">
        <f>VLOOKUP(D217,Poeng!$B$10:$BC$252,Poeng!AG$1,FALSE)</f>
        <v>0</v>
      </c>
      <c r="X217" s="108" t="str">
        <f>VLOOKUP(D217,Poeng!$B$10:$BK$252,Poeng!BK$1,FALSE)</f>
        <v>N/A</v>
      </c>
      <c r="Y217" s="75"/>
      <c r="Z217" s="74"/>
      <c r="AA217" s="638"/>
      <c r="AB217" s="117"/>
      <c r="AC217" s="556" t="s">
        <v>13</v>
      </c>
      <c r="AD217" s="20">
        <f t="shared" si="30"/>
        <v>1</v>
      </c>
      <c r="AE217" s="1" t="e">
        <f>VLOOKUP(L217,'Assessment Details'!$O$45:$P$48,2,FALSE)</f>
        <v>#N/A</v>
      </c>
      <c r="AF217" s="1" t="e">
        <f>VLOOKUP(S217,'Assessment Details'!$O$45:$P$48,2,FALSE)</f>
        <v>#N/A</v>
      </c>
      <c r="AG217" s="1" t="e">
        <f>VLOOKUP(Z217,'Assessment Details'!$O$45:$P$48,2,FALSE)</f>
        <v>#N/A</v>
      </c>
      <c r="AJ217" s="64"/>
      <c r="AK217" s="583" t="s">
        <v>249</v>
      </c>
      <c r="AL217" s="64"/>
      <c r="AM217" s="64"/>
      <c r="AN217" s="64"/>
      <c r="AO217" s="64"/>
      <c r="AP217" s="64"/>
      <c r="AQ217" s="64"/>
      <c r="AT217" s="20" t="str">
        <f t="shared" si="24"/>
        <v>N/A</v>
      </c>
      <c r="AU217" s="20" t="str">
        <f t="shared" si="25"/>
        <v>N/A</v>
      </c>
      <c r="AV217" s="20" t="str">
        <f t="shared" si="26"/>
        <v>N/A</v>
      </c>
      <c r="AW217" s="20"/>
      <c r="AX217" s="20"/>
      <c r="AY217" s="20"/>
      <c r="BA217" s="556"/>
    </row>
    <row r="218" spans="1:53" x14ac:dyDescent="0.25">
      <c r="A218" s="893">
        <v>209</v>
      </c>
      <c r="B218" s="894" t="s">
        <v>824</v>
      </c>
      <c r="C218" s="1092" t="s">
        <v>168</v>
      </c>
      <c r="D218" s="717" t="s">
        <v>195</v>
      </c>
      <c r="E218" s="1097">
        <v>8</v>
      </c>
      <c r="F218" s="276" t="str">
        <f>VLOOKUP(D218,Poeng!$B$10:$R$252,Poeng!E$1,FALSE)</f>
        <v>Inn 07 - Wat 01: Highly water efficient components</v>
      </c>
      <c r="G218" s="107">
        <f>Inn07_credits</f>
        <v>1</v>
      </c>
      <c r="H218" s="37"/>
      <c r="I218" s="108">
        <f>Inn07_cont</f>
        <v>0</v>
      </c>
      <c r="J218" s="114" t="str">
        <f>Inn07_minstd</f>
        <v>N/A</v>
      </c>
      <c r="K218" s="74"/>
      <c r="L218" s="242"/>
      <c r="M218" s="638"/>
      <c r="N218" s="712"/>
      <c r="O218" s="77"/>
      <c r="P218" s="108">
        <f>VLOOKUP(D218,Poeng!$B$10:$BC$252,Poeng!AF$1,FALSE)</f>
        <v>0</v>
      </c>
      <c r="Q218" s="108" t="str">
        <f>VLOOKUP(D218,Poeng!$B$10:$BH$252,Poeng!BH$1,FALSE)</f>
        <v>N/A</v>
      </c>
      <c r="R218" s="644"/>
      <c r="S218" s="645"/>
      <c r="T218" s="638"/>
      <c r="U218" s="277"/>
      <c r="V218" s="77"/>
      <c r="W218" s="108">
        <f>VLOOKUP(D218,Poeng!$B$10:$BC$252,Poeng!AG$1,FALSE)</f>
        <v>0</v>
      </c>
      <c r="X218" s="108" t="str">
        <f>VLOOKUP(D218,Poeng!$B$10:$BK$252,Poeng!BK$1,FALSE)</f>
        <v>N/A</v>
      </c>
      <c r="Y218" s="75"/>
      <c r="Z218" s="74"/>
      <c r="AA218" s="638"/>
      <c r="AB218" s="117"/>
      <c r="AC218" s="556" t="s">
        <v>13</v>
      </c>
      <c r="AD218" s="20">
        <f t="shared" si="30"/>
        <v>1</v>
      </c>
      <c r="AE218" s="1" t="e">
        <f>VLOOKUP(L218,'Assessment Details'!$O$45:$P$48,2,FALSE)</f>
        <v>#N/A</v>
      </c>
      <c r="AF218" s="1" t="e">
        <f>VLOOKUP(S218,'Assessment Details'!$O$45:$P$48,2,FALSE)</f>
        <v>#N/A</v>
      </c>
      <c r="AG218" s="1" t="e">
        <f>VLOOKUP(Z218,'Assessment Details'!$O$45:$P$48,2,FALSE)</f>
        <v>#N/A</v>
      </c>
      <c r="AJ218" s="64"/>
      <c r="AK218" s="583" t="s">
        <v>339</v>
      </c>
      <c r="AL218" s="64"/>
      <c r="AM218" s="64"/>
      <c r="AN218" s="64"/>
      <c r="AO218" s="64"/>
      <c r="AP218" s="64"/>
      <c r="AQ218" s="64"/>
      <c r="AT218" s="20" t="str">
        <f t="shared" si="24"/>
        <v>N/A</v>
      </c>
      <c r="AU218" s="20" t="str">
        <f t="shared" si="25"/>
        <v>N/A</v>
      </c>
      <c r="AV218" s="20" t="str">
        <f t="shared" si="26"/>
        <v>N/A</v>
      </c>
      <c r="AW218" s="20"/>
      <c r="AX218" s="20"/>
      <c r="AY218" s="20"/>
      <c r="BA218" s="556"/>
    </row>
    <row r="219" spans="1:53" x14ac:dyDescent="0.25">
      <c r="A219" s="893">
        <v>210</v>
      </c>
      <c r="B219" s="894" t="s">
        <v>824</v>
      </c>
      <c r="C219" s="1092" t="s">
        <v>172</v>
      </c>
      <c r="D219" s="717" t="s">
        <v>223</v>
      </c>
      <c r="E219" s="1097">
        <v>4</v>
      </c>
      <c r="F219" s="276" t="str">
        <f>VLOOKUP(D219,Poeng!$B$10:$R$252,Poeng!E$1,FALSE)</f>
        <v xml:space="preserve">Inn 08 - Mat 01: 60% reduction of greenhouse gas emission </v>
      </c>
      <c r="G219" s="107">
        <f>Inn08_credits</f>
        <v>1</v>
      </c>
      <c r="H219" s="37"/>
      <c r="I219" s="108">
        <f>Inn08_cont</f>
        <v>0</v>
      </c>
      <c r="J219" s="114" t="str">
        <f>Inn08_minstd</f>
        <v>N/A</v>
      </c>
      <c r="K219" s="74"/>
      <c r="L219" s="242"/>
      <c r="M219" s="638"/>
      <c r="N219" s="712"/>
      <c r="O219" s="77"/>
      <c r="P219" s="108">
        <f>VLOOKUP(D219,Poeng!$B$10:$BC$252,Poeng!AF$1,FALSE)</f>
        <v>0</v>
      </c>
      <c r="Q219" s="108" t="str">
        <f>VLOOKUP(D219,Poeng!$B$10:$BH$252,Poeng!BH$1,FALSE)</f>
        <v>N/A</v>
      </c>
      <c r="R219" s="644"/>
      <c r="S219" s="645"/>
      <c r="T219" s="638"/>
      <c r="U219" s="277"/>
      <c r="V219" s="77"/>
      <c r="W219" s="108">
        <f>VLOOKUP(D219,Poeng!$B$10:$BC$252,Poeng!AG$1,FALSE)</f>
        <v>0</v>
      </c>
      <c r="X219" s="108" t="str">
        <f>VLOOKUP(D219,Poeng!$B$10:$BK$252,Poeng!BK$1,FALSE)</f>
        <v>N/A</v>
      </c>
      <c r="Y219" s="75"/>
      <c r="Z219" s="74"/>
      <c r="AA219" s="638"/>
      <c r="AB219" s="117"/>
      <c r="AC219" s="556" t="s">
        <v>13</v>
      </c>
      <c r="AD219" s="20">
        <f t="shared" si="30"/>
        <v>1</v>
      </c>
      <c r="AE219" s="1" t="e">
        <f>VLOOKUP(L219,'Assessment Details'!$O$45:$P$48,2,FALSE)</f>
        <v>#N/A</v>
      </c>
      <c r="AF219" s="1" t="e">
        <f>VLOOKUP(S219,'Assessment Details'!$O$45:$P$48,2,FALSE)</f>
        <v>#N/A</v>
      </c>
      <c r="AG219" s="1" t="e">
        <f>VLOOKUP(Z219,'Assessment Details'!$O$45:$P$48,2,FALSE)</f>
        <v>#N/A</v>
      </c>
      <c r="AJ219" s="64"/>
      <c r="AK219" s="583" t="s">
        <v>401</v>
      </c>
      <c r="AL219" s="64"/>
      <c r="AM219" s="64"/>
      <c r="AN219" s="64"/>
      <c r="AO219" s="64"/>
      <c r="AP219" s="64"/>
      <c r="AQ219" s="64"/>
      <c r="AT219" s="20" t="str">
        <f t="shared" si="24"/>
        <v>N/A</v>
      </c>
      <c r="AU219" s="20" t="str">
        <f t="shared" si="25"/>
        <v>N/A</v>
      </c>
      <c r="AV219" s="20" t="str">
        <f t="shared" si="26"/>
        <v>N/A</v>
      </c>
      <c r="AW219" s="20"/>
      <c r="AX219" s="20"/>
      <c r="AY219" s="20"/>
      <c r="BA219" s="556"/>
    </row>
    <row r="220" spans="1:53" ht="34.5" customHeight="1" x14ac:dyDescent="0.25">
      <c r="A220" s="893">
        <v>211</v>
      </c>
      <c r="B220" s="894" t="s">
        <v>824</v>
      </c>
      <c r="C220" s="1093" t="s">
        <v>175</v>
      </c>
      <c r="D220" s="717" t="s">
        <v>253</v>
      </c>
      <c r="E220" s="1098">
        <v>6</v>
      </c>
      <c r="F220" s="297" t="str">
        <f>VLOOKUP(D220,Poeng!$B$10:$R$252,Poeng!E$1,FALSE)</f>
        <v>Inn 09 - Mat 06: FutureBuilt criteria set for circular buildings, point 2.3 reuse of building components</v>
      </c>
      <c r="G220" s="107">
        <f>Inn09_credits</f>
        <v>1</v>
      </c>
      <c r="H220" s="37"/>
      <c r="I220" s="108">
        <f>Inn09_cont</f>
        <v>0</v>
      </c>
      <c r="J220" s="114" t="str">
        <f>Inn09_minstd</f>
        <v>N/A</v>
      </c>
      <c r="K220" s="74"/>
      <c r="L220" s="242"/>
      <c r="M220" s="638"/>
      <c r="N220" s="712"/>
      <c r="O220" s="77"/>
      <c r="P220" s="108">
        <f>VLOOKUP(D220,Poeng!$B$10:$BC$252,Poeng!AF$1,FALSE)</f>
        <v>0</v>
      </c>
      <c r="Q220" s="108" t="str">
        <f>VLOOKUP(D220,Poeng!$B$10:$BH$252,Poeng!BH$1,FALSE)</f>
        <v>N/A</v>
      </c>
      <c r="R220" s="644"/>
      <c r="S220" s="645"/>
      <c r="T220" s="638"/>
      <c r="U220" s="277"/>
      <c r="V220" s="77"/>
      <c r="W220" s="108">
        <f>VLOOKUP(D220,Poeng!$B$10:$BC$252,Poeng!AG$1,FALSE)</f>
        <v>0</v>
      </c>
      <c r="X220" s="108" t="str">
        <f>VLOOKUP(D220,Poeng!$B$10:$BK$252,Poeng!BK$1,FALSE)</f>
        <v>N/A</v>
      </c>
      <c r="Y220" s="75"/>
      <c r="Z220" s="74"/>
      <c r="AA220" s="638"/>
      <c r="AB220" s="117"/>
      <c r="AC220" s="556" t="s">
        <v>13</v>
      </c>
      <c r="AD220" s="20">
        <f t="shared" si="30"/>
        <v>1</v>
      </c>
      <c r="AE220" s="1" t="e">
        <f>VLOOKUP(L220,'Assessment Details'!$O$45:$P$48,2,FALSE)</f>
        <v>#N/A</v>
      </c>
      <c r="AF220" s="1" t="e">
        <f>VLOOKUP(S220,'Assessment Details'!$O$45:$P$48,2,FALSE)</f>
        <v>#N/A</v>
      </c>
      <c r="AG220" s="1" t="e">
        <f>VLOOKUP(Z220,'Assessment Details'!$O$45:$P$48,2,FALSE)</f>
        <v>#N/A</v>
      </c>
      <c r="AJ220" s="64"/>
      <c r="AK220" s="583" t="s">
        <v>340</v>
      </c>
      <c r="AL220" s="64"/>
      <c r="AM220" s="64"/>
      <c r="AN220" s="64"/>
      <c r="AO220" s="64"/>
      <c r="AP220" s="64"/>
      <c r="AQ220" s="64"/>
      <c r="AT220" s="20" t="str">
        <f t="shared" si="24"/>
        <v>N/A</v>
      </c>
      <c r="AU220" s="20" t="str">
        <f t="shared" si="25"/>
        <v>N/A</v>
      </c>
      <c r="AV220" s="20" t="str">
        <f t="shared" si="26"/>
        <v>N/A</v>
      </c>
      <c r="AW220" s="20"/>
      <c r="AX220" s="20"/>
      <c r="AY220" s="20"/>
      <c r="BA220" s="556"/>
    </row>
    <row r="221" spans="1:53" x14ac:dyDescent="0.25">
      <c r="A221" s="893">
        <v>212</v>
      </c>
      <c r="B221" s="894" t="s">
        <v>824</v>
      </c>
      <c r="C221" s="1092" t="s">
        <v>176</v>
      </c>
      <c r="D221" s="717" t="s">
        <v>473</v>
      </c>
      <c r="E221" s="1097">
        <v>5</v>
      </c>
      <c r="F221" s="276" t="str">
        <f>VLOOKUP(D221,Poeng!$B$10:$R$252,Poeng!E$1,FALSE)</f>
        <v xml:space="preserve">Inn 10 - Wst 01: Especially low amount of construction waste </v>
      </c>
      <c r="G221" s="619">
        <f>Inn10_credits</f>
        <v>1</v>
      </c>
      <c r="H221" s="37"/>
      <c r="I221" s="108">
        <f>Inn10_cont</f>
        <v>0</v>
      </c>
      <c r="J221" s="114" t="str">
        <f>Inn10_minstd</f>
        <v>N/A</v>
      </c>
      <c r="K221" s="74"/>
      <c r="L221" s="242"/>
      <c r="M221" s="638"/>
      <c r="N221" s="712"/>
      <c r="O221" s="77"/>
      <c r="P221" s="108">
        <f>VLOOKUP(D221,Poeng!$B$10:$BC$252,Poeng!AF$1,FALSE)</f>
        <v>0</v>
      </c>
      <c r="Q221" s="108" t="str">
        <f>VLOOKUP(D221,Poeng!$B$10:$BH$252,Poeng!BH$1,FALSE)</f>
        <v>N/A</v>
      </c>
      <c r="R221" s="644"/>
      <c r="S221" s="645"/>
      <c r="T221" s="638"/>
      <c r="U221" s="277"/>
      <c r="V221" s="77"/>
      <c r="W221" s="108">
        <f>VLOOKUP(D221,Poeng!$B$10:$BC$252,Poeng!AG$1,FALSE)</f>
        <v>0</v>
      </c>
      <c r="X221" s="108" t="str">
        <f>VLOOKUP(D221,Poeng!$B$10:$BK$252,Poeng!BK$1,FALSE)</f>
        <v>N/A</v>
      </c>
      <c r="Y221" s="75"/>
      <c r="Z221" s="74"/>
      <c r="AA221" s="638"/>
      <c r="AB221" s="117"/>
      <c r="AC221" s="620"/>
      <c r="AD221" s="20">
        <f t="shared" si="30"/>
        <v>1</v>
      </c>
      <c r="AE221" s="1" t="e">
        <f>VLOOKUP(L221,'Assessment Details'!$O$45:$P$48,2,FALSE)</f>
        <v>#N/A</v>
      </c>
      <c r="AF221" s="1" t="e">
        <f>VLOOKUP(S221,'Assessment Details'!$O$45:$P$48,2,FALSE)</f>
        <v>#N/A</v>
      </c>
      <c r="AG221" s="1" t="e">
        <f>VLOOKUP(Z221,'Assessment Details'!$O$45:$P$48,2,FALSE)</f>
        <v>#N/A</v>
      </c>
      <c r="AJ221" s="64"/>
      <c r="AK221" s="583"/>
      <c r="AL221" s="64"/>
      <c r="AM221" s="64"/>
      <c r="AN221" s="64"/>
      <c r="AO221" s="64"/>
      <c r="AP221" s="64"/>
      <c r="AQ221" s="64"/>
      <c r="AT221" s="20"/>
      <c r="AU221" s="20"/>
      <c r="AV221" s="20"/>
      <c r="AW221" s="20"/>
      <c r="AX221" s="20"/>
      <c r="AY221" s="20"/>
      <c r="BA221" s="620"/>
    </row>
    <row r="222" spans="1:53" x14ac:dyDescent="0.25">
      <c r="A222" s="893">
        <v>213</v>
      </c>
      <c r="B222" s="894" t="s">
        <v>824</v>
      </c>
      <c r="C222" s="1092" t="s">
        <v>180</v>
      </c>
      <c r="D222" s="717" t="s">
        <v>474</v>
      </c>
      <c r="E222" s="1096" t="s">
        <v>1171</v>
      </c>
      <c r="F222" s="276" t="str">
        <f>VLOOKUP(D222,Poeng!$B$10:$R$252,Poeng!E$1,FALSE)</f>
        <v>Inn 11 - LE 02: Wider sustainability for the site</v>
      </c>
      <c r="G222" s="619">
        <f>Inn11_credits</f>
        <v>1</v>
      </c>
      <c r="H222" s="37"/>
      <c r="I222" s="108">
        <f>Inn11_cont</f>
        <v>0</v>
      </c>
      <c r="J222" s="114" t="str">
        <f>Inn11_minstd</f>
        <v>N/A</v>
      </c>
      <c r="K222" s="74"/>
      <c r="L222" s="242"/>
      <c r="M222" s="638"/>
      <c r="N222" s="712"/>
      <c r="O222" s="77"/>
      <c r="P222" s="108">
        <f>VLOOKUP(D222,Poeng!$B$10:$BC$252,Poeng!AF$1,FALSE)</f>
        <v>0</v>
      </c>
      <c r="Q222" s="108" t="str">
        <f>VLOOKUP(D222,Poeng!$B$10:$BH$252,Poeng!BH$1,FALSE)</f>
        <v>N/A</v>
      </c>
      <c r="R222" s="644"/>
      <c r="S222" s="645"/>
      <c r="T222" s="638"/>
      <c r="U222" s="277"/>
      <c r="V222" s="77"/>
      <c r="W222" s="108">
        <f>VLOOKUP(D222,Poeng!$B$10:$BC$252,Poeng!AG$1,FALSE)</f>
        <v>0</v>
      </c>
      <c r="X222" s="108" t="str">
        <f>VLOOKUP(D222,Poeng!$B$10:$BK$252,Poeng!BK$1,FALSE)</f>
        <v>N/A</v>
      </c>
      <c r="Y222" s="75"/>
      <c r="Z222" s="74"/>
      <c r="AA222" s="638"/>
      <c r="AB222" s="117"/>
      <c r="AC222" s="620"/>
      <c r="AD222" s="20">
        <f t="shared" si="30"/>
        <v>1</v>
      </c>
      <c r="AE222" s="1" t="e">
        <f>VLOOKUP(L222,'Assessment Details'!$O$45:$P$48,2,FALSE)</f>
        <v>#N/A</v>
      </c>
      <c r="AF222" s="1" t="e">
        <f>VLOOKUP(S222,'Assessment Details'!$O$45:$P$48,2,FALSE)</f>
        <v>#N/A</v>
      </c>
      <c r="AG222" s="1" t="e">
        <f>VLOOKUP(Z222,'Assessment Details'!$O$45:$P$48,2,FALSE)</f>
        <v>#N/A</v>
      </c>
      <c r="AJ222" s="64"/>
      <c r="AK222" s="583"/>
      <c r="AL222" s="64"/>
      <c r="AM222" s="64"/>
      <c r="AN222" s="64"/>
      <c r="AO222" s="64"/>
      <c r="AP222" s="64"/>
      <c r="AQ222" s="64"/>
      <c r="AT222" s="20"/>
      <c r="AU222" s="20"/>
      <c r="AV222" s="20"/>
      <c r="AW222" s="20"/>
      <c r="AX222" s="20"/>
      <c r="AY222" s="20"/>
      <c r="BA222" s="620"/>
    </row>
    <row r="223" spans="1:53" x14ac:dyDescent="0.25">
      <c r="A223" s="893">
        <v>214</v>
      </c>
      <c r="B223" s="894" t="s">
        <v>824</v>
      </c>
      <c r="C223" s="1092" t="s">
        <v>181</v>
      </c>
      <c r="D223" s="717" t="s">
        <v>475</v>
      </c>
      <c r="E223" s="1097">
        <v>6</v>
      </c>
      <c r="F223" s="276" t="str">
        <f>VLOOKUP(D223,Poeng!$B$10:$R$252,Poeng!E$1,FALSE)</f>
        <v>Inn 12 - LE 04: Significant net gain of biodiversity</v>
      </c>
      <c r="G223" s="619">
        <f>Inn12_credits</f>
        <v>1</v>
      </c>
      <c r="H223" s="37"/>
      <c r="I223" s="108">
        <f>Inn12_cont</f>
        <v>0</v>
      </c>
      <c r="J223" s="114" t="str">
        <f>Inn12_minstd</f>
        <v>N/A</v>
      </c>
      <c r="K223" s="74"/>
      <c r="L223" s="242"/>
      <c r="M223" s="638"/>
      <c r="N223" s="712"/>
      <c r="O223" s="77"/>
      <c r="P223" s="108">
        <f>VLOOKUP(D223,Poeng!$B$10:$BC$252,Poeng!AF$1,FALSE)</f>
        <v>0</v>
      </c>
      <c r="Q223" s="108" t="str">
        <f>VLOOKUP(D223,Poeng!$B$10:$BH$252,Poeng!BH$1,FALSE)</f>
        <v>N/A</v>
      </c>
      <c r="R223" s="644"/>
      <c r="S223" s="645"/>
      <c r="T223" s="638"/>
      <c r="U223" s="277"/>
      <c r="V223" s="77"/>
      <c r="W223" s="108">
        <f>VLOOKUP(D223,Poeng!$B$10:$BC$252,Poeng!AG$1,FALSE)</f>
        <v>0</v>
      </c>
      <c r="X223" s="108" t="str">
        <f>VLOOKUP(D223,Poeng!$B$10:$BK$252,Poeng!BK$1,FALSE)</f>
        <v>N/A</v>
      </c>
      <c r="Y223" s="75"/>
      <c r="Z223" s="74"/>
      <c r="AA223" s="638"/>
      <c r="AB223" s="117"/>
      <c r="AC223" s="620"/>
      <c r="AD223" s="20">
        <f t="shared" si="30"/>
        <v>1</v>
      </c>
      <c r="AE223" s="1" t="e">
        <f>VLOOKUP(L223,'Assessment Details'!$O$45:$P$48,2,FALSE)</f>
        <v>#N/A</v>
      </c>
      <c r="AF223" s="1" t="e">
        <f>VLOOKUP(S223,'Assessment Details'!$O$45:$P$48,2,FALSE)</f>
        <v>#N/A</v>
      </c>
      <c r="AG223" s="1" t="e">
        <f>VLOOKUP(Z223,'Assessment Details'!$O$45:$P$48,2,FALSE)</f>
        <v>#N/A</v>
      </c>
      <c r="AJ223" s="64"/>
      <c r="AK223" s="583"/>
      <c r="AL223" s="64"/>
      <c r="AM223" s="64"/>
      <c r="AN223" s="64"/>
      <c r="AO223" s="64"/>
      <c r="AP223" s="64"/>
      <c r="AQ223" s="64"/>
      <c r="AT223" s="20"/>
      <c r="AU223" s="20"/>
      <c r="AV223" s="20"/>
      <c r="AW223" s="20"/>
      <c r="AX223" s="20"/>
      <c r="AY223" s="20"/>
      <c r="BA223" s="620"/>
    </row>
    <row r="224" spans="1:53" x14ac:dyDescent="0.25">
      <c r="A224" s="893">
        <v>215</v>
      </c>
      <c r="B224" s="894" t="s">
        <v>824</v>
      </c>
      <c r="C224" s="1092" t="s">
        <v>183</v>
      </c>
      <c r="D224" s="717" t="s">
        <v>476</v>
      </c>
      <c r="E224" s="1097">
        <v>7</v>
      </c>
      <c r="F224" s="276" t="str">
        <f>VLOOKUP(D224,Poeng!$B$10:$R$252,Poeng!E$1,FALSE)</f>
        <v>Inn 13 - LE 06: Responding to climate change</v>
      </c>
      <c r="G224" s="619">
        <f>Inn13_credits</f>
        <v>1</v>
      </c>
      <c r="H224" s="37"/>
      <c r="I224" s="108">
        <f>Inn13_cont</f>
        <v>0</v>
      </c>
      <c r="J224" s="114" t="str">
        <f>Inn13_minstd</f>
        <v>N/A</v>
      </c>
      <c r="K224" s="74"/>
      <c r="L224" s="242"/>
      <c r="M224" s="638"/>
      <c r="N224" s="712"/>
      <c r="O224" s="77"/>
      <c r="P224" s="108">
        <f>VLOOKUP(D224,Poeng!$B$10:$BC$252,Poeng!AF$1,FALSE)</f>
        <v>0</v>
      </c>
      <c r="Q224" s="108" t="str">
        <f>VLOOKUP(D224,Poeng!$B$10:$BH$252,Poeng!BH$1,FALSE)</f>
        <v>N/A</v>
      </c>
      <c r="R224" s="644"/>
      <c r="S224" s="645"/>
      <c r="T224" s="638"/>
      <c r="U224" s="277"/>
      <c r="V224" s="77"/>
      <c r="W224" s="108">
        <f>VLOOKUP(D224,Poeng!$B$10:$BC$252,Poeng!AG$1,FALSE)</f>
        <v>0</v>
      </c>
      <c r="X224" s="108" t="str">
        <f>VLOOKUP(D224,Poeng!$B$10:$BK$252,Poeng!BK$1,FALSE)</f>
        <v>N/A</v>
      </c>
      <c r="Y224" s="75"/>
      <c r="Z224" s="74"/>
      <c r="AA224" s="638"/>
      <c r="AB224" s="117"/>
      <c r="AC224" s="620"/>
      <c r="AD224" s="20">
        <f t="shared" si="30"/>
        <v>1</v>
      </c>
      <c r="AE224" s="1" t="e">
        <f>VLOOKUP(L224,'Assessment Details'!$O$45:$P$48,2,FALSE)</f>
        <v>#N/A</v>
      </c>
      <c r="AF224" s="1" t="e">
        <f>VLOOKUP(S224,'Assessment Details'!$O$45:$P$48,2,FALSE)</f>
        <v>#N/A</v>
      </c>
      <c r="AG224" s="1" t="e">
        <f>VLOOKUP(Z224,'Assessment Details'!$O$45:$P$48,2,FALSE)</f>
        <v>#N/A</v>
      </c>
      <c r="AJ224" s="64"/>
      <c r="AK224" s="583"/>
      <c r="AL224" s="64"/>
      <c r="AM224" s="64"/>
      <c r="AN224" s="64"/>
      <c r="AO224" s="64"/>
      <c r="AP224" s="64"/>
      <c r="AQ224" s="64"/>
      <c r="AT224" s="20"/>
      <c r="AU224" s="20"/>
      <c r="AV224" s="20"/>
      <c r="AW224" s="20"/>
      <c r="AX224" s="20"/>
      <c r="AY224" s="20"/>
      <c r="BA224" s="620"/>
    </row>
    <row r="225" spans="1:53" x14ac:dyDescent="0.25">
      <c r="A225" s="893">
        <v>216</v>
      </c>
      <c r="B225" s="894" t="s">
        <v>824</v>
      </c>
      <c r="C225" s="1094" t="s">
        <v>481</v>
      </c>
      <c r="D225" s="717" t="s">
        <v>697</v>
      </c>
      <c r="E225" s="1096" t="s">
        <v>1172</v>
      </c>
      <c r="F225" s="276" t="str">
        <f>VLOOKUP(D225,Poeng!$B$10:$R$252,Poeng!E$1,FALSE)</f>
        <v>Inn 14 - LE 08: Wider approach to surface water management</v>
      </c>
      <c r="G225" s="619">
        <f>Poeng!AB230</f>
        <v>1</v>
      </c>
      <c r="H225" s="37"/>
      <c r="I225" s="752">
        <f>Poeng!AE230</f>
        <v>0</v>
      </c>
      <c r="J225" s="753" t="str">
        <f>Poeng!BE230</f>
        <v>N/A</v>
      </c>
      <c r="K225" s="74"/>
      <c r="L225" s="242"/>
      <c r="M225" s="638"/>
      <c r="N225" s="712"/>
      <c r="O225" s="77"/>
      <c r="P225" s="108">
        <f>VLOOKUP(D225,Poeng!$B$10:$BC$252,Poeng!AF$1,FALSE)</f>
        <v>0</v>
      </c>
      <c r="Q225" s="108" t="str">
        <f>VLOOKUP(D225,Poeng!$B$10:$BH$252,Poeng!BH$1,FALSE)</f>
        <v>N/A</v>
      </c>
      <c r="R225" s="644"/>
      <c r="S225" s="645"/>
      <c r="T225" s="638"/>
      <c r="U225" s="277"/>
      <c r="V225" s="77"/>
      <c r="W225" s="108">
        <f>VLOOKUP(D225,Poeng!$B$10:$BC$252,Poeng!AG$1,FALSE)</f>
        <v>0</v>
      </c>
      <c r="X225" s="108" t="str">
        <f>VLOOKUP(D225,Poeng!$B$10:$BK$252,Poeng!BK$1,FALSE)</f>
        <v>N/A</v>
      </c>
      <c r="Y225" s="75"/>
      <c r="Z225" s="74"/>
      <c r="AA225" s="638"/>
      <c r="AB225" s="117"/>
      <c r="AC225" s="620"/>
      <c r="AD225" s="20">
        <f t="shared" si="30"/>
        <v>1</v>
      </c>
      <c r="AE225" s="1" t="e">
        <f>VLOOKUP(L225,'Assessment Details'!$O$45:$P$48,2,FALSE)</f>
        <v>#N/A</v>
      </c>
      <c r="AF225" s="1" t="e">
        <f>VLOOKUP(S225,'Assessment Details'!$O$45:$P$48,2,FALSE)</f>
        <v>#N/A</v>
      </c>
      <c r="AG225" s="1" t="e">
        <f>VLOOKUP(Z225,'Assessment Details'!$O$45:$P$48,2,FALSE)</f>
        <v>#N/A</v>
      </c>
      <c r="AJ225" s="64"/>
      <c r="AK225" s="583"/>
      <c r="AL225" s="64"/>
      <c r="AM225" s="64"/>
      <c r="AN225" s="64"/>
      <c r="AO225" s="64"/>
      <c r="AP225" s="64"/>
      <c r="AQ225" s="64"/>
      <c r="AT225" s="20"/>
      <c r="AU225" s="20"/>
      <c r="AV225" s="20"/>
      <c r="AW225" s="20"/>
      <c r="AX225" s="20"/>
      <c r="AY225" s="20"/>
      <c r="BA225" s="620"/>
    </row>
    <row r="226" spans="1:53" ht="15" customHeight="1" thickBot="1" x14ac:dyDescent="0.3">
      <c r="A226" s="893">
        <v>217</v>
      </c>
      <c r="B226" s="894" t="s">
        <v>824</v>
      </c>
      <c r="C226" s="1095"/>
      <c r="D226" s="717" t="s">
        <v>890</v>
      </c>
      <c r="E226" s="1099"/>
      <c r="F226" s="298" t="s">
        <v>83</v>
      </c>
      <c r="G226" s="110">
        <f>Inn_Credits</f>
        <v>10</v>
      </c>
      <c r="H226" s="115"/>
      <c r="I226" s="111">
        <f>Inn_cont_tot</f>
        <v>0</v>
      </c>
      <c r="J226" s="757" t="str">
        <f>"Credits achieved: "&amp;Inn_tot_user</f>
        <v>Credits achieved: 0</v>
      </c>
      <c r="K226" s="118"/>
      <c r="L226" s="243"/>
      <c r="M226" s="646"/>
      <c r="N226" s="712"/>
      <c r="O226" s="335"/>
      <c r="P226" s="111">
        <f>VLOOKUP(D226,Poeng!$B$10:$BC$252,Poeng!AF$1,FALSE)</f>
        <v>0</v>
      </c>
      <c r="Q226" s="757" t="str">
        <f>"Credits achieved: "&amp;Inn_d_user</f>
        <v>Credits achieved: 0</v>
      </c>
      <c r="R226" s="647"/>
      <c r="S226" s="648"/>
      <c r="T226" s="646"/>
      <c r="U226" s="277"/>
      <c r="V226" s="335"/>
      <c r="W226" s="111">
        <f>VLOOKUP(D226,Poeng!$B$10:$BC$252,Poeng!AG$1,FALSE)</f>
        <v>0</v>
      </c>
      <c r="X226" s="757" t="str">
        <f>"Credits achieved: "&amp;Inn_c_user</f>
        <v>Credits achieved: 0</v>
      </c>
      <c r="Y226" s="334"/>
      <c r="Z226" s="120"/>
      <c r="AA226" s="656"/>
      <c r="AB226" s="117"/>
      <c r="AC226" s="557"/>
      <c r="AD226" s="20">
        <f t="shared" si="30"/>
        <v>1</v>
      </c>
      <c r="AE226" s="239">
        <v>0</v>
      </c>
      <c r="AF226" s="239">
        <v>0</v>
      </c>
      <c r="AG226" s="239">
        <v>0</v>
      </c>
      <c r="AJ226" s="64"/>
      <c r="AK226" s="583" t="s">
        <v>83</v>
      </c>
      <c r="AL226" s="64"/>
      <c r="AM226" s="64"/>
      <c r="AN226" s="64"/>
      <c r="AO226" s="64"/>
      <c r="AP226" s="64"/>
      <c r="AQ226" s="64"/>
      <c r="AT226" s="20" t="str">
        <f t="shared" si="24"/>
        <v>N/A</v>
      </c>
      <c r="AU226" s="20" t="str">
        <f t="shared" si="25"/>
        <v>N/A</v>
      </c>
      <c r="AV226" s="20" t="str">
        <f t="shared" si="26"/>
        <v>N/A</v>
      </c>
      <c r="AW226" s="20"/>
      <c r="AX226" s="20"/>
      <c r="AY226" s="20"/>
      <c r="BA226" s="557"/>
    </row>
    <row r="227" spans="1:53" x14ac:dyDescent="0.25">
      <c r="A227" s="893"/>
      <c r="B227" s="894"/>
      <c r="C227" s="889"/>
      <c r="D227" s="717"/>
      <c r="E227" s="1081"/>
      <c r="F227" s="39"/>
      <c r="K227" s="39"/>
      <c r="N227" s="713"/>
      <c r="O227" s="518"/>
      <c r="P227" s="518"/>
      <c r="Q227" s="1"/>
      <c r="R227" s="8"/>
      <c r="S227" s="657"/>
      <c r="T227" s="657"/>
      <c r="U227" s="76"/>
      <c r="V227" s="6"/>
      <c r="W227" s="6"/>
      <c r="X227" s="1"/>
      <c r="Y227" s="241"/>
      <c r="Z227" s="6"/>
      <c r="AA227" s="657"/>
      <c r="AB227" s="76"/>
      <c r="AC227" s="76"/>
      <c r="AD227" s="20"/>
      <c r="AE227" s="240"/>
      <c r="AF227" s="240"/>
      <c r="AG227" s="240"/>
    </row>
    <row r="228" spans="1:53" x14ac:dyDescent="0.25">
      <c r="A228" s="895"/>
      <c r="B228" s="896"/>
      <c r="C228" s="718"/>
      <c r="D228" s="718"/>
      <c r="E228" s="1088"/>
      <c r="F228" s="26"/>
      <c r="O228" s="518"/>
      <c r="P228" s="518"/>
      <c r="Q228" s="518"/>
      <c r="R228" s="657"/>
      <c r="S228" s="657"/>
      <c r="T228" s="658"/>
      <c r="U228" s="76"/>
      <c r="V228" s="6"/>
      <c r="W228" s="6"/>
      <c r="X228" s="518"/>
      <c r="Y228" s="6"/>
      <c r="Z228" s="6"/>
      <c r="AA228" s="658"/>
      <c r="AB228" s="76"/>
      <c r="AC228" s="76"/>
      <c r="AD228" s="20"/>
      <c r="AE228" s="1"/>
      <c r="AF228" s="1"/>
      <c r="AG228" s="1"/>
    </row>
    <row r="229" spans="1:53" x14ac:dyDescent="0.25">
      <c r="A229" s="896"/>
      <c r="B229" s="896"/>
      <c r="C229" s="718"/>
      <c r="D229" s="718"/>
      <c r="E229" s="1088"/>
      <c r="F229" s="247"/>
      <c r="G229" s="15"/>
      <c r="O229" s="518"/>
      <c r="P229" s="518"/>
      <c r="Q229" s="518"/>
      <c r="R229" s="657"/>
      <c r="S229" s="657"/>
      <c r="T229" s="659"/>
      <c r="U229" s="76"/>
      <c r="V229" s="6"/>
      <c r="W229" s="6"/>
      <c r="X229" s="518"/>
      <c r="Y229" s="6"/>
      <c r="Z229" s="6"/>
      <c r="AA229" s="659"/>
      <c r="AB229" s="76"/>
      <c r="AC229" s="76"/>
      <c r="AD229" s="20"/>
      <c r="AE229" s="1"/>
      <c r="AF229" s="1"/>
      <c r="AG229" s="1"/>
    </row>
    <row r="230" spans="1:53" x14ac:dyDescent="0.25">
      <c r="D230" s="16"/>
      <c r="E230" s="1089"/>
      <c r="F230" s="26"/>
      <c r="G230" s="23"/>
      <c r="O230" s="518"/>
      <c r="P230" s="518"/>
      <c r="Q230" s="518"/>
      <c r="R230" s="657"/>
      <c r="S230" s="657"/>
      <c r="T230" s="658"/>
      <c r="U230" s="76"/>
      <c r="V230" s="6"/>
      <c r="W230" s="6"/>
      <c r="X230" s="6"/>
      <c r="Y230" s="6"/>
      <c r="Z230" s="6"/>
      <c r="AA230" s="658"/>
      <c r="AB230" s="76"/>
      <c r="AC230" s="76"/>
      <c r="AD230" s="20"/>
      <c r="AE230" s="1"/>
      <c r="AF230" s="1"/>
      <c r="AG230" s="1"/>
    </row>
    <row r="231" spans="1:53" x14ac:dyDescent="0.25">
      <c r="D231" s="16"/>
      <c r="E231" s="1089"/>
      <c r="F231" s="27"/>
      <c r="G231" s="15"/>
      <c r="O231" s="518"/>
      <c r="P231" s="518"/>
      <c r="Q231" s="518"/>
      <c r="R231" s="657"/>
      <c r="S231" s="657"/>
      <c r="T231" s="659"/>
      <c r="U231" s="76"/>
      <c r="V231" s="6"/>
      <c r="W231" s="6"/>
      <c r="X231" s="6"/>
      <c r="Y231" s="6"/>
      <c r="Z231" s="6"/>
      <c r="AA231" s="659"/>
      <c r="AB231" s="76"/>
      <c r="AC231" s="76"/>
      <c r="AD231" s="20"/>
      <c r="AE231" s="1"/>
      <c r="AF231" s="1"/>
      <c r="AG231" s="1"/>
    </row>
    <row r="232" spans="1:53" x14ac:dyDescent="0.25">
      <c r="D232" s="16"/>
      <c r="E232" s="1089"/>
      <c r="F232" s="26"/>
      <c r="G232" s="23"/>
      <c r="O232" s="518"/>
      <c r="P232" s="518"/>
      <c r="Q232" s="518"/>
      <c r="R232" s="657"/>
      <c r="S232" s="657"/>
      <c r="T232" s="658"/>
      <c r="U232" s="76"/>
      <c r="V232" s="6"/>
      <c r="W232" s="6"/>
      <c r="X232" s="6"/>
      <c r="Y232" s="6"/>
      <c r="Z232" s="6"/>
      <c r="AA232" s="658"/>
      <c r="AB232" s="76"/>
      <c r="AC232" s="76"/>
      <c r="AD232" s="20"/>
      <c r="AE232" s="8"/>
      <c r="AF232" s="8"/>
      <c r="AG232" s="8"/>
      <c r="AH232" s="8"/>
      <c r="AI232" s="8"/>
      <c r="AJ232" s="8"/>
      <c r="AZ232" s="8"/>
      <c r="BA232" s="8"/>
    </row>
    <row r="233" spans="1:53" x14ac:dyDescent="0.25">
      <c r="D233" s="16"/>
      <c r="E233" s="1089"/>
      <c r="O233" s="518"/>
      <c r="P233" s="518"/>
      <c r="Q233" s="518"/>
      <c r="R233" s="657"/>
      <c r="S233" s="657"/>
      <c r="T233" s="657"/>
      <c r="U233" s="76"/>
      <c r="V233" s="6"/>
      <c r="W233" s="6"/>
      <c r="X233" s="6"/>
      <c r="Y233" s="6"/>
      <c r="Z233" s="6"/>
      <c r="AA233" s="657"/>
      <c r="AB233" s="76"/>
      <c r="AC233" s="76"/>
      <c r="AD233" s="20"/>
      <c r="AE233" s="1"/>
      <c r="AF233" s="1"/>
      <c r="AG233" s="1"/>
      <c r="AK233" s="8"/>
      <c r="AL233" s="8"/>
      <c r="AM233" s="8"/>
      <c r="AN233" s="8"/>
      <c r="AO233" s="8"/>
      <c r="AP233" s="8"/>
      <c r="AQ233" s="8"/>
      <c r="AT233" s="8"/>
      <c r="AU233" s="8"/>
      <c r="AV233" s="8"/>
      <c r="AW233" s="8"/>
      <c r="AX233" s="8"/>
      <c r="AY233" s="8"/>
    </row>
    <row r="234" spans="1:53" x14ac:dyDescent="0.25">
      <c r="D234" s="16"/>
      <c r="E234" s="1089"/>
      <c r="O234" s="518"/>
      <c r="P234" s="518"/>
      <c r="Q234" s="518"/>
      <c r="R234" s="657"/>
      <c r="S234" s="657"/>
      <c r="T234" s="657"/>
      <c r="U234" s="76"/>
      <c r="V234" s="6"/>
      <c r="W234" s="6"/>
      <c r="X234" s="6"/>
      <c r="Y234" s="6"/>
      <c r="Z234" s="6"/>
      <c r="AA234" s="657"/>
      <c r="AB234" s="76"/>
      <c r="AC234" s="76"/>
      <c r="AD234" s="20"/>
      <c r="AE234" s="1"/>
      <c r="AF234" s="1"/>
      <c r="AG234" s="1"/>
    </row>
    <row r="235" spans="1:53" x14ac:dyDescent="0.25">
      <c r="D235" s="16"/>
      <c r="E235" s="1089"/>
      <c r="O235" s="518"/>
      <c r="P235" s="518"/>
      <c r="Q235" s="518"/>
      <c r="R235" s="657"/>
      <c r="S235" s="657"/>
      <c r="T235" s="657"/>
      <c r="U235" s="76"/>
      <c r="V235" s="6"/>
      <c r="W235" s="6"/>
      <c r="X235" s="6"/>
      <c r="Y235" s="6"/>
      <c r="Z235" s="6"/>
      <c r="AA235" s="657"/>
      <c r="AB235" s="76"/>
      <c r="AC235" s="76"/>
      <c r="AD235" s="20"/>
      <c r="AE235" s="1"/>
      <c r="AF235" s="1"/>
      <c r="AG235" s="1"/>
    </row>
    <row r="236" spans="1:53" hidden="1" x14ac:dyDescent="0.25">
      <c r="B236" s="717" t="s">
        <v>64</v>
      </c>
      <c r="C236" s="717"/>
      <c r="D236" s="717"/>
      <c r="E236" s="1081"/>
      <c r="F236" s="276" t="str">
        <f>Hea02_Crit1</f>
        <v>Pre-requisite: A site-specific indoor air quality plan has been produced</v>
      </c>
      <c r="G236" s="107" t="str">
        <f>Hea02_Crit1_credits</f>
        <v>Yes/No</v>
      </c>
      <c r="H236" s="37"/>
      <c r="I236" s="108"/>
      <c r="J236" s="112" t="str">
        <f>Hea02_minst_crit</f>
        <v>Unclassified</v>
      </c>
      <c r="K236" s="74"/>
      <c r="L236" s="242" t="s">
        <v>295</v>
      </c>
      <c r="M236" s="638"/>
      <c r="N236" s="712"/>
      <c r="O236" s="77"/>
      <c r="P236" s="767"/>
      <c r="Q236" s="767"/>
      <c r="R236" s="644"/>
      <c r="S236" s="645"/>
      <c r="T236" s="638"/>
      <c r="U236" s="277"/>
      <c r="V236" s="77"/>
      <c r="W236" s="767"/>
      <c r="X236" s="767"/>
      <c r="Y236" s="75"/>
      <c r="Z236" s="74"/>
      <c r="AA236" s="638"/>
      <c r="AB236" s="117"/>
      <c r="AC236" s="556" t="s">
        <v>13</v>
      </c>
      <c r="AD236" s="20">
        <f>AD46</f>
        <v>1</v>
      </c>
      <c r="AE236" s="1">
        <f>VLOOKUP(L236,'Assessment Details'!$O$45:$P$48,2,FALSE)</f>
        <v>3</v>
      </c>
      <c r="AF236" s="1" t="e">
        <f>VLOOKUP(S236,'Assessment Details'!$O$45:$P$48,2,FALSE)</f>
        <v>#N/A</v>
      </c>
      <c r="AG236" s="1" t="e">
        <f>VLOOKUP(Z236,'Assessment Details'!$O$45:$P$48,2,FALSE)</f>
        <v>#N/A</v>
      </c>
      <c r="AJ236" s="64"/>
      <c r="AK236" s="583" t="s">
        <v>261</v>
      </c>
      <c r="AL236" s="64"/>
      <c r="AM236" s="64"/>
      <c r="AN236" s="64"/>
      <c r="AO236" s="64"/>
      <c r="AP236" s="64"/>
      <c r="AQ236" s="64"/>
      <c r="AT236" s="20" t="str">
        <f>IF($AK$4=ais_nei,AIS_NA,IF(AL236="",AIS_NA,AL236))</f>
        <v>N/A</v>
      </c>
      <c r="AU236" s="20" t="str">
        <f>IF($AK$4=ais_nei,AIS_NA,IF(AM236="",AIS_NA,AM236))</f>
        <v>N/A</v>
      </c>
      <c r="AV236" s="20" t="str">
        <f>IF($AK$4=ais_nei,AIS_NA,IF(AN236="",AIS_NA,AN236))</f>
        <v>N/A</v>
      </c>
      <c r="AW236" s="20"/>
      <c r="AX236" s="20"/>
      <c r="AY236" s="20"/>
      <c r="BA236" s="556"/>
    </row>
    <row r="237" spans="1:53" hidden="1" x14ac:dyDescent="0.25">
      <c r="D237" s="16"/>
      <c r="E237" s="1089"/>
      <c r="O237" s="518"/>
      <c r="P237" s="518"/>
      <c r="Q237" s="518"/>
      <c r="R237" s="657"/>
      <c r="S237" s="657"/>
      <c r="T237" s="657"/>
      <c r="U237" s="76"/>
      <c r="V237" s="6"/>
      <c r="W237" s="6"/>
      <c r="X237" s="6"/>
      <c r="Y237" s="6"/>
      <c r="Z237" s="6"/>
      <c r="AA237" s="657"/>
      <c r="AB237" s="76"/>
      <c r="AC237" s="76"/>
      <c r="AD237" s="20"/>
      <c r="AE237" s="1"/>
      <c r="AF237" s="1"/>
      <c r="AG237" s="1"/>
    </row>
    <row r="238" spans="1:53" hidden="1" x14ac:dyDescent="0.25">
      <c r="D238" s="16"/>
      <c r="E238" s="1089"/>
      <c r="O238" s="518"/>
      <c r="P238" s="518"/>
      <c r="Q238" s="518"/>
      <c r="R238" s="657"/>
      <c r="S238" s="657"/>
      <c r="T238" s="657"/>
      <c r="U238" s="76"/>
      <c r="V238" s="6"/>
      <c r="W238" s="6"/>
      <c r="X238" s="6"/>
      <c r="Y238" s="6"/>
      <c r="Z238" s="6"/>
      <c r="AA238" s="657"/>
      <c r="AB238" s="76"/>
      <c r="AC238" s="76"/>
      <c r="AD238" s="20"/>
      <c r="AE238" s="1"/>
      <c r="AF238" s="1"/>
      <c r="AG238" s="1"/>
    </row>
    <row r="239" spans="1:53" hidden="1" x14ac:dyDescent="0.25">
      <c r="D239" s="16"/>
      <c r="E239" s="1089"/>
      <c r="O239" s="518"/>
      <c r="P239" s="518"/>
      <c r="Q239" s="518"/>
      <c r="R239" s="657"/>
      <c r="S239" s="657"/>
      <c r="T239" s="657"/>
      <c r="U239" s="76"/>
      <c r="V239" s="6"/>
      <c r="W239" s="6"/>
      <c r="X239" s="6"/>
      <c r="Y239" s="6"/>
      <c r="Z239" s="6"/>
      <c r="AA239" s="657"/>
      <c r="AB239" s="76"/>
      <c r="AC239" s="76"/>
      <c r="AD239" s="20"/>
      <c r="AE239" s="1"/>
      <c r="AF239" s="1"/>
      <c r="AG239" s="1"/>
    </row>
    <row r="240" spans="1:53" hidden="1" x14ac:dyDescent="0.25">
      <c r="D240" s="16"/>
      <c r="E240" s="1089"/>
      <c r="O240" s="518"/>
      <c r="P240" s="518"/>
      <c r="Q240" s="518"/>
      <c r="R240" s="657"/>
      <c r="S240" s="657"/>
      <c r="T240" s="657"/>
      <c r="U240" s="76"/>
      <c r="V240" s="6"/>
      <c r="W240" s="6"/>
      <c r="X240" s="6"/>
      <c r="Y240" s="6"/>
      <c r="Z240" s="6"/>
      <c r="AA240" s="657"/>
      <c r="AB240" s="76"/>
      <c r="AC240" s="76"/>
      <c r="AD240" s="20"/>
      <c r="AE240" s="1"/>
      <c r="AF240" s="1"/>
      <c r="AG240" s="1"/>
    </row>
    <row r="241" spans="1:59" hidden="1" x14ac:dyDescent="0.25">
      <c r="D241" s="16"/>
      <c r="E241" s="1089"/>
      <c r="O241" s="518"/>
      <c r="P241" s="518"/>
      <c r="Q241" s="518"/>
      <c r="R241" s="657"/>
      <c r="S241" s="657"/>
      <c r="T241" s="657"/>
      <c r="U241" s="76"/>
      <c r="V241" s="6"/>
      <c r="W241" s="6"/>
      <c r="X241" s="6"/>
      <c r="Y241" s="6"/>
      <c r="Z241" s="6"/>
      <c r="AA241" s="657"/>
      <c r="AB241" s="76"/>
      <c r="AC241" s="76"/>
      <c r="AD241" s="20"/>
      <c r="AE241" s="1"/>
      <c r="AF241" s="1"/>
      <c r="AG241" s="1"/>
    </row>
    <row r="242" spans="1:59" hidden="1" x14ac:dyDescent="0.25">
      <c r="D242" s="16"/>
      <c r="E242" s="1089"/>
      <c r="O242" s="518"/>
      <c r="P242" s="518"/>
      <c r="Q242" s="518"/>
      <c r="R242" s="657"/>
      <c r="S242" s="657"/>
      <c r="T242" s="657"/>
      <c r="U242" s="76"/>
      <c r="V242" s="6"/>
      <c r="W242" s="6"/>
      <c r="X242" s="6"/>
      <c r="Y242" s="6"/>
      <c r="Z242" s="6"/>
      <c r="AA242" s="657"/>
      <c r="AB242" s="76"/>
      <c r="AC242" s="76"/>
      <c r="AD242" s="20"/>
      <c r="AE242" s="1"/>
      <c r="AF242" s="1"/>
      <c r="AG242" s="1"/>
    </row>
    <row r="243" spans="1:59" hidden="1" x14ac:dyDescent="0.25">
      <c r="D243" s="16"/>
      <c r="E243" s="1089"/>
      <c r="O243" s="518"/>
      <c r="P243" s="518"/>
      <c r="Q243" s="518"/>
      <c r="R243" s="657"/>
      <c r="S243" s="657"/>
      <c r="T243" s="657"/>
      <c r="U243" s="76"/>
      <c r="V243" s="6"/>
      <c r="W243" s="6"/>
      <c r="X243" s="6"/>
      <c r="Y243" s="6"/>
      <c r="Z243" s="6"/>
      <c r="AA243" s="657"/>
      <c r="AB243" s="76"/>
      <c r="AC243" s="76"/>
      <c r="AD243" s="20"/>
      <c r="AE243" s="1"/>
      <c r="AF243" s="1"/>
      <c r="AG243" s="1"/>
    </row>
    <row r="244" spans="1:59" hidden="1" x14ac:dyDescent="0.25">
      <c r="D244" s="16"/>
      <c r="E244" s="1089"/>
      <c r="O244" s="518"/>
      <c r="P244" s="518"/>
      <c r="Q244" s="518"/>
      <c r="R244" s="657"/>
      <c r="S244" s="657"/>
      <c r="T244" s="657"/>
      <c r="U244" s="76"/>
      <c r="V244" s="6"/>
      <c r="W244" s="6"/>
      <c r="X244" s="6"/>
      <c r="Y244" s="6"/>
      <c r="Z244" s="6"/>
      <c r="AA244" s="657"/>
      <c r="AB244" s="76"/>
      <c r="AC244" s="76"/>
      <c r="AD244" s="20"/>
      <c r="AE244" s="1"/>
      <c r="AF244" s="1"/>
      <c r="AG244" s="1"/>
    </row>
    <row r="245" spans="1:59" hidden="1" x14ac:dyDescent="0.25">
      <c r="A245" s="886">
        <v>3</v>
      </c>
      <c r="B245" s="717" t="s">
        <v>61</v>
      </c>
      <c r="C245" s="717"/>
      <c r="D245" s="717"/>
      <c r="E245" s="1081"/>
      <c r="F245" s="297" t="str">
        <f>Man01_Crit1</f>
        <v>Pre-requisite: early stage greenhouse gas calculation</v>
      </c>
      <c r="G245" s="107" t="str">
        <f>Man01_Crit1_credits</f>
        <v>Yes/No</v>
      </c>
      <c r="H245" s="37"/>
      <c r="I245" s="108"/>
      <c r="J245" s="114" t="str">
        <f>Man01_minstd</f>
        <v>Unclassified</v>
      </c>
      <c r="K245" s="74"/>
      <c r="L245" s="242" t="s">
        <v>295</v>
      </c>
      <c r="M245" s="638"/>
      <c r="N245" s="712"/>
      <c r="O245" s="77"/>
      <c r="P245" s="767"/>
      <c r="Q245" s="767"/>
      <c r="R245" s="644"/>
      <c r="S245" s="645"/>
      <c r="T245" s="638"/>
      <c r="U245" s="277"/>
      <c r="V245" s="77"/>
      <c r="W245" s="767"/>
      <c r="X245" s="767"/>
      <c r="Y245" s="75"/>
      <c r="Z245" s="74"/>
      <c r="AA245" s="638"/>
      <c r="AB245" s="117"/>
      <c r="AC245" s="556"/>
      <c r="AD245" s="20">
        <f>AD11</f>
        <v>1</v>
      </c>
      <c r="AE245" s="1">
        <f>VLOOKUP(L245,'Assessment Details'!$O$45:$P$48,2,FALSE)</f>
        <v>3</v>
      </c>
      <c r="AF245" s="1" t="e">
        <f>VLOOKUP(S245,'Assessment Details'!$O$45:$P$48,2,FALSE)</f>
        <v>#N/A</v>
      </c>
      <c r="AG245" s="1" t="e">
        <f>VLOOKUP(Z245,'Assessment Details'!$O$45:$P$48,2,FALSE)</f>
        <v>#N/A</v>
      </c>
      <c r="AJ245" s="64"/>
      <c r="AK245" s="583"/>
      <c r="AL245" s="630"/>
      <c r="AM245" s="630"/>
      <c r="AQ245" s="64"/>
      <c r="AT245" s="20"/>
      <c r="AU245" s="20"/>
      <c r="AV245" s="20"/>
      <c r="AW245" s="20"/>
      <c r="AX245" s="20"/>
      <c r="AY245" s="20"/>
      <c r="BA245" s="556"/>
      <c r="BE245" s="15"/>
      <c r="BF245" s="15"/>
      <c r="BG245" s="15"/>
    </row>
    <row r="246" spans="1:59" hidden="1" x14ac:dyDescent="0.25">
      <c r="A246" s="886">
        <v>6</v>
      </c>
      <c r="B246" s="717" t="s">
        <v>61</v>
      </c>
      <c r="C246" s="717"/>
      <c r="D246" s="717"/>
      <c r="E246" s="1081"/>
      <c r="F246" s="297" t="str">
        <f>Man03_Crit1</f>
        <v>Minimum req: legal and sustainable timber</v>
      </c>
      <c r="G246" s="107" t="str">
        <f>Man03_Crit1_credits</f>
        <v>Yes/No</v>
      </c>
      <c r="H246" s="635"/>
      <c r="I246" s="108"/>
      <c r="J246" s="112" t="str">
        <f>Man03_minstd_cri</f>
        <v>Unclassified</v>
      </c>
      <c r="K246" s="74"/>
      <c r="L246" s="242" t="s">
        <v>295</v>
      </c>
      <c r="M246" s="638"/>
      <c r="N246" s="712"/>
      <c r="O246" s="77"/>
      <c r="P246" s="767"/>
      <c r="Q246" s="767"/>
      <c r="R246" s="644"/>
      <c r="S246" s="645"/>
      <c r="T246" s="638"/>
      <c r="U246" s="277"/>
      <c r="V246" s="77"/>
      <c r="W246" s="767"/>
      <c r="X246" s="767"/>
      <c r="Y246" s="75"/>
      <c r="Z246" s="74"/>
      <c r="AA246" s="638"/>
      <c r="AB246" s="117"/>
      <c r="AC246" s="556" t="s">
        <v>13</v>
      </c>
      <c r="AD246" s="20">
        <f>AD20</f>
        <v>1</v>
      </c>
      <c r="AE246" s="1">
        <f>VLOOKUP(L246,'Assessment Details'!$O$45:$P$48,2,FALSE)</f>
        <v>3</v>
      </c>
      <c r="AF246" s="1" t="e">
        <f>VLOOKUP(S246,'Assessment Details'!$O$45:$P$48,2,FALSE)</f>
        <v>#N/A</v>
      </c>
      <c r="AG246" s="1" t="e">
        <f>VLOOKUP(Z246,'Assessment Details'!$O$45:$P$48,2,FALSE)</f>
        <v>#N/A</v>
      </c>
      <c r="AJ246" s="64"/>
      <c r="AK246" s="583" t="s">
        <v>261</v>
      </c>
      <c r="AL246" s="64"/>
      <c r="AM246" s="64"/>
      <c r="AN246" s="64"/>
      <c r="AO246" s="64"/>
      <c r="AP246" s="64"/>
      <c r="AQ246" s="64"/>
      <c r="AT246" s="20" t="str">
        <f>IF($AK$4=ais_nei,AIS_NA,IF(AL246="",AIS_NA,AL246))</f>
        <v>N/A</v>
      </c>
      <c r="AU246" s="20" t="str">
        <f>IF($AK$4=ais_nei,AIS_NA,IF(AM246="",AIS_NA,AM246))</f>
        <v>N/A</v>
      </c>
      <c r="AV246" s="20" t="str">
        <f>IF($AK$4=ais_nei,AIS_NA,IF(AN246="",AIS_NA,AN246))</f>
        <v>N/A</v>
      </c>
      <c r="AW246" s="20"/>
      <c r="AX246" s="20"/>
      <c r="AY246" s="20"/>
      <c r="BA246" s="556"/>
    </row>
    <row r="247" spans="1:59" hidden="1" x14ac:dyDescent="0.25">
      <c r="A247" s="886"/>
      <c r="B247" s="717"/>
      <c r="C247" s="717"/>
      <c r="D247" s="717"/>
      <c r="E247" s="1081"/>
      <c r="F247" s="297" t="str">
        <f>Man04_Crit1</f>
        <v>Pre-requisite: risk analysis</v>
      </c>
      <c r="G247" s="107" t="str">
        <f>Man04_Crit1_credits</f>
        <v>Yes/No</v>
      </c>
      <c r="H247" s="635"/>
      <c r="I247" s="108"/>
      <c r="J247" s="112" t="str">
        <f>Man04_minstd_cri</f>
        <v>N/A</v>
      </c>
      <c r="K247" s="74"/>
      <c r="L247" s="242" t="s">
        <v>295</v>
      </c>
      <c r="M247" s="638"/>
      <c r="N247" s="712"/>
      <c r="O247" s="77"/>
      <c r="P247" s="767"/>
      <c r="Q247" s="767"/>
      <c r="R247" s="644"/>
      <c r="S247" s="645"/>
      <c r="T247" s="638"/>
      <c r="U247" s="277"/>
      <c r="V247" s="77"/>
      <c r="W247" s="767"/>
      <c r="X247" s="767"/>
      <c r="Y247" s="75"/>
      <c r="Z247" s="74"/>
      <c r="AA247" s="638"/>
      <c r="AB247" s="117"/>
      <c r="AC247" s="556"/>
      <c r="AD247" s="20">
        <f>IF(G247="",1,IF(G247=0,2,1))</f>
        <v>1</v>
      </c>
      <c r="AE247" s="1">
        <f>VLOOKUP(L247,'Assessment Details'!$O$45:$P$48,2,FALSE)</f>
        <v>3</v>
      </c>
      <c r="AF247" s="1" t="e">
        <f>VLOOKUP(S247,'Assessment Details'!$O$45:$P$48,2,FALSE)</f>
        <v>#N/A</v>
      </c>
      <c r="AG247" s="1" t="e">
        <f>VLOOKUP(Z247,'Assessment Details'!$O$45:$P$48,2,FALSE)</f>
        <v>#N/A</v>
      </c>
      <c r="AJ247" s="64"/>
      <c r="AK247" s="582"/>
      <c r="AL247" s="562"/>
      <c r="AM247" s="562"/>
      <c r="AN247" s="562"/>
      <c r="AO247" s="64"/>
      <c r="AP247" s="64"/>
      <c r="AQ247" s="64"/>
      <c r="AT247" s="20"/>
      <c r="AU247" s="20"/>
      <c r="AV247" s="20"/>
      <c r="AW247" s="20"/>
      <c r="AX247" s="20"/>
      <c r="AY247" s="20"/>
      <c r="AZ247" s="15"/>
      <c r="BA247" s="556"/>
      <c r="BB247" s="15"/>
      <c r="BC247" s="15"/>
      <c r="BD247" s="15"/>
      <c r="BE247" s="15"/>
      <c r="BF247" s="15"/>
      <c r="BG247" s="15"/>
    </row>
    <row r="248" spans="1:59" hidden="1" x14ac:dyDescent="0.25">
      <c r="A248" s="886">
        <v>9</v>
      </c>
      <c r="B248" s="717" t="s">
        <v>61</v>
      </c>
      <c r="C248" s="717"/>
      <c r="D248" s="717"/>
      <c r="E248" s="1081"/>
      <c r="F248" s="618" t="str">
        <f>Man05_Crit1</f>
        <v>Pre-requisite: statutory obligations fulfilled</v>
      </c>
      <c r="G248" s="107" t="str">
        <f>IF(ADBT0=ADBT12,'Assessment Details'!O61,Man05_Crit1_credits)</f>
        <v>Yes/No</v>
      </c>
      <c r="H248" s="37"/>
      <c r="I248" s="108"/>
      <c r="J248" s="114" t="str">
        <f>Man05_minstd_cri</f>
        <v>N/A</v>
      </c>
      <c r="K248" s="74"/>
      <c r="L248" s="242" t="s">
        <v>295</v>
      </c>
      <c r="M248" s="638"/>
      <c r="N248" s="712"/>
      <c r="O248" s="77"/>
      <c r="P248" s="767"/>
      <c r="Q248" s="767"/>
      <c r="R248" s="644"/>
      <c r="S248" s="645"/>
      <c r="T248" s="638"/>
      <c r="U248" s="277"/>
      <c r="V248" s="77"/>
      <c r="W248" s="767"/>
      <c r="X248" s="767"/>
      <c r="Y248" s="75"/>
      <c r="Z248" s="74"/>
      <c r="AA248" s="638"/>
      <c r="AB248" s="117"/>
      <c r="AC248" s="556"/>
      <c r="AD248" s="20">
        <f>AD31</f>
        <v>1</v>
      </c>
      <c r="AE248" s="1">
        <f>VLOOKUP(L248,'Assessment Details'!$O$45:$P$48,2,FALSE)</f>
        <v>3</v>
      </c>
      <c r="AF248" s="1" t="e">
        <f>VLOOKUP(S248,'Assessment Details'!$O$45:$P$48,2,FALSE)</f>
        <v>#N/A</v>
      </c>
      <c r="AG248" s="1" t="e">
        <f>VLOOKUP(Z248,'Assessment Details'!$O$45:$P$48,2,FALSE)</f>
        <v>#N/A</v>
      </c>
      <c r="AJ248" s="64"/>
      <c r="AK248" s="583"/>
      <c r="AL248" s="630"/>
      <c r="AM248" s="630"/>
      <c r="AQ248" s="64"/>
      <c r="AT248" s="20"/>
      <c r="AU248" s="20"/>
      <c r="AV248" s="20"/>
      <c r="AW248" s="20"/>
      <c r="AX248" s="20"/>
      <c r="AY248" s="20"/>
      <c r="BA248" s="556"/>
      <c r="BE248" s="15"/>
      <c r="BF248" s="15"/>
      <c r="BG248" s="15"/>
    </row>
    <row r="249" spans="1:59" hidden="1" x14ac:dyDescent="0.25">
      <c r="D249" s="16"/>
      <c r="E249" s="1089"/>
      <c r="O249" s="714"/>
      <c r="P249" s="714"/>
      <c r="Q249" s="714"/>
      <c r="AB249" s="76"/>
      <c r="AC249" s="76"/>
    </row>
    <row r="250" spans="1:59" hidden="1" x14ac:dyDescent="0.25">
      <c r="A250" s="886">
        <v>29</v>
      </c>
    </row>
    <row r="251" spans="1:59" hidden="1" x14ac:dyDescent="0.25">
      <c r="A251" s="886">
        <v>24</v>
      </c>
      <c r="B251" s="717" t="s">
        <v>65</v>
      </c>
      <c r="C251" s="717"/>
      <c r="D251" s="717"/>
      <c r="E251" s="1081"/>
      <c r="F251" s="276" t="str">
        <f>Ene01_Crit1</f>
        <v>Minimum req: absence of environmental toxins (EU taxonomy requirement: criterion 1)</v>
      </c>
      <c r="G251" s="107" t="str">
        <f>Ene01_Crit1_credits</f>
        <v>Yes/No</v>
      </c>
      <c r="H251" s="37"/>
      <c r="I251" s="108"/>
      <c r="J251" s="114" t="str">
        <f>Ene01_minstd</f>
        <v>Unclassified</v>
      </c>
      <c r="K251" s="74"/>
      <c r="L251" s="242" t="s">
        <v>295</v>
      </c>
      <c r="M251" s="638"/>
      <c r="N251" s="712"/>
      <c r="O251" s="77"/>
      <c r="P251" s="767"/>
      <c r="Q251" s="767"/>
      <c r="R251" s="644"/>
      <c r="S251" s="645"/>
      <c r="T251" s="638"/>
      <c r="U251" s="277"/>
      <c r="V251" s="77"/>
      <c r="W251" s="767"/>
      <c r="X251" s="767"/>
      <c r="Y251" s="75"/>
      <c r="Z251" s="74"/>
      <c r="AA251" s="638"/>
      <c r="AB251" s="117"/>
      <c r="AC251" s="556"/>
      <c r="AD251" s="20">
        <f>AD66</f>
        <v>1</v>
      </c>
      <c r="AE251" s="1">
        <f>VLOOKUP(L251,'Assessment Details'!$O$45:$P$48,2,FALSE)</f>
        <v>3</v>
      </c>
      <c r="AF251" s="1" t="e">
        <f>VLOOKUP(S251,'Assessment Details'!$O$45:$P$48,2,FALSE)</f>
        <v>#N/A</v>
      </c>
      <c r="AG251" s="1" t="e">
        <f>VLOOKUP(Z251,'Assessment Details'!$O$45:$P$48,2,FALSE)</f>
        <v>#N/A</v>
      </c>
      <c r="AJ251" s="64"/>
      <c r="AK251" s="583"/>
      <c r="AL251" s="630"/>
      <c r="AM251" s="630"/>
      <c r="AQ251" s="64"/>
      <c r="AT251" s="20"/>
      <c r="AU251" s="20"/>
      <c r="AV251" s="20"/>
      <c r="AW251" s="20"/>
      <c r="AX251" s="20"/>
      <c r="AY251" s="20"/>
      <c r="BA251" s="556"/>
    </row>
    <row r="252" spans="1:59" hidden="1" x14ac:dyDescent="0.25">
      <c r="A252" s="886">
        <v>81</v>
      </c>
      <c r="B252" s="717" t="s">
        <v>66</v>
      </c>
      <c r="C252" s="717"/>
      <c r="D252" s="717"/>
      <c r="E252" s="1081"/>
      <c r="F252" s="276" t="str">
        <f>Tra01_Crit1</f>
        <v>Pre-requisite: ecological risks and opportunities</v>
      </c>
      <c r="G252" s="107" t="str">
        <f>Tra01_Crit1_credits</f>
        <v>Yes/No</v>
      </c>
      <c r="H252" s="37"/>
      <c r="I252" s="108"/>
      <c r="J252" s="114" t="str">
        <f>Tra01_minstd</f>
        <v>N/A</v>
      </c>
      <c r="K252" s="74"/>
      <c r="L252" s="242" t="s">
        <v>295</v>
      </c>
      <c r="M252" s="638"/>
      <c r="N252" s="712"/>
      <c r="O252" s="77"/>
      <c r="P252" s="767"/>
      <c r="Q252" s="767"/>
      <c r="R252" s="644"/>
      <c r="S252" s="645"/>
      <c r="T252" s="638"/>
      <c r="U252" s="277"/>
      <c r="V252" s="77"/>
      <c r="W252" s="767"/>
      <c r="X252" s="767"/>
      <c r="Y252" s="75"/>
      <c r="Z252" s="74"/>
      <c r="AA252" s="638"/>
      <c r="AB252" s="117"/>
      <c r="AC252" s="556"/>
      <c r="AD252" s="20">
        <f>AD95</f>
        <v>1</v>
      </c>
      <c r="AE252" s="1">
        <f>VLOOKUP(L252,'Assessment Details'!$O$45:$P$48,2,FALSE)</f>
        <v>3</v>
      </c>
      <c r="AF252" s="1" t="e">
        <f>VLOOKUP(S252,'Assessment Details'!$O$45:$P$48,2,FALSE)</f>
        <v>#N/A</v>
      </c>
      <c r="AG252" s="1" t="e">
        <f>VLOOKUP(Z252,'Assessment Details'!$O$45:$P$48,2,FALSE)</f>
        <v>#N/A</v>
      </c>
      <c r="AJ252" s="64"/>
      <c r="AK252" s="583"/>
      <c r="AL252" s="630"/>
      <c r="AM252" s="630"/>
      <c r="AQ252" s="64"/>
      <c r="AT252" s="20"/>
      <c r="AU252" s="20"/>
      <c r="AV252" s="20"/>
      <c r="AW252" s="20"/>
      <c r="AX252" s="20"/>
      <c r="AY252" s="20"/>
      <c r="BA252" s="556"/>
    </row>
    <row r="253" spans="1:59" hidden="1" x14ac:dyDescent="0.25">
      <c r="D253" s="16"/>
      <c r="E253" s="1089"/>
      <c r="O253" s="714"/>
      <c r="P253" s="714"/>
      <c r="Q253" s="714"/>
    </row>
    <row r="254" spans="1:59" hidden="1" x14ac:dyDescent="0.25">
      <c r="A254" s="886">
        <v>48</v>
      </c>
      <c r="B254" s="717" t="s">
        <v>67</v>
      </c>
      <c r="C254" s="717"/>
      <c r="D254" s="717"/>
      <c r="E254" s="1081"/>
      <c r="F254" s="297" t="str">
        <f>Mat01_Crit1</f>
        <v>Pre-requisite: managing negative impacts on ecology</v>
      </c>
      <c r="G254" s="107" t="str">
        <f>Mat01_Crit1_credits</f>
        <v>Yes/No</v>
      </c>
      <c r="H254" s="635"/>
      <c r="I254" s="108"/>
      <c r="J254" s="112" t="str">
        <f>Mat01_minstd</f>
        <v>N/A</v>
      </c>
      <c r="K254" s="74"/>
      <c r="L254" s="242" t="s">
        <v>295</v>
      </c>
      <c r="M254" s="638"/>
      <c r="N254" s="712"/>
      <c r="O254" s="77"/>
      <c r="P254" s="767"/>
      <c r="Q254" s="767"/>
      <c r="R254" s="644"/>
      <c r="S254" s="645"/>
      <c r="T254" s="638"/>
      <c r="U254" s="277"/>
      <c r="V254" s="77"/>
      <c r="W254" s="767"/>
      <c r="X254" s="767"/>
      <c r="Y254" s="75"/>
      <c r="Z254" s="74"/>
      <c r="AA254" s="638"/>
      <c r="AB254" s="117"/>
      <c r="AC254" s="556" t="s">
        <v>13</v>
      </c>
      <c r="AD254" s="20">
        <f>AD118</f>
        <v>1</v>
      </c>
      <c r="AE254" s="1">
        <f>VLOOKUP(L254,'Assessment Details'!$O$45:$P$48,2,FALSE)</f>
        <v>3</v>
      </c>
      <c r="AF254" s="1" t="e">
        <f>VLOOKUP(S254,'Assessment Details'!$O$45:$P$48,2,FALSE)</f>
        <v>#N/A</v>
      </c>
      <c r="AG254" s="1" t="e">
        <f>VLOOKUP(Z254,'Assessment Details'!$O$45:$P$48,2,FALSE)</f>
        <v>#N/A</v>
      </c>
      <c r="AJ254" s="64"/>
      <c r="AK254" s="583" t="s">
        <v>261</v>
      </c>
      <c r="AL254" s="64"/>
      <c r="AM254" s="64"/>
      <c r="AN254" s="64"/>
      <c r="AO254" s="64"/>
      <c r="AP254" s="64"/>
      <c r="AQ254" s="64"/>
      <c r="AT254" s="20" t="str">
        <f t="shared" ref="AT254" si="31">IF($AK$4=ais_nei,AIS_NA,IF(AL254="",AIS_NA,AL254))</f>
        <v>N/A</v>
      </c>
      <c r="AU254" s="20" t="str">
        <f t="shared" ref="AU254" si="32">IF($AK$4=ais_nei,AIS_NA,IF(AM254="",AIS_NA,AM254))</f>
        <v>N/A</v>
      </c>
      <c r="AV254" s="20" t="str">
        <f t="shared" ref="AV254" si="33">IF($AK$4=ais_nei,AIS_NA,IF(AN254="",AIS_NA,AN254))</f>
        <v>N/A</v>
      </c>
      <c r="AW254" s="20"/>
      <c r="AX254" s="20"/>
      <c r="AY254" s="20"/>
      <c r="BA254" s="556"/>
    </row>
    <row r="255" spans="1:59" hidden="1" x14ac:dyDescent="0.25">
      <c r="A255" s="886">
        <v>50</v>
      </c>
      <c r="B255" s="717" t="s">
        <v>67</v>
      </c>
      <c r="C255" s="717"/>
      <c r="D255" s="717"/>
      <c r="E255" s="1081"/>
      <c r="F255" s="297" t="str">
        <f>Mat02_Crit1</f>
        <v xml:space="preserve">Pre-requisite: suitably qualified acoustician </v>
      </c>
      <c r="G255" s="107" t="str">
        <f>Mat02_Crit1_credits</f>
        <v>Yes/No</v>
      </c>
      <c r="H255" s="37"/>
      <c r="I255" s="108"/>
      <c r="J255" s="112" t="str">
        <f>Mat02_minstd</f>
        <v>N/A</v>
      </c>
      <c r="K255" s="74"/>
      <c r="L255" s="242" t="s">
        <v>295</v>
      </c>
      <c r="M255" s="638"/>
      <c r="N255" s="712"/>
      <c r="O255" s="77"/>
      <c r="P255" s="767"/>
      <c r="Q255" s="767"/>
      <c r="R255" s="644"/>
      <c r="S255" s="645"/>
      <c r="T255" s="638"/>
      <c r="U255" s="277"/>
      <c r="V255" s="77"/>
      <c r="W255" s="767"/>
      <c r="X255" s="767"/>
      <c r="Y255" s="75"/>
      <c r="Z255" s="74"/>
      <c r="AA255" s="638"/>
      <c r="AB255" s="117"/>
      <c r="AC255" s="556" t="s">
        <v>13</v>
      </c>
      <c r="AD255" s="20">
        <f>IF(G255="",1,IF(G255=0,2,1))</f>
        <v>1</v>
      </c>
      <c r="AE255" s="1">
        <f>VLOOKUP(L255,'Assessment Details'!$O$45:$P$48,2,FALSE)</f>
        <v>3</v>
      </c>
      <c r="AF255" s="1" t="e">
        <f>VLOOKUP(S255,'Assessment Details'!$O$45:$P$48,2,FALSE)</f>
        <v>#N/A</v>
      </c>
      <c r="AG255" s="1" t="e">
        <f>VLOOKUP(Z255,'Assessment Details'!$O$45:$P$48,2,FALSE)</f>
        <v>#N/A</v>
      </c>
      <c r="AJ255" s="64"/>
      <c r="AK255" s="583" t="s">
        <v>262</v>
      </c>
      <c r="AL255" s="64"/>
      <c r="AM255" s="64"/>
      <c r="AN255" s="64"/>
      <c r="AO255" s="64"/>
      <c r="AP255" s="64"/>
      <c r="AQ255" s="64"/>
      <c r="AT255" s="20" t="str">
        <f t="shared" ref="AT255" si="34">IF($AK$4=ais_nei,AIS_NA,IF(AL255="",AIS_NA,AL255))</f>
        <v>N/A</v>
      </c>
      <c r="AU255" s="20" t="str">
        <f t="shared" ref="AU255" si="35">IF($AK$4=ais_nei,AIS_NA,IF(AM255="",AIS_NA,AM255))</f>
        <v>N/A</v>
      </c>
      <c r="AV255" s="20" t="str">
        <f t="shared" ref="AV255" si="36">IF($AK$4=ais_nei,AIS_NA,IF(AN255="",AIS_NA,AN255))</f>
        <v>N/A</v>
      </c>
      <c r="AW255" s="20"/>
      <c r="AX255" s="20"/>
      <c r="AY255" s="20"/>
      <c r="BA255" s="556"/>
    </row>
    <row r="256" spans="1:59" hidden="1" x14ac:dyDescent="0.25">
      <c r="A256" s="886">
        <v>52</v>
      </c>
      <c r="B256" s="717" t="s">
        <v>67</v>
      </c>
      <c r="C256" s="717"/>
      <c r="D256" s="717"/>
      <c r="E256" s="1081"/>
      <c r="F256" s="297" t="str">
        <f>Mat03_Crit1</f>
        <v>Minimum req: agricultural area / forest (EU taxonomy requirement: criterion 2)</v>
      </c>
      <c r="G256" s="107" t="str">
        <f>Mat03_Crit1_credits</f>
        <v>Yes/No</v>
      </c>
      <c r="H256" s="37"/>
      <c r="I256" s="108"/>
      <c r="J256" s="113" t="str">
        <f>Mat03_minstd</f>
        <v>Very Good</v>
      </c>
      <c r="K256" s="74"/>
      <c r="L256" s="242" t="s">
        <v>295</v>
      </c>
      <c r="M256" s="638"/>
      <c r="N256" s="712"/>
      <c r="O256" s="77"/>
      <c r="P256" s="767"/>
      <c r="Q256" s="767"/>
      <c r="R256" s="644"/>
      <c r="S256" s="645"/>
      <c r="T256" s="638"/>
      <c r="U256" s="277"/>
      <c r="V256" s="77"/>
      <c r="W256" s="767"/>
      <c r="X256" s="767"/>
      <c r="Y256" s="75"/>
      <c r="Z256" s="74"/>
      <c r="AA256" s="638"/>
      <c r="AB256" s="117"/>
      <c r="AC256" s="556" t="s">
        <v>13</v>
      </c>
      <c r="AD256" s="20">
        <f>IF(G256="",1,IF(G256=0,2,1))</f>
        <v>1</v>
      </c>
      <c r="AE256" s="1">
        <f>VLOOKUP(L256,'Assessment Details'!$O$45:$P$48,2,FALSE)</f>
        <v>3</v>
      </c>
      <c r="AF256" s="1" t="e">
        <f>VLOOKUP(S256,'Assessment Details'!$O$45:$P$48,2,FALSE)</f>
        <v>#N/A</v>
      </c>
      <c r="AG256" s="1" t="e">
        <f>VLOOKUP(Z256,'Assessment Details'!$O$45:$P$48,2,FALSE)</f>
        <v>#N/A</v>
      </c>
      <c r="AJ256" s="64"/>
      <c r="AK256" s="583" t="s">
        <v>309</v>
      </c>
      <c r="AL256" s="64"/>
      <c r="AM256" s="64"/>
      <c r="AN256" s="64"/>
      <c r="AO256" s="64"/>
      <c r="AP256" s="64"/>
      <c r="AQ256" s="64"/>
      <c r="AT256" s="20" t="str">
        <f>IF($AK$4=ais_nei,AIS_NA,IF(AL256="",AIS_NA,AL256))</f>
        <v>N/A</v>
      </c>
      <c r="AU256" s="20" t="str">
        <f>IF($AK$4=ais_nei,AIS_NA,IF(AM256="",AIS_NA,AM256))</f>
        <v>N/A</v>
      </c>
      <c r="AV256" s="20" t="str">
        <f>IF($AK$4=ais_nei,AIS_NA,IF(AN256="",AIS_NA,AN256))</f>
        <v>N/A</v>
      </c>
      <c r="AW256" s="20"/>
      <c r="AX256" s="20"/>
      <c r="AY256" s="20"/>
      <c r="BA256" s="556"/>
    </row>
    <row r="257" spans="1:53" ht="15" hidden="1" customHeight="1" x14ac:dyDescent="0.25">
      <c r="A257" s="886">
        <v>55</v>
      </c>
      <c r="B257" s="717" t="s">
        <v>67</v>
      </c>
      <c r="C257" s="717"/>
      <c r="D257" s="717"/>
      <c r="E257" s="1081"/>
      <c r="F257" s="715" t="str">
        <f>Mat06_Crit1</f>
        <v>Pre-requisite: statutory obligations, planning and site implementation</v>
      </c>
      <c r="G257" s="107" t="str">
        <f>Mat06_Crit1_credits</f>
        <v>Yes/No</v>
      </c>
      <c r="H257" s="37"/>
      <c r="I257" s="108"/>
      <c r="J257" s="112" t="str">
        <f>Mat06_minstd_cred</f>
        <v>N/A</v>
      </c>
      <c r="K257" s="74"/>
      <c r="L257" s="242" t="s">
        <v>295</v>
      </c>
      <c r="M257" s="638"/>
      <c r="N257" s="712"/>
      <c r="O257" s="77"/>
      <c r="P257" s="767"/>
      <c r="Q257" s="767"/>
      <c r="R257" s="644"/>
      <c r="S257" s="645"/>
      <c r="T257" s="638"/>
      <c r="U257" s="277"/>
      <c r="V257" s="77"/>
      <c r="W257" s="767"/>
      <c r="X257" s="767"/>
      <c r="Y257" s="75"/>
      <c r="Z257" s="74"/>
      <c r="AA257" s="638"/>
      <c r="AB257" s="117"/>
      <c r="AC257" s="556" t="s">
        <v>13</v>
      </c>
      <c r="AD257" s="20">
        <f>IF(G257="",1,IF(G257=0,2,1))</f>
        <v>1</v>
      </c>
      <c r="AE257" s="1">
        <f>VLOOKUP(L257,'Assessment Details'!$O$45:$P$48,2,FALSE)</f>
        <v>3</v>
      </c>
      <c r="AF257" s="1" t="e">
        <f>VLOOKUP(S257,'Assessment Details'!$O$45:$P$48,2,FALSE)</f>
        <v>#N/A</v>
      </c>
      <c r="AG257" s="1" t="e">
        <f>VLOOKUP(Z257,'Assessment Details'!$O$45:$P$48,2,FALSE)</f>
        <v>#N/A</v>
      </c>
      <c r="AJ257" s="64"/>
      <c r="AK257" s="583" t="s">
        <v>262</v>
      </c>
      <c r="AL257" s="64"/>
      <c r="AM257" s="64"/>
      <c r="AN257" s="64"/>
      <c r="AO257" s="64"/>
      <c r="AP257" s="64"/>
      <c r="AQ257" s="64"/>
      <c r="AT257" s="20" t="str">
        <f t="shared" ref="AT257" si="37">IF($AK$4=ais_nei,AIS_NA,IF(AL257="",AIS_NA,AL257))</f>
        <v>N/A</v>
      </c>
      <c r="AU257" s="20" t="str">
        <f t="shared" ref="AU257" si="38">IF($AK$4=ais_nei,AIS_NA,IF(AM257="",AIS_NA,AM257))</f>
        <v>N/A</v>
      </c>
      <c r="AV257" s="20" t="str">
        <f t="shared" ref="AV257" si="39">IF($AK$4=ais_nei,AIS_NA,IF(AN257="",AIS_NA,AN257))</f>
        <v>N/A</v>
      </c>
      <c r="AW257" s="20"/>
      <c r="AX257" s="20"/>
      <c r="AY257" s="20"/>
      <c r="BA257" s="556"/>
    </row>
    <row r="258" spans="1:53" hidden="1" x14ac:dyDescent="0.25">
      <c r="A258" s="886">
        <v>57</v>
      </c>
      <c r="B258" s="717" t="s">
        <v>67</v>
      </c>
      <c r="C258" s="717"/>
      <c r="D258" s="717"/>
      <c r="E258" s="1081"/>
      <c r="F258" s="715" t="str">
        <f>Mat07_Crit1</f>
        <v>Pre-requisite: flood risk assessment</v>
      </c>
      <c r="G258" s="107" t="str">
        <f>Mat07_Crit1_credits</f>
        <v>Yes/No</v>
      </c>
      <c r="H258" s="37"/>
      <c r="I258" s="108"/>
      <c r="J258" s="112" t="str" cm="1">
        <f t="array" ref="J258">Mat07_minstd_cred</f>
        <v>N/A</v>
      </c>
      <c r="K258" s="74"/>
      <c r="L258" s="242" t="s">
        <v>295</v>
      </c>
      <c r="M258" s="694"/>
      <c r="N258" s="712"/>
      <c r="O258" s="77"/>
      <c r="P258" s="767"/>
      <c r="Q258" s="767"/>
      <c r="R258" s="644"/>
      <c r="S258" s="645"/>
      <c r="T258" s="638"/>
      <c r="U258" s="277"/>
      <c r="V258" s="77"/>
      <c r="W258" s="767"/>
      <c r="X258" s="767"/>
      <c r="Y258" s="75"/>
      <c r="Z258" s="74"/>
      <c r="AA258" s="638"/>
      <c r="AB258" s="117"/>
      <c r="AC258" s="556" t="s">
        <v>13</v>
      </c>
      <c r="AD258" s="20">
        <f>IF(G258="",1,IF(G258=0,2,1))</f>
        <v>1</v>
      </c>
      <c r="AE258" s="1">
        <f>VLOOKUP(L258,'Assessment Details'!$O$45:$P$48,2,FALSE)</f>
        <v>3</v>
      </c>
      <c r="AF258" s="1" t="e">
        <f>VLOOKUP(S258,'Assessment Details'!$O$45:$P$48,2,FALSE)</f>
        <v>#N/A</v>
      </c>
      <c r="AG258" s="1" t="e">
        <f>VLOOKUP(Z258,'Assessment Details'!$O$45:$P$48,2,FALSE)</f>
        <v>#N/A</v>
      </c>
      <c r="AJ258" s="64"/>
      <c r="AK258" s="583" t="s">
        <v>262</v>
      </c>
      <c r="AL258" s="64"/>
      <c r="AM258" s="64"/>
      <c r="AN258" s="64"/>
      <c r="AO258" s="64"/>
      <c r="AP258" s="64"/>
      <c r="AQ258" s="64"/>
      <c r="AT258" s="20" t="str">
        <f t="shared" ref="AT258" si="40">IF($AK$4=ais_nei,AIS_NA,IF(AL258="",AIS_NA,AL258))</f>
        <v>N/A</v>
      </c>
      <c r="AU258" s="20" t="str">
        <f t="shared" ref="AU258" si="41">IF($AK$4=ais_nei,AIS_NA,IF(AM258="",AIS_NA,AM258))</f>
        <v>N/A</v>
      </c>
      <c r="AV258" s="20" t="str">
        <f t="shared" ref="AV258" si="42">IF($AK$4=ais_nei,AIS_NA,IF(AN258="",AIS_NA,AN258))</f>
        <v>N/A</v>
      </c>
      <c r="AW258" s="20"/>
      <c r="AX258" s="20"/>
      <c r="AY258" s="20"/>
      <c r="BA258" s="556"/>
    </row>
    <row r="259" spans="1:53" hidden="1" x14ac:dyDescent="0.25">
      <c r="A259" s="886">
        <v>62</v>
      </c>
      <c r="B259" s="717" t="s">
        <v>68</v>
      </c>
      <c r="C259" s="717"/>
      <c r="D259" s="717"/>
      <c r="E259" s="1081"/>
      <c r="F259" s="297" t="str">
        <f>Wst01_Crit1</f>
        <v>Pre-requisite: risk assessment and the "three- step strategy"</v>
      </c>
      <c r="G259" s="107" t="str">
        <f>Wst01_Crit1_credits</f>
        <v>Yes/No</v>
      </c>
      <c r="H259" s="37"/>
      <c r="I259" s="108"/>
      <c r="J259" s="112" t="str">
        <f>Wst01_minstd</f>
        <v>N/A</v>
      </c>
      <c r="K259" s="74"/>
      <c r="L259" s="242" t="s">
        <v>295</v>
      </c>
      <c r="M259" s="638"/>
      <c r="N259" s="712"/>
      <c r="O259" s="77"/>
      <c r="P259" s="767"/>
      <c r="Q259" s="767"/>
      <c r="R259" s="644"/>
      <c r="S259" s="645"/>
      <c r="T259" s="638"/>
      <c r="U259" s="277"/>
      <c r="V259" s="77"/>
      <c r="W259" s="767"/>
      <c r="X259" s="767"/>
      <c r="Y259" s="75"/>
      <c r="Z259" s="74"/>
      <c r="AA259" s="638"/>
      <c r="AB259" s="117"/>
      <c r="AC259" s="556" t="s">
        <v>13</v>
      </c>
      <c r="AD259" s="20">
        <f>AD148</f>
        <v>1</v>
      </c>
      <c r="AE259" s="1">
        <f>VLOOKUP(L259,'Assessment Details'!$O$45:$P$48,2,FALSE)</f>
        <v>3</v>
      </c>
      <c r="AF259" s="1" t="e">
        <f>VLOOKUP(S259,'Assessment Details'!$O$45:$P$48,2,FALSE)</f>
        <v>#N/A</v>
      </c>
      <c r="AG259" s="1" t="e">
        <f>VLOOKUP(Z259,'Assessment Details'!$O$45:$P$48,2,FALSE)</f>
        <v>#N/A</v>
      </c>
      <c r="AJ259" s="64"/>
      <c r="AK259" s="583" t="s">
        <v>261</v>
      </c>
      <c r="AL259" s="64"/>
      <c r="AM259" s="64"/>
      <c r="AN259" s="64"/>
      <c r="AO259" s="64"/>
      <c r="AP259" s="64"/>
      <c r="AQ259" s="64"/>
      <c r="AT259" s="20" t="str">
        <f>IF($AK$4=ais_nei,AIS_NA,IF(AL259="",AIS_NA,AL259))</f>
        <v>N/A</v>
      </c>
      <c r="AU259" s="20" t="str">
        <f>IF($AK$4=ais_nei,AIS_NA,IF(AM259="",AIS_NA,AM259))</f>
        <v>N/A</v>
      </c>
      <c r="AV259" s="20" t="str">
        <f>IF($AK$4=ais_nei,AIS_NA,IF(AN259="",AIS_NA,AN259))</f>
        <v>N/A</v>
      </c>
      <c r="AW259" s="20"/>
      <c r="AX259" s="20"/>
      <c r="AY259" s="20"/>
      <c r="BA259" s="556"/>
    </row>
    <row r="260" spans="1:53" hidden="1" x14ac:dyDescent="0.25">
      <c r="D260" s="16"/>
      <c r="E260" s="1089"/>
      <c r="O260" s="714"/>
      <c r="P260" s="714"/>
      <c r="Q260" s="714"/>
    </row>
    <row r="261" spans="1:53" hidden="1" x14ac:dyDescent="0.25">
      <c r="D261" s="16"/>
      <c r="E261" s="1089"/>
      <c r="O261" s="714"/>
      <c r="P261" s="714"/>
      <c r="Q261" s="714"/>
    </row>
    <row r="262" spans="1:53" hidden="1" x14ac:dyDescent="0.25">
      <c r="D262" s="16"/>
      <c r="E262" s="1089"/>
      <c r="O262" s="714"/>
      <c r="P262" s="714"/>
      <c r="Q262" s="714"/>
    </row>
    <row r="263" spans="1:53" hidden="1" x14ac:dyDescent="0.25">
      <c r="O263" s="714"/>
      <c r="P263" s="714"/>
      <c r="Q263" s="714"/>
    </row>
    <row r="264" spans="1:53" hidden="1" x14ac:dyDescent="0.25">
      <c r="O264" s="714"/>
      <c r="P264" s="714"/>
      <c r="Q264" s="714"/>
    </row>
    <row r="265" spans="1:53" hidden="1" x14ac:dyDescent="0.25">
      <c r="O265" s="714"/>
      <c r="P265" s="714"/>
      <c r="Q265" s="714"/>
    </row>
    <row r="266" spans="1:53" hidden="1" x14ac:dyDescent="0.25">
      <c r="O266" s="714"/>
      <c r="P266" s="714"/>
      <c r="Q266" s="714"/>
    </row>
    <row r="267" spans="1:53" hidden="1" x14ac:dyDescent="0.25">
      <c r="O267" s="714"/>
      <c r="P267" s="714"/>
      <c r="Q267" s="714"/>
    </row>
    <row r="268" spans="1:53" hidden="1" x14ac:dyDescent="0.25">
      <c r="O268" s="714"/>
      <c r="P268" s="714"/>
      <c r="Q268" s="714"/>
    </row>
    <row r="269" spans="1:53" hidden="1" x14ac:dyDescent="0.25">
      <c r="O269" s="714"/>
      <c r="P269" s="714"/>
      <c r="Q269" s="714"/>
    </row>
    <row r="270" spans="1:53" hidden="1" x14ac:dyDescent="0.25">
      <c r="O270" s="714"/>
      <c r="P270" s="714"/>
      <c r="Q270" s="714"/>
    </row>
    <row r="271" spans="1:53" hidden="1" x14ac:dyDescent="0.25">
      <c r="O271" s="714"/>
      <c r="P271" s="714"/>
      <c r="Q271" s="714"/>
    </row>
    <row r="272" spans="1:53" hidden="1" x14ac:dyDescent="0.25">
      <c r="O272" s="714"/>
      <c r="P272" s="714"/>
      <c r="Q272" s="714"/>
    </row>
    <row r="273" spans="15:17" hidden="1" x14ac:dyDescent="0.25">
      <c r="O273" s="714"/>
      <c r="P273" s="714"/>
      <c r="Q273" s="714"/>
    </row>
    <row r="274" spans="15:17" hidden="1" x14ac:dyDescent="0.25">
      <c r="O274" s="714"/>
      <c r="P274" s="714"/>
      <c r="Q274" s="714"/>
    </row>
    <row r="275" spans="15:17" hidden="1" x14ac:dyDescent="0.25">
      <c r="O275" s="714"/>
      <c r="P275" s="714"/>
      <c r="Q275" s="714"/>
    </row>
    <row r="276" spans="15:17" hidden="1" x14ac:dyDescent="0.25">
      <c r="O276" s="714"/>
      <c r="P276" s="714"/>
      <c r="Q276" s="714"/>
    </row>
    <row r="277" spans="15:17" hidden="1" x14ac:dyDescent="0.25">
      <c r="O277" s="714"/>
      <c r="P277" s="714"/>
      <c r="Q277" s="714"/>
    </row>
    <row r="278" spans="15:17" hidden="1" x14ac:dyDescent="0.25">
      <c r="O278" s="714"/>
      <c r="P278" s="714"/>
      <c r="Q278" s="714"/>
    </row>
    <row r="279" spans="15:17" hidden="1" x14ac:dyDescent="0.25">
      <c r="O279" s="714"/>
      <c r="P279" s="714"/>
      <c r="Q279" s="714"/>
    </row>
    <row r="280" spans="15:17" hidden="1" x14ac:dyDescent="0.25">
      <c r="O280" s="714"/>
      <c r="P280" s="714"/>
      <c r="Q280" s="714"/>
    </row>
    <row r="281" spans="15:17" hidden="1" x14ac:dyDescent="0.25">
      <c r="O281" s="714"/>
      <c r="P281" s="714"/>
      <c r="Q281" s="714"/>
    </row>
    <row r="282" spans="15:17" hidden="1" x14ac:dyDescent="0.25">
      <c r="O282" s="714"/>
      <c r="P282" s="714"/>
      <c r="Q282" s="714"/>
    </row>
    <row r="283" spans="15:17" hidden="1" x14ac:dyDescent="0.25">
      <c r="O283" s="714"/>
      <c r="P283" s="714"/>
      <c r="Q283" s="714"/>
    </row>
    <row r="284" spans="15:17" hidden="1" x14ac:dyDescent="0.25">
      <c r="O284" s="714"/>
      <c r="P284" s="714"/>
      <c r="Q284" s="714"/>
    </row>
    <row r="285" spans="15:17" hidden="1" x14ac:dyDescent="0.25">
      <c r="O285" s="714"/>
      <c r="P285" s="714"/>
      <c r="Q285" s="714"/>
    </row>
    <row r="286" spans="15:17" hidden="1" x14ac:dyDescent="0.25">
      <c r="O286" s="714"/>
      <c r="P286" s="714"/>
      <c r="Q286" s="714"/>
    </row>
    <row r="287" spans="15:17" hidden="1" x14ac:dyDescent="0.25">
      <c r="O287" s="714"/>
      <c r="P287" s="714"/>
      <c r="Q287" s="714"/>
    </row>
    <row r="288" spans="15:17" hidden="1" x14ac:dyDescent="0.25">
      <c r="O288" s="714"/>
      <c r="P288" s="714"/>
      <c r="Q288" s="714"/>
    </row>
    <row r="289" spans="15:17" hidden="1" x14ac:dyDescent="0.25">
      <c r="O289" s="714"/>
      <c r="P289" s="714"/>
      <c r="Q289" s="714"/>
    </row>
    <row r="290" spans="15:17" hidden="1" x14ac:dyDescent="0.25">
      <c r="O290" s="714"/>
      <c r="P290" s="714"/>
      <c r="Q290" s="714"/>
    </row>
    <row r="291" spans="15:17" hidden="1" x14ac:dyDescent="0.25">
      <c r="O291" s="714"/>
      <c r="P291" s="714"/>
      <c r="Q291" s="714"/>
    </row>
    <row r="292" spans="15:17" hidden="1" x14ac:dyDescent="0.25">
      <c r="O292" s="714"/>
      <c r="P292" s="714"/>
      <c r="Q292" s="714"/>
    </row>
    <row r="293" spans="15:17" hidden="1" x14ac:dyDescent="0.25">
      <c r="O293" s="714"/>
      <c r="P293" s="714"/>
      <c r="Q293" s="714"/>
    </row>
    <row r="294" spans="15:17" hidden="1" x14ac:dyDescent="0.25">
      <c r="O294" s="714"/>
      <c r="P294" s="714"/>
      <c r="Q294" s="714"/>
    </row>
    <row r="295" spans="15:17" hidden="1" x14ac:dyDescent="0.25">
      <c r="O295" s="714"/>
      <c r="P295" s="714"/>
      <c r="Q295" s="714"/>
    </row>
    <row r="296" spans="15:17" hidden="1" x14ac:dyDescent="0.25">
      <c r="O296" s="714"/>
      <c r="P296" s="714"/>
      <c r="Q296" s="714"/>
    </row>
    <row r="297" spans="15:17" hidden="1" x14ac:dyDescent="0.25">
      <c r="O297" s="714"/>
      <c r="P297" s="714"/>
      <c r="Q297" s="714"/>
    </row>
    <row r="298" spans="15:17" hidden="1" x14ac:dyDescent="0.25">
      <c r="O298" s="714"/>
      <c r="P298" s="714"/>
      <c r="Q298" s="714"/>
    </row>
    <row r="299" spans="15:17" hidden="1" x14ac:dyDescent="0.25">
      <c r="O299" s="714"/>
      <c r="P299" s="714"/>
      <c r="Q299" s="714"/>
    </row>
    <row r="300" spans="15:17" hidden="1" x14ac:dyDescent="0.25">
      <c r="O300" s="714"/>
      <c r="P300" s="714"/>
      <c r="Q300" s="714"/>
    </row>
    <row r="301" spans="15:17" hidden="1" x14ac:dyDescent="0.25">
      <c r="O301" s="714"/>
      <c r="P301" s="714"/>
      <c r="Q301" s="714"/>
    </row>
    <row r="302" spans="15:17" hidden="1" x14ac:dyDescent="0.25">
      <c r="O302" s="714"/>
      <c r="P302" s="714"/>
      <c r="Q302" s="714"/>
    </row>
    <row r="303" spans="15:17" hidden="1" x14ac:dyDescent="0.25">
      <c r="O303" s="714"/>
      <c r="P303" s="714"/>
      <c r="Q303" s="714"/>
    </row>
    <row r="304" spans="15:17" hidden="1" x14ac:dyDescent="0.25">
      <c r="O304" s="714"/>
      <c r="P304" s="714"/>
      <c r="Q304" s="714"/>
    </row>
    <row r="305" spans="15:37" hidden="1" x14ac:dyDescent="0.25">
      <c r="O305" s="714"/>
      <c r="P305" s="714"/>
      <c r="Q305" s="714"/>
    </row>
    <row r="306" spans="15:37" hidden="1" x14ac:dyDescent="0.25">
      <c r="O306" s="714"/>
      <c r="P306" s="714"/>
      <c r="Q306" s="714"/>
    </row>
    <row r="307" spans="15:37" hidden="1" x14ac:dyDescent="0.25">
      <c r="O307" s="714"/>
      <c r="P307" s="714"/>
      <c r="Q307" s="714"/>
    </row>
    <row r="308" spans="15:37" hidden="1" x14ac:dyDescent="0.25">
      <c r="O308" s="714"/>
      <c r="P308" s="714"/>
      <c r="Q308" s="714"/>
    </row>
    <row r="309" spans="15:37" hidden="1" x14ac:dyDescent="0.25">
      <c r="O309" s="714"/>
      <c r="P309" s="714"/>
      <c r="Q309" s="714"/>
    </row>
    <row r="310" spans="15:37" hidden="1" x14ac:dyDescent="0.25">
      <c r="O310" s="714"/>
      <c r="P310" s="714"/>
      <c r="Q310" s="714"/>
    </row>
    <row r="311" spans="15:37" hidden="1" x14ac:dyDescent="0.25">
      <c r="O311" s="714"/>
      <c r="P311" s="714"/>
      <c r="Q311" s="714"/>
    </row>
    <row r="312" spans="15:37" hidden="1" x14ac:dyDescent="0.25">
      <c r="O312" s="714"/>
      <c r="P312" s="714"/>
      <c r="Q312" s="714"/>
    </row>
    <row r="313" spans="15:37" hidden="1" x14ac:dyDescent="0.25">
      <c r="O313" s="714"/>
      <c r="P313" s="714"/>
      <c r="Q313" s="714"/>
    </row>
    <row r="314" spans="15:37" hidden="1" x14ac:dyDescent="0.25">
      <c r="O314" s="714"/>
      <c r="P314" s="714"/>
      <c r="Q314" s="714"/>
    </row>
    <row r="315" spans="15:37" hidden="1" x14ac:dyDescent="0.25">
      <c r="O315" s="714"/>
      <c r="P315" s="714"/>
      <c r="Q315" s="714"/>
    </row>
    <row r="316" spans="15:37" hidden="1" x14ac:dyDescent="0.25">
      <c r="O316" s="714"/>
      <c r="P316" s="714"/>
      <c r="Q316" s="714"/>
    </row>
    <row r="317" spans="15:37" hidden="1" x14ac:dyDescent="0.25">
      <c r="O317" s="714"/>
      <c r="P317" s="714"/>
      <c r="Q317" s="714"/>
    </row>
    <row r="318" spans="15:37" hidden="1" x14ac:dyDescent="0.25">
      <c r="O318" s="714"/>
      <c r="P318" s="714"/>
      <c r="Q318" s="714"/>
      <c r="AK318" s="5"/>
    </row>
    <row r="319" spans="15:37" hidden="1" x14ac:dyDescent="0.25">
      <c r="O319" s="714"/>
      <c r="P319" s="714"/>
      <c r="Q319" s="714"/>
    </row>
    <row r="320" spans="15:37" hidden="1" x14ac:dyDescent="0.25">
      <c r="O320" s="714"/>
      <c r="P320" s="714"/>
      <c r="Q320" s="714"/>
    </row>
    <row r="321" spans="15:17" hidden="1" x14ac:dyDescent="0.25">
      <c r="O321" s="714"/>
      <c r="P321" s="714"/>
      <c r="Q321" s="714"/>
    </row>
    <row r="322" spans="15:17" hidden="1" x14ac:dyDescent="0.25">
      <c r="O322" s="714"/>
      <c r="P322" s="714"/>
      <c r="Q322" s="714"/>
    </row>
    <row r="323" spans="15:17" hidden="1" x14ac:dyDescent="0.25">
      <c r="O323" s="714"/>
      <c r="P323" s="714"/>
      <c r="Q323" s="714"/>
    </row>
    <row r="324" spans="15:17" hidden="1" x14ac:dyDescent="0.25">
      <c r="O324" s="714"/>
      <c r="P324" s="714"/>
      <c r="Q324" s="714"/>
    </row>
    <row r="325" spans="15:17" hidden="1" x14ac:dyDescent="0.25">
      <c r="O325" s="714"/>
      <c r="P325" s="714"/>
      <c r="Q325" s="714"/>
    </row>
    <row r="326" spans="15:17" hidden="1" x14ac:dyDescent="0.25">
      <c r="O326" s="714"/>
      <c r="P326" s="714"/>
      <c r="Q326" s="714"/>
    </row>
    <row r="327" spans="15:17" hidden="1" x14ac:dyDescent="0.25">
      <c r="O327" s="714"/>
      <c r="P327" s="714"/>
      <c r="Q327" s="714"/>
    </row>
    <row r="328" spans="15:17" hidden="1" x14ac:dyDescent="0.25">
      <c r="O328" s="714"/>
      <c r="P328" s="714"/>
      <c r="Q328" s="714"/>
    </row>
    <row r="329" spans="15:17" hidden="1" x14ac:dyDescent="0.25">
      <c r="O329" s="714"/>
      <c r="P329" s="714"/>
      <c r="Q329" s="714"/>
    </row>
    <row r="330" spans="15:17" hidden="1" x14ac:dyDescent="0.25">
      <c r="O330" s="714"/>
      <c r="P330" s="714"/>
      <c r="Q330" s="714"/>
    </row>
    <row r="331" spans="15:17" hidden="1" x14ac:dyDescent="0.25">
      <c r="O331" s="714"/>
      <c r="P331" s="714"/>
      <c r="Q331" s="714"/>
    </row>
    <row r="332" spans="15:17" hidden="1" x14ac:dyDescent="0.25">
      <c r="O332" s="714"/>
      <c r="P332" s="714"/>
      <c r="Q332" s="714"/>
    </row>
    <row r="333" spans="15:17" x14ac:dyDescent="0.25">
      <c r="O333" s="714"/>
      <c r="P333" s="714"/>
      <c r="Q333" s="714"/>
    </row>
    <row r="334" spans="15:17" x14ac:dyDescent="0.25">
      <c r="O334" s="714"/>
      <c r="P334" s="714"/>
      <c r="Q334" s="714"/>
    </row>
    <row r="335" spans="15:17" x14ac:dyDescent="0.25">
      <c r="O335" s="714"/>
      <c r="P335" s="714"/>
      <c r="Q335" s="714"/>
    </row>
    <row r="336" spans="15:17" x14ac:dyDescent="0.25">
      <c r="O336" s="714"/>
      <c r="P336" s="714"/>
      <c r="Q336" s="714"/>
    </row>
    <row r="337" spans="15:17" x14ac:dyDescent="0.25">
      <c r="O337" s="714"/>
      <c r="P337" s="714"/>
      <c r="Q337" s="714"/>
    </row>
    <row r="338" spans="15:17" x14ac:dyDescent="0.25">
      <c r="O338" s="714"/>
      <c r="P338" s="714"/>
      <c r="Q338" s="714"/>
    </row>
    <row r="339" spans="15:17" x14ac:dyDescent="0.25">
      <c r="O339" s="714"/>
      <c r="P339" s="714"/>
      <c r="Q339" s="714"/>
    </row>
    <row r="340" spans="15:17" x14ac:dyDescent="0.25">
      <c r="O340" s="714"/>
      <c r="P340" s="714"/>
      <c r="Q340" s="714"/>
    </row>
    <row r="341" spans="15:17" x14ac:dyDescent="0.25">
      <c r="O341" s="714"/>
      <c r="P341" s="714"/>
      <c r="Q341" s="714"/>
    </row>
    <row r="342" spans="15:17" x14ac:dyDescent="0.25">
      <c r="O342" s="714"/>
      <c r="P342" s="714"/>
      <c r="Q342" s="714"/>
    </row>
    <row r="343" spans="15:17" x14ac:dyDescent="0.25">
      <c r="O343" s="714"/>
      <c r="P343" s="714"/>
      <c r="Q343" s="714"/>
    </row>
    <row r="344" spans="15:17" x14ac:dyDescent="0.25">
      <c r="O344" s="714"/>
      <c r="P344" s="714"/>
      <c r="Q344" s="714"/>
    </row>
    <row r="345" spans="15:17" x14ac:dyDescent="0.25">
      <c r="O345" s="714"/>
      <c r="P345" s="714"/>
      <c r="Q345" s="714"/>
    </row>
    <row r="346" spans="15:17" x14ac:dyDescent="0.25">
      <c r="O346" s="714"/>
      <c r="P346" s="714"/>
      <c r="Q346" s="714"/>
    </row>
    <row r="347" spans="15:17" x14ac:dyDescent="0.25">
      <c r="O347" s="714"/>
      <c r="P347" s="714"/>
      <c r="Q347" s="714"/>
    </row>
    <row r="348" spans="15:17" x14ac:dyDescent="0.25">
      <c r="O348" s="714"/>
      <c r="P348" s="714"/>
      <c r="Q348" s="714"/>
    </row>
    <row r="349" spans="15:17" x14ac:dyDescent="0.25">
      <c r="O349" s="714"/>
      <c r="P349" s="714"/>
      <c r="Q349" s="714"/>
    </row>
    <row r="350" spans="15:17" x14ac:dyDescent="0.25">
      <c r="O350" s="714"/>
      <c r="P350" s="714"/>
      <c r="Q350" s="714"/>
    </row>
    <row r="385" spans="6:27" ht="15.75" x14ac:dyDescent="0.25">
      <c r="F385" s="4"/>
      <c r="G385" s="4"/>
      <c r="H385" s="4"/>
      <c r="I385" s="4"/>
      <c r="J385" s="4"/>
      <c r="K385" s="4"/>
      <c r="L385" s="4"/>
      <c r="M385" s="22"/>
      <c r="O385" s="661"/>
      <c r="P385" s="661"/>
      <c r="Q385" s="661"/>
      <c r="R385" s="661"/>
      <c r="S385" s="661"/>
      <c r="T385" s="661"/>
      <c r="V385" s="227"/>
      <c r="W385" s="227"/>
      <c r="X385" s="227"/>
      <c r="Y385" s="227"/>
      <c r="Z385" s="227"/>
      <c r="AA385" s="661"/>
    </row>
  </sheetData>
  <sheetProtection algorithmName="SHA-512" hashValue="bSc0kgH5jk84dRk8dOVKmoiPmbjUWka/IHrpPB3IW8eEZ9P5uYSkXlBGgz8L1cqr8Lpww/6FgXftoMNLKVmB9A==" saltValue="9Ik9vnyHnfvRg1ahPp7h8w==" spinCount="100000" sheet="1" formatCells="0" formatColumns="0" formatRows="0" selectLockedCells="1" sort="0" autoFilter="0"/>
  <protectedRanges>
    <protectedRange sqref="N11:O11 N17:O20 N27:O27 N31:O31 D11:G11 D17:E20 D27:E27 D31:E31 D36:P36 C41:E41 D42:E45 B37:P37 F12:G24 H12:L16 H18:L19 I11:L11 H21:L24 H28:L30 H32:L34 O12:O16 O21:O24 O28:O30 O32:O34 I17:L17 I20:L20 I27:L27 I31:L31 AA11:AC11 I38:L38 D66:G66 I66:L66 I95:L95 I104:L104 I118:L118 I148:L148 I163:L163 I195:L195 D46:G46 D51:G51 D55:G55 I55:L55 D58:G58 I58:L58 D61:G61 I61:L61 D73:G73 I73:L73 D77:G77 I77:L77 D80:G80 I80:L80 D83:G83 I83:L83 D87:G87 I87:L87 D90:G90 I90:L90 I98:L98 I107:L107 I109:L109 I113:L113 D122 I122:L122 D126 I126:L126 I130:L130 I136:L136 D141 I141:L141 I154:L154 I156:L156 I158:L158 I166:L166 I174:L174 I178:L178 I182:L182 I184:L184 I187:L187 I200:L200 I203:L203 I206:L206 F41:L45 D52:L54 D59:L60 D62:L62 D74:L76 D78:L79 D81:L82 D88:L89 D91:L91 F96:L97 N104:P104 F142:L144 N148:P148 AD95:AG98 AD118:AG134 A250:A252 D56:L57 F123:L125 F127:L129 D102:P102 D116:P116 D146:P146 D161:P161 D193:P193 D210:P210 N38:P38 N118:P136 N195:P208 F27:G34 P27:P35 F25:L26 O25:P26 B11:C36 D84:L86 N95:P100 AD11:AG38 N163:P164 P11:Q13 B226:D226 T214:W226 P14:P24 Q14:Q38 AA214:AG226 N66:P69 AB17:AC20 AB27:AC27 AB31:AC31 AB66:AC66 AB95:AC95 AB148:AC149 AB122:AC122 AB126:AC126 AB141:AC141 AB73:AC84 AB98:AC98 AB154:AC159 AB51:AC62 AB118:AC120 AB130:AC134 AB136:AC137 AB135:AG135 AB35:AC38 AB63:AG65 AB85:AG94 AB145:AG147 B227:AG227 A245:AG248 B236:AG236 A254:AG259 A228:AG231 B251:AG252 B38:G38 N41:P62 Q41:Q69 AD41:AG62 AB41:AC46 N191:P191 Q191:Q226 X191:X226 U191:W213 N154:P159 Q154:S164 R166:S226 N165:S165 Y166:Z226 Q106:S136 AB99:AG117 AD148:AG159 N138:P144 Q138:S148 D130:D137 N137:S137 AD136:AG144 B39:L40 N39:Q40 AB39:AG40 N149:S153 N106:P114 N105:S105 I170:L171 N166:Q190 U166:X190 AB160:AG213 F67:L72 Q72:Q104 N72:P91 U11:Z165 N70:Q71 B41:B225 C42:C225 AD66:AG84 R11:S104 A11:A227 F47:G50 I46:L51 H47:H51 A9:AG10 E35:O35 F95:G95 F98:G98 D98:D101 F101:P101 F99:L100 D94:D95 F94:P94 E94:E101 F107:G107 F109:G109 F113:G113 F108:L108 F110:L112 F114:L114 F103:P103 D103:E115 F115:P115 F104:G104 F105:L106 F118:G118 F122:G122 F126:G126 F130:G130 F141:G141 F119:L121 D117:D120 F117:P117 D145 F145:P145 F131:L135 F136:G136 F137:L140 E117:E145 F148:G148 F154:G154 F156:G156 F158:G158 F155:L155 F157:L157 F159:L159 D147:D149 F147:P147 D154:D160 F160:P160 F149:L153 E147:E160 F163:G163 F166:G166 F174:G174 F178:G178 F182:G182 F184:G184 F187:G187 F183:L183 F167:L169 F172:L173 F175:L177 F179:L181 F185:L186 F162:P162 D162:E192 F192:P192 F188:L191 F164:L165 F170:G171 F195:G195 F200:G200 F203:G203 F206:G206 F201:L202 F204:L205 F207:L208 F194:P194 D194:E209 F209:P209 F196:L199 D211:D225 E211:P226 D63:P65 D92:P93" name="Sortering"/>
    <protectedRange sqref="M38:M62 M104:M114 M195:M208 M11:M34 M66 M95:M100 M163:M191 M148:M159 M118:M144 M68:M91" name="Sortering_1"/>
    <protectedRange sqref="T11" name="Sortering_5"/>
    <protectedRange sqref="T20 T27 T31 T35:T37 T63:T65 T92:T94 T101:T103 T115:T117 T145:T147 T160:T162 T192:T194 T209:T213" name="Sortering_2"/>
    <protectedRange sqref="T38:T40 T66 T95 T104 T118 T148 T163 T195" name="Sortering_5_1"/>
    <protectedRange sqref="T12:T19 T28:T30 T32:T34 T41:T62 T196:T208 T21:T26 T96:T100 T164:T191 M67 AA67 T105:T114 T149:T159 T119:T144 T67:T91" name="Sortering_6_1"/>
    <protectedRange sqref="AA12:AA66 AA68:AA213" name="Sortering_3"/>
  </protectedRanges>
  <autoFilter ref="A9:AG227" xr:uid="{00000000-0009-0000-0000-000002000000}">
    <sortState xmlns:xlrd2="http://schemas.microsoft.com/office/spreadsheetml/2017/richdata2" ref="A10:AG227">
      <sortCondition ref="A9:A227"/>
    </sortState>
  </autoFilter>
  <mergeCells count="5">
    <mergeCell ref="AE8:AG8"/>
    <mergeCell ref="H3:L3"/>
    <mergeCell ref="O3:T3"/>
    <mergeCell ref="V3:AA3"/>
    <mergeCell ref="AC4:AC8"/>
  </mergeCells>
  <phoneticPr fontId="22" type="noConversion"/>
  <conditionalFormatting sqref="H10">
    <cfRule type="expression" dxfId="1748" priority="4567">
      <formula>H10&gt;G10</formula>
    </cfRule>
  </conditionalFormatting>
  <conditionalFormatting sqref="H12:H16">
    <cfRule type="expression" dxfId="1747" priority="3714">
      <formula>$AD12=2</formula>
    </cfRule>
    <cfRule type="expression" dxfId="1746" priority="3713">
      <formula>H12&gt;G12</formula>
    </cfRule>
  </conditionalFormatting>
  <conditionalFormatting sqref="H18:H19 H28:H30 H32:H37">
    <cfRule type="expression" dxfId="1745" priority="3711">
      <formula>H18&gt;G18</formula>
    </cfRule>
  </conditionalFormatting>
  <conditionalFormatting sqref="H21:H26">
    <cfRule type="expression" dxfId="1744" priority="854">
      <formula>H21&gt;G21</formula>
    </cfRule>
  </conditionalFormatting>
  <conditionalFormatting sqref="H39:H45">
    <cfRule type="expression" dxfId="1743" priority="306">
      <formula>H39&gt;G39</formula>
    </cfRule>
    <cfRule type="expression" dxfId="1742" priority="307">
      <formula>$AD39=2</formula>
    </cfRule>
  </conditionalFormatting>
  <conditionalFormatting sqref="H47:H54">
    <cfRule type="expression" dxfId="1741" priority="2409">
      <formula>$AD47=2</formula>
    </cfRule>
    <cfRule type="expression" dxfId="1740" priority="2408">
      <formula>H47&gt;G47</formula>
    </cfRule>
  </conditionalFormatting>
  <conditionalFormatting sqref="H56:H57">
    <cfRule type="expression" dxfId="1739" priority="1268">
      <formula>$AD56=2</formula>
    </cfRule>
    <cfRule type="expression" dxfId="1738" priority="1267">
      <formula>H56&gt;G56</formula>
    </cfRule>
  </conditionalFormatting>
  <conditionalFormatting sqref="H59:H60">
    <cfRule type="expression" dxfId="1737" priority="2350">
      <formula>H59&gt;G59</formula>
    </cfRule>
    <cfRule type="expression" dxfId="1736" priority="2351">
      <formula>$AD59=2</formula>
    </cfRule>
  </conditionalFormatting>
  <conditionalFormatting sqref="H62">
    <cfRule type="expression" dxfId="1735" priority="2322">
      <formula>$AD62=2</formula>
    </cfRule>
  </conditionalFormatting>
  <conditionalFormatting sqref="H62:H65">
    <cfRule type="expression" dxfId="1734" priority="2321">
      <formula>H62&gt;G62</formula>
    </cfRule>
  </conditionalFormatting>
  <conditionalFormatting sqref="H67:H72">
    <cfRule type="expression" dxfId="1733" priority="209">
      <formula>H67&gt;G67</formula>
    </cfRule>
  </conditionalFormatting>
  <conditionalFormatting sqref="H70:H72">
    <cfRule type="expression" dxfId="1732" priority="210">
      <formula>$AD70=2</formula>
    </cfRule>
  </conditionalFormatting>
  <conditionalFormatting sqref="H74:H76">
    <cfRule type="expression" dxfId="1731" priority="2263">
      <formula>H74&gt;G74</formula>
    </cfRule>
    <cfRule type="expression" dxfId="1730" priority="2264">
      <formula>$AD74=2</formula>
    </cfRule>
  </conditionalFormatting>
  <conditionalFormatting sqref="H78:H79">
    <cfRule type="expression" dxfId="1729" priority="2235">
      <formula>$AD78=2</formula>
    </cfRule>
    <cfRule type="expression" dxfId="1728" priority="2234">
      <formula>H78&gt;G78</formula>
    </cfRule>
  </conditionalFormatting>
  <conditionalFormatting sqref="H81:H82">
    <cfRule type="expression" dxfId="1727" priority="2206">
      <formula>$AD81=2</formula>
    </cfRule>
    <cfRule type="expression" dxfId="1726" priority="2205">
      <formula>H81&gt;G81</formula>
    </cfRule>
  </conditionalFormatting>
  <conditionalFormatting sqref="H84:H86">
    <cfRule type="expression" dxfId="1725" priority="804">
      <formula>$AD84=2</formula>
    </cfRule>
    <cfRule type="expression" dxfId="1724" priority="803">
      <formula>H84&gt;G84</formula>
    </cfRule>
  </conditionalFormatting>
  <conditionalFormatting sqref="H88:H89">
    <cfRule type="expression" dxfId="1723" priority="2148">
      <formula>$AD88=2</formula>
    </cfRule>
    <cfRule type="expression" dxfId="1722" priority="2147">
      <formula>H88&gt;G88</formula>
    </cfRule>
  </conditionalFormatting>
  <conditionalFormatting sqref="H91">
    <cfRule type="expression" dxfId="1721" priority="2119">
      <formula>$AD91=2</formula>
    </cfRule>
  </conditionalFormatting>
  <conditionalFormatting sqref="H91:H94">
    <cfRule type="expression" dxfId="1720" priority="2118">
      <formula>H91&gt;G91</formula>
    </cfRule>
  </conditionalFormatting>
  <conditionalFormatting sqref="H96:H97">
    <cfRule type="expression" dxfId="1719" priority="2090">
      <formula>$AD96=2</formula>
    </cfRule>
    <cfRule type="expression" dxfId="1718" priority="2089">
      <formula>H96&gt;G96</formula>
    </cfRule>
  </conditionalFormatting>
  <conditionalFormatting sqref="H99:H100">
    <cfRule type="expression" dxfId="1717" priority="767">
      <formula>$AD99=2</formula>
    </cfRule>
  </conditionalFormatting>
  <conditionalFormatting sqref="H99:H103">
    <cfRule type="expression" dxfId="1716" priority="766">
      <formula>H99&gt;G99</formula>
    </cfRule>
  </conditionalFormatting>
  <conditionalFormatting sqref="H105:H106">
    <cfRule type="expression" dxfId="1715" priority="27">
      <formula>H105&gt;G105</formula>
    </cfRule>
    <cfRule type="expression" dxfId="1714" priority="28">
      <formula>$AD105=2</formula>
    </cfRule>
  </conditionalFormatting>
  <conditionalFormatting sqref="H108">
    <cfRule type="expression" dxfId="1713" priority="2002">
      <formula>H108&gt;G108</formula>
    </cfRule>
    <cfRule type="expression" dxfId="1712" priority="2003">
      <formula>$AD108=2</formula>
    </cfRule>
  </conditionalFormatting>
  <conditionalFormatting sqref="H110:H112">
    <cfRule type="expression" dxfId="1711" priority="1974">
      <formula>$AD110=2</formula>
    </cfRule>
    <cfRule type="expression" dxfId="1710" priority="1973">
      <formula>H110&gt;G110</formula>
    </cfRule>
  </conditionalFormatting>
  <conditionalFormatting sqref="H114">
    <cfRule type="expression" dxfId="1709" priority="1945">
      <formula>$AD114=2</formula>
    </cfRule>
  </conditionalFormatting>
  <conditionalFormatting sqref="H114:H117">
    <cfRule type="expression" dxfId="1708" priority="1944">
      <formula>H114&gt;G114</formula>
    </cfRule>
  </conditionalFormatting>
  <conditionalFormatting sqref="H119:H121">
    <cfRule type="expression" dxfId="1707" priority="1265">
      <formula>H119&gt;G119</formula>
    </cfRule>
    <cfRule type="expression" dxfId="1706" priority="1266">
      <formula>$AD119=2</formula>
    </cfRule>
  </conditionalFormatting>
  <conditionalFormatting sqref="H123:H125">
    <cfRule type="expression" dxfId="1705" priority="1263">
      <formula>H123&gt;G123</formula>
    </cfRule>
    <cfRule type="expression" dxfId="1704" priority="1264">
      <formula>$AD123=2</formula>
    </cfRule>
  </conditionalFormatting>
  <conditionalFormatting sqref="H127:H129">
    <cfRule type="expression" dxfId="1703" priority="1261">
      <formula>H127&gt;G127</formula>
    </cfRule>
    <cfRule type="expression" dxfId="1702" priority="1262">
      <formula>$AD127=2</formula>
    </cfRule>
  </conditionalFormatting>
  <conditionalFormatting sqref="H131:H135">
    <cfRule type="expression" dxfId="1701" priority="946">
      <formula>H131&gt;G131</formula>
    </cfRule>
    <cfRule type="expression" dxfId="1700" priority="947">
      <formula>$AD131=2</formula>
    </cfRule>
  </conditionalFormatting>
  <conditionalFormatting sqref="H137:H140">
    <cfRule type="expression" dxfId="1699" priority="89">
      <formula>H137&gt;G137</formula>
    </cfRule>
    <cfRule type="expression" dxfId="1698" priority="90">
      <formula>$AD137=2</formula>
    </cfRule>
  </conditionalFormatting>
  <conditionalFormatting sqref="H142:H144">
    <cfRule type="expression" dxfId="1697" priority="1742">
      <formula>$AD142=2</formula>
    </cfRule>
  </conditionalFormatting>
  <conditionalFormatting sqref="H142:H147">
    <cfRule type="expression" dxfId="1696" priority="1741">
      <formula>H142&gt;G142</formula>
    </cfRule>
  </conditionalFormatting>
  <conditionalFormatting sqref="H149:H153">
    <cfRule type="expression" dxfId="1695" priority="61">
      <formula>H149&gt;G149</formula>
    </cfRule>
    <cfRule type="expression" dxfId="1694" priority="62">
      <formula>$AD149=2</formula>
    </cfRule>
  </conditionalFormatting>
  <conditionalFormatting sqref="H155">
    <cfRule type="expression" dxfId="1693" priority="1684">
      <formula>$AD155=2</formula>
    </cfRule>
    <cfRule type="expression" dxfId="1692" priority="1683">
      <formula>H155&gt;G155</formula>
    </cfRule>
  </conditionalFormatting>
  <conditionalFormatting sqref="H157">
    <cfRule type="expression" dxfId="1691" priority="1655">
      <formula>$AD157=2</formula>
    </cfRule>
    <cfRule type="expression" dxfId="1690" priority="1654">
      <formula>H157&gt;G157</formula>
    </cfRule>
  </conditionalFormatting>
  <conditionalFormatting sqref="H159">
    <cfRule type="expression" dxfId="1689" priority="1626">
      <formula>$AD159=2</formula>
    </cfRule>
  </conditionalFormatting>
  <conditionalFormatting sqref="H159:H162">
    <cfRule type="expression" dxfId="1688" priority="1625">
      <formula>H159&gt;G159</formula>
    </cfRule>
  </conditionalFormatting>
  <conditionalFormatting sqref="H164:H165">
    <cfRule type="expression" dxfId="1687" priority="242">
      <formula>H164&gt;G164</formula>
    </cfRule>
  </conditionalFormatting>
  <conditionalFormatting sqref="H167:H169">
    <cfRule type="expression" dxfId="1686" priority="1258">
      <formula>$AD167=2</formula>
    </cfRule>
    <cfRule type="expression" dxfId="1685" priority="1257">
      <formula>H167&gt;G167</formula>
    </cfRule>
  </conditionalFormatting>
  <conditionalFormatting sqref="H172:H173">
    <cfRule type="expression" dxfId="1684" priority="1538">
      <formula>H172&gt;G172</formula>
    </cfRule>
    <cfRule type="expression" dxfId="1683" priority="1539">
      <formula>$AD172=2</formula>
    </cfRule>
  </conditionalFormatting>
  <conditionalFormatting sqref="H175:H177">
    <cfRule type="expression" dxfId="1682" priority="1254">
      <formula>$AD175=2</formula>
    </cfRule>
    <cfRule type="expression" dxfId="1681" priority="1253">
      <formula>H175&gt;G175</formula>
    </cfRule>
  </conditionalFormatting>
  <conditionalFormatting sqref="H179:H181">
    <cfRule type="expression" dxfId="1680" priority="1252">
      <formula>$AD179=2</formula>
    </cfRule>
    <cfRule type="expression" dxfId="1679" priority="1251">
      <formula>H179&gt;G179</formula>
    </cfRule>
  </conditionalFormatting>
  <conditionalFormatting sqref="H183">
    <cfRule type="expression" dxfId="1678" priority="1451">
      <formula>H183&gt;G183</formula>
    </cfRule>
    <cfRule type="expression" dxfId="1677" priority="1452">
      <formula>$AD183=2</formula>
    </cfRule>
  </conditionalFormatting>
  <conditionalFormatting sqref="H185:H186">
    <cfRule type="expression" dxfId="1676" priority="1249">
      <formula>H185&gt;G185</formula>
    </cfRule>
    <cfRule type="expression" dxfId="1675" priority="1250">
      <formula>$AD185=2</formula>
    </cfRule>
  </conditionalFormatting>
  <conditionalFormatting sqref="H188:H191">
    <cfRule type="expression" dxfId="1674" priority="1248">
      <formula>$AD188=2</formula>
    </cfRule>
  </conditionalFormatting>
  <conditionalFormatting sqref="H188:H194">
    <cfRule type="expression" dxfId="1673" priority="1247">
      <formula>H188&gt;G188</formula>
    </cfRule>
  </conditionalFormatting>
  <conditionalFormatting sqref="H196:H199">
    <cfRule type="expression" dxfId="1672" priority="899">
      <formula>H196&gt;G196</formula>
    </cfRule>
  </conditionalFormatting>
  <conditionalFormatting sqref="H201:H202">
    <cfRule type="expression" dxfId="1671" priority="1336">
      <formula>$AD201=2</formula>
    </cfRule>
    <cfRule type="expression" dxfId="1670" priority="1335">
      <formula>H201&gt;G201</formula>
    </cfRule>
  </conditionalFormatting>
  <conditionalFormatting sqref="H204:H205">
    <cfRule type="expression" dxfId="1669" priority="1306">
      <formula>H204&gt;G204</formula>
    </cfRule>
    <cfRule type="expression" dxfId="1668" priority="1307">
      <formula>$AD204=2</formula>
    </cfRule>
  </conditionalFormatting>
  <conditionalFormatting sqref="H207:H208">
    <cfRule type="expression" dxfId="1667" priority="1278">
      <formula>$AD207=2</formula>
    </cfRule>
  </conditionalFormatting>
  <conditionalFormatting sqref="H207:H226">
    <cfRule type="expression" dxfId="1666" priority="1277">
      <formula>H207&gt;G207</formula>
    </cfRule>
  </conditionalFormatting>
  <conditionalFormatting sqref="H245">
    <cfRule type="expression" dxfId="1665" priority="4210">
      <formula>H245&gt;G245</formula>
    </cfRule>
  </conditionalFormatting>
  <conditionalFormatting sqref="H248">
    <cfRule type="expression" dxfId="1664" priority="4123">
      <formula>H248&gt;G248</formula>
    </cfRule>
  </conditionalFormatting>
  <conditionalFormatting sqref="H251:H252">
    <cfRule type="expression" dxfId="1663" priority="4097">
      <formula>H251&gt;G251</formula>
    </cfRule>
  </conditionalFormatting>
  <conditionalFormatting sqref="H255:H258">
    <cfRule type="expression" dxfId="1662" priority="3984">
      <formula>H255&gt;G255</formula>
    </cfRule>
  </conditionalFormatting>
  <conditionalFormatting sqref="H67:J69">
    <cfRule type="expression" dxfId="1661" priority="2293">
      <formula>$AD67=2</formula>
    </cfRule>
  </conditionalFormatting>
  <conditionalFormatting sqref="H25:L26">
    <cfRule type="expression" dxfId="1660" priority="856">
      <formula>$AD25=2</formula>
    </cfRule>
  </conditionalFormatting>
  <conditionalFormatting sqref="H164:M165">
    <cfRule type="expression" dxfId="1659" priority="243">
      <formula>$AD164=2</formula>
    </cfRule>
  </conditionalFormatting>
  <conditionalFormatting sqref="H196:M197">
    <cfRule type="expression" dxfId="1658" priority="900">
      <formula>$AD196=2</formula>
    </cfRule>
  </conditionalFormatting>
  <conditionalFormatting sqref="H209:M226">
    <cfRule type="expression" dxfId="1657" priority="1222">
      <formula>$AD209=2</formula>
    </cfRule>
  </conditionalFormatting>
  <conditionalFormatting sqref="I11:I226">
    <cfRule type="expression" dxfId="1655" priority="80">
      <formula>G11=0</formula>
    </cfRule>
  </conditionalFormatting>
  <conditionalFormatting sqref="I39:J62">
    <cfRule type="expression" dxfId="1654" priority="308">
      <formula>$AD39=2</formula>
    </cfRule>
  </conditionalFormatting>
  <conditionalFormatting sqref="I70:J91">
    <cfRule type="expression" dxfId="1653" priority="204">
      <formula>$AD70=2</formula>
    </cfRule>
  </conditionalFormatting>
  <conditionalFormatting sqref="I105:J114">
    <cfRule type="expression" dxfId="1652" priority="188">
      <formula>$AD105=2</formula>
    </cfRule>
  </conditionalFormatting>
  <conditionalFormatting sqref="I246:K246 M246 BA246">
    <cfRule type="expression" dxfId="1651" priority="4162">
      <formula>$AD20=2</formula>
    </cfRule>
  </conditionalFormatting>
  <conditionalFormatting sqref="I247:K247 M247">
    <cfRule type="expression" dxfId="1650" priority="3780">
      <formula>$AD27=2</formula>
    </cfRule>
  </conditionalFormatting>
  <conditionalFormatting sqref="I12:L24">
    <cfRule type="expression" dxfId="1649" priority="3724">
      <formula>$AD12=2</formula>
    </cfRule>
  </conditionalFormatting>
  <conditionalFormatting sqref="I38:L38">
    <cfRule type="expression" dxfId="1648" priority="3370">
      <formula>$AD38=2</formula>
    </cfRule>
  </conditionalFormatting>
  <conditionalFormatting sqref="I104:L104">
    <cfRule type="expression" dxfId="1647" priority="3307">
      <formula>$AD104=2</formula>
    </cfRule>
  </conditionalFormatting>
  <conditionalFormatting sqref="I11:M11">
    <cfRule type="expression" dxfId="1646" priority="3809">
      <formula>$AD11=2</formula>
    </cfRule>
  </conditionalFormatting>
  <conditionalFormatting sqref="I27:M34">
    <cfRule type="expression" dxfId="1645" priority="3717">
      <formula>$AD27=2</formula>
    </cfRule>
  </conditionalFormatting>
  <conditionalFormatting sqref="I66:M66">
    <cfRule type="expression" dxfId="1644" priority="3344">
      <formula>$AD66=2</formula>
    </cfRule>
  </conditionalFormatting>
  <conditionalFormatting sqref="I95:M100">
    <cfRule type="expression" dxfId="1643" priority="770">
      <formula>$AD95=2</formula>
    </cfRule>
  </conditionalFormatting>
  <conditionalFormatting sqref="I118:M118">
    <cfRule type="expression" dxfId="1642" priority="3281">
      <formula>$AD118=2</formula>
    </cfRule>
  </conditionalFormatting>
  <conditionalFormatting sqref="I138:M144">
    <cfRule type="expression" dxfId="1641" priority="1743">
      <formula>$AD138=2</formula>
    </cfRule>
  </conditionalFormatting>
  <conditionalFormatting sqref="I148:M159">
    <cfRule type="expression" dxfId="1640" priority="147">
      <formula>$AD148=2</formula>
    </cfRule>
  </conditionalFormatting>
  <conditionalFormatting sqref="I163:M163">
    <cfRule type="expression" dxfId="1639" priority="3239">
      <formula>$AD163=2</formula>
    </cfRule>
  </conditionalFormatting>
  <conditionalFormatting sqref="I166:M191">
    <cfRule type="expression" dxfId="1638" priority="1395">
      <formula>$AD166=2</formula>
    </cfRule>
  </conditionalFormatting>
  <conditionalFormatting sqref="I195:M195">
    <cfRule type="expression" dxfId="1637" priority="3218">
      <formula>$AD195=2</formula>
    </cfRule>
  </conditionalFormatting>
  <conditionalFormatting sqref="I200:M208">
    <cfRule type="expression" dxfId="1636" priority="1279">
      <formula>$AD200=2</formula>
    </cfRule>
  </conditionalFormatting>
  <conditionalFormatting sqref="I236:M236 R236:T236 Y236:AA236 BA236">
    <cfRule type="expression" dxfId="1635" priority="3890">
      <formula>$AD46=2</formula>
    </cfRule>
  </conditionalFormatting>
  <conditionalFormatting sqref="I259:M259">
    <cfRule type="expression" dxfId="1634" priority="4071">
      <formula>$AD148=2</formula>
    </cfRule>
  </conditionalFormatting>
  <conditionalFormatting sqref="J11:J226">
    <cfRule type="expression" dxfId="1633" priority="79">
      <formula>G11=0</formula>
    </cfRule>
  </conditionalFormatting>
  <conditionalFormatting sqref="K133:K136">
    <cfRule type="expression" dxfId="1632" priority="728">
      <formula>$AE133=2</formula>
    </cfRule>
    <cfRule type="expression" dxfId="1631" priority="729">
      <formula>$AE133=1</formula>
    </cfRule>
    <cfRule type="expression" dxfId="1630" priority="725">
      <formula>$AD133=2</formula>
    </cfRule>
    <cfRule type="expression" dxfId="1629" priority="726">
      <formula>$AE133=4</formula>
    </cfRule>
    <cfRule type="expression" dxfId="1628" priority="727">
      <formula>$AE133=3</formula>
    </cfRule>
  </conditionalFormatting>
  <conditionalFormatting sqref="K10:L11 K63:L65 K92:L94 K101:L103 K115:L117 K145:L147 K160:L162 K192:L194 K236:L236 K245:L248 K251:L252 K254:L259">
    <cfRule type="expression" dxfId="1627" priority="4690">
      <formula>$AE10=1</formula>
    </cfRule>
    <cfRule type="expression" dxfId="1626" priority="4688">
      <formula>$AE10=3</formula>
    </cfRule>
    <cfRule type="expression" dxfId="1625" priority="4689">
      <formula>$AE10=2</formula>
    </cfRule>
  </conditionalFormatting>
  <conditionalFormatting sqref="K12:L24">
    <cfRule type="expression" dxfId="1624" priority="3725">
      <formula>$AE12=4</formula>
    </cfRule>
    <cfRule type="expression" dxfId="1623" priority="3726">
      <formula>$AE12=3</formula>
    </cfRule>
    <cfRule type="expression" dxfId="1622" priority="3727">
      <formula>$AE12=2</formula>
    </cfRule>
    <cfRule type="expression" dxfId="1621" priority="3728">
      <formula>$AE12=1</formula>
    </cfRule>
  </conditionalFormatting>
  <conditionalFormatting sqref="K25:L26">
    <cfRule type="expression" dxfId="1620" priority="857">
      <formula>$AE25=4</formula>
    </cfRule>
    <cfRule type="expression" dxfId="1619" priority="860">
      <formula>$AE25=1</formula>
    </cfRule>
    <cfRule type="expression" dxfId="1618" priority="859">
      <formula>$AE25=2</formula>
    </cfRule>
    <cfRule type="expression" dxfId="1617" priority="858">
      <formula>$AE25=3</formula>
    </cfRule>
  </conditionalFormatting>
  <conditionalFormatting sqref="K27:L37">
    <cfRule type="expression" dxfId="1616" priority="3719">
      <formula>$AE27=4</formula>
    </cfRule>
    <cfRule type="expression" dxfId="1615" priority="3722">
      <formula>$AE27=1</formula>
    </cfRule>
    <cfRule type="expression" dxfId="1614" priority="3720">
      <formula>$AE27=3</formula>
    </cfRule>
    <cfRule type="expression" dxfId="1613" priority="3721">
      <formula>$AE27=2</formula>
    </cfRule>
  </conditionalFormatting>
  <conditionalFormatting sqref="K38:L40">
    <cfRule type="expression" dxfId="1612" priority="3379">
      <formula>$AE38=4</formula>
    </cfRule>
    <cfRule type="expression" dxfId="1611" priority="3380">
      <formula>$AE38=3</formula>
    </cfRule>
    <cfRule type="expression" dxfId="1610" priority="3381">
      <formula>$AE38=2</formula>
    </cfRule>
    <cfRule type="expression" dxfId="1609" priority="3382">
      <formula>$AE38=1</formula>
    </cfRule>
  </conditionalFormatting>
  <conditionalFormatting sqref="K39:L45">
    <cfRule type="expression" dxfId="1608" priority="2469">
      <formula>$AD39=2</formula>
    </cfRule>
  </conditionalFormatting>
  <conditionalFormatting sqref="K41:L46">
    <cfRule type="expression" dxfId="1607" priority="2472">
      <formula>$AE41=2</formula>
    </cfRule>
    <cfRule type="expression" dxfId="1606" priority="2473">
      <formula>$AE41=1</formula>
    </cfRule>
    <cfRule type="expression" dxfId="1605" priority="2471">
      <formula>$AE41=3</formula>
    </cfRule>
    <cfRule type="expression" dxfId="1604" priority="2470">
      <formula>$AE41=4</formula>
    </cfRule>
  </conditionalFormatting>
  <conditionalFormatting sqref="K47:L62">
    <cfRule type="expression" dxfId="1603" priority="2325">
      <formula>$AE47=4</formula>
    </cfRule>
    <cfRule type="expression" dxfId="1602" priority="2326">
      <formula>$AE47=3</formula>
    </cfRule>
    <cfRule type="expression" dxfId="1601" priority="2328">
      <formula>$AE47=1</formula>
    </cfRule>
    <cfRule type="expression" dxfId="1600" priority="2327">
      <formula>$AE47=2</formula>
    </cfRule>
  </conditionalFormatting>
  <conditionalFormatting sqref="K66:L72">
    <cfRule type="expression" dxfId="1599" priority="3361">
      <formula>$AE66=1</formula>
    </cfRule>
    <cfRule type="expression" dxfId="1598" priority="3359">
      <formula>$AE66=3</formula>
    </cfRule>
    <cfRule type="expression" dxfId="1597" priority="3358">
      <formula>$AE66=4</formula>
    </cfRule>
    <cfRule type="expression" dxfId="1596" priority="3360">
      <formula>$AE66=2</formula>
    </cfRule>
  </conditionalFormatting>
  <conditionalFormatting sqref="K67:L76">
    <cfRule type="expression" dxfId="1595" priority="2266">
      <formula>$AD67=2</formula>
    </cfRule>
  </conditionalFormatting>
  <conditionalFormatting sqref="K73:L77">
    <cfRule type="expression" dxfId="1594" priority="2269">
      <formula>$AE73=2</formula>
    </cfRule>
    <cfRule type="expression" dxfId="1593" priority="2270">
      <formula>$AE73=1</formula>
    </cfRule>
    <cfRule type="expression" dxfId="1592" priority="2268">
      <formula>$AE73=3</formula>
    </cfRule>
    <cfRule type="expression" dxfId="1591" priority="2267">
      <formula>$AE73=4</formula>
    </cfRule>
  </conditionalFormatting>
  <conditionalFormatting sqref="K78:L91">
    <cfRule type="expression" dxfId="1590" priority="809">
      <formula>$AE78=2</formula>
    </cfRule>
    <cfRule type="expression" dxfId="1589" priority="808">
      <formula>$AE78=3</formula>
    </cfRule>
    <cfRule type="expression" dxfId="1588" priority="807">
      <formula>$AE78=4</formula>
    </cfRule>
    <cfRule type="expression" dxfId="1587" priority="810">
      <formula>$AE78=1</formula>
    </cfRule>
  </conditionalFormatting>
  <conditionalFormatting sqref="K95:L100">
    <cfRule type="expression" dxfId="1586" priority="772">
      <formula>$AE95=4</formula>
    </cfRule>
    <cfRule type="expression" dxfId="1585" priority="775">
      <formula>$AE95=1</formula>
    </cfRule>
    <cfRule type="expression" dxfId="1584" priority="773">
      <formula>$AE95=3</formula>
    </cfRule>
    <cfRule type="expression" dxfId="1583" priority="774">
      <formula>$AE95=2</formula>
    </cfRule>
  </conditionalFormatting>
  <conditionalFormatting sqref="K104:L105">
    <cfRule type="expression" dxfId="1582" priority="3319">
      <formula>$AE104=1</formula>
    </cfRule>
    <cfRule type="expression" dxfId="1581" priority="3316">
      <formula>$AE104=4</formula>
    </cfRule>
    <cfRule type="expression" dxfId="1580" priority="3318">
      <formula>$AE104=2</formula>
    </cfRule>
    <cfRule type="expression" dxfId="1579" priority="3317">
      <formula>$AE104=3</formula>
    </cfRule>
  </conditionalFormatting>
  <conditionalFormatting sqref="K105:L106">
    <cfRule type="expression" dxfId="1578" priority="2034">
      <formula>$AD105=2</formula>
    </cfRule>
  </conditionalFormatting>
  <conditionalFormatting sqref="K106:L107">
    <cfRule type="expression" dxfId="1577" priority="2038">
      <formula>$AE106=1</formula>
    </cfRule>
    <cfRule type="expression" dxfId="1576" priority="2035">
      <formula>$AE106=4</formula>
    </cfRule>
    <cfRule type="expression" dxfId="1575" priority="2036">
      <formula>$AE106=3</formula>
    </cfRule>
    <cfRule type="expression" dxfId="1574" priority="2037">
      <formula>$AE106=2</formula>
    </cfRule>
  </conditionalFormatting>
  <conditionalFormatting sqref="K108:L114">
    <cfRule type="expression" dxfId="1573" priority="1949">
      <formula>$AE108=3</formula>
    </cfRule>
    <cfRule type="expression" dxfId="1572" priority="1951">
      <formula>$AE108=1</formula>
    </cfRule>
    <cfRule type="expression" dxfId="1571" priority="1950">
      <formula>$AE108=2</formula>
    </cfRule>
    <cfRule type="expression" dxfId="1570" priority="1948">
      <formula>$AE108=4</formula>
    </cfRule>
  </conditionalFormatting>
  <conditionalFormatting sqref="K118:L118">
    <cfRule type="expression" dxfId="1569" priority="3295">
      <formula>$AE118=4</formula>
    </cfRule>
    <cfRule type="expression" dxfId="1568" priority="3298">
      <formula>$AE118=1</formula>
    </cfRule>
    <cfRule type="expression" dxfId="1567" priority="3297">
      <formula>$AE118=2</formula>
    </cfRule>
    <cfRule type="expression" dxfId="1566" priority="3296">
      <formula>$AE118=3</formula>
    </cfRule>
  </conditionalFormatting>
  <conditionalFormatting sqref="K119:L130">
    <cfRule type="expression" dxfId="1565" priority="1835">
      <formula>$AE119=1</formula>
    </cfRule>
    <cfRule type="expression" dxfId="1564" priority="1834">
      <formula>$AE119=2</formula>
    </cfRule>
    <cfRule type="expression" dxfId="1563" priority="1833">
      <formula>$AE119=3</formula>
    </cfRule>
    <cfRule type="expression" dxfId="1562" priority="1832">
      <formula>$AE119=4</formula>
    </cfRule>
  </conditionalFormatting>
  <conditionalFormatting sqref="K131:L132">
    <cfRule type="expression" dxfId="1561" priority="1805">
      <formula>$AE131=2</formula>
    </cfRule>
    <cfRule type="expression" dxfId="1560" priority="1802">
      <formula>$AD131=2</formula>
    </cfRule>
    <cfRule type="expression" dxfId="1559" priority="1803">
      <formula>$AE131=4</formula>
    </cfRule>
    <cfRule type="expression" dxfId="1558" priority="1804">
      <formula>$AE131=3</formula>
    </cfRule>
    <cfRule type="expression" dxfId="1557" priority="1806">
      <formula>$AE131=1</formula>
    </cfRule>
  </conditionalFormatting>
  <conditionalFormatting sqref="K137:L137">
    <cfRule type="expression" dxfId="1556" priority="96">
      <formula>$AE137=3</formula>
    </cfRule>
    <cfRule type="expression" dxfId="1555" priority="97">
      <formula>$AE137=2</formula>
    </cfRule>
    <cfRule type="expression" dxfId="1554" priority="95">
      <formula>$AE137=4</formula>
    </cfRule>
    <cfRule type="expression" dxfId="1553" priority="98">
      <formula>$AE137=1</formula>
    </cfRule>
  </conditionalFormatting>
  <conditionalFormatting sqref="K138:L144">
    <cfRule type="expression" dxfId="1552" priority="1747">
      <formula>$AE138=2</formula>
    </cfRule>
    <cfRule type="expression" dxfId="1551" priority="1748">
      <formula>$AE138=1</formula>
    </cfRule>
    <cfRule type="expression" dxfId="1550" priority="1746">
      <formula>$AE138=3</formula>
    </cfRule>
    <cfRule type="expression" dxfId="1549" priority="1745">
      <formula>$AE138=4</formula>
    </cfRule>
  </conditionalFormatting>
  <conditionalFormatting sqref="K148:L159">
    <cfRule type="expression" dxfId="1548" priority="153">
      <formula>$AE148=1</formula>
    </cfRule>
    <cfRule type="expression" dxfId="1547" priority="152">
      <formula>$AE148=2</formula>
    </cfRule>
    <cfRule type="expression" dxfId="1546" priority="151">
      <formula>$AE148=3</formula>
    </cfRule>
    <cfRule type="expression" dxfId="1545" priority="150">
      <formula>$AE148=4</formula>
    </cfRule>
  </conditionalFormatting>
  <conditionalFormatting sqref="K163:L163">
    <cfRule type="expression" dxfId="1544" priority="3255">
      <formula>$AE163=2</formula>
    </cfRule>
    <cfRule type="expression" dxfId="1543" priority="3254">
      <formula>$AE163=3</formula>
    </cfRule>
    <cfRule type="expression" dxfId="1542" priority="3253">
      <formula>$AE163=4</formula>
    </cfRule>
    <cfRule type="expression" dxfId="1541" priority="3256">
      <formula>$AE163=1</formula>
    </cfRule>
  </conditionalFormatting>
  <conditionalFormatting sqref="K164:L165">
    <cfRule type="expression" dxfId="1540" priority="248">
      <formula>$AE164=1</formula>
    </cfRule>
    <cfRule type="expression" dxfId="1539" priority="247">
      <formula>$AE164=2</formula>
    </cfRule>
    <cfRule type="expression" dxfId="1538" priority="246">
      <formula>$AE164=3</formula>
    </cfRule>
    <cfRule type="expression" dxfId="1537" priority="245">
      <formula>$AE164=4</formula>
    </cfRule>
  </conditionalFormatting>
  <conditionalFormatting sqref="K166:L191">
    <cfRule type="expression" dxfId="1536" priority="1398">
      <formula>$AE166=3</formula>
    </cfRule>
    <cfRule type="expression" dxfId="1535" priority="1397">
      <formula>$AE166=4</formula>
    </cfRule>
    <cfRule type="expression" dxfId="1534" priority="1399">
      <formula>$AE166=2</formula>
    </cfRule>
    <cfRule type="expression" dxfId="1533" priority="1400">
      <formula>$AE166=1</formula>
    </cfRule>
  </conditionalFormatting>
  <conditionalFormatting sqref="K195:L196">
    <cfRule type="expression" dxfId="1532" priority="3232">
      <formula>$AE195=4</formula>
    </cfRule>
    <cfRule type="expression" dxfId="1531" priority="3233">
      <formula>$AE195=3</formula>
    </cfRule>
    <cfRule type="expression" dxfId="1530" priority="3234">
      <formula>$AE195=2</formula>
    </cfRule>
    <cfRule type="expression" dxfId="1529" priority="3235">
      <formula>$AE195=1</formula>
    </cfRule>
  </conditionalFormatting>
  <conditionalFormatting sqref="K197:L199">
    <cfRule type="expression" dxfId="1528" priority="906">
      <formula>$AE197=2</formula>
    </cfRule>
    <cfRule type="expression" dxfId="1527" priority="904">
      <formula>$AE197=4</formula>
    </cfRule>
    <cfRule type="expression" dxfId="1526" priority="905">
      <formula>$AE197=3</formula>
    </cfRule>
    <cfRule type="expression" dxfId="1525" priority="907">
      <formula>$AE197=1</formula>
    </cfRule>
  </conditionalFormatting>
  <conditionalFormatting sqref="K200:L224">
    <cfRule type="expression" dxfId="1524" priority="1284">
      <formula>$AE200=1</formula>
    </cfRule>
    <cfRule type="expression" dxfId="1523" priority="1281">
      <formula>$AE200=4</formula>
    </cfRule>
    <cfRule type="expression" dxfId="1522" priority="1282">
      <formula>$AE200=3</formula>
    </cfRule>
    <cfRule type="expression" dxfId="1521" priority="1283">
      <formula>$AE200=2</formula>
    </cfRule>
  </conditionalFormatting>
  <conditionalFormatting sqref="K225:L227">
    <cfRule type="expression" dxfId="1520" priority="1226">
      <formula>$AE225=1</formula>
    </cfRule>
    <cfRule type="expression" dxfId="1519" priority="1225">
      <formula>$AE225=2</formula>
    </cfRule>
    <cfRule type="expression" dxfId="1518" priority="1224">
      <formula>$AE225=3</formula>
    </cfRule>
    <cfRule type="expression" dxfId="1517" priority="1223">
      <formula>$AE225=4</formula>
    </cfRule>
  </conditionalFormatting>
  <conditionalFormatting sqref="K245:L248 K254:L259 K236:L236 K10:L11 K63:L65 K92:L94 K101:L103 K115:L117 K145:L147 K160:L162 K192:L194 K251:L252">
    <cfRule type="expression" dxfId="1516" priority="4687">
      <formula>$AE10=4</formula>
    </cfRule>
  </conditionalFormatting>
  <conditionalFormatting sqref="K46:M62">
    <cfRule type="expression" dxfId="1515" priority="2323">
      <formula>$AD46=2</formula>
    </cfRule>
  </conditionalFormatting>
  <conditionalFormatting sqref="K77:M91">
    <cfRule type="expression" dxfId="1514" priority="805">
      <formula>$AD77=2</formula>
    </cfRule>
  </conditionalFormatting>
  <conditionalFormatting sqref="K107:M114">
    <cfRule type="expression" dxfId="1513" priority="1946">
      <formula>$AD107=2</formula>
    </cfRule>
  </conditionalFormatting>
  <conditionalFormatting sqref="K119:M130">
    <cfRule type="expression" dxfId="1512" priority="1830">
      <formula>$AD119=2</formula>
    </cfRule>
  </conditionalFormatting>
  <conditionalFormatting sqref="K137:M137">
    <cfRule type="expression" dxfId="1511" priority="93">
      <formula>$AD137=2</formula>
    </cfRule>
  </conditionalFormatting>
  <conditionalFormatting sqref="L133:L135">
    <cfRule type="expression" dxfId="1510" priority="951">
      <formula>$AE133=3</formula>
    </cfRule>
    <cfRule type="expression" dxfId="1509" priority="950">
      <formula>$AE133=4</formula>
    </cfRule>
    <cfRule type="expression" dxfId="1508" priority="949">
      <formula>$AD133=2</formula>
    </cfRule>
    <cfRule type="expression" dxfId="1507" priority="953">
      <formula>$AE133=1</formula>
    </cfRule>
    <cfRule type="expression" dxfId="1506" priority="952">
      <formula>$AE133=2</formula>
    </cfRule>
  </conditionalFormatting>
  <conditionalFormatting sqref="L136">
    <cfRule type="expression" dxfId="1505" priority="2804">
      <formula>$AE136=1</formula>
    </cfRule>
    <cfRule type="expression" dxfId="1504" priority="2803">
      <formula>$AE136=2</formula>
    </cfRule>
    <cfRule type="expression" dxfId="1503" priority="2802">
      <formula>$AE136=3</formula>
    </cfRule>
    <cfRule type="expression" dxfId="1502" priority="2801">
      <formula>$AE136=4</formula>
    </cfRule>
  </conditionalFormatting>
  <conditionalFormatting sqref="L136:M136">
    <cfRule type="expression" dxfId="1501" priority="2799">
      <formula>$AD136=2</formula>
    </cfRule>
  </conditionalFormatting>
  <conditionalFormatting sqref="M12:M26">
    <cfRule type="expression" dxfId="1500" priority="724">
      <formula>$AD12=2</formula>
    </cfRule>
  </conditionalFormatting>
  <conditionalFormatting sqref="M38:M45">
    <cfRule type="expression" dxfId="1499" priority="2468">
      <formula>$AD38=2</formula>
    </cfRule>
  </conditionalFormatting>
  <conditionalFormatting sqref="M67">
    <cfRule type="expression" dxfId="1498" priority="310">
      <formula>$AB67=2</formula>
    </cfRule>
  </conditionalFormatting>
  <conditionalFormatting sqref="M68:M76">
    <cfRule type="expression" dxfId="1497" priority="2265">
      <formula>$AD68=2</formula>
    </cfRule>
  </conditionalFormatting>
  <conditionalFormatting sqref="M104:M106">
    <cfRule type="expression" dxfId="1496" priority="2033">
      <formula>$AD104=2</formula>
    </cfRule>
  </conditionalFormatting>
  <conditionalFormatting sqref="M131:M135">
    <cfRule type="expression" dxfId="1495" priority="948">
      <formula>$AD131=2</formula>
    </cfRule>
  </conditionalFormatting>
  <conditionalFormatting sqref="M173">
    <cfRule type="expression" dxfId="1494" priority="739">
      <formula>$AD173=2</formula>
    </cfRule>
  </conditionalFormatting>
  <conditionalFormatting sqref="M177">
    <cfRule type="expression" dxfId="1493" priority="732">
      <formula>$AD177=2</formula>
    </cfRule>
  </conditionalFormatting>
  <conditionalFormatting sqref="O12:O16">
    <cfRule type="expression" dxfId="1492" priority="3638">
      <formula>$AD12=2</formula>
    </cfRule>
    <cfRule type="expression" dxfId="1491" priority="3637">
      <formula>O12&gt;G12</formula>
    </cfRule>
  </conditionalFormatting>
  <conditionalFormatting sqref="O21:O26">
    <cfRule type="expression" dxfId="1488" priority="844">
      <formula>O21&gt;G21</formula>
    </cfRule>
    <cfRule type="expression" dxfId="1485" priority="845">
      <formula>$AD21=2</formula>
    </cfRule>
  </conditionalFormatting>
  <conditionalFormatting sqref="O28:O30">
    <cfRule type="expression" dxfId="1484" priority="3525">
      <formula>O28&gt;G28</formula>
    </cfRule>
    <cfRule type="expression" dxfId="1483" priority="3526">
      <formula>$AD28=2</formula>
    </cfRule>
  </conditionalFormatting>
  <conditionalFormatting sqref="O32:O35">
    <cfRule type="expression" dxfId="1478" priority="3477">
      <formula>O32&gt;G32</formula>
    </cfRule>
    <cfRule type="expression" dxfId="1477" priority="3478">
      <formula>$AD32=2</formula>
    </cfRule>
  </conditionalFormatting>
  <conditionalFormatting sqref="O39:O45">
    <cfRule type="expression" dxfId="1476" priority="302">
      <formula>O39&gt;G39</formula>
    </cfRule>
    <cfRule type="expression" dxfId="1473" priority="303">
      <formula>$AD39=2</formula>
    </cfRule>
  </conditionalFormatting>
  <conditionalFormatting sqref="O47:O50">
    <cfRule type="expression" dxfId="1470" priority="2450">
      <formula>O47&gt;G47</formula>
    </cfRule>
    <cfRule type="expression" dxfId="1469" priority="2451">
      <formula>$AD47=2</formula>
    </cfRule>
  </conditionalFormatting>
  <conditionalFormatting sqref="O52:O54">
    <cfRule type="expression" dxfId="1468" priority="2422">
      <formula>$AD52=2</formula>
    </cfRule>
    <cfRule type="expression" dxfId="1467" priority="2421">
      <formula>O52&gt;G52</formula>
    </cfRule>
  </conditionalFormatting>
  <conditionalFormatting sqref="O56:O57">
    <cfRule type="expression" dxfId="1462" priority="1059">
      <formula>$AD56=2</formula>
    </cfRule>
    <cfRule type="expression" dxfId="1461" priority="1058">
      <formula>O56&gt;G56</formula>
    </cfRule>
  </conditionalFormatting>
  <conditionalFormatting sqref="O59:O60">
    <cfRule type="expression" dxfId="1458" priority="2363">
      <formula>O59&gt;G59</formula>
    </cfRule>
    <cfRule type="expression" dxfId="1457" priority="2364">
      <formula>$AD59=2</formula>
    </cfRule>
  </conditionalFormatting>
  <conditionalFormatting sqref="O62:O63">
    <cfRule type="expression" dxfId="1455" priority="2335">
      <formula>$AD62=2</formula>
    </cfRule>
    <cfRule type="expression" dxfId="1454" priority="2334">
      <formula>O62&gt;G62</formula>
    </cfRule>
  </conditionalFormatting>
  <conditionalFormatting sqref="O67:O72 O36:P37 O64:P65 O93:P94 O102:P103 O10:Q10 O18:O19 O116:P117 O146:P147 O161:P162 O193:P194 O210:P211">
    <cfRule type="expression" dxfId="1452" priority="4566">
      <formula>O10&gt;G10</formula>
    </cfRule>
  </conditionalFormatting>
  <conditionalFormatting sqref="O70">
    <cfRule type="expression" dxfId="1449" priority="201">
      <formula>O70&gt;G70</formula>
    </cfRule>
    <cfRule type="expression" dxfId="1448" priority="202">
      <formula>$AD70=2</formula>
    </cfRule>
  </conditionalFormatting>
  <conditionalFormatting sqref="O74:O76">
    <cfRule type="expression" dxfId="1444" priority="2277">
      <formula>$AD74=2</formula>
    </cfRule>
    <cfRule type="expression" dxfId="1443" priority="2276">
      <formula>O74&gt;G74</formula>
    </cfRule>
  </conditionalFormatting>
  <conditionalFormatting sqref="O78:O79">
    <cfRule type="expression" dxfId="1442" priority="2247">
      <formula>O78&gt;G78</formula>
    </cfRule>
    <cfRule type="expression" dxfId="1441" priority="2248">
      <formula>$AD78=2</formula>
    </cfRule>
  </conditionalFormatting>
  <conditionalFormatting sqref="O81:O82">
    <cfRule type="expression" dxfId="1436" priority="2218">
      <formula>O81&gt;G81</formula>
    </cfRule>
    <cfRule type="expression" dxfId="1435" priority="2219">
      <formula>$AD81=2</formula>
    </cfRule>
  </conditionalFormatting>
  <conditionalFormatting sqref="O84:O85">
    <cfRule type="expression" dxfId="1434" priority="817">
      <formula>$AD84=2</formula>
    </cfRule>
  </conditionalFormatting>
  <conditionalFormatting sqref="O84:O86">
    <cfRule type="expression" dxfId="1432" priority="816">
      <formula>O84&gt;G84</formula>
    </cfRule>
  </conditionalFormatting>
  <conditionalFormatting sqref="O88:O89">
    <cfRule type="expression" dxfId="1429" priority="2161">
      <formula>$AD88=2</formula>
    </cfRule>
    <cfRule type="expression" dxfId="1427" priority="2160">
      <formula>O88&gt;G88</formula>
    </cfRule>
  </conditionalFormatting>
  <conditionalFormatting sqref="O91:O92">
    <cfRule type="expression" dxfId="1424" priority="2131">
      <formula>O91&gt;G91</formula>
    </cfRule>
    <cfRule type="expression" dxfId="1423" priority="2132">
      <formula>$AD91=2</formula>
    </cfRule>
  </conditionalFormatting>
  <conditionalFormatting sqref="O96:O97">
    <cfRule type="expression" dxfId="1422" priority="2102">
      <formula>O96&gt;G96</formula>
    </cfRule>
    <cfRule type="expression" dxfId="1419" priority="2103">
      <formula>$AD96=2</formula>
    </cfRule>
  </conditionalFormatting>
  <conditionalFormatting sqref="O99:O101">
    <cfRule type="expression" dxfId="1417" priority="765">
      <formula>$AD99=2</formula>
    </cfRule>
    <cfRule type="expression" dxfId="1416" priority="764">
      <formula>O99&gt;G99</formula>
    </cfRule>
  </conditionalFormatting>
  <conditionalFormatting sqref="O105:O106">
    <cfRule type="expression" dxfId="1414" priority="38">
      <formula>$AD105=2</formula>
    </cfRule>
    <cfRule type="expression" dxfId="1412" priority="37">
      <formula>O105&gt;G105</formula>
    </cfRule>
  </conditionalFormatting>
  <conditionalFormatting sqref="O108">
    <cfRule type="expression" dxfId="1410" priority="2016">
      <formula>$AD108=2</formula>
    </cfRule>
    <cfRule type="expression" dxfId="1409" priority="2015">
      <formula>O108&gt;G108</formula>
    </cfRule>
  </conditionalFormatting>
  <conditionalFormatting sqref="O110:O112">
    <cfRule type="expression" dxfId="1405" priority="1987">
      <formula>$AD110=2</formula>
    </cfRule>
    <cfRule type="expression" dxfId="1404" priority="1986">
      <formula>O110&gt;G110</formula>
    </cfRule>
  </conditionalFormatting>
  <conditionalFormatting sqref="O114:O115">
    <cfRule type="expression" dxfId="1401" priority="1957">
      <formula>O114&gt;G114</formula>
    </cfRule>
    <cfRule type="expression" dxfId="1399" priority="1958">
      <formula>$AD114=2</formula>
    </cfRule>
  </conditionalFormatting>
  <conditionalFormatting sqref="O119:O121">
    <cfRule type="expression" dxfId="1398" priority="1055">
      <formula>$AD119=2</formula>
    </cfRule>
    <cfRule type="expression" dxfId="1397" priority="1054">
      <formula>O119&gt;G119</formula>
    </cfRule>
  </conditionalFormatting>
  <conditionalFormatting sqref="O123:O125">
    <cfRule type="expression" dxfId="1394" priority="1050">
      <formula>O123&gt;G123</formula>
    </cfRule>
    <cfRule type="expression" dxfId="1391" priority="1051">
      <formula>$AD123=2</formula>
    </cfRule>
  </conditionalFormatting>
  <conditionalFormatting sqref="O127:O129">
    <cfRule type="expression" dxfId="1389" priority="1047">
      <formula>$AD127=2</formula>
    </cfRule>
    <cfRule type="expression" dxfId="1388" priority="1046">
      <formula>O127&gt;G127</formula>
    </cfRule>
  </conditionalFormatting>
  <conditionalFormatting sqref="O131:O135">
    <cfRule type="expression" dxfId="1384" priority="960">
      <formula>$AD131=2</formula>
    </cfRule>
    <cfRule type="expression" dxfId="1383" priority="959">
      <formula>O131&gt;G131</formula>
    </cfRule>
  </conditionalFormatting>
  <conditionalFormatting sqref="O137:O140">
    <cfRule type="expression" dxfId="1382" priority="87">
      <formula>O137&gt;G137</formula>
    </cfRule>
  </conditionalFormatting>
  <conditionalFormatting sqref="O138:O140">
    <cfRule type="expression" dxfId="1379" priority="1784">
      <formula>$AD138=2</formula>
    </cfRule>
  </conditionalFormatting>
  <conditionalFormatting sqref="O142:O145">
    <cfRule type="expression" dxfId="1377" priority="1755">
      <formula>$AD142=2</formula>
    </cfRule>
    <cfRule type="expression" dxfId="1376" priority="1754">
      <formula>O142&gt;G142</formula>
    </cfRule>
  </conditionalFormatting>
  <conditionalFormatting sqref="O149:O153">
    <cfRule type="expression" dxfId="1374" priority="60">
      <formula>$AD149=2</formula>
    </cfRule>
    <cfRule type="expression" dxfId="1373" priority="59">
      <formula>O149&gt;G149</formula>
    </cfRule>
  </conditionalFormatting>
  <conditionalFormatting sqref="O155">
    <cfRule type="expression" dxfId="1370" priority="1697">
      <formula>$AD155=2</formula>
    </cfRule>
    <cfRule type="expression" dxfId="1369" priority="1696">
      <formula>O155&gt;G155</formula>
    </cfRule>
  </conditionalFormatting>
  <conditionalFormatting sqref="O157">
    <cfRule type="expression" dxfId="1366" priority="1668">
      <formula>$AD157=2</formula>
    </cfRule>
    <cfRule type="expression" dxfId="1365" priority="1667">
      <formula>O157&gt;G157</formula>
    </cfRule>
  </conditionalFormatting>
  <conditionalFormatting sqref="O159:O160">
    <cfRule type="expression" dxfId="1360" priority="1639">
      <formula>$AD159=2</formula>
    </cfRule>
    <cfRule type="expression" dxfId="1359" priority="1638">
      <formula>O159&gt;G159</formula>
    </cfRule>
  </conditionalFormatting>
  <conditionalFormatting sqref="O164:O165">
    <cfRule type="expression" dxfId="1357" priority="230">
      <formula>O164&gt;G164</formula>
    </cfRule>
    <cfRule type="expression" dxfId="1356" priority="231">
      <formula>$AD164=2</formula>
    </cfRule>
  </conditionalFormatting>
  <conditionalFormatting sqref="O167:O169">
    <cfRule type="expression" dxfId="1354" priority="1038">
      <formula>O167&gt;G167</formula>
    </cfRule>
    <cfRule type="expression" dxfId="1351" priority="1039">
      <formula>$AD167=2</formula>
    </cfRule>
  </conditionalFormatting>
  <conditionalFormatting sqref="O172:O173">
    <cfRule type="expression" dxfId="1349" priority="1551">
      <formula>O172&gt;G172</formula>
    </cfRule>
    <cfRule type="expression" dxfId="1348" priority="1552">
      <formula>$AD172=2</formula>
    </cfRule>
  </conditionalFormatting>
  <conditionalFormatting sqref="O175:O177">
    <cfRule type="expression" dxfId="1346" priority="1030">
      <formula>O175&gt;G175</formula>
    </cfRule>
    <cfRule type="expression" dxfId="1343" priority="1031">
      <formula>$AD175=2</formula>
    </cfRule>
  </conditionalFormatting>
  <conditionalFormatting sqref="O179:O181">
    <cfRule type="expression" dxfId="1342" priority="1027">
      <formula>$AD179=2</formula>
    </cfRule>
    <cfRule type="expression" dxfId="1341" priority="1026">
      <formula>O179&gt;G179</formula>
    </cfRule>
  </conditionalFormatting>
  <conditionalFormatting sqref="O183">
    <cfRule type="expression" dxfId="1338" priority="1465">
      <formula>$AD183=2</formula>
    </cfRule>
    <cfRule type="expression" dxfId="1335" priority="1464">
      <formula>O183&gt;G183</formula>
    </cfRule>
  </conditionalFormatting>
  <conditionalFormatting sqref="O185:O186">
    <cfRule type="expression" dxfId="1334" priority="1022">
      <formula>O185&gt;G185</formula>
    </cfRule>
    <cfRule type="expression" dxfId="1331" priority="1023">
      <formula>$AD185=2</formula>
    </cfRule>
  </conditionalFormatting>
  <conditionalFormatting sqref="O188:O192">
    <cfRule type="expression" dxfId="1329" priority="1018">
      <formula>O188&gt;G188</formula>
    </cfRule>
    <cfRule type="expression" dxfId="1327" priority="1019">
      <formula>$AD188=2</formula>
    </cfRule>
  </conditionalFormatting>
  <conditionalFormatting sqref="O196:O199">
    <cfRule type="expression" dxfId="1326" priority="897">
      <formula>O196&gt;G196</formula>
    </cfRule>
  </conditionalFormatting>
  <conditionalFormatting sqref="O201:O202">
    <cfRule type="expression" dxfId="1323" priority="1349">
      <formula>$AD201=2</formula>
    </cfRule>
    <cfRule type="expression" dxfId="1322" priority="1348">
      <formula>O201&gt;G201</formula>
    </cfRule>
  </conditionalFormatting>
  <conditionalFormatting sqref="O204:O205">
    <cfRule type="expression" dxfId="1319" priority="1320">
      <formula>$AD204=2</formula>
    </cfRule>
    <cfRule type="expression" dxfId="1318" priority="1319">
      <formula>O204&gt;G204</formula>
    </cfRule>
  </conditionalFormatting>
  <conditionalFormatting sqref="O207:O209">
    <cfRule type="expression" dxfId="1314" priority="1291">
      <formula>$AD207=2</formula>
    </cfRule>
    <cfRule type="expression" dxfId="1313" priority="1290">
      <formula>O207&gt;G207</formula>
    </cfRule>
  </conditionalFormatting>
  <conditionalFormatting sqref="O212:O226">
    <cfRule type="expression" dxfId="1311" priority="1232">
      <formula>O212&gt;G212</formula>
    </cfRule>
  </conditionalFormatting>
  <conditionalFormatting sqref="O67:P72">
    <cfRule type="expression" dxfId="1308" priority="4570">
      <formula>$AD67=2</formula>
    </cfRule>
  </conditionalFormatting>
  <conditionalFormatting sqref="O137:P137">
    <cfRule type="expression" dxfId="1307" priority="88">
      <formula>$AD137=2</formula>
    </cfRule>
  </conditionalFormatting>
  <conditionalFormatting sqref="O196:P199">
    <cfRule type="expression" dxfId="1306" priority="898">
      <formula>$AD196=2</formula>
    </cfRule>
  </conditionalFormatting>
  <conditionalFormatting sqref="O4:Q4">
    <cfRule type="expression" dxfId="1305" priority="4559">
      <formula>$T$8="No"</formula>
    </cfRule>
  </conditionalFormatting>
  <conditionalFormatting sqref="O36:Q37">
    <cfRule type="expression" dxfId="1303" priority="712">
      <formula>$AD36=2</formula>
    </cfRule>
  </conditionalFormatting>
  <conditionalFormatting sqref="O64:Q65">
    <cfRule type="expression" dxfId="1302" priority="705">
      <formula>$AD64=2</formula>
    </cfRule>
  </conditionalFormatting>
  <conditionalFormatting sqref="O93:Q94">
    <cfRule type="expression" dxfId="1299" priority="698">
      <formula>$AD93=2</formula>
    </cfRule>
  </conditionalFormatting>
  <conditionalFormatting sqref="O102:Q103">
    <cfRule type="expression" dxfId="1298" priority="691">
      <formula>$AD102=2</formula>
    </cfRule>
  </conditionalFormatting>
  <conditionalFormatting sqref="O116:Q117">
    <cfRule type="expression" dxfId="1295" priority="684">
      <formula>$AD116=2</formula>
    </cfRule>
  </conditionalFormatting>
  <conditionalFormatting sqref="O146:Q147">
    <cfRule type="expression" dxfId="1294" priority="677">
      <formula>$AD146=2</formula>
    </cfRule>
  </conditionalFormatting>
  <conditionalFormatting sqref="O161:Q162">
    <cfRule type="expression" dxfId="1292" priority="670">
      <formula>$AD161=2</formula>
    </cfRule>
  </conditionalFormatting>
  <conditionalFormatting sqref="O193:Q194">
    <cfRule type="expression" dxfId="1289" priority="663">
      <formula>$AD193=2</formula>
    </cfRule>
  </conditionalFormatting>
  <conditionalFormatting sqref="O210:Q211">
    <cfRule type="expression" dxfId="1287" priority="656">
      <formula>$AD210=2</formula>
    </cfRule>
  </conditionalFormatting>
  <conditionalFormatting sqref="O245:Q245">
    <cfRule type="expression" dxfId="1285" priority="4193">
      <formula>O245&gt;G245</formula>
    </cfRule>
  </conditionalFormatting>
  <conditionalFormatting sqref="O248:Q248">
    <cfRule type="expression" dxfId="1284" priority="4117">
      <formula>O248&gt;G248</formula>
    </cfRule>
  </conditionalFormatting>
  <conditionalFormatting sqref="O251:Q252">
    <cfRule type="expression" dxfId="1283" priority="4091">
      <formula>O251&gt;G251</formula>
    </cfRule>
  </conditionalFormatting>
  <conditionalFormatting sqref="O255:Q258">
    <cfRule type="expression" dxfId="1282" priority="3983">
      <formula>O255&gt;G255</formula>
    </cfRule>
  </conditionalFormatting>
  <conditionalFormatting sqref="O4:T7">
    <cfRule type="expression" dxfId="1279" priority="213">
      <formula>$T$8=AD_no</formula>
    </cfRule>
  </conditionalFormatting>
  <conditionalFormatting sqref="P11:P35">
    <cfRule type="expression" dxfId="1273" priority="838">
      <formula>$AD11=2</formula>
    </cfRule>
  </conditionalFormatting>
  <conditionalFormatting sqref="P11:P104">
    <cfRule type="expression" dxfId="1272" priority="298">
      <formula>G11=0</formula>
    </cfRule>
  </conditionalFormatting>
  <conditionalFormatting sqref="P38:P63">
    <cfRule type="expression" dxfId="1271" priority="299">
      <formula>$AD38=2</formula>
    </cfRule>
  </conditionalFormatting>
  <conditionalFormatting sqref="P66">
    <cfRule type="expression" dxfId="1270" priority="3342">
      <formula>$AD66=2</formula>
    </cfRule>
  </conditionalFormatting>
  <conditionalFormatting sqref="P73:P85">
    <cfRule type="expression" dxfId="1269" priority="802">
      <formula>$AD73=2</formula>
    </cfRule>
  </conditionalFormatting>
  <conditionalFormatting sqref="P87:P92">
    <cfRule type="expression" dxfId="1268" priority="1145">
      <formula>$AD87=2</formula>
    </cfRule>
  </conditionalFormatting>
  <conditionalFormatting sqref="P95:P101">
    <cfRule type="expression" dxfId="1267" priority="769">
      <formula>$AD95=2</formula>
    </cfRule>
  </conditionalFormatting>
  <conditionalFormatting sqref="P104">
    <cfRule type="expression" dxfId="1266" priority="3300">
      <formula>$AD104=2</formula>
    </cfRule>
  </conditionalFormatting>
  <conditionalFormatting sqref="P105:P115">
    <cfRule type="expression" dxfId="1265" priority="169">
      <formula>$AD105=2</formula>
    </cfRule>
  </conditionalFormatting>
  <conditionalFormatting sqref="P105:P226">
    <cfRule type="expression" dxfId="1264" priority="110">
      <formula>G105=0</formula>
    </cfRule>
  </conditionalFormatting>
  <conditionalFormatting sqref="P118:P136">
    <cfRule type="expression" dxfId="1263" priority="945">
      <formula>$AD118=2</formula>
    </cfRule>
  </conditionalFormatting>
  <conditionalFormatting sqref="P138:P145">
    <cfRule type="expression" dxfId="1262" priority="1109">
      <formula>$AD138=2</formula>
    </cfRule>
  </conditionalFormatting>
  <conditionalFormatting sqref="P148:P160">
    <cfRule type="expression" dxfId="1261" priority="128">
      <formula>$AD148=2</formula>
    </cfRule>
  </conditionalFormatting>
  <conditionalFormatting sqref="P163:P192">
    <cfRule type="expression" dxfId="1260" priority="289">
      <formula>$AD163=2</formula>
    </cfRule>
  </conditionalFormatting>
  <conditionalFormatting sqref="P195">
    <cfRule type="expression" dxfId="1259" priority="3216">
      <formula>$AD195=2</formula>
    </cfRule>
  </conditionalFormatting>
  <conditionalFormatting sqref="P200:P209">
    <cfRule type="expression" dxfId="1258" priority="1073">
      <formula>$AD200=2</formula>
    </cfRule>
  </conditionalFormatting>
  <conditionalFormatting sqref="P212:P226">
    <cfRule type="expression" dxfId="1257" priority="1061">
      <formula>$AD212=2</formula>
    </cfRule>
  </conditionalFormatting>
  <conditionalFormatting sqref="Q36:Q37">
    <cfRule type="expression" dxfId="1255" priority="713">
      <formula>$AF36=4</formula>
    </cfRule>
    <cfRule type="expression" dxfId="1254" priority="714">
      <formula>$AF36=3</formula>
    </cfRule>
    <cfRule type="expression" dxfId="1253" priority="715">
      <formula>$AF36=2</formula>
    </cfRule>
    <cfRule type="expression" dxfId="1252" priority="716">
      <formula>$AF36=1</formula>
    </cfRule>
  </conditionalFormatting>
  <conditionalFormatting sqref="Q64:Q65">
    <cfRule type="expression" dxfId="1251" priority="706">
      <formula>$AF64=4</formula>
    </cfRule>
    <cfRule type="expression" dxfId="1249" priority="707">
      <formula>$AF64=3</formula>
    </cfRule>
    <cfRule type="expression" dxfId="1248" priority="709">
      <formula>$AF64=1</formula>
    </cfRule>
    <cfRule type="expression" dxfId="1247" priority="708">
      <formula>$AF64=2</formula>
    </cfRule>
  </conditionalFormatting>
  <conditionalFormatting sqref="Q93:Q94">
    <cfRule type="expression" dxfId="1246" priority="699">
      <formula>$AF93=4</formula>
    </cfRule>
    <cfRule type="expression" dxfId="1245" priority="702">
      <formula>$AF93=1</formula>
    </cfRule>
    <cfRule type="expression" dxfId="1244" priority="701">
      <formula>$AF93=2</formula>
    </cfRule>
    <cfRule type="expression" dxfId="1243" priority="700">
      <formula>$AF93=3</formula>
    </cfRule>
  </conditionalFormatting>
  <conditionalFormatting sqref="Q102:Q103">
    <cfRule type="expression" dxfId="1240" priority="695">
      <formula>$AF102=1</formula>
    </cfRule>
    <cfRule type="expression" dxfId="1239" priority="694">
      <formula>$AF102=2</formula>
    </cfRule>
    <cfRule type="expression" dxfId="1238" priority="693">
      <formula>$AF102=3</formula>
    </cfRule>
    <cfRule type="expression" dxfId="1237" priority="692">
      <formula>$AF102=4</formula>
    </cfRule>
  </conditionalFormatting>
  <conditionalFormatting sqref="Q116:Q117">
    <cfRule type="expression" dxfId="1235" priority="686">
      <formula>$AF116=3</formula>
    </cfRule>
    <cfRule type="expression" dxfId="1234" priority="685">
      <formula>$AF116=4</formula>
    </cfRule>
    <cfRule type="expression" dxfId="1233" priority="687">
      <formula>$AF116=2</formula>
    </cfRule>
    <cfRule type="expression" dxfId="1232" priority="688">
      <formula>$AF116=1</formula>
    </cfRule>
  </conditionalFormatting>
  <conditionalFormatting sqref="Q146:Q147">
    <cfRule type="expression" dxfId="1231" priority="681">
      <formula>$AF146=1</formula>
    </cfRule>
    <cfRule type="expression" dxfId="1229" priority="680">
      <formula>$AF146=2</formula>
    </cfRule>
    <cfRule type="expression" dxfId="1228" priority="678">
      <formula>$AF146=4</formula>
    </cfRule>
    <cfRule type="expression" dxfId="1227" priority="679">
      <formula>$AF146=3</formula>
    </cfRule>
  </conditionalFormatting>
  <conditionalFormatting sqref="Q161:Q162">
    <cfRule type="expression" dxfId="1225" priority="671">
      <formula>$AF161=4</formula>
    </cfRule>
    <cfRule type="expression" dxfId="1224" priority="674">
      <formula>$AF161=1</formula>
    </cfRule>
    <cfRule type="expression" dxfId="1223" priority="673">
      <formula>$AF161=2</formula>
    </cfRule>
    <cfRule type="expression" dxfId="1222" priority="672">
      <formula>$AF161=3</formula>
    </cfRule>
  </conditionalFormatting>
  <conditionalFormatting sqref="Q193:Q194">
    <cfRule type="expression" dxfId="1221" priority="665">
      <formula>$AF193=3</formula>
    </cfRule>
    <cfRule type="expression" dxfId="1220" priority="664">
      <formula>$AF193=4</formula>
    </cfRule>
    <cfRule type="expression" dxfId="1219" priority="666">
      <formula>$AF193=2</formula>
    </cfRule>
    <cfRule type="expression" dxfId="1217" priority="667">
      <formula>$AF193=1</formula>
    </cfRule>
  </conditionalFormatting>
  <conditionalFormatting sqref="Q210:Q211">
    <cfRule type="expression" dxfId="1216" priority="657">
      <formula>$AF210=4</formula>
    </cfRule>
    <cfRule type="expression" dxfId="1214" priority="660">
      <formula>$AF210=1</formula>
    </cfRule>
    <cfRule type="expression" dxfId="1213" priority="659">
      <formula>$AF210=2</formula>
    </cfRule>
    <cfRule type="expression" dxfId="1212" priority="658">
      <formula>$AF210=3</formula>
    </cfRule>
  </conditionalFormatting>
  <conditionalFormatting sqref="R10:S11 R17:S20 R27:S27 R31:S31 R35:S37 R64:S65 R67:S72 R86:S86 R93:S94 R102:S103 R116:S117 R161:S162 R172:S173 R193:S194 R196:S196 R236:S236 R245:S248 R251:S252 R254:S259">
    <cfRule type="expression" dxfId="1210" priority="4686">
      <formula>$AF10=1</formula>
    </cfRule>
    <cfRule type="expression" dxfId="1209" priority="4685">
      <formula>$AF10=2</formula>
    </cfRule>
    <cfRule type="expression" dxfId="1208" priority="4684">
      <formula>$AF10=3</formula>
    </cfRule>
  </conditionalFormatting>
  <conditionalFormatting sqref="R11:S62 Y16:Z45 R64:S91 Y62:Z72 R93:S100 R102:S104 R116:S136 R161:S164 R193:S208 Y188:Z199 R106:S114 R138:S144 R154:S159 R166:S191 O212:O226 R226:T226 V212:V226 H198:M199 Y100:Z104 Y11:Z14 O10:T10 O18:O19 O86:P86 T214:T225 V10:Z10 AA10:AA11 V35:W37 V86:W86 H10:M10 BA10:BA11 BA17:BA20 H18:H19 H21:H24 BA27 H28:H30 BA31 H32:H34 H35:M37 BA35:BA46 BA51:BA66 H63:M65 H92:M94 H101:M103 H115:M117 I119:J137 BA122 BA126 BA141 H145:M147 BA145:BA149 H160:M162 H192:M194 H236 O236:Q236 V236:X236 H245:M245 V245:AA245 BA245 T245:T246 O245:S247 H246:H247 L246:L247 V246:X247 BA247:BA248 H248:M248 O248:T248 V248:AA248 H251:M252 O251:T252 V251:AA252 BA251:BA252 H254 V254:X254 O254:T259 BA254:BA259 H255:M258 V255:AA258 H259 V259:X259">
    <cfRule type="expression" dxfId="1207" priority="3712">
      <formula>$AD10=2</formula>
    </cfRule>
  </conditionalFormatting>
  <conditionalFormatting sqref="R12:S16">
    <cfRule type="expression" dxfId="1205" priority="3646">
      <formula>$AF12=1</formula>
    </cfRule>
    <cfRule type="expression" dxfId="1204" priority="3645">
      <formula>$AF12=2</formula>
    </cfRule>
    <cfRule type="expression" dxfId="1203" priority="3644">
      <formula>$AF12=3</formula>
    </cfRule>
    <cfRule type="expression" dxfId="1202" priority="3643">
      <formula>$AF12=4</formula>
    </cfRule>
  </conditionalFormatting>
  <conditionalFormatting sqref="R21:S26">
    <cfRule type="expression" dxfId="1201" priority="853">
      <formula>$AF21=1</formula>
    </cfRule>
    <cfRule type="expression" dxfId="1200" priority="852">
      <formula>$AF21=2</formula>
    </cfRule>
    <cfRule type="expression" dxfId="1199" priority="850">
      <formula>$AF21=4</formula>
    </cfRule>
    <cfRule type="expression" dxfId="1198" priority="851">
      <formula>$AF21=3</formula>
    </cfRule>
  </conditionalFormatting>
  <conditionalFormatting sqref="R28:S30">
    <cfRule type="expression" dxfId="1197" priority="3533">
      <formula>$AF28=2</formula>
    </cfRule>
    <cfRule type="expression" dxfId="1196" priority="3534">
      <formula>$AF28=1</formula>
    </cfRule>
    <cfRule type="expression" dxfId="1195" priority="3532">
      <formula>$AF28=3</formula>
    </cfRule>
    <cfRule type="expression" dxfId="1194" priority="3531">
      <formula>$AF28=4</formula>
    </cfRule>
  </conditionalFormatting>
  <conditionalFormatting sqref="R32:S34">
    <cfRule type="expression" dxfId="1193" priority="3483">
      <formula>$AF32=4</formula>
    </cfRule>
    <cfRule type="expression" dxfId="1192" priority="3484">
      <formula>$AF32=3</formula>
    </cfRule>
    <cfRule type="expression" dxfId="1191" priority="3486">
      <formula>$AF32=1</formula>
    </cfRule>
    <cfRule type="expression" dxfId="1190" priority="3485">
      <formula>$AF32=2</formula>
    </cfRule>
  </conditionalFormatting>
  <conditionalFormatting sqref="R38:S40">
    <cfRule type="expression" dxfId="1189" priority="3378">
      <formula>$AF38=1</formula>
    </cfRule>
    <cfRule type="expression" dxfId="1187" priority="3376">
      <formula>$AF38=3</formula>
    </cfRule>
    <cfRule type="expression" dxfId="1186" priority="3377">
      <formula>$AF38=2</formula>
    </cfRule>
  </conditionalFormatting>
  <conditionalFormatting sqref="R38:S63">
    <cfRule type="expression" dxfId="1185" priority="1164">
      <formula>$AF38=4</formula>
    </cfRule>
  </conditionalFormatting>
  <conditionalFormatting sqref="R41:S45">
    <cfRule type="expression" dxfId="1184" priority="2488">
      <formula>$AF41=1</formula>
    </cfRule>
    <cfRule type="expression" dxfId="1183" priority="2486">
      <formula>$AF41=3</formula>
    </cfRule>
    <cfRule type="expression" dxfId="1182" priority="2487">
      <formula>$AF41=2</formula>
    </cfRule>
  </conditionalFormatting>
  <conditionalFormatting sqref="R46:S46">
    <cfRule type="expression" dxfId="1181" priority="3214">
      <formula>$AF46=1</formula>
    </cfRule>
    <cfRule type="expression" dxfId="1180" priority="3212">
      <formula>$AF46=3</formula>
    </cfRule>
    <cfRule type="expression" dxfId="1178" priority="3213">
      <formula>$AF46=2</formula>
    </cfRule>
  </conditionalFormatting>
  <conditionalFormatting sqref="R47:S50">
    <cfRule type="expression" dxfId="1177" priority="2459">
      <formula>$AF47=1</formula>
    </cfRule>
    <cfRule type="expression" dxfId="1176" priority="2457">
      <formula>$AF47=3</formula>
    </cfRule>
    <cfRule type="expression" dxfId="1175" priority="2458">
      <formula>$AF47=2</formula>
    </cfRule>
  </conditionalFormatting>
  <conditionalFormatting sqref="R51:S51">
    <cfRule type="expression" dxfId="1174" priority="3192">
      <formula>$AF51=1</formula>
    </cfRule>
    <cfRule type="expression" dxfId="1173" priority="3191">
      <formula>$AF51=2</formula>
    </cfRule>
    <cfRule type="expression" dxfId="1172" priority="3190">
      <formula>$AF51=3</formula>
    </cfRule>
  </conditionalFormatting>
  <conditionalFormatting sqref="R52:S54">
    <cfRule type="expression" dxfId="1170" priority="2429">
      <formula>$AF52=2</formula>
    </cfRule>
    <cfRule type="expression" dxfId="1169" priority="2430">
      <formula>$AF52=1</formula>
    </cfRule>
    <cfRule type="expression" dxfId="1168" priority="2428">
      <formula>$AF52=3</formula>
    </cfRule>
  </conditionalFormatting>
  <conditionalFormatting sqref="R55:S55">
    <cfRule type="expression" dxfId="1166" priority="3170">
      <formula>$AF55=1</formula>
    </cfRule>
    <cfRule type="expression" dxfId="1165" priority="3168">
      <formula>$AF55=3</formula>
    </cfRule>
    <cfRule type="expression" dxfId="1164" priority="3169">
      <formula>$AF55=2</formula>
    </cfRule>
  </conditionalFormatting>
  <conditionalFormatting sqref="R56:S57">
    <cfRule type="expression" dxfId="1163" priority="2400">
      <formula>$AF56=2</formula>
    </cfRule>
    <cfRule type="expression" dxfId="1162" priority="2401">
      <formula>$AF56=1</formula>
    </cfRule>
    <cfRule type="expression" dxfId="1161" priority="2399">
      <formula>$AF56=3</formula>
    </cfRule>
  </conditionalFormatting>
  <conditionalFormatting sqref="R58:S58">
    <cfRule type="expression" dxfId="1159" priority="3147">
      <formula>$AF58=2</formula>
    </cfRule>
    <cfRule type="expression" dxfId="1158" priority="3146">
      <formula>$AF58=3</formula>
    </cfRule>
    <cfRule type="expression" dxfId="1157" priority="3148">
      <formula>$AF58=1</formula>
    </cfRule>
  </conditionalFormatting>
  <conditionalFormatting sqref="R59:S60">
    <cfRule type="expression" dxfId="1156" priority="2371">
      <formula>$AF59=2</formula>
    </cfRule>
    <cfRule type="expression" dxfId="1155" priority="2372">
      <formula>$AF59=1</formula>
    </cfRule>
    <cfRule type="expression" dxfId="1154" priority="2370">
      <formula>$AF59=3</formula>
    </cfRule>
  </conditionalFormatting>
  <conditionalFormatting sqref="R61:S61">
    <cfRule type="expression" dxfId="1152" priority="3125">
      <formula>$AF61=2</formula>
    </cfRule>
    <cfRule type="expression" dxfId="1151" priority="3126">
      <formula>$AF61=1</formula>
    </cfRule>
    <cfRule type="expression" dxfId="1150" priority="3124">
      <formula>$AF61=3</formula>
    </cfRule>
  </conditionalFormatting>
  <conditionalFormatting sqref="R62:S63">
    <cfRule type="expression" dxfId="1149" priority="1167">
      <formula>$AF62=1</formula>
    </cfRule>
    <cfRule type="expression" dxfId="1148" priority="1165">
      <formula>$AF62=3</formula>
    </cfRule>
    <cfRule type="expression" dxfId="1147" priority="1166">
      <formula>$AF62=2</formula>
    </cfRule>
  </conditionalFormatting>
  <conditionalFormatting sqref="R63:S63">
    <cfRule type="expression" dxfId="1146" priority="1163">
      <formula>$AD63=2</formula>
    </cfRule>
  </conditionalFormatting>
  <conditionalFormatting sqref="R66:S66">
    <cfRule type="expression" dxfId="1143" priority="3357">
      <formula>$AF66=1</formula>
    </cfRule>
    <cfRule type="expression" dxfId="1142" priority="3355">
      <formula>$AF66=3</formula>
    </cfRule>
    <cfRule type="expression" dxfId="1141" priority="3356">
      <formula>$AF66=2</formula>
    </cfRule>
    <cfRule type="expression" dxfId="1140" priority="3354">
      <formula>$AF66=4</formula>
    </cfRule>
  </conditionalFormatting>
  <conditionalFormatting sqref="R73:S73">
    <cfRule type="expression" dxfId="1139" priority="3104">
      <formula>$AF73=1</formula>
    </cfRule>
    <cfRule type="expression" dxfId="1138" priority="3103">
      <formula>$AF73=2</formula>
    </cfRule>
    <cfRule type="expression" dxfId="1136" priority="3102">
      <formula>$AF73=3</formula>
    </cfRule>
  </conditionalFormatting>
  <conditionalFormatting sqref="R73:S85">
    <cfRule type="expression" dxfId="1135" priority="822">
      <formula>$AF73=4</formula>
    </cfRule>
  </conditionalFormatting>
  <conditionalFormatting sqref="R74:S76">
    <cfRule type="expression" dxfId="1134" priority="2285">
      <formula>$AF74=1</formula>
    </cfRule>
    <cfRule type="expression" dxfId="1133" priority="2283">
      <formula>$AF74=3</formula>
    </cfRule>
    <cfRule type="expression" dxfId="1132" priority="2284">
      <formula>$AF74=2</formula>
    </cfRule>
  </conditionalFormatting>
  <conditionalFormatting sqref="R77:S77">
    <cfRule type="expression" dxfId="1131" priority="3081">
      <formula>$AF77=2</formula>
    </cfRule>
    <cfRule type="expression" dxfId="1129" priority="3080">
      <formula>$AF77=3</formula>
    </cfRule>
    <cfRule type="expression" dxfId="1128" priority="3082">
      <formula>$AF77=1</formula>
    </cfRule>
  </conditionalFormatting>
  <conditionalFormatting sqref="R78:S79">
    <cfRule type="expression" dxfId="1127" priority="2254">
      <formula>$AF78=3</formula>
    </cfRule>
    <cfRule type="expression" dxfId="1126" priority="2255">
      <formula>$AF78=2</formula>
    </cfRule>
    <cfRule type="expression" dxfId="1125" priority="2256">
      <formula>$AF78=1</formula>
    </cfRule>
  </conditionalFormatting>
  <conditionalFormatting sqref="R80:S80">
    <cfRule type="expression" dxfId="1124" priority="3058">
      <formula>$AF80=3</formula>
    </cfRule>
    <cfRule type="expression" dxfId="1123" priority="3059">
      <formula>$AF80=2</formula>
    </cfRule>
    <cfRule type="expression" dxfId="1122" priority="3060">
      <formula>$AF80=1</formula>
    </cfRule>
  </conditionalFormatting>
  <conditionalFormatting sqref="R81:S82">
    <cfRule type="expression" dxfId="1120" priority="2227">
      <formula>$AF81=1</formula>
    </cfRule>
    <cfRule type="expression" dxfId="1119" priority="2225">
      <formula>$AF81=3</formula>
    </cfRule>
    <cfRule type="expression" dxfId="1118" priority="2226">
      <formula>$AF81=2</formula>
    </cfRule>
  </conditionalFormatting>
  <conditionalFormatting sqref="R83:S83">
    <cfRule type="expression" dxfId="1117" priority="3038">
      <formula>$AF83=1</formula>
    </cfRule>
    <cfRule type="expression" dxfId="1116" priority="3037">
      <formula>$AF83=2</formula>
    </cfRule>
    <cfRule type="expression" dxfId="1115" priority="3036">
      <formula>$AF83=3</formula>
    </cfRule>
  </conditionalFormatting>
  <conditionalFormatting sqref="R84:S85">
    <cfRule type="expression" dxfId="1113" priority="825">
      <formula>$AF84=1</formula>
    </cfRule>
    <cfRule type="expression" dxfId="1112" priority="823">
      <formula>$AF84=3</formula>
    </cfRule>
    <cfRule type="expression" dxfId="1111" priority="824">
      <formula>$AF84=2</formula>
    </cfRule>
  </conditionalFormatting>
  <conditionalFormatting sqref="R87:S87">
    <cfRule type="expression" dxfId="1109" priority="3014">
      <formula>$AF87=3</formula>
    </cfRule>
    <cfRule type="expression" dxfId="1108" priority="3015">
      <formula>$AF87=2</formula>
    </cfRule>
    <cfRule type="expression" dxfId="1107" priority="3016">
      <formula>$AF87=1</formula>
    </cfRule>
  </conditionalFormatting>
  <conditionalFormatting sqref="R87:S92">
    <cfRule type="expression" dxfId="1106" priority="1152">
      <formula>$AF87=4</formula>
    </cfRule>
  </conditionalFormatting>
  <conditionalFormatting sqref="R88:S89">
    <cfRule type="expression" dxfId="1105" priority="2168">
      <formula>$AF88=2</formula>
    </cfRule>
    <cfRule type="expression" dxfId="1104" priority="2169">
      <formula>$AF88=1</formula>
    </cfRule>
    <cfRule type="expression" dxfId="1103" priority="2167">
      <formula>$AF88=3</formula>
    </cfRule>
  </conditionalFormatting>
  <conditionalFormatting sqref="R90:S90">
    <cfRule type="expression" dxfId="1102" priority="2994">
      <formula>$AF90=1</formula>
    </cfRule>
    <cfRule type="expression" dxfId="1101" priority="2993">
      <formula>$AF90=2</formula>
    </cfRule>
    <cfRule type="expression" dxfId="1100" priority="2992">
      <formula>$AF90=3</formula>
    </cfRule>
  </conditionalFormatting>
  <conditionalFormatting sqref="R91:S92">
    <cfRule type="expression" dxfId="1098" priority="1153">
      <formula>$AF91=3</formula>
    </cfRule>
    <cfRule type="expression" dxfId="1097" priority="1154">
      <formula>$AF91=2</formula>
    </cfRule>
    <cfRule type="expression" dxfId="1096" priority="1155">
      <formula>$AF91=1</formula>
    </cfRule>
  </conditionalFormatting>
  <conditionalFormatting sqref="R92:S92">
    <cfRule type="expression" dxfId="1095" priority="1151">
      <formula>$AD92=2</formula>
    </cfRule>
  </conditionalFormatting>
  <conditionalFormatting sqref="R95:S95">
    <cfRule type="expression" dxfId="1092" priority="3335">
      <formula>$AF95=2</formula>
    </cfRule>
    <cfRule type="expression" dxfId="1091" priority="3336">
      <formula>$AF95=1</formula>
    </cfRule>
    <cfRule type="expression" dxfId="1090" priority="3334">
      <formula>$AF95=3</formula>
    </cfRule>
  </conditionalFormatting>
  <conditionalFormatting sqref="R95:S99">
    <cfRule type="expression" dxfId="1089" priority="786">
      <formula>$AF95=4</formula>
    </cfRule>
  </conditionalFormatting>
  <conditionalFormatting sqref="R96:S99">
    <cfRule type="expression" dxfId="1088" priority="789">
      <formula>$AF96=1</formula>
    </cfRule>
    <cfRule type="expression" dxfId="1087" priority="788">
      <formula>$AF96=2</formula>
    </cfRule>
    <cfRule type="expression" dxfId="1086" priority="787">
      <formula>$AF96=3</formula>
    </cfRule>
  </conditionalFormatting>
  <conditionalFormatting sqref="R100:S101">
    <cfRule type="expression" dxfId="1084" priority="1143">
      <formula>$AF100=1</formula>
    </cfRule>
    <cfRule type="expression" dxfId="1083" priority="1142">
      <formula>$AF100=2</formula>
    </cfRule>
    <cfRule type="expression" dxfId="1082" priority="1140">
      <formula>$AF100=4</formula>
    </cfRule>
    <cfRule type="expression" dxfId="1081" priority="1141">
      <formula>$AF100=3</formula>
    </cfRule>
  </conditionalFormatting>
  <conditionalFormatting sqref="R101:S101">
    <cfRule type="expression" dxfId="1079" priority="1139">
      <formula>$AD101=2</formula>
    </cfRule>
  </conditionalFormatting>
  <conditionalFormatting sqref="R104:S104">
    <cfRule type="expression" dxfId="1078" priority="3313">
      <formula>$AF104=3</formula>
    </cfRule>
    <cfRule type="expression" dxfId="1077" priority="3315">
      <formula>$AF104=1</formula>
    </cfRule>
    <cfRule type="expression" dxfId="1076" priority="3314">
      <formula>$AF104=2</formula>
    </cfRule>
  </conditionalFormatting>
  <conditionalFormatting sqref="R104:S105">
    <cfRule type="expression" dxfId="1075" priority="179">
      <formula>$AF104=4</formula>
    </cfRule>
  </conditionalFormatting>
  <conditionalFormatting sqref="R105:S105">
    <cfRule type="expression" dxfId="1073" priority="181">
      <formula>$AF105=2</formula>
    </cfRule>
    <cfRule type="expression" dxfId="1072" priority="183">
      <formula>$AD105=2</formula>
    </cfRule>
    <cfRule type="expression" dxfId="1071" priority="182">
      <formula>$AF105=1</formula>
    </cfRule>
    <cfRule type="expression" dxfId="1070" priority="180">
      <formula>$AF105=3</formula>
    </cfRule>
  </conditionalFormatting>
  <conditionalFormatting sqref="R106:S106">
    <cfRule type="expression" dxfId="1068" priority="2052">
      <formula>$AF106=2</formula>
    </cfRule>
    <cfRule type="expression" dxfId="1067" priority="2051">
      <formula>$AF106=3</formula>
    </cfRule>
    <cfRule type="expression" dxfId="1066" priority="2053">
      <formula>$AF106=1</formula>
    </cfRule>
  </conditionalFormatting>
  <conditionalFormatting sqref="R106:S115">
    <cfRule type="expression" dxfId="1065" priority="1128">
      <formula>$AF106=4</formula>
    </cfRule>
  </conditionalFormatting>
  <conditionalFormatting sqref="R107:S107">
    <cfRule type="expression" dxfId="1064" priority="2948">
      <formula>$AF107=3</formula>
    </cfRule>
    <cfRule type="expression" dxfId="1063" priority="2950">
      <formula>$AF107=1</formula>
    </cfRule>
    <cfRule type="expression" dxfId="1061" priority="2949">
      <formula>$AF107=2</formula>
    </cfRule>
  </conditionalFormatting>
  <conditionalFormatting sqref="R108:S108">
    <cfRule type="expression" dxfId="1060" priority="2022">
      <formula>$AF108=3</formula>
    </cfRule>
    <cfRule type="expression" dxfId="1059" priority="2024">
      <formula>$AF108=1</formula>
    </cfRule>
    <cfRule type="expression" dxfId="1058" priority="2023">
      <formula>$AF108=2</formula>
    </cfRule>
  </conditionalFormatting>
  <conditionalFormatting sqref="R109:S109">
    <cfRule type="expression" dxfId="1057" priority="2928">
      <formula>$AF109=1</formula>
    </cfRule>
    <cfRule type="expression" dxfId="1056" priority="2927">
      <formula>$AF109=2</formula>
    </cfRule>
    <cfRule type="expression" dxfId="1054" priority="2926">
      <formula>$AF109=3</formula>
    </cfRule>
  </conditionalFormatting>
  <conditionalFormatting sqref="R110:S112">
    <cfRule type="expression" dxfId="1053" priority="1995">
      <formula>$AF110=1</formula>
    </cfRule>
    <cfRule type="expression" dxfId="1052" priority="1994">
      <formula>$AF110=2</formula>
    </cfRule>
    <cfRule type="expression" dxfId="1051" priority="1993">
      <formula>$AF110=3</formula>
    </cfRule>
  </conditionalFormatting>
  <conditionalFormatting sqref="R113:S113">
    <cfRule type="expression" dxfId="1049" priority="2904">
      <formula>$AF113=3</formula>
    </cfRule>
    <cfRule type="expression" dxfId="1048" priority="2906">
      <formula>$AF113=1</formula>
    </cfRule>
    <cfRule type="expression" dxfId="1047" priority="2905">
      <formula>$AF113=2</formula>
    </cfRule>
  </conditionalFormatting>
  <conditionalFormatting sqref="R114:S115">
    <cfRule type="expression" dxfId="1046" priority="1131">
      <formula>$AF114=1</formula>
    </cfRule>
    <cfRule type="expression" dxfId="1045" priority="1130">
      <formula>$AF114=2</formula>
    </cfRule>
    <cfRule type="expression" dxfId="1044" priority="1129">
      <formula>$AF114=3</formula>
    </cfRule>
  </conditionalFormatting>
  <conditionalFormatting sqref="R115:S115">
    <cfRule type="expression" dxfId="1042" priority="1127">
      <formula>$AD115=2</formula>
    </cfRule>
  </conditionalFormatting>
  <conditionalFormatting sqref="R118:S118">
    <cfRule type="expression" dxfId="1041" priority="3292">
      <formula>$AF118=3</formula>
    </cfRule>
    <cfRule type="expression" dxfId="1039" priority="3294">
      <formula>$AF118=1</formula>
    </cfRule>
    <cfRule type="expression" dxfId="1038" priority="3293">
      <formula>$AF118=2</formula>
    </cfRule>
  </conditionalFormatting>
  <conditionalFormatting sqref="R118:S137">
    <cfRule type="expression" dxfId="1037" priority="105">
      <formula>$AF118=4</formula>
    </cfRule>
  </conditionalFormatting>
  <conditionalFormatting sqref="R119:S121">
    <cfRule type="expression" dxfId="1036" priority="1908">
      <formula>$AF119=1</formula>
    </cfRule>
    <cfRule type="expression" dxfId="1035" priority="1906">
      <formula>$AF119=3</formula>
    </cfRule>
    <cfRule type="expression" dxfId="1034" priority="1907">
      <formula>$AF119=2</formula>
    </cfRule>
  </conditionalFormatting>
  <conditionalFormatting sqref="R122:S122">
    <cfRule type="expression" dxfId="1033" priority="2883">
      <formula>$AF122=2</formula>
    </cfRule>
    <cfRule type="expression" dxfId="1032" priority="2882">
      <formula>$AF122=3</formula>
    </cfRule>
    <cfRule type="expression" dxfId="1030" priority="2884">
      <formula>$AF122=1</formula>
    </cfRule>
  </conditionalFormatting>
  <conditionalFormatting sqref="R123:S125">
    <cfRule type="expression" dxfId="1029" priority="1879">
      <formula>$AF123=1</formula>
    </cfRule>
    <cfRule type="expression" dxfId="1028" priority="1877">
      <formula>$AF123=3</formula>
    </cfRule>
    <cfRule type="expression" dxfId="1027" priority="1878">
      <formula>$AF123=2</formula>
    </cfRule>
  </conditionalFormatting>
  <conditionalFormatting sqref="R126:S126">
    <cfRule type="expression" dxfId="1026" priority="2862">
      <formula>$AF126=1</formula>
    </cfRule>
    <cfRule type="expression" dxfId="1025" priority="2861">
      <formula>$AF126=2</formula>
    </cfRule>
    <cfRule type="expression" dxfId="1024" priority="2860">
      <formula>$AF126=3</formula>
    </cfRule>
  </conditionalFormatting>
  <conditionalFormatting sqref="R127:S129">
    <cfRule type="expression" dxfId="1022" priority="1850">
      <formula>$AF127=1</formula>
    </cfRule>
    <cfRule type="expression" dxfId="1021" priority="1848">
      <formula>$AF127=3</formula>
    </cfRule>
    <cfRule type="expression" dxfId="1020" priority="1849">
      <formula>$AF127=2</formula>
    </cfRule>
  </conditionalFormatting>
  <conditionalFormatting sqref="R130:S130">
    <cfRule type="expression" dxfId="1019" priority="2839">
      <formula>$AF130=2</formula>
    </cfRule>
    <cfRule type="expression" dxfId="1018" priority="2840">
      <formula>$AF130=1</formula>
    </cfRule>
    <cfRule type="expression" dxfId="1016" priority="2838">
      <formula>$AF130=3</formula>
    </cfRule>
  </conditionalFormatting>
  <conditionalFormatting sqref="R131:S135">
    <cfRule type="expression" dxfId="1015" priority="968">
      <formula>$AF131=1</formula>
    </cfRule>
    <cfRule type="expression" dxfId="1014" priority="966">
      <formula>$AF131=3</formula>
    </cfRule>
    <cfRule type="expression" dxfId="1013" priority="967">
      <formula>$AF131=2</formula>
    </cfRule>
  </conditionalFormatting>
  <conditionalFormatting sqref="R136:S136">
    <cfRule type="expression" dxfId="1012" priority="2816">
      <formula>$AF136=3</formula>
    </cfRule>
    <cfRule type="expression" dxfId="1010" priority="2818">
      <formula>$AF136=1</formula>
    </cfRule>
    <cfRule type="expression" dxfId="1009" priority="2817">
      <formula>$AF136=2</formula>
    </cfRule>
  </conditionalFormatting>
  <conditionalFormatting sqref="R137:S137">
    <cfRule type="expression" dxfId="1008" priority="112">
      <formula>$AD137=2</formula>
    </cfRule>
    <cfRule type="expression" dxfId="1007" priority="107">
      <formula>$AF137=2</formula>
    </cfRule>
    <cfRule type="expression" dxfId="1006" priority="108">
      <formula>$AF137=1</formula>
    </cfRule>
    <cfRule type="expression" dxfId="1005" priority="106">
      <formula>$AF137=3</formula>
    </cfRule>
  </conditionalFormatting>
  <conditionalFormatting sqref="R138:S140">
    <cfRule type="expression" dxfId="1004" priority="1790">
      <formula>$AF138=3</formula>
    </cfRule>
    <cfRule type="expression" dxfId="1003" priority="1791">
      <formula>$AF138=2</formula>
    </cfRule>
    <cfRule type="expression" dxfId="1002" priority="1792">
      <formula>$AF138=1</formula>
    </cfRule>
  </conditionalFormatting>
  <conditionalFormatting sqref="R138:S147">
    <cfRule type="expression" dxfId="1001" priority="1116">
      <formula>$AF138=4</formula>
    </cfRule>
  </conditionalFormatting>
  <conditionalFormatting sqref="R141:S141">
    <cfRule type="expression" dxfId="999" priority="2794">
      <formula>$AF141=3</formula>
    </cfRule>
    <cfRule type="expression" dxfId="998" priority="2795">
      <formula>$AF141=2</formula>
    </cfRule>
    <cfRule type="expression" dxfId="997" priority="2796">
      <formula>$AF141=1</formula>
    </cfRule>
  </conditionalFormatting>
  <conditionalFormatting sqref="R142:S147">
    <cfRule type="expression" dxfId="996" priority="1118">
      <formula>$AF142=2</formula>
    </cfRule>
    <cfRule type="expression" dxfId="995" priority="1117">
      <formula>$AF142=3</formula>
    </cfRule>
    <cfRule type="expression" dxfId="994" priority="1119">
      <formula>$AF142=1</formula>
    </cfRule>
  </conditionalFormatting>
  <conditionalFormatting sqref="R145:S148">
    <cfRule type="expression" dxfId="992" priority="1115">
      <formula>$AD145=2</formula>
    </cfRule>
  </conditionalFormatting>
  <conditionalFormatting sqref="R148:S153">
    <cfRule type="expression" dxfId="990" priority="139">
      <formula>$AF148=3</formula>
    </cfRule>
    <cfRule type="expression" dxfId="989" priority="140">
      <formula>$AF148=2</formula>
    </cfRule>
    <cfRule type="expression" dxfId="988" priority="141">
      <formula>$AF148=1</formula>
    </cfRule>
    <cfRule type="expression" dxfId="987" priority="138">
      <formula>$AF148=4</formula>
    </cfRule>
  </conditionalFormatting>
  <conditionalFormatting sqref="R149:S149">
    <cfRule type="expression" dxfId="986" priority="142">
      <formula>$AD149=2</formula>
    </cfRule>
  </conditionalFormatting>
  <conditionalFormatting sqref="R150:S153">
    <cfRule type="expression" dxfId="985" priority="275">
      <formula>$AD150=2</formula>
    </cfRule>
  </conditionalFormatting>
  <conditionalFormatting sqref="R154:S155">
    <cfRule type="expression" dxfId="983" priority="1704">
      <formula>$AF154=2</formula>
    </cfRule>
    <cfRule type="expression" dxfId="982" priority="1705">
      <formula>$AF154=1</formula>
    </cfRule>
    <cfRule type="expression" dxfId="981" priority="1703">
      <formula>$AF154=3</formula>
    </cfRule>
  </conditionalFormatting>
  <conditionalFormatting sqref="R154:S160">
    <cfRule type="expression" dxfId="980" priority="1104">
      <formula>$AF154=4</formula>
    </cfRule>
  </conditionalFormatting>
  <conditionalFormatting sqref="R156:S156">
    <cfRule type="expression" dxfId="979" priority="2751">
      <formula>$AF156=2</formula>
    </cfRule>
    <cfRule type="expression" dxfId="978" priority="2752">
      <formula>$AF156=1</formula>
    </cfRule>
    <cfRule type="expression" dxfId="976" priority="2750">
      <formula>$AF156=3</formula>
    </cfRule>
  </conditionalFormatting>
  <conditionalFormatting sqref="R157:S157">
    <cfRule type="expression" dxfId="975" priority="1674">
      <formula>$AF157=3</formula>
    </cfRule>
    <cfRule type="expression" dxfId="974" priority="1676">
      <formula>$AF157=1</formula>
    </cfRule>
    <cfRule type="expression" dxfId="973" priority="1675">
      <formula>$AF157=2</formula>
    </cfRule>
  </conditionalFormatting>
  <conditionalFormatting sqref="R158:S158">
    <cfRule type="expression" dxfId="972" priority="2729">
      <formula>$AF158=2</formula>
    </cfRule>
    <cfRule type="expression" dxfId="971" priority="2728">
      <formula>$AF158=3</formula>
    </cfRule>
    <cfRule type="expression" dxfId="970" priority="2730">
      <formula>$AF158=1</formula>
    </cfRule>
  </conditionalFormatting>
  <conditionalFormatting sqref="R159:S160">
    <cfRule type="expression" dxfId="968" priority="1107">
      <formula>$AF159=1</formula>
    </cfRule>
    <cfRule type="expression" dxfId="967" priority="1105">
      <formula>$AF159=3</formula>
    </cfRule>
    <cfRule type="expression" dxfId="966" priority="1106">
      <formula>$AF159=2</formula>
    </cfRule>
  </conditionalFormatting>
  <conditionalFormatting sqref="R160:S160">
    <cfRule type="expression" dxfId="965" priority="1103">
      <formula>$AD160=2</formula>
    </cfRule>
  </conditionalFormatting>
  <conditionalFormatting sqref="R163:S163">
    <cfRule type="expression" dxfId="963" priority="3252">
      <formula>$AF163=1</formula>
    </cfRule>
    <cfRule type="expression" dxfId="962" priority="3251">
      <formula>$AF163=2</formula>
    </cfRule>
    <cfRule type="expression" dxfId="961" priority="3250">
      <formula>$AF163=3</formula>
    </cfRule>
  </conditionalFormatting>
  <conditionalFormatting sqref="R163:S171">
    <cfRule type="expression" dxfId="959" priority="233">
      <formula>$AF163=4</formula>
    </cfRule>
  </conditionalFormatting>
  <conditionalFormatting sqref="R164:S165">
    <cfRule type="expression" dxfId="958" priority="235">
      <formula>$AF164=2</formula>
    </cfRule>
    <cfRule type="expression" dxfId="957" priority="234">
      <formula>$AF164=3</formula>
    </cfRule>
    <cfRule type="expression" dxfId="956" priority="236">
      <formula>$AF164=1</formula>
    </cfRule>
  </conditionalFormatting>
  <conditionalFormatting sqref="R165:S165">
    <cfRule type="expression" dxfId="955" priority="239">
      <formula>$AD165=2</formula>
    </cfRule>
  </conditionalFormatting>
  <conditionalFormatting sqref="R166:S166">
    <cfRule type="expression" dxfId="954" priority="2708">
      <formula>$AF166=1</formula>
    </cfRule>
    <cfRule type="expression" dxfId="953" priority="2707">
      <formula>$AF166=2</formula>
    </cfRule>
    <cfRule type="expression" dxfId="951" priority="2706">
      <formula>$AF166=3</formula>
    </cfRule>
  </conditionalFormatting>
  <conditionalFormatting sqref="R167:S169">
    <cfRule type="expression" dxfId="950" priority="1589">
      <formula>$AF167=1</formula>
    </cfRule>
    <cfRule type="expression" dxfId="949" priority="1588">
      <formula>$AF167=2</formula>
    </cfRule>
    <cfRule type="expression" dxfId="948" priority="1587">
      <formula>$AF167=3</formula>
    </cfRule>
  </conditionalFormatting>
  <conditionalFormatting sqref="R170:S171">
    <cfRule type="expression" dxfId="946" priority="2684">
      <formula>$AF170=3</formula>
    </cfRule>
    <cfRule type="expression" dxfId="945" priority="2685">
      <formula>$AF170=2</formula>
    </cfRule>
    <cfRule type="expression" dxfId="944" priority="2686">
      <formula>$AF170=1</formula>
    </cfRule>
  </conditionalFormatting>
  <conditionalFormatting sqref="R174:S174">
    <cfRule type="expression" dxfId="942" priority="2662">
      <formula>$AF174=3</formula>
    </cfRule>
    <cfRule type="expression" dxfId="941" priority="2663">
      <formula>$AF174=2</formula>
    </cfRule>
    <cfRule type="expression" dxfId="940" priority="2664">
      <formula>$AF174=1</formula>
    </cfRule>
  </conditionalFormatting>
  <conditionalFormatting sqref="R174:S192">
    <cfRule type="expression" dxfId="939" priority="1092">
      <formula>$AF174=4</formula>
    </cfRule>
  </conditionalFormatting>
  <conditionalFormatting sqref="R175:S177">
    <cfRule type="expression" dxfId="938" priority="1531">
      <formula>$AF175=1</formula>
    </cfRule>
    <cfRule type="expression" dxfId="937" priority="1530">
      <formula>$AF175=2</formula>
    </cfRule>
    <cfRule type="expression" dxfId="936" priority="1529">
      <formula>$AF175=3</formula>
    </cfRule>
  </conditionalFormatting>
  <conditionalFormatting sqref="R178:S178">
    <cfRule type="expression" dxfId="934" priority="2640">
      <formula>$AF178=3</formula>
    </cfRule>
    <cfRule type="expression" dxfId="933" priority="2642">
      <formula>$AF178=1</formula>
    </cfRule>
    <cfRule type="expression" dxfId="932" priority="2641">
      <formula>$AF178=2</formula>
    </cfRule>
  </conditionalFormatting>
  <conditionalFormatting sqref="R179:S181">
    <cfRule type="expression" dxfId="931" priority="1500">
      <formula>$AF179=3</formula>
    </cfRule>
    <cfRule type="expression" dxfId="930" priority="1501">
      <formula>$AF179=2</formula>
    </cfRule>
    <cfRule type="expression" dxfId="929" priority="1502">
      <formula>$AF179=1</formula>
    </cfRule>
  </conditionalFormatting>
  <conditionalFormatting sqref="R182:S182">
    <cfRule type="expression" dxfId="928" priority="2618">
      <formula>$AF182=3</formula>
    </cfRule>
    <cfRule type="expression" dxfId="927" priority="2619">
      <formula>$AF182=2</formula>
    </cfRule>
    <cfRule type="expression" dxfId="926" priority="2620">
      <formula>$AF182=1</formula>
    </cfRule>
  </conditionalFormatting>
  <conditionalFormatting sqref="R183:S183">
    <cfRule type="expression" dxfId="924" priority="1471">
      <formula>$AF183=3</formula>
    </cfRule>
    <cfRule type="expression" dxfId="923" priority="1472">
      <formula>$AF183=2</formula>
    </cfRule>
    <cfRule type="expression" dxfId="922" priority="1473">
      <formula>$AF183=1</formula>
    </cfRule>
  </conditionalFormatting>
  <conditionalFormatting sqref="R184:S184">
    <cfRule type="expression" dxfId="921" priority="2598">
      <formula>$AF184=1</formula>
    </cfRule>
    <cfRule type="expression" dxfId="920" priority="2597">
      <formula>$AF184=2</formula>
    </cfRule>
    <cfRule type="expression" dxfId="919" priority="2596">
      <formula>$AF184=3</formula>
    </cfRule>
  </conditionalFormatting>
  <conditionalFormatting sqref="R185:S186">
    <cfRule type="expression" dxfId="917" priority="1444">
      <formula>$AF185=1</formula>
    </cfRule>
    <cfRule type="expression" dxfId="916" priority="1443">
      <formula>$AF185=2</formula>
    </cfRule>
    <cfRule type="expression" dxfId="915" priority="1442">
      <formula>$AF185=3</formula>
    </cfRule>
  </conditionalFormatting>
  <conditionalFormatting sqref="R187:S187">
    <cfRule type="expression" dxfId="913" priority="2574">
      <formula>$AF187=3</formula>
    </cfRule>
    <cfRule type="expression" dxfId="912" priority="2575">
      <formula>$AF187=2</formula>
    </cfRule>
    <cfRule type="expression" dxfId="911" priority="2576">
      <formula>$AF187=1</formula>
    </cfRule>
  </conditionalFormatting>
  <conditionalFormatting sqref="R188:S192">
    <cfRule type="expression" dxfId="910" priority="1094">
      <formula>$AF188=2</formula>
    </cfRule>
    <cfRule type="expression" dxfId="909" priority="1093">
      <formula>$AF188=3</formula>
    </cfRule>
    <cfRule type="expression" dxfId="908" priority="1095">
      <formula>$AF188=1</formula>
    </cfRule>
  </conditionalFormatting>
  <conditionalFormatting sqref="R192:S192">
    <cfRule type="expression" dxfId="907" priority="1091">
      <formula>$AD192=2</formula>
    </cfRule>
  </conditionalFormatting>
  <conditionalFormatting sqref="R195:S195">
    <cfRule type="expression" dxfId="904" priority="3228">
      <formula>$AF195=4</formula>
    </cfRule>
    <cfRule type="expression" dxfId="903" priority="3229">
      <formula>$AF195=3</formula>
    </cfRule>
    <cfRule type="expression" dxfId="902" priority="3230">
      <formula>$AF195=2</formula>
    </cfRule>
    <cfRule type="expression" dxfId="901" priority="3231">
      <formula>$AF195=1</formula>
    </cfRule>
  </conditionalFormatting>
  <conditionalFormatting sqref="R197:S198">
    <cfRule type="expression" dxfId="899" priority="912">
      <formula>$AF197=4</formula>
    </cfRule>
    <cfRule type="expression" dxfId="898" priority="913">
      <formula>$AF197=3</formula>
    </cfRule>
    <cfRule type="expression" dxfId="897" priority="914">
      <formula>$AF197=2</formula>
    </cfRule>
    <cfRule type="expression" dxfId="896" priority="915">
      <formula>$AF197=1</formula>
    </cfRule>
  </conditionalFormatting>
  <conditionalFormatting sqref="R199:S199">
    <cfRule type="expression" dxfId="895" priority="1190">
      <formula>$AF199=3</formula>
    </cfRule>
    <cfRule type="expression" dxfId="894" priority="1191">
      <formula>$AF199=2</formula>
    </cfRule>
    <cfRule type="expression" dxfId="893" priority="1192">
      <formula>$AF199=1</formula>
    </cfRule>
  </conditionalFormatting>
  <conditionalFormatting sqref="R199:S220">
    <cfRule type="expression" dxfId="892" priority="1080">
      <formula>$AF199=4</formula>
    </cfRule>
  </conditionalFormatting>
  <conditionalFormatting sqref="R200:S200">
    <cfRule type="expression" dxfId="891" priority="2553">
      <formula>$AF200=2</formula>
    </cfRule>
    <cfRule type="expression" dxfId="890" priority="2554">
      <formula>$AF200=1</formula>
    </cfRule>
    <cfRule type="expression" dxfId="888" priority="2552">
      <formula>$AF200=3</formula>
    </cfRule>
  </conditionalFormatting>
  <conditionalFormatting sqref="R201:S202">
    <cfRule type="expression" dxfId="887" priority="1356">
      <formula>$AF201=2</formula>
    </cfRule>
    <cfRule type="expression" dxfId="886" priority="1355">
      <formula>$AF201=3</formula>
    </cfRule>
    <cfRule type="expression" dxfId="885" priority="1357">
      <formula>$AF201=1</formula>
    </cfRule>
  </conditionalFormatting>
  <conditionalFormatting sqref="R203:S203">
    <cfRule type="expression" dxfId="883" priority="2531">
      <formula>$AF203=2</formula>
    </cfRule>
    <cfRule type="expression" dxfId="882" priority="2530">
      <formula>$AF203=3</formula>
    </cfRule>
    <cfRule type="expression" dxfId="881" priority="2532">
      <formula>$AF203=1</formula>
    </cfRule>
  </conditionalFormatting>
  <conditionalFormatting sqref="R204:S205">
    <cfRule type="expression" dxfId="880" priority="1327">
      <formula>$AF204=2</formula>
    </cfRule>
    <cfRule type="expression" dxfId="879" priority="1328">
      <formula>$AF204=1</formula>
    </cfRule>
    <cfRule type="expression" dxfId="878" priority="1326">
      <formula>$AF204=3</formula>
    </cfRule>
  </conditionalFormatting>
  <conditionalFormatting sqref="R206:S206">
    <cfRule type="expression" dxfId="877" priority="2508">
      <formula>$AF206=3</formula>
    </cfRule>
    <cfRule type="expression" dxfId="876" priority="2510">
      <formula>$AF206=1</formula>
    </cfRule>
    <cfRule type="expression" dxfId="875" priority="2509">
      <formula>$AF206=2</formula>
    </cfRule>
  </conditionalFormatting>
  <conditionalFormatting sqref="R207:S220">
    <cfRule type="expression" dxfId="873" priority="1083">
      <formula>$AF207=1</formula>
    </cfRule>
    <cfRule type="expression" dxfId="872" priority="1082">
      <formula>$AF207=2</formula>
    </cfRule>
    <cfRule type="expression" dxfId="871" priority="1081">
      <formula>$AF207=3</formula>
    </cfRule>
  </conditionalFormatting>
  <conditionalFormatting sqref="R209:S225">
    <cfRule type="expression" dxfId="869" priority="1079">
      <formula>$AD209=2</formula>
    </cfRule>
  </conditionalFormatting>
  <conditionalFormatting sqref="R221:S227">
    <cfRule type="expression" dxfId="868" priority="1068">
      <formula>$AF221=4</formula>
    </cfRule>
    <cfRule type="expression" dxfId="867" priority="1069">
      <formula>$AF221=3</formula>
    </cfRule>
    <cfRule type="expression" dxfId="866" priority="1070">
      <formula>$AF221=2</formula>
    </cfRule>
    <cfRule type="expression" dxfId="865" priority="1071">
      <formula>$AF221=1</formula>
    </cfRule>
  </conditionalFormatting>
  <conditionalFormatting sqref="R236:S236 R245:S248 R10:S11 R17:S20 R27:S27 R31:S31 R35:S37 R64:S65 R67:S72 R86:S86 R93:S94 R102:S103 R116:S117 R161:S162 R172:S173 R193:S194 R196:S196 R251:S252 R254:S259">
    <cfRule type="expression" dxfId="864" priority="4683">
      <formula>$AF10=4</formula>
    </cfRule>
  </conditionalFormatting>
  <conditionalFormatting sqref="T11">
    <cfRule type="expression" dxfId="863" priority="3807">
      <formula>$AD11=2</formula>
    </cfRule>
  </conditionalFormatting>
  <conditionalFormatting sqref="T12:T104">
    <cfRule type="expression" dxfId="862" priority="427">
      <formula>$AB12=2</formula>
    </cfRule>
  </conditionalFormatting>
  <conditionalFormatting sqref="T105:T213">
    <cfRule type="expression" dxfId="861" priority="78">
      <formula>$AB105=2</formula>
    </cfRule>
  </conditionalFormatting>
  <conditionalFormatting sqref="T247">
    <cfRule type="expression" dxfId="860" priority="3740">
      <formula>$AD27=2</formula>
    </cfRule>
  </conditionalFormatting>
  <conditionalFormatting sqref="V12:V16">
    <cfRule type="expression" dxfId="859" priority="744">
      <formula>V12&gt;G12</formula>
    </cfRule>
    <cfRule type="expression" dxfId="856" priority="745">
      <formula>$AD12=2</formula>
    </cfRule>
  </conditionalFormatting>
  <conditionalFormatting sqref="V18:V19">
    <cfRule type="expression" dxfId="853" priority="3398">
      <formula>$AD18=2</formula>
    </cfRule>
    <cfRule type="expression" dxfId="852" priority="3397">
      <formula>V18&gt;G18</formula>
    </cfRule>
  </conditionalFormatting>
  <conditionalFormatting sqref="V21:V26">
    <cfRule type="expression" dxfId="851" priority="836">
      <formula>$AD21=2</formula>
    </cfRule>
    <cfRule type="expression" dxfId="850" priority="835">
      <formula>V21&gt;G21</formula>
    </cfRule>
  </conditionalFormatting>
  <conditionalFormatting sqref="V28:V30">
    <cfRule type="expression" dxfId="845" priority="3389">
      <formula>V28&gt;G28</formula>
    </cfRule>
    <cfRule type="expression" dxfId="844" priority="3390">
      <formula>$AD28=2</formula>
    </cfRule>
  </conditionalFormatting>
  <conditionalFormatting sqref="V32:V34">
    <cfRule type="expression" dxfId="842" priority="3386">
      <formula>$AD32=2</formula>
    </cfRule>
  </conditionalFormatting>
  <conditionalFormatting sqref="V32:V35">
    <cfRule type="expression" dxfId="840" priority="3385">
      <formula>V32&gt;G32</formula>
    </cfRule>
  </conditionalFormatting>
  <conditionalFormatting sqref="V39:V45">
    <cfRule type="expression" dxfId="839" priority="296">
      <formula>$AD39=2</formula>
    </cfRule>
    <cfRule type="expression" dxfId="838" priority="295">
      <formula>V39&gt;G39</formula>
    </cfRule>
  </conditionalFormatting>
  <conditionalFormatting sqref="V47:V50">
    <cfRule type="expression" dxfId="833" priority="2433">
      <formula>V47&gt;G47</formula>
    </cfRule>
    <cfRule type="expression" dxfId="832" priority="2434">
      <formula>$AD47=2</formula>
    </cfRule>
  </conditionalFormatting>
  <conditionalFormatting sqref="V52:V54">
    <cfRule type="expression" dxfId="829" priority="2405">
      <formula>$AD52=2</formula>
    </cfRule>
    <cfRule type="expression" dxfId="828" priority="2404">
      <formula>V52&gt;G52</formula>
    </cfRule>
  </conditionalFormatting>
  <conditionalFormatting sqref="V56:V57">
    <cfRule type="expression" dxfId="825" priority="1015">
      <formula>$AD56=2</formula>
    </cfRule>
    <cfRule type="expression" dxfId="824" priority="1014">
      <formula>V56&gt;G56</formula>
    </cfRule>
  </conditionalFormatting>
  <conditionalFormatting sqref="V59:V60">
    <cfRule type="expression" dxfId="823" priority="2347">
      <formula>$AD59=2</formula>
    </cfRule>
    <cfRule type="expression" dxfId="822" priority="2346">
      <formula>V59&gt;G59</formula>
    </cfRule>
  </conditionalFormatting>
  <conditionalFormatting sqref="V62:V63">
    <cfRule type="expression" dxfId="818" priority="2318">
      <formula>$AD62=2</formula>
    </cfRule>
    <cfRule type="expression" dxfId="817" priority="1162">
      <formula>V62&gt;G62</formula>
    </cfRule>
  </conditionalFormatting>
  <conditionalFormatting sqref="V67:V72">
    <cfRule type="expression" dxfId="813" priority="192">
      <formula>V67&gt;G67</formula>
    </cfRule>
    <cfRule type="expression" dxfId="812" priority="193">
      <formula>$AD67=2</formula>
    </cfRule>
  </conditionalFormatting>
  <conditionalFormatting sqref="V74:V76">
    <cfRule type="expression" dxfId="811" priority="2260">
      <formula>$AD74=2</formula>
    </cfRule>
    <cfRule type="expression" dxfId="808" priority="2259">
      <formula>V74&gt;G74</formula>
    </cfRule>
  </conditionalFormatting>
  <conditionalFormatting sqref="V78:V79">
    <cfRule type="expression" dxfId="805" priority="2230">
      <formula>V78&gt;G78</formula>
    </cfRule>
    <cfRule type="expression" dxfId="804" priority="2231">
      <formula>$AD78=2</formula>
    </cfRule>
  </conditionalFormatting>
  <conditionalFormatting sqref="V81:V82">
    <cfRule type="expression" dxfId="801" priority="2201">
      <formula>V81&gt;G81</formula>
    </cfRule>
    <cfRule type="expression" dxfId="800" priority="2202">
      <formula>$AD81=2</formula>
    </cfRule>
  </conditionalFormatting>
  <conditionalFormatting sqref="V84:V85">
    <cfRule type="expression" dxfId="798" priority="800">
      <formula>$AD84=2</formula>
    </cfRule>
  </conditionalFormatting>
  <conditionalFormatting sqref="V84:V86">
    <cfRule type="expression" dxfId="796" priority="799">
      <formula>V84&gt;G84</formula>
    </cfRule>
  </conditionalFormatting>
  <conditionalFormatting sqref="V88:V89">
    <cfRule type="expression" dxfId="795" priority="2144">
      <formula>$AD88=2</formula>
    </cfRule>
    <cfRule type="expression" dxfId="794" priority="2143">
      <formula>V88&gt;G88</formula>
    </cfRule>
  </conditionalFormatting>
  <conditionalFormatting sqref="V91:V92">
    <cfRule type="expression" dxfId="790" priority="1150">
      <formula>V91&gt;G91</formula>
    </cfRule>
    <cfRule type="expression" dxfId="789" priority="2115">
      <formula>$AD91=2</formula>
    </cfRule>
  </conditionalFormatting>
  <conditionalFormatting sqref="V96:V97">
    <cfRule type="expression" dxfId="785" priority="2085">
      <formula>V96&gt;G96</formula>
    </cfRule>
    <cfRule type="expression" dxfId="784" priority="2086">
      <formula>$AD96=2</formula>
    </cfRule>
  </conditionalFormatting>
  <conditionalFormatting sqref="V99:V101">
    <cfRule type="expression" dxfId="781" priority="760">
      <formula>V99&gt;G99</formula>
    </cfRule>
    <cfRule type="expression" dxfId="780" priority="761">
      <formula>$AD99=2</formula>
    </cfRule>
  </conditionalFormatting>
  <conditionalFormatting sqref="V105:V106">
    <cfRule type="expression" dxfId="778" priority="32">
      <formula>V105&gt;G105</formula>
    </cfRule>
    <cfRule type="expression" dxfId="777" priority="33">
      <formula>$AD105=2</formula>
    </cfRule>
  </conditionalFormatting>
  <conditionalFormatting sqref="V108">
    <cfRule type="expression" dxfId="775" priority="1998">
      <formula>V108&gt;G108</formula>
    </cfRule>
    <cfRule type="expression" dxfId="772" priority="1999">
      <formula>$AD108=2</formula>
    </cfRule>
  </conditionalFormatting>
  <conditionalFormatting sqref="V110:V112">
    <cfRule type="expression" dxfId="771" priority="1969">
      <formula>V110&gt;G110</formula>
    </cfRule>
    <cfRule type="expression" dxfId="770" priority="1970">
      <formula>$AD110=2</formula>
    </cfRule>
  </conditionalFormatting>
  <conditionalFormatting sqref="V114:V115">
    <cfRule type="expression" dxfId="765" priority="1941">
      <formula>$AD114=2</formula>
    </cfRule>
    <cfRule type="expression" dxfId="764" priority="1126">
      <formula>V114&gt;G114</formula>
    </cfRule>
  </conditionalFormatting>
  <conditionalFormatting sqref="V119:V121">
    <cfRule type="expression" dxfId="763" priority="1011">
      <formula>$AD119=2</formula>
    </cfRule>
    <cfRule type="expression" dxfId="762" priority="1010">
      <formula>V119&gt;G119</formula>
    </cfRule>
  </conditionalFormatting>
  <conditionalFormatting sqref="V123:V125">
    <cfRule type="expression" dxfId="759" priority="1006">
      <formula>V123&gt;G123</formula>
    </cfRule>
    <cfRule type="expression" dxfId="758" priority="1007">
      <formula>$AD123=2</formula>
    </cfRule>
  </conditionalFormatting>
  <conditionalFormatting sqref="V127:V129">
    <cfRule type="expression" dxfId="755" priority="1003">
      <formula>$AD127=2</formula>
    </cfRule>
    <cfRule type="expression" dxfId="752" priority="1002">
      <formula>V127&gt;G127</formula>
    </cfRule>
  </conditionalFormatting>
  <conditionalFormatting sqref="V131:V135">
    <cfRule type="expression" dxfId="751" priority="943">
      <formula>$AD131=2</formula>
    </cfRule>
    <cfRule type="expression" dxfId="748" priority="942">
      <formula>V131&gt;G131</formula>
    </cfRule>
  </conditionalFormatting>
  <conditionalFormatting sqref="V137:V140">
    <cfRule type="expression" dxfId="747" priority="83">
      <formula>V137&gt;G137</formula>
    </cfRule>
  </conditionalFormatting>
  <conditionalFormatting sqref="V138:V140">
    <cfRule type="expression" dxfId="744" priority="1767">
      <formula>$AD138=2</formula>
    </cfRule>
  </conditionalFormatting>
  <conditionalFormatting sqref="V142:V145">
    <cfRule type="expression" dxfId="743" priority="1738">
      <formula>$AD142=2</formula>
    </cfRule>
    <cfRule type="expression" dxfId="742" priority="1114">
      <formula>V142&gt;G142</formula>
    </cfRule>
  </conditionalFormatting>
  <conditionalFormatting sqref="V149:V153">
    <cfRule type="expression" dxfId="737" priority="54">
      <formula>V149&gt;G149</formula>
    </cfRule>
    <cfRule type="expression" dxfId="736" priority="55">
      <formula>$AD149=2</formula>
    </cfRule>
  </conditionalFormatting>
  <conditionalFormatting sqref="V155">
    <cfRule type="expression" dxfId="733" priority="1679">
      <formula>V155&gt;G155</formula>
    </cfRule>
    <cfRule type="expression" dxfId="732" priority="1680">
      <formula>$AD155=2</formula>
    </cfRule>
  </conditionalFormatting>
  <conditionalFormatting sqref="V157">
    <cfRule type="expression" dxfId="731" priority="1650">
      <formula>V157&gt;G157</formula>
    </cfRule>
    <cfRule type="expression" dxfId="728" priority="1651">
      <formula>$AD157=2</formula>
    </cfRule>
  </conditionalFormatting>
  <conditionalFormatting sqref="V159:V160">
    <cfRule type="expression" dxfId="726" priority="1102">
      <formula>V159&gt;G159</formula>
    </cfRule>
    <cfRule type="expression" dxfId="725" priority="1622">
      <formula>$AD159=2</formula>
    </cfRule>
  </conditionalFormatting>
  <conditionalFormatting sqref="V164:V165">
    <cfRule type="expression" dxfId="723" priority="217">
      <formula>V164&gt;G164</formula>
    </cfRule>
    <cfRule type="expression" dxfId="720" priority="218">
      <formula>$AD164=2</formula>
    </cfRule>
  </conditionalFormatting>
  <conditionalFormatting sqref="V167:V169">
    <cfRule type="expression" dxfId="719" priority="994">
      <formula>V167&gt;G167</formula>
    </cfRule>
    <cfRule type="expression" dxfId="716" priority="995">
      <formula>$AD167=2</formula>
    </cfRule>
  </conditionalFormatting>
  <conditionalFormatting sqref="V172:V173">
    <cfRule type="expression" dxfId="714" priority="1535">
      <formula>$AD172=2</formula>
    </cfRule>
    <cfRule type="expression" dxfId="712" priority="1534">
      <formula>V172&gt;G172</formula>
    </cfRule>
  </conditionalFormatting>
  <conditionalFormatting sqref="V175:V177">
    <cfRule type="expression" dxfId="711" priority="987">
      <formula>$AD175=2</formula>
    </cfRule>
    <cfRule type="expression" dxfId="708" priority="986">
      <formula>V175&gt;G175</formula>
    </cfRule>
  </conditionalFormatting>
  <conditionalFormatting sqref="V179:V181">
    <cfRule type="expression" dxfId="705" priority="982">
      <formula>V179&gt;G179</formula>
    </cfRule>
    <cfRule type="expression" dxfId="704" priority="983">
      <formula>$AD179=2</formula>
    </cfRule>
  </conditionalFormatting>
  <conditionalFormatting sqref="V183">
    <cfRule type="expression" dxfId="703" priority="1447">
      <formula>V183&gt;G183</formula>
    </cfRule>
    <cfRule type="expression" dxfId="700" priority="1448">
      <formula>$AD183=2</formula>
    </cfRule>
  </conditionalFormatting>
  <conditionalFormatting sqref="V185:V186">
    <cfRule type="expression" dxfId="699" priority="978">
      <formula>V185&gt;G185</formula>
    </cfRule>
    <cfRule type="expression" dxfId="696" priority="979">
      <formula>$AD185=2</formula>
    </cfRule>
  </conditionalFormatting>
  <conditionalFormatting sqref="V188:V192">
    <cfRule type="expression" dxfId="694" priority="974">
      <formula>V188&gt;G188</formula>
    </cfRule>
    <cfRule type="expression" dxfId="693" priority="975">
      <formula>$AD188=2</formula>
    </cfRule>
  </conditionalFormatting>
  <conditionalFormatting sqref="V196:V199">
    <cfRule type="expression" dxfId="691" priority="893">
      <formula>V196&gt;G196</formula>
    </cfRule>
  </conditionalFormatting>
  <conditionalFormatting sqref="V201:V202">
    <cfRule type="expression" dxfId="688" priority="1331">
      <formula>V201&gt;G201</formula>
    </cfRule>
    <cfRule type="expression" dxfId="686" priority="1332">
      <formula>$AD201=2</formula>
    </cfRule>
  </conditionalFormatting>
  <conditionalFormatting sqref="V204:V205">
    <cfRule type="expression" dxfId="684" priority="1302">
      <formula>V204&gt;G204</formula>
    </cfRule>
    <cfRule type="expression" dxfId="681" priority="1303">
      <formula>$AD204=2</formula>
    </cfRule>
  </conditionalFormatting>
  <conditionalFormatting sqref="V207:V209">
    <cfRule type="expression" dxfId="680" priority="1274">
      <formula>$AD207=2</formula>
    </cfRule>
    <cfRule type="expression" dxfId="679" priority="1078">
      <formula>V207&gt;G207</formula>
    </cfRule>
  </conditionalFormatting>
  <conditionalFormatting sqref="V212:V226">
    <cfRule type="expression" dxfId="675" priority="1066">
      <formula>V212&gt;G212</formula>
    </cfRule>
  </conditionalFormatting>
  <conditionalFormatting sqref="V36:W37 V64:W65 V93:W94 V102:W103 V116:W117 V146:W147 V161:W162 V193:W194 V210:W211 V10:X10">
    <cfRule type="expression" dxfId="673" priority="4565">
      <formula>V10&gt;G10</formula>
    </cfRule>
  </conditionalFormatting>
  <conditionalFormatting sqref="V137:W137">
    <cfRule type="expression" dxfId="671" priority="84">
      <formula>$AD137=2</formula>
    </cfRule>
  </conditionalFormatting>
  <conditionalFormatting sqref="V196:W199">
    <cfRule type="expression" dxfId="670" priority="894">
      <formula>$AD196=2</formula>
    </cfRule>
  </conditionalFormatting>
  <conditionalFormatting sqref="V4:X4">
    <cfRule type="expression" dxfId="669" priority="4558">
      <formula>$AA$8="No"</formula>
    </cfRule>
  </conditionalFormatting>
  <conditionalFormatting sqref="V64:X65">
    <cfRule type="expression" dxfId="668" priority="620">
      <formula>$AD64=2</formula>
    </cfRule>
  </conditionalFormatting>
  <conditionalFormatting sqref="V93:X94">
    <cfRule type="expression" dxfId="667" priority="613">
      <formula>$AD93=2</formula>
    </cfRule>
  </conditionalFormatting>
  <conditionalFormatting sqref="V102:X103">
    <cfRule type="expression" dxfId="666" priority="606">
      <formula>$AD102=2</formula>
    </cfRule>
  </conditionalFormatting>
  <conditionalFormatting sqref="V116:X117">
    <cfRule type="expression" dxfId="665" priority="599">
      <formula>$AD116=2</formula>
    </cfRule>
  </conditionalFormatting>
  <conditionalFormatting sqref="V146:X147">
    <cfRule type="expression" dxfId="664" priority="592">
      <formula>$AD146=2</formula>
    </cfRule>
  </conditionalFormatting>
  <conditionalFormatting sqref="V161:X162">
    <cfRule type="expression" dxfId="663" priority="585">
      <formula>$AD161=2</formula>
    </cfRule>
  </conditionalFormatting>
  <conditionalFormatting sqref="V193:X194">
    <cfRule type="expression" dxfId="662" priority="578">
      <formula>$AD193=2</formula>
    </cfRule>
  </conditionalFormatting>
  <conditionalFormatting sqref="V210:X211">
    <cfRule type="expression" dxfId="661" priority="571">
      <formula>$AD210=2</formula>
    </cfRule>
  </conditionalFormatting>
  <conditionalFormatting sqref="V245:X245">
    <cfRule type="expression" dxfId="658" priority="4192">
      <formula>V245&gt;G245</formula>
    </cfRule>
  </conditionalFormatting>
  <conditionalFormatting sqref="V248:X248">
    <cfRule type="expression" dxfId="657" priority="4116">
      <formula>V248&gt;G248</formula>
    </cfRule>
  </conditionalFormatting>
  <conditionalFormatting sqref="V251:X252">
    <cfRule type="expression" dxfId="656" priority="4090">
      <formula>V251&gt;G251</formula>
    </cfRule>
  </conditionalFormatting>
  <conditionalFormatting sqref="V255:X256">
    <cfRule type="expression" dxfId="654" priority="4273">
      <formula>V255&gt;G255</formula>
    </cfRule>
  </conditionalFormatting>
  <conditionalFormatting sqref="V257:X258">
    <cfRule type="expression" dxfId="653" priority="3982">
      <formula>V257&gt;G257</formula>
    </cfRule>
  </conditionalFormatting>
  <conditionalFormatting sqref="V4:AA7">
    <cfRule type="expression" dxfId="647" priority="212">
      <formula>$AA$8=AD_no</formula>
    </cfRule>
  </conditionalFormatting>
  <conditionalFormatting sqref="W11:W34">
    <cfRule type="expression" dxfId="644" priority="746">
      <formula>$AD11=2</formula>
    </cfRule>
  </conditionalFormatting>
  <conditionalFormatting sqref="W11:W226">
    <cfRule type="expression" dxfId="643" priority="109">
      <formula>G11=0</formula>
    </cfRule>
  </conditionalFormatting>
  <conditionalFormatting sqref="W35">
    <cfRule type="expression" dxfId="642" priority="26">
      <formula>$AD35=2</formula>
    </cfRule>
  </conditionalFormatting>
  <conditionalFormatting sqref="W38:W63">
    <cfRule type="expression" dxfId="641" priority="297">
      <formula>$AD38=2</formula>
    </cfRule>
  </conditionalFormatting>
  <conditionalFormatting sqref="W66:W85">
    <cfRule type="expression" dxfId="640" priority="801">
      <formula>$AD66=2</formula>
    </cfRule>
  </conditionalFormatting>
  <conditionalFormatting sqref="W87:W92">
    <cfRule type="expression" dxfId="639" priority="1144">
      <formula>$AD87=2</formula>
    </cfRule>
  </conditionalFormatting>
  <conditionalFormatting sqref="W95:W101">
    <cfRule type="expression" dxfId="638" priority="768">
      <formula>$AD95=2</formula>
    </cfRule>
  </conditionalFormatting>
  <conditionalFormatting sqref="W104:W115">
    <cfRule type="expression" dxfId="637" priority="168">
      <formula>$AD104=2</formula>
    </cfRule>
  </conditionalFormatting>
  <conditionalFormatting sqref="W118:W136">
    <cfRule type="expression" dxfId="636" priority="944">
      <formula>$AD118=2</formula>
    </cfRule>
  </conditionalFormatting>
  <conditionalFormatting sqref="W138:W145">
    <cfRule type="expression" dxfId="635" priority="1108">
      <formula>$AD138=2</formula>
    </cfRule>
  </conditionalFormatting>
  <conditionalFormatting sqref="W148:W160">
    <cfRule type="expression" dxfId="634" priority="127">
      <formula>$AD148=2</formula>
    </cfRule>
  </conditionalFormatting>
  <conditionalFormatting sqref="W163:W192">
    <cfRule type="expression" dxfId="633" priority="287">
      <formula>$AD163=2</formula>
    </cfRule>
  </conditionalFormatting>
  <conditionalFormatting sqref="W195">
    <cfRule type="expression" dxfId="632" priority="3215">
      <formula>$AD195=2</formula>
    </cfRule>
  </conditionalFormatting>
  <conditionalFormatting sqref="W200:W209">
    <cfRule type="expression" dxfId="631" priority="1072">
      <formula>$AD200=2</formula>
    </cfRule>
  </conditionalFormatting>
  <conditionalFormatting sqref="W212:W226">
    <cfRule type="expression" dxfId="630" priority="1060">
      <formula>$AD212=2</formula>
    </cfRule>
  </conditionalFormatting>
  <conditionalFormatting sqref="X36:X37">
    <cfRule type="expression" dxfId="629" priority="629">
      <formula>$AF36=3</formula>
    </cfRule>
    <cfRule type="expression" dxfId="628" priority="627">
      <formula>$AD36=2</formula>
    </cfRule>
    <cfRule type="expression" dxfId="625" priority="628">
      <formula>$AF36=4</formula>
    </cfRule>
    <cfRule type="expression" dxfId="624" priority="630">
      <formula>$AF36=2</formula>
    </cfRule>
    <cfRule type="expression" dxfId="623" priority="631">
      <formula>$AF36=1</formula>
    </cfRule>
  </conditionalFormatting>
  <conditionalFormatting sqref="X64:X65">
    <cfRule type="expression" dxfId="622" priority="624">
      <formula>$AF64=1</formula>
    </cfRule>
    <cfRule type="expression" dxfId="621" priority="622">
      <formula>$AF64=3</formula>
    </cfRule>
    <cfRule type="expression" dxfId="620" priority="623">
      <formula>$AF64=2</formula>
    </cfRule>
    <cfRule type="expression" dxfId="619" priority="621">
      <formula>$AF64=4</formula>
    </cfRule>
  </conditionalFormatting>
  <conditionalFormatting sqref="X93:X94">
    <cfRule type="expression" dxfId="616" priority="617">
      <formula>$AF93=1</formula>
    </cfRule>
    <cfRule type="expression" dxfId="615" priority="616">
      <formula>$AF93=2</formula>
    </cfRule>
    <cfRule type="expression" dxfId="614" priority="615">
      <formula>$AF93=3</formula>
    </cfRule>
    <cfRule type="expression" dxfId="613" priority="614">
      <formula>$AF93=4</formula>
    </cfRule>
  </conditionalFormatting>
  <conditionalFormatting sqref="X102:X103">
    <cfRule type="expression" dxfId="610" priority="608">
      <formula>$AF102=3</formula>
    </cfRule>
    <cfRule type="expression" dxfId="608" priority="610">
      <formula>$AF102=1</formula>
    </cfRule>
    <cfRule type="expression" dxfId="607" priority="607">
      <formula>$AF102=4</formula>
    </cfRule>
    <cfRule type="expression" dxfId="605" priority="609">
      <formula>$AF102=2</formula>
    </cfRule>
  </conditionalFormatting>
  <conditionalFormatting sqref="X116:X117">
    <cfRule type="expression" dxfId="602" priority="600">
      <formula>$AF116=4</formula>
    </cfRule>
    <cfRule type="expression" dxfId="601" priority="601">
      <formula>$AF116=3</formula>
    </cfRule>
    <cfRule type="expression" dxfId="600" priority="602">
      <formula>$AF116=2</formula>
    </cfRule>
    <cfRule type="expression" dxfId="599" priority="603">
      <formula>$AF116=1</formula>
    </cfRule>
  </conditionalFormatting>
  <conditionalFormatting sqref="X146:X147">
    <cfRule type="expression" dxfId="598" priority="593">
      <formula>$AF146=4</formula>
    </cfRule>
    <cfRule type="expression" dxfId="595" priority="596">
      <formula>$AF146=1</formula>
    </cfRule>
    <cfRule type="expression" dxfId="594" priority="595">
      <formula>$AF146=2</formula>
    </cfRule>
    <cfRule type="expression" dxfId="593" priority="594">
      <formula>$AF146=3</formula>
    </cfRule>
  </conditionalFormatting>
  <conditionalFormatting sqref="X161:X162">
    <cfRule type="expression" dxfId="591" priority="586">
      <formula>$AF161=4</formula>
    </cfRule>
    <cfRule type="expression" dxfId="590" priority="589">
      <formula>$AF161=1</formula>
    </cfRule>
    <cfRule type="expression" dxfId="589" priority="588">
      <formula>$AF161=2</formula>
    </cfRule>
    <cfRule type="expression" dxfId="588" priority="587">
      <formula>$AF161=3</formula>
    </cfRule>
  </conditionalFormatting>
  <conditionalFormatting sqref="X193:X194">
    <cfRule type="expression" dxfId="586" priority="581">
      <formula>$AF193=2</formula>
    </cfRule>
    <cfRule type="expression" dxfId="585" priority="580">
      <formula>$AF193=3</formula>
    </cfRule>
    <cfRule type="expression" dxfId="584" priority="579">
      <formula>$AF193=4</formula>
    </cfRule>
    <cfRule type="expression" dxfId="583" priority="582">
      <formula>$AF193=1</formula>
    </cfRule>
  </conditionalFormatting>
  <conditionalFormatting sqref="X210:X211">
    <cfRule type="expression" dxfId="580" priority="573">
      <formula>$AF210=3</formula>
    </cfRule>
    <cfRule type="expression" dxfId="579" priority="574">
      <formula>$AF210=2</formula>
    </cfRule>
    <cfRule type="expression" dxfId="578" priority="575">
      <formula>$AF210=1</formula>
    </cfRule>
    <cfRule type="expression" dxfId="575" priority="572">
      <formula>$AF210=4</formula>
    </cfRule>
  </conditionalFormatting>
  <conditionalFormatting sqref="Y10:Z11 Y17:Z20 Y27:Z27 Y31:Z31 Y35:Z37 Y63:Z65 Y67:Z72 Y92:Z94 Y101:Z103 Y115:Z117 Y145:Z147 Y160:Z162 Y192:Z194 Y196:Z196 Y236:Z236 Y245:Z248 Y251:Z252 Y254:Z259">
    <cfRule type="expression" dxfId="574" priority="4682">
      <formula>$AG10=1</formula>
    </cfRule>
    <cfRule type="expression" dxfId="573" priority="4681">
      <formula>$AG10=2</formula>
    </cfRule>
    <cfRule type="expression" dxfId="572" priority="4680">
      <formula>$AG10=3</formula>
    </cfRule>
  </conditionalFormatting>
  <conditionalFormatting sqref="Y12:Z16">
    <cfRule type="expression" dxfId="570" priority="753">
      <formula>$AG12=1</formula>
    </cfRule>
    <cfRule type="expression" dxfId="569" priority="752">
      <formula>$AG12=2</formula>
    </cfRule>
    <cfRule type="expression" dxfId="568" priority="750">
      <formula>$AG12=4</formula>
    </cfRule>
    <cfRule type="expression" dxfId="567" priority="751">
      <formula>$AG12=3</formula>
    </cfRule>
  </conditionalFormatting>
  <conditionalFormatting sqref="Y15:Z15">
    <cfRule type="expression" dxfId="565" priority="749">
      <formula>$AD15=2</formula>
    </cfRule>
  </conditionalFormatting>
  <conditionalFormatting sqref="Y21:Z26">
    <cfRule type="expression" dxfId="563" priority="846">
      <formula>$AG21=4</formula>
    </cfRule>
    <cfRule type="expression" dxfId="562" priority="847">
      <formula>$AG21=3</formula>
    </cfRule>
    <cfRule type="expression" dxfId="561" priority="849">
      <formula>$AG21=1</formula>
    </cfRule>
    <cfRule type="expression" dxfId="560" priority="848">
      <formula>$AG21=2</formula>
    </cfRule>
  </conditionalFormatting>
  <conditionalFormatting sqref="Y28:Z30">
    <cfRule type="expression" dxfId="558" priority="3530">
      <formula>$AG28=1</formula>
    </cfRule>
    <cfRule type="expression" dxfId="557" priority="3529">
      <formula>$AG28=2</formula>
    </cfRule>
    <cfRule type="expression" dxfId="556" priority="3528">
      <formula>$AG28=3</formula>
    </cfRule>
    <cfRule type="expression" dxfId="555" priority="3527">
      <formula>$AG28=4</formula>
    </cfRule>
  </conditionalFormatting>
  <conditionalFormatting sqref="Y32:Z34">
    <cfRule type="expression" dxfId="553" priority="3479">
      <formula>$AG32=4</formula>
    </cfRule>
    <cfRule type="expression" dxfId="552" priority="3480">
      <formula>$AG32=3</formula>
    </cfRule>
    <cfRule type="expression" dxfId="551" priority="3481">
      <formula>$AG32=2</formula>
    </cfRule>
    <cfRule type="expression" dxfId="550" priority="3482">
      <formula>$AG32=1</formula>
    </cfRule>
  </conditionalFormatting>
  <conditionalFormatting sqref="Y38:Z45">
    <cfRule type="expression" dxfId="549" priority="2483">
      <formula>$AG38=2</formula>
    </cfRule>
    <cfRule type="expression" dxfId="548" priority="2481">
      <formula>$AG38=4</formula>
    </cfRule>
    <cfRule type="expression" dxfId="547" priority="2482">
      <formula>$AG38=3</formula>
    </cfRule>
    <cfRule type="expression" dxfId="546" priority="2484">
      <formula>$AG38=1</formula>
    </cfRule>
  </conditionalFormatting>
  <conditionalFormatting sqref="Y46:Z46">
    <cfRule type="expression" dxfId="544" priority="3208">
      <formula>$AG46=3</formula>
    </cfRule>
    <cfRule type="expression" dxfId="543" priority="3210">
      <formula>$AG46=1</formula>
    </cfRule>
    <cfRule type="expression" dxfId="542" priority="3209">
      <formula>$AG46=2</formula>
    </cfRule>
    <cfRule type="expression" dxfId="541" priority="3207">
      <formula>$AG46=4</formula>
    </cfRule>
  </conditionalFormatting>
  <conditionalFormatting sqref="Y46:Z61">
    <cfRule type="expression" dxfId="540" priority="3118">
      <formula>$AD46=2</formula>
    </cfRule>
  </conditionalFormatting>
  <conditionalFormatting sqref="Y47:Z50">
    <cfRule type="expression" dxfId="539" priority="2452">
      <formula>$AG47=4</formula>
    </cfRule>
    <cfRule type="expression" dxfId="538" priority="2455">
      <formula>$AG47=1</formula>
    </cfRule>
    <cfRule type="expression" dxfId="537" priority="2454">
      <formula>$AG47=2</formula>
    </cfRule>
    <cfRule type="expression" dxfId="536" priority="2453">
      <formula>$AG47=3</formula>
    </cfRule>
  </conditionalFormatting>
  <conditionalFormatting sqref="Y51:Z51">
    <cfRule type="expression" dxfId="535" priority="3186">
      <formula>$AG51=3</formula>
    </cfRule>
    <cfRule type="expression" dxfId="534" priority="3185">
      <formula>$AG51=4</formula>
    </cfRule>
    <cfRule type="expression" dxfId="533" priority="3187">
      <formula>$AG51=2</formula>
    </cfRule>
    <cfRule type="expression" dxfId="532" priority="3188">
      <formula>$AG51=1</formula>
    </cfRule>
  </conditionalFormatting>
  <conditionalFormatting sqref="Y52:Z54">
    <cfRule type="expression" dxfId="531" priority="2423">
      <formula>$AG52=4</formula>
    </cfRule>
    <cfRule type="expression" dxfId="530" priority="2424">
      <formula>$AG52=3</formula>
    </cfRule>
    <cfRule type="expression" dxfId="529" priority="2425">
      <formula>$AG52=2</formula>
    </cfRule>
    <cfRule type="expression" dxfId="528" priority="2426">
      <formula>$AG52=1</formula>
    </cfRule>
  </conditionalFormatting>
  <conditionalFormatting sqref="Y55:Z55">
    <cfRule type="expression" dxfId="527" priority="3163">
      <formula>$AG55=4</formula>
    </cfRule>
    <cfRule type="expression" dxfId="526" priority="3165">
      <formula>$AG55=2</formula>
    </cfRule>
    <cfRule type="expression" dxfId="525" priority="3164">
      <formula>$AG55=3</formula>
    </cfRule>
    <cfRule type="expression" dxfId="524" priority="3166">
      <formula>$AG55=1</formula>
    </cfRule>
  </conditionalFormatting>
  <conditionalFormatting sqref="Y56:Z57">
    <cfRule type="expression" dxfId="523" priority="2394">
      <formula>$AG56=4</formula>
    </cfRule>
    <cfRule type="expression" dxfId="522" priority="2395">
      <formula>$AG56=3</formula>
    </cfRule>
    <cfRule type="expression" dxfId="521" priority="2396">
      <formula>$AG56=2</formula>
    </cfRule>
    <cfRule type="expression" dxfId="520" priority="2397">
      <formula>$AG56=1</formula>
    </cfRule>
  </conditionalFormatting>
  <conditionalFormatting sqref="Y58:Z58">
    <cfRule type="expression" dxfId="519" priority="3142">
      <formula>$AG58=3</formula>
    </cfRule>
    <cfRule type="expression" dxfId="518" priority="3141">
      <formula>$AG58=4</formula>
    </cfRule>
    <cfRule type="expression" dxfId="517" priority="3144">
      <formula>$AG58=1</formula>
    </cfRule>
    <cfRule type="expression" dxfId="516" priority="3143">
      <formula>$AG58=2</formula>
    </cfRule>
  </conditionalFormatting>
  <conditionalFormatting sqref="Y59:Z60">
    <cfRule type="expression" dxfId="515" priority="2365">
      <formula>$AG59=4</formula>
    </cfRule>
    <cfRule type="expression" dxfId="514" priority="2366">
      <formula>$AG59=3</formula>
    </cfRule>
    <cfRule type="expression" dxfId="513" priority="2367">
      <formula>$AG59=2</formula>
    </cfRule>
    <cfRule type="expression" dxfId="512" priority="2368">
      <formula>$AG59=1</formula>
    </cfRule>
  </conditionalFormatting>
  <conditionalFormatting sqref="Y61:Z61">
    <cfRule type="expression" dxfId="511" priority="3122">
      <formula>$AG61=1</formula>
    </cfRule>
    <cfRule type="expression" dxfId="510" priority="3119">
      <formula>$AG61=4</formula>
    </cfRule>
    <cfRule type="expression" dxfId="509" priority="3120">
      <formula>$AG61=3</formula>
    </cfRule>
    <cfRule type="expression" dxfId="508" priority="3121">
      <formula>$AG61=2</formula>
    </cfRule>
  </conditionalFormatting>
  <conditionalFormatting sqref="Y62:Z62">
    <cfRule type="expression" dxfId="507" priority="2338">
      <formula>$AG62=2</formula>
    </cfRule>
    <cfRule type="expression" dxfId="506" priority="2337">
      <formula>$AG62=3</formula>
    </cfRule>
    <cfRule type="expression" dxfId="505" priority="2339">
      <formula>$AG62=1</formula>
    </cfRule>
    <cfRule type="expression" dxfId="504" priority="2336">
      <formula>$AG62=4</formula>
    </cfRule>
  </conditionalFormatting>
  <conditionalFormatting sqref="Y66:Z66">
    <cfRule type="expression" dxfId="503" priority="3351">
      <formula>$AG66=3</formula>
    </cfRule>
    <cfRule type="expression" dxfId="502" priority="3352">
      <formula>$AG66=2</formula>
    </cfRule>
    <cfRule type="expression" dxfId="501" priority="3353">
      <formula>$AG66=1</formula>
    </cfRule>
    <cfRule type="expression" dxfId="500" priority="3350">
      <formula>$AG66=4</formula>
    </cfRule>
  </conditionalFormatting>
  <conditionalFormatting sqref="Y73:Z73">
    <cfRule type="expression" dxfId="498" priority="3098">
      <formula>$AG73=3</formula>
    </cfRule>
    <cfRule type="expression" dxfId="497" priority="3099">
      <formula>$AG73=2</formula>
    </cfRule>
    <cfRule type="expression" dxfId="496" priority="3100">
      <formula>$AG73=1</formula>
    </cfRule>
    <cfRule type="expression" dxfId="495" priority="3097">
      <formula>$AG73=4</formula>
    </cfRule>
  </conditionalFormatting>
  <conditionalFormatting sqref="Y73:Z97">
    <cfRule type="expression" dxfId="494" priority="2986">
      <formula>$AD73=2</formula>
    </cfRule>
  </conditionalFormatting>
  <conditionalFormatting sqref="Y74:Z76">
    <cfRule type="expression" dxfId="493" priority="2278">
      <formula>$AG74=4</formula>
    </cfRule>
    <cfRule type="expression" dxfId="492" priority="2279">
      <formula>$AG74=3</formula>
    </cfRule>
    <cfRule type="expression" dxfId="491" priority="2281">
      <formula>$AG74=1</formula>
    </cfRule>
    <cfRule type="expression" dxfId="490" priority="2280">
      <formula>$AG74=2</formula>
    </cfRule>
  </conditionalFormatting>
  <conditionalFormatting sqref="Y77:Z77">
    <cfRule type="expression" dxfId="489" priority="3075">
      <formula>$AG77=4</formula>
    </cfRule>
    <cfRule type="expression" dxfId="488" priority="3077">
      <formula>$AG77=2</formula>
    </cfRule>
    <cfRule type="expression" dxfId="487" priority="3078">
      <formula>$AG77=1</formula>
    </cfRule>
    <cfRule type="expression" dxfId="486" priority="3076">
      <formula>$AG77=3</formula>
    </cfRule>
  </conditionalFormatting>
  <conditionalFormatting sqref="Y78:Z79">
    <cfRule type="expression" dxfId="485" priority="2250">
      <formula>$AG78=3</formula>
    </cfRule>
    <cfRule type="expression" dxfId="484" priority="2251">
      <formula>$AG78=2</formula>
    </cfRule>
    <cfRule type="expression" dxfId="483" priority="2252">
      <formula>$AG78=1</formula>
    </cfRule>
    <cfRule type="expression" dxfId="482" priority="2249">
      <formula>$AG78=4</formula>
    </cfRule>
  </conditionalFormatting>
  <conditionalFormatting sqref="Y80:Z80">
    <cfRule type="expression" dxfId="481" priority="3055">
      <formula>$AG80=2</formula>
    </cfRule>
    <cfRule type="expression" dxfId="480" priority="3054">
      <formula>$AG80=3</formula>
    </cfRule>
    <cfRule type="expression" dxfId="479" priority="3053">
      <formula>$AG80=4</formula>
    </cfRule>
    <cfRule type="expression" dxfId="478" priority="3056">
      <formula>$AG80=1</formula>
    </cfRule>
  </conditionalFormatting>
  <conditionalFormatting sqref="Y81:Z82">
    <cfRule type="expression" dxfId="477" priority="2221">
      <formula>$AG81=3</formula>
    </cfRule>
    <cfRule type="expression" dxfId="476" priority="2222">
      <formula>$AG81=2</formula>
    </cfRule>
    <cfRule type="expression" dxfId="475" priority="2220">
      <formula>$AG81=4</formula>
    </cfRule>
    <cfRule type="expression" dxfId="474" priority="2223">
      <formula>$AG81=1</formula>
    </cfRule>
  </conditionalFormatting>
  <conditionalFormatting sqref="Y83:Z83">
    <cfRule type="expression" dxfId="473" priority="3033">
      <formula>$AG83=2</formula>
    </cfRule>
    <cfRule type="expression" dxfId="472" priority="3034">
      <formula>$AG83=1</formula>
    </cfRule>
    <cfRule type="expression" dxfId="471" priority="3032">
      <formula>$AG83=3</formula>
    </cfRule>
    <cfRule type="expression" dxfId="470" priority="3031">
      <formula>$AG83=4</formula>
    </cfRule>
  </conditionalFormatting>
  <conditionalFormatting sqref="Y84:Z85">
    <cfRule type="expression" dxfId="469" priority="821">
      <formula>$AG84=1</formula>
    </cfRule>
    <cfRule type="expression" dxfId="468" priority="820">
      <formula>$AG84=2</formula>
    </cfRule>
    <cfRule type="expression" dxfId="467" priority="819">
      <formula>$AG84=3</formula>
    </cfRule>
    <cfRule type="expression" dxfId="466" priority="818">
      <formula>$AG84=4</formula>
    </cfRule>
  </conditionalFormatting>
  <conditionalFormatting sqref="Y86:Z87">
    <cfRule type="expression" dxfId="465" priority="3012">
      <formula>$AG86=1</formula>
    </cfRule>
    <cfRule type="expression" dxfId="464" priority="3010">
      <formula>$AG86=3</formula>
    </cfRule>
    <cfRule type="expression" dxfId="463" priority="3009">
      <formula>$AG86=4</formula>
    </cfRule>
    <cfRule type="expression" dxfId="462" priority="3011">
      <formula>$AG86=2</formula>
    </cfRule>
  </conditionalFormatting>
  <conditionalFormatting sqref="Y88:Z89">
    <cfRule type="expression" dxfId="460" priority="2163">
      <formula>$AG88=3</formula>
    </cfRule>
    <cfRule type="expression" dxfId="459" priority="2162">
      <formula>$AG88=4</formula>
    </cfRule>
    <cfRule type="expression" dxfId="458" priority="2164">
      <formula>$AG88=2</formula>
    </cfRule>
    <cfRule type="expression" dxfId="457" priority="2165">
      <formula>$AG88=1</formula>
    </cfRule>
  </conditionalFormatting>
  <conditionalFormatting sqref="Y90:Z90">
    <cfRule type="expression" dxfId="456" priority="2990">
      <formula>$AG90=1</formula>
    </cfRule>
    <cfRule type="expression" dxfId="455" priority="2988">
      <formula>$AG90=3</formula>
    </cfRule>
    <cfRule type="expression" dxfId="454" priority="2987">
      <formula>$AG90=4</formula>
    </cfRule>
    <cfRule type="expression" dxfId="453" priority="2989">
      <formula>$AG90=2</formula>
    </cfRule>
  </conditionalFormatting>
  <conditionalFormatting sqref="Y91:Z91">
    <cfRule type="expression" dxfId="452" priority="2136">
      <formula>$AG91=1</formula>
    </cfRule>
    <cfRule type="expression" dxfId="451" priority="2135">
      <formula>$AG91=2</formula>
    </cfRule>
    <cfRule type="expression" dxfId="450" priority="2134">
      <formula>$AG91=3</formula>
    </cfRule>
    <cfRule type="expression" dxfId="449" priority="2133">
      <formula>$AG91=4</formula>
    </cfRule>
  </conditionalFormatting>
  <conditionalFormatting sqref="Y95:Z100">
    <cfRule type="expression" dxfId="448" priority="785">
      <formula>$AG95=1</formula>
    </cfRule>
    <cfRule type="expression" dxfId="447" priority="784">
      <formula>$AG95=2</formula>
    </cfRule>
    <cfRule type="expression" dxfId="446" priority="783">
      <formula>$AG95=3</formula>
    </cfRule>
    <cfRule type="expression" dxfId="444" priority="782">
      <formula>$AG95=4</formula>
    </cfRule>
  </conditionalFormatting>
  <conditionalFormatting sqref="Y98:Z99">
    <cfRule type="expression" dxfId="443" priority="781">
      <formula>$AD98=2</formula>
    </cfRule>
  </conditionalFormatting>
  <conditionalFormatting sqref="Y104:Z106">
    <cfRule type="expression" dxfId="442" priority="175">
      <formula>$AG104=4</formula>
    </cfRule>
    <cfRule type="expression" dxfId="441" priority="176">
      <formula>$AG104=3</formula>
    </cfRule>
    <cfRule type="expression" dxfId="440" priority="177">
      <formula>$AG104=2</formula>
    </cfRule>
    <cfRule type="expression" dxfId="439" priority="178">
      <formula>$AG104=1</formula>
    </cfRule>
  </conditionalFormatting>
  <conditionalFormatting sqref="Y105:Z105">
    <cfRule type="expression" dxfId="437" priority="174">
      <formula>$AD105=2</formula>
    </cfRule>
  </conditionalFormatting>
  <conditionalFormatting sqref="Y106:Z148">
    <cfRule type="expression" dxfId="436" priority="2788">
      <formula>$AD106=2</formula>
    </cfRule>
  </conditionalFormatting>
  <conditionalFormatting sqref="Y107:Z107">
    <cfRule type="expression" dxfId="435" priority="2943">
      <formula>$AG107=4</formula>
    </cfRule>
    <cfRule type="expression" dxfId="434" priority="2944">
      <formula>$AG107=3</formula>
    </cfRule>
    <cfRule type="expression" dxfId="433" priority="2945">
      <formula>$AG107=2</formula>
    </cfRule>
    <cfRule type="expression" dxfId="432" priority="2946">
      <formula>$AG107=1</formula>
    </cfRule>
  </conditionalFormatting>
  <conditionalFormatting sqref="Y108:Z108">
    <cfRule type="expression" dxfId="431" priority="2020">
      <formula>$AG108=1</formula>
    </cfRule>
    <cfRule type="expression" dxfId="430" priority="2019">
      <formula>$AG108=2</formula>
    </cfRule>
    <cfRule type="expression" dxfId="429" priority="2018">
      <formula>$AG108=3</formula>
    </cfRule>
    <cfRule type="expression" dxfId="428" priority="2017">
      <formula>$AG108=4</formula>
    </cfRule>
  </conditionalFormatting>
  <conditionalFormatting sqref="Y109:Z109">
    <cfRule type="expression" dxfId="427" priority="2921">
      <formula>$AG109=4</formula>
    </cfRule>
    <cfRule type="expression" dxfId="426" priority="2922">
      <formula>$AG109=3</formula>
    </cfRule>
    <cfRule type="expression" dxfId="425" priority="2923">
      <formula>$AG109=2</formula>
    </cfRule>
    <cfRule type="expression" dxfId="424" priority="2924">
      <formula>$AG109=1</formula>
    </cfRule>
  </conditionalFormatting>
  <conditionalFormatting sqref="Y110:Z112">
    <cfRule type="expression" dxfId="423" priority="1990">
      <formula>$AG110=2</formula>
    </cfRule>
    <cfRule type="expression" dxfId="422" priority="1991">
      <formula>$AG110=1</formula>
    </cfRule>
    <cfRule type="expression" dxfId="421" priority="1988">
      <formula>$AG110=4</formula>
    </cfRule>
    <cfRule type="expression" dxfId="420" priority="1989">
      <formula>$AG110=3</formula>
    </cfRule>
  </conditionalFormatting>
  <conditionalFormatting sqref="Y113:Z113">
    <cfRule type="expression" dxfId="419" priority="2902">
      <formula>$AG113=1</formula>
    </cfRule>
    <cfRule type="expression" dxfId="418" priority="2901">
      <formula>$AG113=2</formula>
    </cfRule>
    <cfRule type="expression" dxfId="417" priority="2900">
      <formula>$AG113=3</formula>
    </cfRule>
    <cfRule type="expression" dxfId="416" priority="2899">
      <formula>$AG113=4</formula>
    </cfRule>
  </conditionalFormatting>
  <conditionalFormatting sqref="Y114:Z114">
    <cfRule type="expression" dxfId="415" priority="1962">
      <formula>$AG114=1</formula>
    </cfRule>
    <cfRule type="expression" dxfId="414" priority="1959">
      <formula>$AG114=4</formula>
    </cfRule>
    <cfRule type="expression" dxfId="413" priority="1960">
      <formula>$AG114=3</formula>
    </cfRule>
    <cfRule type="expression" dxfId="412" priority="1961">
      <formula>$AG114=2</formula>
    </cfRule>
  </conditionalFormatting>
  <conditionalFormatting sqref="Y118:Z121">
    <cfRule type="expression" dxfId="411" priority="1901">
      <formula>$AG118=4</formula>
    </cfRule>
    <cfRule type="expression" dxfId="410" priority="1904">
      <formula>$AG118=1</formula>
    </cfRule>
    <cfRule type="expression" dxfId="409" priority="1903">
      <formula>$AG118=2</formula>
    </cfRule>
    <cfRule type="expression" dxfId="408" priority="1902">
      <formula>$AG118=3</formula>
    </cfRule>
  </conditionalFormatting>
  <conditionalFormatting sqref="Y122:Z122">
    <cfRule type="expression" dxfId="406" priority="2877">
      <formula>$AG122=4</formula>
    </cfRule>
    <cfRule type="expression" dxfId="405" priority="2879">
      <formula>$AG122=2</formula>
    </cfRule>
    <cfRule type="expression" dxfId="404" priority="2880">
      <formula>$AG122=1</formula>
    </cfRule>
    <cfRule type="expression" dxfId="403" priority="2878">
      <formula>$AG122=3</formula>
    </cfRule>
  </conditionalFormatting>
  <conditionalFormatting sqref="Y123:Z125">
    <cfRule type="expression" dxfId="402" priority="1874">
      <formula>$AG123=2</formula>
    </cfRule>
    <cfRule type="expression" dxfId="401" priority="1873">
      <formula>$AG123=3</formula>
    </cfRule>
    <cfRule type="expression" dxfId="400" priority="1872">
      <formula>$AG123=4</formula>
    </cfRule>
    <cfRule type="expression" dxfId="399" priority="1875">
      <formula>$AG123=1</formula>
    </cfRule>
  </conditionalFormatting>
  <conditionalFormatting sqref="Y126:Z126">
    <cfRule type="expression" dxfId="398" priority="2858">
      <formula>$AG126=1</formula>
    </cfRule>
    <cfRule type="expression" dxfId="397" priority="2857">
      <formula>$AG126=2</formula>
    </cfRule>
    <cfRule type="expression" dxfId="396" priority="2856">
      <formula>$AG126=3</formula>
    </cfRule>
    <cfRule type="expression" dxfId="395" priority="2855">
      <formula>$AG126=4</formula>
    </cfRule>
  </conditionalFormatting>
  <conditionalFormatting sqref="Y127:Z129">
    <cfRule type="expression" dxfId="394" priority="1845">
      <formula>$AG127=2</formula>
    </cfRule>
    <cfRule type="expression" dxfId="393" priority="1846">
      <formula>$AG127=1</formula>
    </cfRule>
    <cfRule type="expression" dxfId="392" priority="1843">
      <formula>$AG127=4</formula>
    </cfRule>
    <cfRule type="expression" dxfId="391" priority="1844">
      <formula>$AG127=3</formula>
    </cfRule>
  </conditionalFormatting>
  <conditionalFormatting sqref="Y130:Z130">
    <cfRule type="expression" dxfId="390" priority="2835">
      <formula>$AG130=2</formula>
    </cfRule>
    <cfRule type="expression" dxfId="389" priority="2833">
      <formula>$AG130=4</formula>
    </cfRule>
    <cfRule type="expression" dxfId="388" priority="2834">
      <formula>$AG130=3</formula>
    </cfRule>
    <cfRule type="expression" dxfId="387" priority="2836">
      <formula>$AG130=1</formula>
    </cfRule>
  </conditionalFormatting>
  <conditionalFormatting sqref="Y131:Z135">
    <cfRule type="expression" dxfId="386" priority="962">
      <formula>$AG131=3</formula>
    </cfRule>
    <cfRule type="expression" dxfId="385" priority="961">
      <formula>$AG131=4</formula>
    </cfRule>
    <cfRule type="expression" dxfId="384" priority="964">
      <formula>$AG131=1</formula>
    </cfRule>
    <cfRule type="expression" dxfId="383" priority="963">
      <formula>$AG131=2</formula>
    </cfRule>
  </conditionalFormatting>
  <conditionalFormatting sqref="Y136:Z136">
    <cfRule type="expression" dxfId="382" priority="2814">
      <formula>$AG136=1</formula>
    </cfRule>
    <cfRule type="expression" dxfId="381" priority="2812">
      <formula>$AG136=3</formula>
    </cfRule>
    <cfRule type="expression" dxfId="380" priority="2813">
      <formula>$AG136=2</formula>
    </cfRule>
    <cfRule type="expression" dxfId="379" priority="2811">
      <formula>$AG136=4</formula>
    </cfRule>
  </conditionalFormatting>
  <conditionalFormatting sqref="Y137:Z140">
    <cfRule type="expression" dxfId="378" priority="104">
      <formula>$AG137=1</formula>
    </cfRule>
    <cfRule type="expression" dxfId="377" priority="103">
      <formula>$AG137=2</formula>
    </cfRule>
    <cfRule type="expression" dxfId="376" priority="102">
      <formula>$AG137=3</formula>
    </cfRule>
    <cfRule type="expression" dxfId="375" priority="101">
      <formula>$AG137=4</formula>
    </cfRule>
  </conditionalFormatting>
  <conditionalFormatting sqref="Y141:Z141">
    <cfRule type="expression" dxfId="374" priority="2790">
      <formula>$AG141=3</formula>
    </cfRule>
    <cfRule type="expression" dxfId="373" priority="2789">
      <formula>$AG141=4</formula>
    </cfRule>
    <cfRule type="expression" dxfId="372" priority="2792">
      <formula>$AG141=1</formula>
    </cfRule>
    <cfRule type="expression" dxfId="371" priority="2791">
      <formula>$AG141=2</formula>
    </cfRule>
  </conditionalFormatting>
  <conditionalFormatting sqref="Y142:Z144">
    <cfRule type="expression" dxfId="370" priority="1757">
      <formula>$AG142=3</formula>
    </cfRule>
    <cfRule type="expression" dxfId="369" priority="1758">
      <formula>$AG142=2</formula>
    </cfRule>
    <cfRule type="expression" dxfId="368" priority="1759">
      <formula>$AG142=1</formula>
    </cfRule>
    <cfRule type="expression" dxfId="367" priority="1756">
      <formula>$AG142=4</formula>
    </cfRule>
  </conditionalFormatting>
  <conditionalFormatting sqref="Y148:Z153">
    <cfRule type="expression" dxfId="366" priority="137">
      <formula>$AG148=1</formula>
    </cfRule>
    <cfRule type="expression" dxfId="365" priority="136">
      <formula>$AG148=2</formula>
    </cfRule>
    <cfRule type="expression" dxfId="364" priority="135">
      <formula>$AG148=3</formula>
    </cfRule>
    <cfRule type="expression" dxfId="363" priority="134">
      <formula>$AG148=4</formula>
    </cfRule>
  </conditionalFormatting>
  <conditionalFormatting sqref="Y149:Z149">
    <cfRule type="expression" dxfId="361" priority="133">
      <formula>$AD149=2</formula>
    </cfRule>
  </conditionalFormatting>
  <conditionalFormatting sqref="Y150:Z153">
    <cfRule type="expression" dxfId="360" priority="262">
      <formula>$AD150=2</formula>
    </cfRule>
  </conditionalFormatting>
  <conditionalFormatting sqref="Y154:Z154">
    <cfRule type="expression" dxfId="359" priority="2768">
      <formula>$AG154=3</formula>
    </cfRule>
    <cfRule type="expression" dxfId="358" priority="2767">
      <formula>$AG154=4</formula>
    </cfRule>
    <cfRule type="expression" dxfId="357" priority="2770">
      <formula>$AG154=1</formula>
    </cfRule>
    <cfRule type="expression" dxfId="356" priority="2769">
      <formula>$AG154=2</formula>
    </cfRule>
  </conditionalFormatting>
  <conditionalFormatting sqref="Y154:Z164">
    <cfRule type="expression" dxfId="355" priority="2722">
      <formula>$AD154=2</formula>
    </cfRule>
  </conditionalFormatting>
  <conditionalFormatting sqref="Y155:Z155">
    <cfRule type="expression" dxfId="354" priority="1699">
      <formula>$AG155=3</formula>
    </cfRule>
    <cfRule type="expression" dxfId="353" priority="1698">
      <formula>$AG155=4</formula>
    </cfRule>
    <cfRule type="expression" dxfId="352" priority="1700">
      <formula>$AG155=2</formula>
    </cfRule>
    <cfRule type="expression" dxfId="351" priority="1701">
      <formula>$AG155=1</formula>
    </cfRule>
  </conditionalFormatting>
  <conditionalFormatting sqref="Y156:Z156">
    <cfRule type="expression" dxfId="350" priority="2748">
      <formula>$AG156=1</formula>
    </cfRule>
    <cfRule type="expression" dxfId="349" priority="2747">
      <formula>$AG156=2</formula>
    </cfRule>
    <cfRule type="expression" dxfId="348" priority="2746">
      <formula>$AG156=3</formula>
    </cfRule>
    <cfRule type="expression" dxfId="347" priority="2745">
      <formula>$AG156=4</formula>
    </cfRule>
  </conditionalFormatting>
  <conditionalFormatting sqref="Y157:Z157">
    <cfRule type="expression" dxfId="346" priority="1669">
      <formula>$AG157=4</formula>
    </cfRule>
    <cfRule type="expression" dxfId="345" priority="1670">
      <formula>$AG157=3</formula>
    </cfRule>
    <cfRule type="expression" dxfId="344" priority="1671">
      <formula>$AG157=2</formula>
    </cfRule>
    <cfRule type="expression" dxfId="343" priority="1672">
      <formula>$AG157=1</formula>
    </cfRule>
  </conditionalFormatting>
  <conditionalFormatting sqref="Y158:Z158">
    <cfRule type="expression" dxfId="342" priority="2726">
      <formula>$AG158=1</formula>
    </cfRule>
    <cfRule type="expression" dxfId="341" priority="2725">
      <formula>$AG158=2</formula>
    </cfRule>
    <cfRule type="expression" dxfId="340" priority="2724">
      <formula>$AG158=3</formula>
    </cfRule>
    <cfRule type="expression" dxfId="339" priority="2723">
      <formula>$AG158=4</formula>
    </cfRule>
  </conditionalFormatting>
  <conditionalFormatting sqref="Y159:Z159">
    <cfRule type="expression" dxfId="338" priority="1641">
      <formula>$AG159=3</formula>
    </cfRule>
    <cfRule type="expression" dxfId="337" priority="1640">
      <formula>$AG159=4</formula>
    </cfRule>
    <cfRule type="expression" dxfId="336" priority="1642">
      <formula>$AG159=2</formula>
    </cfRule>
    <cfRule type="expression" dxfId="335" priority="1643">
      <formula>$AG159=1</formula>
    </cfRule>
  </conditionalFormatting>
  <conditionalFormatting sqref="Y163:Z165">
    <cfRule type="expression" dxfId="334" priority="225">
      <formula>$AG163=1</formula>
    </cfRule>
    <cfRule type="expression" dxfId="333" priority="224">
      <formula>$AG163=2</formula>
    </cfRule>
    <cfRule type="expression" dxfId="332" priority="223">
      <formula>$AG163=3</formula>
    </cfRule>
    <cfRule type="expression" dxfId="331" priority="222">
      <formula>$AG163=4</formula>
    </cfRule>
  </conditionalFormatting>
  <conditionalFormatting sqref="Y165:Z165">
    <cfRule type="expression" dxfId="329" priority="226">
      <formula>$AD165=2</formula>
    </cfRule>
  </conditionalFormatting>
  <conditionalFormatting sqref="Y166:Z166">
    <cfRule type="expression" dxfId="328" priority="2702">
      <formula>$AG166=3</formula>
    </cfRule>
    <cfRule type="expression" dxfId="327" priority="2701">
      <formula>$AG166=4</formula>
    </cfRule>
    <cfRule type="expression" dxfId="326" priority="2703">
      <formula>$AG166=2</formula>
    </cfRule>
    <cfRule type="expression" dxfId="325" priority="2704">
      <formula>$AG166=1</formula>
    </cfRule>
  </conditionalFormatting>
  <conditionalFormatting sqref="Y166:Z187">
    <cfRule type="expression" dxfId="324" priority="2568">
      <formula>$AD166=2</formula>
    </cfRule>
  </conditionalFormatting>
  <conditionalFormatting sqref="Y167:Z169">
    <cfRule type="expression" dxfId="323" priority="1585">
      <formula>$AG167=1</formula>
    </cfRule>
    <cfRule type="expression" dxfId="322" priority="1584">
      <formula>$AG167=2</formula>
    </cfRule>
    <cfRule type="expression" dxfId="321" priority="1583">
      <formula>$AG167=3</formula>
    </cfRule>
    <cfRule type="expression" dxfId="320" priority="1582">
      <formula>$AG167=4</formula>
    </cfRule>
  </conditionalFormatting>
  <conditionalFormatting sqref="Y170:Z174">
    <cfRule type="expression" dxfId="319" priority="2657">
      <formula>$AG170=4</formula>
    </cfRule>
    <cfRule type="expression" dxfId="318" priority="2660">
      <formula>$AG170=1</formula>
    </cfRule>
    <cfRule type="expression" dxfId="317" priority="2658">
      <formula>$AG170=3</formula>
    </cfRule>
    <cfRule type="expression" dxfId="316" priority="2659">
      <formula>$AG170=2</formula>
    </cfRule>
  </conditionalFormatting>
  <conditionalFormatting sqref="Y175:Z177">
    <cfRule type="expression" dxfId="314" priority="1524">
      <formula>$AG175=4</formula>
    </cfRule>
    <cfRule type="expression" dxfId="313" priority="1525">
      <formula>$AG175=3</formula>
    </cfRule>
    <cfRule type="expression" dxfId="312" priority="1526">
      <formula>$AG175=2</formula>
    </cfRule>
    <cfRule type="expression" dxfId="311" priority="1527">
      <formula>$AG175=1</formula>
    </cfRule>
  </conditionalFormatting>
  <conditionalFormatting sqref="Y178:Z178">
    <cfRule type="expression" dxfId="310" priority="2635">
      <formula>$AG178=4</formula>
    </cfRule>
    <cfRule type="expression" dxfId="309" priority="2638">
      <formula>$AG178=1</formula>
    </cfRule>
    <cfRule type="expression" dxfId="308" priority="2636">
      <formula>$AG178=3</formula>
    </cfRule>
    <cfRule type="expression" dxfId="307" priority="2637">
      <formula>$AG178=2</formula>
    </cfRule>
  </conditionalFormatting>
  <conditionalFormatting sqref="Y179:Z181">
    <cfRule type="expression" dxfId="306" priority="1498">
      <formula>$AG179=1</formula>
    </cfRule>
    <cfRule type="expression" dxfId="305" priority="1496">
      <formula>$AG179=3</formula>
    </cfRule>
    <cfRule type="expression" dxfId="304" priority="1495">
      <formula>$AG179=4</formula>
    </cfRule>
    <cfRule type="expression" dxfId="303" priority="1497">
      <formula>$AG179=2</formula>
    </cfRule>
  </conditionalFormatting>
  <conditionalFormatting sqref="Y182:Z182">
    <cfRule type="expression" dxfId="302" priority="2616">
      <formula>$AG182=1</formula>
    </cfRule>
    <cfRule type="expression" dxfId="301" priority="2615">
      <formula>$AG182=2</formula>
    </cfRule>
    <cfRule type="expression" dxfId="300" priority="2614">
      <formula>$AG182=3</formula>
    </cfRule>
    <cfRule type="expression" dxfId="299" priority="2613">
      <formula>$AG182=4</formula>
    </cfRule>
  </conditionalFormatting>
  <conditionalFormatting sqref="Y183:Z183">
    <cfRule type="expression" dxfId="298" priority="1468">
      <formula>$AG183=2</formula>
    </cfRule>
    <cfRule type="expression" dxfId="297" priority="1466">
      <formula>$AG183=4</formula>
    </cfRule>
    <cfRule type="expression" dxfId="296" priority="1469">
      <formula>$AG183=1</formula>
    </cfRule>
    <cfRule type="expression" dxfId="295" priority="1467">
      <formula>$AG183=3</formula>
    </cfRule>
  </conditionalFormatting>
  <conditionalFormatting sqref="Y184:Z184">
    <cfRule type="expression" dxfId="294" priority="2591">
      <formula>$AG184=4</formula>
    </cfRule>
    <cfRule type="expression" dxfId="293" priority="2592">
      <formula>$AG184=3</formula>
    </cfRule>
    <cfRule type="expression" dxfId="292" priority="2594">
      <formula>$AG184=1</formula>
    </cfRule>
    <cfRule type="expression" dxfId="291" priority="2593">
      <formula>$AG184=2</formula>
    </cfRule>
  </conditionalFormatting>
  <conditionalFormatting sqref="Y185:Z186">
    <cfRule type="expression" dxfId="290" priority="1440">
      <formula>$AG185=1</formula>
    </cfRule>
    <cfRule type="expression" dxfId="289" priority="1439">
      <formula>$AG185=2</formula>
    </cfRule>
    <cfRule type="expression" dxfId="288" priority="1438">
      <formula>$AG185=3</formula>
    </cfRule>
    <cfRule type="expression" dxfId="287" priority="1437">
      <formula>$AG185=4</formula>
    </cfRule>
  </conditionalFormatting>
  <conditionalFormatting sqref="Y187:Z187">
    <cfRule type="expression" dxfId="286" priority="2570">
      <formula>$AG187=3</formula>
    </cfRule>
    <cfRule type="expression" dxfId="285" priority="2571">
      <formula>$AG187=2</formula>
    </cfRule>
    <cfRule type="expression" dxfId="284" priority="2572">
      <formula>$AG187=1</formula>
    </cfRule>
    <cfRule type="expression" dxfId="283" priority="2569">
      <formula>$AG187=4</formula>
    </cfRule>
  </conditionalFormatting>
  <conditionalFormatting sqref="Y188:Z191">
    <cfRule type="expression" dxfId="282" priority="1408">
      <formula>$AG188=4</formula>
    </cfRule>
    <cfRule type="expression" dxfId="281" priority="1411">
      <formula>$AG188=1</formula>
    </cfRule>
    <cfRule type="expression" dxfId="280" priority="1410">
      <formula>$AG188=2</formula>
    </cfRule>
    <cfRule type="expression" dxfId="279" priority="1409">
      <formula>$AG188=3</formula>
    </cfRule>
  </conditionalFormatting>
  <conditionalFormatting sqref="Y195:Z195">
    <cfRule type="expression" dxfId="278" priority="3227">
      <formula>$AG195=1</formula>
    </cfRule>
    <cfRule type="expression" dxfId="277" priority="3225">
      <formula>$AG195=3</formula>
    </cfRule>
    <cfRule type="expression" dxfId="276" priority="3224">
      <formula>$AG195=4</formula>
    </cfRule>
    <cfRule type="expression" dxfId="275" priority="3226">
      <formula>$AG195=2</formula>
    </cfRule>
  </conditionalFormatting>
  <conditionalFormatting sqref="Y197:Z199">
    <cfRule type="expression" dxfId="273" priority="928">
      <formula>$AG197=4</formula>
    </cfRule>
    <cfRule type="expression" dxfId="272" priority="929">
      <formula>$AG197=3</formula>
    </cfRule>
    <cfRule type="expression" dxfId="271" priority="930">
      <formula>$AG197=2</formula>
    </cfRule>
    <cfRule type="expression" dxfId="270" priority="931">
      <formula>$AG197=1</formula>
    </cfRule>
  </conditionalFormatting>
  <conditionalFormatting sqref="Y200:Z200">
    <cfRule type="expression" dxfId="269" priority="2547">
      <formula>$AG200=4</formula>
    </cfRule>
    <cfRule type="expression" dxfId="268" priority="2549">
      <formula>$AG200=2</formula>
    </cfRule>
    <cfRule type="expression" dxfId="267" priority="2550">
      <formula>$AG200=1</formula>
    </cfRule>
    <cfRule type="expression" dxfId="266" priority="2548">
      <formula>$AG200=3</formula>
    </cfRule>
  </conditionalFormatting>
  <conditionalFormatting sqref="Y200:Z226">
    <cfRule type="expression" dxfId="265" priority="2502">
      <formula>$AD200=2</formula>
    </cfRule>
  </conditionalFormatting>
  <conditionalFormatting sqref="Y201:Z202">
    <cfRule type="expression" dxfId="264" priority="1351">
      <formula>$AG201=3</formula>
    </cfRule>
    <cfRule type="expression" dxfId="263" priority="1352">
      <formula>$AG201=2</formula>
    </cfRule>
    <cfRule type="expression" dxfId="262" priority="1353">
      <formula>$AG201=1</formula>
    </cfRule>
    <cfRule type="expression" dxfId="261" priority="1350">
      <formula>$AG201=4</formula>
    </cfRule>
  </conditionalFormatting>
  <conditionalFormatting sqref="Y203:Z203">
    <cfRule type="expression" dxfId="260" priority="2526">
      <formula>$AG203=3</formula>
    </cfRule>
    <cfRule type="expression" dxfId="259" priority="2527">
      <formula>$AG203=2</formula>
    </cfRule>
    <cfRule type="expression" dxfId="258" priority="2528">
      <formula>$AG203=1</formula>
    </cfRule>
    <cfRule type="expression" dxfId="257" priority="2525">
      <formula>$AG203=4</formula>
    </cfRule>
  </conditionalFormatting>
  <conditionalFormatting sqref="Y204:Z205">
    <cfRule type="expression" dxfId="256" priority="1321">
      <formula>$AG204=4</formula>
    </cfRule>
    <cfRule type="expression" dxfId="255" priority="1323">
      <formula>$AG204=2</formula>
    </cfRule>
    <cfRule type="expression" dxfId="254" priority="1324">
      <formula>$AG204=1</formula>
    </cfRule>
    <cfRule type="expression" dxfId="253" priority="1322">
      <formula>$AG204=3</formula>
    </cfRule>
  </conditionalFormatting>
  <conditionalFormatting sqref="Y206:Z206">
    <cfRule type="expression" dxfId="252" priority="2506">
      <formula>$AG206=1</formula>
    </cfRule>
    <cfRule type="expression" dxfId="251" priority="2505">
      <formula>$AG206=2</formula>
    </cfRule>
    <cfRule type="expression" dxfId="250" priority="2504">
      <formula>$AG206=3</formula>
    </cfRule>
    <cfRule type="expression" dxfId="249" priority="2503">
      <formula>$AG206=4</formula>
    </cfRule>
  </conditionalFormatting>
  <conditionalFormatting sqref="Y207:Z208">
    <cfRule type="expression" dxfId="248" priority="1292">
      <formula>$AG207=4</formula>
    </cfRule>
    <cfRule type="expression" dxfId="247" priority="1294">
      <formula>$AG207=2</formula>
    </cfRule>
    <cfRule type="expression" dxfId="246" priority="1293">
      <formula>$AG207=3</formula>
    </cfRule>
    <cfRule type="expression" dxfId="245" priority="1295">
      <formula>$AG207=1</formula>
    </cfRule>
  </conditionalFormatting>
  <conditionalFormatting sqref="Y209:Z220">
    <cfRule type="expression" dxfId="244" priority="4586">
      <formula>$AG209=1</formula>
    </cfRule>
    <cfRule type="expression" dxfId="243" priority="4585">
      <formula>$AG209=2</formula>
    </cfRule>
    <cfRule type="expression" dxfId="242" priority="4583">
      <formula>$AG209=4</formula>
    </cfRule>
    <cfRule type="expression" dxfId="241" priority="4584">
      <formula>$AG209=3</formula>
    </cfRule>
  </conditionalFormatting>
  <conditionalFormatting sqref="Y221:Z225">
    <cfRule type="expression" dxfId="240" priority="1234">
      <formula>$AG221=4</formula>
    </cfRule>
    <cfRule type="expression" dxfId="239" priority="1235">
      <formula>$AG221=3</formula>
    </cfRule>
    <cfRule type="expression" dxfId="238" priority="1236">
      <formula>$AG221=2</formula>
    </cfRule>
    <cfRule type="expression" dxfId="237" priority="1237">
      <formula>$AG221=1</formula>
    </cfRule>
  </conditionalFormatting>
  <conditionalFormatting sqref="Y226:Z227">
    <cfRule type="expression" dxfId="236" priority="4571">
      <formula>$AG226=4</formula>
    </cfRule>
    <cfRule type="expression" dxfId="235" priority="4572">
      <formula>$AG226=3</formula>
    </cfRule>
    <cfRule type="expression" dxfId="234" priority="4573">
      <formula>$AG226=2</formula>
    </cfRule>
    <cfRule type="expression" dxfId="233" priority="4574">
      <formula>$AG226=1</formula>
    </cfRule>
  </conditionalFormatting>
  <conditionalFormatting sqref="Y247:Z247">
    <cfRule type="expression" dxfId="230" priority="3754">
      <formula>$AD27=2</formula>
    </cfRule>
  </conditionalFormatting>
  <conditionalFormatting sqref="Y254:Z254 I254:M254">
    <cfRule type="expression" dxfId="228" priority="4036">
      <formula>$AD118=2</formula>
    </cfRule>
  </conditionalFormatting>
  <conditionalFormatting sqref="Y254:Z259 Y236:Z236 Y245:Z248 Y10:Z11 Y17:Z20 Y27:Z27 Y31:Z31 Y35:Z37 Y63:Z65 Y67:Z72 Y101:Z103 Y192:Z194 Y196:Z196 Y251:Z252 Y92:Z94 Y115:Z117 Y145:Z147 Y160:Z162">
    <cfRule type="expression" dxfId="227" priority="4679">
      <formula>$AG10=4</formula>
    </cfRule>
  </conditionalFormatting>
  <conditionalFormatting sqref="Y259:Z259">
    <cfRule type="expression" dxfId="226" priority="4252">
      <formula>$AD148=2</formula>
    </cfRule>
  </conditionalFormatting>
  <conditionalFormatting sqref="Y246:AA246">
    <cfRule type="expression" dxfId="225" priority="3888">
      <formula>$AD20=2</formula>
    </cfRule>
  </conditionalFormatting>
  <conditionalFormatting sqref="AA12:AA213">
    <cfRule type="expression" dxfId="224" priority="77">
      <formula>$AB12=2</formula>
    </cfRule>
  </conditionalFormatting>
  <conditionalFormatting sqref="AA214:AA226">
    <cfRule type="expression" dxfId="223" priority="1221">
      <formula>$AD214=2</formula>
    </cfRule>
  </conditionalFormatting>
  <conditionalFormatting sqref="AA247">
    <cfRule type="expression" dxfId="222" priority="3739">
      <formula>$AD27=2</formula>
    </cfRule>
  </conditionalFormatting>
  <conditionalFormatting sqref="AA254">
    <cfRule type="expression" dxfId="221" priority="3884">
      <formula>$AD118=2</formula>
    </cfRule>
  </conditionalFormatting>
  <conditionalFormatting sqref="AA259">
    <cfRule type="expression" dxfId="220" priority="3885">
      <formula>$AD148=2</formula>
    </cfRule>
  </conditionalFormatting>
  <conditionalFormatting sqref="AC4">
    <cfRule type="expression" dxfId="219" priority="4491">
      <formula>$AK$4=ais_nei</formula>
    </cfRule>
  </conditionalFormatting>
  <conditionalFormatting sqref="AC10:AC11 AC17:AC20 AC27 AC31 AC51:AC66 AC73:AC95 AC98:AC120 AC122 AC126 AC130:AC137 AC141 AC145:AC149 AC154:AC226 AC236 AC245:AC248 AC251:AC252 AC254:AC259">
    <cfRule type="expression" dxfId="216" priority="4493">
      <formula>$AK$4="Nei"</formula>
    </cfRule>
    <cfRule type="expression" dxfId="215" priority="4494">
      <formula>$AD10=2</formula>
    </cfRule>
  </conditionalFormatting>
  <conditionalFormatting sqref="AC35:AC46">
    <cfRule type="expression" dxfId="214" priority="291">
      <formula>$AD35=2</formula>
    </cfRule>
    <cfRule type="expression" dxfId="213" priority="290">
      <formula>$AK$4="Nei"</formula>
    </cfRule>
  </conditionalFormatting>
  <conditionalFormatting sqref="BA73:BA95">
    <cfRule type="expression" dxfId="212" priority="828">
      <formula>$AD73=2</formula>
    </cfRule>
  </conditionalFormatting>
  <conditionalFormatting sqref="BA98:BA120">
    <cfRule type="expression" dxfId="211" priority="792">
      <formula>$AD98=2</formula>
    </cfRule>
  </conditionalFormatting>
  <conditionalFormatting sqref="BA130:BA137">
    <cfRule type="expression" dxfId="210" priority="971">
      <formula>$AD130=2</formula>
    </cfRule>
  </conditionalFormatting>
  <conditionalFormatting sqref="BA154:BA226">
    <cfRule type="expression" dxfId="209" priority="927">
      <formula>$AD154=2</formula>
    </cfRule>
  </conditionalFormatting>
  <dataValidations count="21">
    <dataValidation type="decimal" operator="lessThanOrEqual" allowBlank="1" showInputMessage="1" showErrorMessage="1" errorTitle="Invalid entry" error="Cannot award more credits than available" sqref="H142:H144 H48:H54 V178 V176 O176 O71:O91 H71:H72 V107:V114 V132:V136 O132:O136 O148:O149 V148:V149 O104:O105 V104:V105 V66:V69 O66:O69 H67:H69 V163:V164 O163:O164 V151:V152 O151:O152 V38 O38 O95:O98 V95:V98 H84:H86 O11:O34 O100 V195:V196 H196 O195:O196 O198:O208 H198:H199 H151:H152 O138:O144 V186:V187 V180:V184 O178 V168:V174 O166 V128:V130 V124:V126 V120:V122 V118 V48:V55 O186:O187 O180:O184 H176 O168:O174 H164 O128:O130 O124:O126 O120:O122 O118 O48:O55 O41:O46 H105 H132:H135 O212:O225 H207:H208 V189:V191 O107:O114 H149 V71:V91 H159 V11:V34 H168:H169 H100 H96:H97 H21:H26 H88:H89 H180:H181 H183 H81:H82 H186 H78:H79 V138:V144 H74:H76 V166 H62 O189:O191 H59:H60 V212:V225 H201:H202 H138:H140 H41:H45 V57:V62 V100 V198:V208 H18:H19 H12:H16 H124:H125 H120:H121 H114 H172:H173 H28:H30 H32:H34 O154:O159 H204:H205 O57:O62 H108 H91 H157 V41:V46 H110:H112 V154:V159 H155 H128:H129 H57 H212:H225 H189:H191" xr:uid="{761C2899-C41E-4CB4-9A6A-B730042C503A}">
      <formula1>$G11</formula1>
    </dataValidation>
    <dataValidation allowBlank="1" showInputMessage="1" showErrorMessage="1" promptTitle="Sorting" prompt="Sort from smallest to largest to get original sorting" sqref="A9" xr:uid="{0AF35F10-022A-4DA7-B62D-1B00842C3916}"/>
    <dataValidation type="list" allowBlank="1" showInputMessage="1" showErrorMessage="1" sqref="T8 AA8" xr:uid="{0CA5FD98-0E0E-42DB-B3A9-D3359F8533E7}">
      <formula1>AD_YesNo</formula1>
    </dataValidation>
    <dataValidation type="list" allowBlank="1" showInputMessage="1" showErrorMessage="1" sqref="O255:Q255 H255 V255:X255 H245 O245:Q245 V245:X245 H248 O248:Q248 V248:X248 H251:H252 O251:Q252 V251:X252 O257:Q258 H257:H258 V257:X258 H47 H56 H119 H123 H127 H131 H167 H175 H179 H185 H188 H197 H99 H39:H40 H153 H165 H70 H150 H137 H106" xr:uid="{22BE7E90-5ABF-4D8B-B9E1-13B9FBF50DD2}">
      <formula1>janei</formula1>
    </dataValidation>
    <dataValidation type="list" operator="lessThanOrEqual" allowBlank="1" showInputMessage="1" showErrorMessage="1" errorTitle="Invalid entry" error="Cannot award more credits than available" sqref="O256:Q256 H256 V256:X256 O47 V47 O56 O119 O123 O127 O131 O167 O175 O179 O185 O188 V56 V119 V123 V127 V131 V167 V175 V179 V185 V188 O197 V197 O99 V99 O39:O40 V39:V40 O153 V153 O165 V165 O70 V70 V150 O106 V137 O150 O137 V106" xr:uid="{03ABA2CF-6716-4939-93B7-97B7AC87BF40}">
      <formula1>janei</formula1>
    </dataValidation>
    <dataValidation type="list" allowBlank="1" showInputMessage="1" showErrorMessage="1" sqref="L212:L225 Z212:Z225 S251:S252 Z254:Z259 L245:L248 Z245:Z248 S245:S248 S195:S208 L254:L259 S254:S259 Z38:Z62 S38:S62 L38:L62 S11:S34 Z163:Z191 L104:L114 L163:L191 S212:S225 L236 L251:L252 Z236 Z251:Z252 S236 S148:S159 Z195:Z208 L195:L208 L11:L34 L95:L100 Z95:Z100 S95:S100 Z11:Z34 S104:S114 S163:S191 Z104:Z114 Z148:Z159 L148:L159 Z118:Z144 L118:L144 S118:S144 S66:S91 L66:L91 Z66:Z91" xr:uid="{A2F8AE69-7927-4C5A-8BCD-FCA4D7548729}">
      <formula1>status</formula1>
    </dataValidation>
    <dataValidation type="list" allowBlank="1" showInputMessage="1" showErrorMessage="1" sqref="AC11" xr:uid="{52119410-4940-4560-ACF3-B4D36F22FF1C}">
      <formula1>$AT$11:$AU$11</formula1>
    </dataValidation>
    <dataValidation type="list" allowBlank="1" showInputMessage="1" showErrorMessage="1" sqref="AC17:AC19" xr:uid="{EE6BF5E8-7CDB-4807-9B0A-F8ECE29CA962}">
      <formula1>AT11:AU11</formula1>
    </dataValidation>
    <dataValidation type="list" allowBlank="1" showInputMessage="1" showErrorMessage="1" sqref="AC200:AC208 AC107:AC108 AC77:AC82 AC51:AC54 AC90:AC91 AC27 AC141 AC247 AC130:AC137" xr:uid="{6CEC8711-2A98-4F32-9055-E18FEC2DBB6A}">
      <formula1>AS27:AV27</formula1>
    </dataValidation>
    <dataValidation type="list" allowBlank="1" showInputMessage="1" showErrorMessage="1" sqref="AC245 AC66 AC104:AC106 AC248 AC31 AC251:AC252 AC83:AC86" xr:uid="{781EC385-077F-49C8-9AA8-44D1278D625B}">
      <formula1>AS31:AU31</formula1>
    </dataValidation>
    <dataValidation type="list" allowBlank="1" showInputMessage="1" showErrorMessage="1" sqref="AC55:AC57" xr:uid="{24651123-2858-4D11-B9BA-955F1121EF2A}">
      <formula1>$AT$55:$AU$55</formula1>
    </dataValidation>
    <dataValidation type="list" allowBlank="1" showInputMessage="1" showErrorMessage="1" sqref="AC73:AC76" xr:uid="{A2447A68-0EFE-49DE-834D-86A022CED83E}">
      <formula1>$AS$73:$AX$73</formula1>
    </dataValidation>
    <dataValidation type="list" allowBlank="1" showInputMessage="1" showErrorMessage="1" sqref="AC154:AC157" xr:uid="{800C288F-3080-484D-99C3-EF245027D370}">
      <formula1>$AT$154:$AU$154</formula1>
    </dataValidation>
    <dataValidation type="list" allowBlank="1" showInputMessage="1" showErrorMessage="1" sqref="AC158:AC159" xr:uid="{BAE0647B-0B37-4579-8D07-391CC7B6D095}">
      <formula1>$AT$158:$AU$158</formula1>
    </dataValidation>
    <dataValidation type="list" allowBlank="1" showInputMessage="1" showErrorMessage="1" sqref="AC38:AC45" xr:uid="{E93D53CD-31D4-4658-BC71-1787C1CBD43D}">
      <formula1>$AS$38:$AY$38</formula1>
    </dataValidation>
    <dataValidation type="list" allowBlank="1" showInputMessage="1" showErrorMessage="1" sqref="AC195:AC199" xr:uid="{1AA37297-542F-4309-94D1-2CB265735AAC}">
      <formula1>$AS$195:$AW$195</formula1>
    </dataValidation>
    <dataValidation type="list" allowBlank="1" showInputMessage="1" showErrorMessage="1" sqref="AC109:AC112" xr:uid="{3D41E413-A485-4435-9342-64D253BE2FD0}">
      <formula1>$AS$109:$AW$109</formula1>
    </dataValidation>
    <dataValidation type="list" allowBlank="1" showInputMessage="1" showErrorMessage="1" sqref="AC46" xr:uid="{71C997F3-54DC-4893-9440-A6D7528EC886}">
      <formula1>$AS$46:$AX$46</formula1>
    </dataValidation>
    <dataValidation type="list" allowBlank="1" showInputMessage="1" showErrorMessage="1" sqref="AC236 AC87:AC89 AC113:AC114 AC58:AC62 AC148:AC149 AC212:AC225 AC95 AC246 AC20 AC118:AC120 AC122 AC126 AC254:AC259 AC98:AC100 AC163:AC191" xr:uid="{E35FFF80-45ED-44D3-B8FE-6FE6E5F3155D}">
      <formula1>AIS_NA</formula1>
    </dataValidation>
    <dataValidation type="custom" operator="equal" allowBlank="1" showInputMessage="1" showErrorMessage="1" errorTitle="Invalid entry" error="Only 0 or 3 credits can be awarded" sqref="H177" xr:uid="{F24105B0-2548-4C53-8D6F-A86FEAB87B12}">
      <formula1>OR(H177=0,H177=3)</formula1>
    </dataValidation>
    <dataValidation type="custom" operator="lessThanOrEqual" allowBlank="1" showInputMessage="1" showErrorMessage="1" errorTitle="Invalid entry" error="Only 0 or 3 credits can be awarded" sqref="V177 O177" xr:uid="{EF8BFBDC-1986-4701-BCEA-8CCEA2541DD1}">
      <formula1>OR(O177=0,O177=3)</formula1>
    </dataValidation>
  </dataValidations>
  <pageMargins left="0.25" right="0.25" top="0.75" bottom="0.75" header="0.3" footer="0.3"/>
  <pageSetup paperSize="9" scale="47" fitToHeight="0" orientation="landscape" r:id="rId1"/>
  <headerFooter>
    <oddFooter xml:space="preserve">&amp;L&amp;F&amp;C&amp;D&amp;RPage &amp;P of &amp;N  </oddFooter>
  </headerFooter>
  <ignoredErrors>
    <ignoredError sqref="W18:X34 I227:U335 W17:X17 AB17:BF17 P17:Q17 P18:Q18 U17:U18 W172:X195 W52:X52 AB52:BF52 P125:Q125 U125 W138:X148 W53:X66 G70 W114:X119 P126:Q136 F105:G105 G107:G113 AB150:BF152 F149:G149 G151:G152 W72:X95 W105:X105 W149:X149 P42:Q69 P138:Q149 I43:J46 I138:J149 C150 W42:X51 X35 W36:X39 P19:Q34 I17:J38 P39:Q39 U39 P41:Q41 U41 C41 I151:J152 P226:U226 W151:X152 I108:J121 P107:Q121 W107:X113 I123:J136 P123:Q124 W123:X136 I39:J39 N39 I72:J72 I47:J47 N47 I74:J105 I73:J73 N73 I107:J107 N107 P72:Q105 P70:Q70 U70 I226:N226 I153:J153 N153 I41:J42 N41:N42 I154:J170 P151:Q170 W153:X163 P71:Q71 I48:J71 W70:X71 AB71:BF71 W226:BF335 W196:X196 W165:X170 W164:X164 W121:X121 W120:X120 W97:X104 W96:X96 W68:X69 W67:X67 W41:X41 AB18:BF34 AB172:BF195 AB138:BF148 AB53:BF66 AB114:BF119 AB106:BF113 AB72:BF95 AB42:BF51 AB35:BF35 AB36:BF39 AB123:BF136 AB122:BF122 AB153:BF163 W225:Z225 AB197:BF225 AB196:BF196 AB165:BF170 AB164:BF164 AB121:BF121 AB120:BF120 AB97:BF104 AB96:BF96 AB68:BF69 AB67:BF67 AB41:BF41 U126:U136 U42:U69 U138:U149 U19:U38 P172:Q225 U172:U225 U150 U107:U121 U106 U123:U124 U122 U72:U105 U151:U170 U71 S221:S225 N43:N46 N138:N149 N17:N38 N151:N152 N150 N108:N121 N106 N123:N136 N122 N72 N74:N105 I172:J225 N172:N225 N154:N170 N48:N71 L225 W197:X224 P36:Q38 Q35" formula="1"/>
    <ignoredError sqref="E26 E45" twoDigitTextYear="1"/>
  </ignoredError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expression" priority="3741" id="{B4E5A23B-2AC0-4018-8372-E7EB8F6F5B77}">
            <xm:f>$G$248='Assessment Details'!$O$61</xm:f>
            <x14:dxf>
              <font>
                <color theme="0" tint="-0.14996795556505021"/>
              </font>
              <fill>
                <patternFill>
                  <bgColor theme="0" tint="-0.14996795556505021"/>
                </patternFill>
              </fill>
            </x14:dxf>
          </x14:cfRule>
          <xm:sqref>H248:M248 O248:T248 V248:AA248</xm:sqref>
        </x14:conditionalFormatting>
        <x14:conditionalFormatting xmlns:xm="http://schemas.microsoft.com/office/excel/2006/main">
          <x14:cfRule type="expression" priority="3635" id="{EE1182E8-19AC-462C-9F32-CDAAC6DB7DB9}">
            <xm:f>$T$8='Assessment Details'!$Q$23</xm:f>
            <x14:dxf>
              <font>
                <color theme="0"/>
              </font>
              <fill>
                <patternFill>
                  <bgColor theme="0"/>
                </patternFill>
              </fill>
              <border>
                <vertical/>
                <horizontal/>
              </border>
            </x14:dxf>
          </x14:cfRule>
          <x14:cfRule type="expression" priority="3634" id="{FEEA52F8-97DF-4F8A-B310-885F91244739}">
            <xm:f>$T$8='Assessment Details'!$Q$23</xm:f>
            <x14:dxf>
              <border>
                <left style="thin">
                  <color theme="0"/>
                </left>
                <right style="thin">
                  <color theme="0"/>
                </right>
                <top style="thin">
                  <color theme="0"/>
                </top>
                <bottom style="thin">
                  <color theme="0"/>
                </bottom>
                <vertical/>
                <horizontal/>
              </border>
            </x14:dxf>
          </x14:cfRule>
          <xm:sqref>O12:O16</xm:sqref>
        </x14:conditionalFormatting>
        <x14:conditionalFormatting xmlns:xm="http://schemas.microsoft.com/office/excel/2006/main">
          <x14:cfRule type="expression" priority="843" id="{056CBADF-F4D1-40B8-A066-F2B999D51E32}">
            <xm:f>$T$8='Assessment Details'!$Q$23</xm:f>
            <x14:dxf>
              <font>
                <color theme="0"/>
              </font>
              <fill>
                <patternFill>
                  <bgColor theme="0"/>
                </patternFill>
              </fill>
              <border>
                <vertical/>
                <horizontal/>
              </border>
            </x14:dxf>
          </x14:cfRule>
          <x14:cfRule type="expression" priority="842" id="{D8E3BCA5-64FC-4B4A-85B4-098B22AC9517}">
            <xm:f>$T$8='Assessment Details'!$Q$23</xm:f>
            <x14:dxf>
              <border>
                <left style="thin">
                  <color theme="0"/>
                </left>
                <right style="thin">
                  <color theme="0"/>
                </right>
                <top style="thin">
                  <color theme="0"/>
                </top>
                <bottom style="thin">
                  <color theme="0"/>
                </bottom>
                <vertical/>
                <horizontal/>
              </border>
            </x14:dxf>
          </x14:cfRule>
          <xm:sqref>O21:O26</xm:sqref>
        </x14:conditionalFormatting>
        <x14:conditionalFormatting xmlns:xm="http://schemas.microsoft.com/office/excel/2006/main">
          <x14:cfRule type="expression" priority="3522" id="{918BB4E2-D352-49A3-9681-A831A9DDE801}">
            <xm:f>$T$8='Assessment Details'!$Q$23</xm:f>
            <x14:dxf>
              <border>
                <left style="thin">
                  <color theme="0"/>
                </left>
                <right style="thin">
                  <color theme="0"/>
                </right>
                <top style="thin">
                  <color theme="0"/>
                </top>
                <bottom style="thin">
                  <color theme="0"/>
                </bottom>
                <vertical/>
                <horizontal/>
              </border>
            </x14:dxf>
          </x14:cfRule>
          <x14:cfRule type="expression" priority="3523" id="{9E69F7EB-8E3F-40ED-B49A-5F2566E23221}">
            <xm:f>$T$8='Assessment Details'!$Q$23</xm:f>
            <x14:dxf>
              <font>
                <color theme="0"/>
              </font>
              <fill>
                <patternFill>
                  <bgColor theme="0"/>
                </patternFill>
              </fill>
              <border>
                <vertical/>
                <horizontal/>
              </border>
            </x14:dxf>
          </x14:cfRule>
          <xm:sqref>O28:O30</xm:sqref>
        </x14:conditionalFormatting>
        <x14:conditionalFormatting xmlns:xm="http://schemas.microsoft.com/office/excel/2006/main">
          <x14:cfRule type="expression" priority="3475" id="{9D40A64A-1A5D-47C4-85D0-414185D1DDD7}">
            <xm:f>$T$8='Assessment Details'!$Q$23</xm:f>
            <x14:dxf>
              <font>
                <color theme="0"/>
              </font>
              <fill>
                <patternFill>
                  <bgColor theme="0"/>
                </patternFill>
              </fill>
              <border>
                <vertical/>
                <horizontal/>
              </border>
            </x14:dxf>
          </x14:cfRule>
          <xm:sqref>O32:O34</xm:sqref>
        </x14:conditionalFormatting>
        <x14:conditionalFormatting xmlns:xm="http://schemas.microsoft.com/office/excel/2006/main">
          <x14:cfRule type="expression" priority="3474" id="{17F35FEC-BD80-4030-8F69-22539DD26437}">
            <xm:f>$T$8='Assessment Details'!$Q$23</xm:f>
            <x14:dxf>
              <border>
                <left style="thin">
                  <color theme="0"/>
                </left>
                <right style="thin">
                  <color theme="0"/>
                </right>
                <top style="thin">
                  <color theme="0"/>
                </top>
                <bottom style="thin">
                  <color theme="0"/>
                </bottom>
                <vertical/>
                <horizontal/>
              </border>
            </x14:dxf>
          </x14:cfRule>
          <xm:sqref>O32:O35</xm:sqref>
        </x14:conditionalFormatting>
        <x14:conditionalFormatting xmlns:xm="http://schemas.microsoft.com/office/excel/2006/main">
          <x14:cfRule type="expression" priority="300" id="{349D7929-A46C-4B01-9FA8-9196D94CB8E9}">
            <xm:f>$T$8='Assessment Details'!$Q$23</xm:f>
            <x14:dxf>
              <border>
                <left style="thin">
                  <color theme="0"/>
                </left>
                <right style="thin">
                  <color theme="0"/>
                </right>
                <top style="thin">
                  <color theme="0"/>
                </top>
                <bottom style="thin">
                  <color theme="0"/>
                </bottom>
                <vertical/>
                <horizontal/>
              </border>
            </x14:dxf>
          </x14:cfRule>
          <x14:cfRule type="expression" priority="301" id="{316732AE-0C92-4BAF-87A4-73920F4C29A8}">
            <xm:f>$T$8='Assessment Details'!$Q$23</xm:f>
            <x14:dxf>
              <font>
                <color theme="0"/>
              </font>
              <fill>
                <patternFill>
                  <bgColor theme="0"/>
                </patternFill>
              </fill>
              <border>
                <vertical/>
                <horizontal/>
              </border>
            </x14:dxf>
          </x14:cfRule>
          <xm:sqref>O39:O45</xm:sqref>
        </x14:conditionalFormatting>
        <x14:conditionalFormatting xmlns:xm="http://schemas.microsoft.com/office/excel/2006/main">
          <x14:cfRule type="expression" priority="2449" id="{EBA401F8-FFB6-48F9-A694-9CEBDB9352D6}">
            <xm:f>$T$8='Assessment Details'!$Q$23</xm:f>
            <x14:dxf>
              <font>
                <color theme="0"/>
              </font>
              <fill>
                <patternFill>
                  <bgColor theme="0"/>
                </patternFill>
              </fill>
              <border>
                <vertical/>
                <horizontal/>
              </border>
            </x14:dxf>
          </x14:cfRule>
          <x14:cfRule type="expression" priority="2448" id="{D00DE627-09B7-4C4E-AD68-6B294F08EA63}">
            <xm:f>$T$8='Assessment Details'!$Q$23</xm:f>
            <x14:dxf>
              <border>
                <left style="thin">
                  <color theme="0"/>
                </left>
                <right style="thin">
                  <color theme="0"/>
                </right>
                <top style="thin">
                  <color theme="0"/>
                </top>
                <bottom style="thin">
                  <color theme="0"/>
                </bottom>
                <vertical/>
                <horizontal/>
              </border>
            </x14:dxf>
          </x14:cfRule>
          <xm:sqref>O47:O50</xm:sqref>
        </x14:conditionalFormatting>
        <x14:conditionalFormatting xmlns:xm="http://schemas.microsoft.com/office/excel/2006/main">
          <x14:cfRule type="expression" priority="2419" id="{0F5C6E7F-3AB1-4804-B5B8-59509DC61890}">
            <xm:f>$T$8='Assessment Details'!$Q$23</xm:f>
            <x14:dxf>
              <border>
                <left style="thin">
                  <color theme="0"/>
                </left>
                <right style="thin">
                  <color theme="0"/>
                </right>
                <top style="thin">
                  <color theme="0"/>
                </top>
                <bottom style="thin">
                  <color theme="0"/>
                </bottom>
                <vertical/>
                <horizontal/>
              </border>
            </x14:dxf>
          </x14:cfRule>
          <x14:cfRule type="expression" priority="2420" id="{8B61BCE3-BA8E-44F9-974F-CBAF2F4E9CCF}">
            <xm:f>$T$8='Assessment Details'!$Q$23</xm:f>
            <x14:dxf>
              <font>
                <color theme="0"/>
              </font>
              <fill>
                <patternFill>
                  <bgColor theme="0"/>
                </patternFill>
              </fill>
              <border>
                <vertical/>
                <horizontal/>
              </border>
            </x14:dxf>
          </x14:cfRule>
          <xm:sqref>O52:O54</xm:sqref>
        </x14:conditionalFormatting>
        <x14:conditionalFormatting xmlns:xm="http://schemas.microsoft.com/office/excel/2006/main">
          <x14:cfRule type="expression" priority="1056" id="{E054E369-8675-45A9-9063-6772B90EC6F0}">
            <xm:f>$T$8='Assessment Details'!$Q$23</xm:f>
            <x14:dxf>
              <border>
                <left style="thin">
                  <color theme="0"/>
                </left>
                <right style="thin">
                  <color theme="0"/>
                </right>
                <top style="thin">
                  <color theme="0"/>
                </top>
                <bottom style="thin">
                  <color theme="0"/>
                </bottom>
                <vertical/>
                <horizontal/>
              </border>
            </x14:dxf>
          </x14:cfRule>
          <x14:cfRule type="expression" priority="1057" id="{307AA2B4-9460-4D64-B64E-D9E082FDD21D}">
            <xm:f>$T$8='Assessment Details'!$Q$23</xm:f>
            <x14:dxf>
              <font>
                <color theme="0"/>
              </font>
              <fill>
                <patternFill>
                  <bgColor theme="0"/>
                </patternFill>
              </fill>
              <border>
                <vertical/>
                <horizontal/>
              </border>
            </x14:dxf>
          </x14:cfRule>
          <xm:sqref>O56:O57</xm:sqref>
        </x14:conditionalFormatting>
        <x14:conditionalFormatting xmlns:xm="http://schemas.microsoft.com/office/excel/2006/main">
          <x14:cfRule type="expression" priority="2362" id="{226059A5-5C88-467E-897B-4EDFB8224159}">
            <xm:f>$T$8='Assessment Details'!$Q$23</xm:f>
            <x14:dxf>
              <font>
                <color theme="0"/>
              </font>
              <fill>
                <patternFill>
                  <bgColor theme="0"/>
                </patternFill>
              </fill>
              <border>
                <vertical/>
                <horizontal/>
              </border>
            </x14:dxf>
          </x14:cfRule>
          <x14:cfRule type="expression" priority="2361" id="{5CA0F889-AA6E-413C-AD94-C7EC10EAFCE5}">
            <xm:f>$T$8='Assessment Details'!$Q$23</xm:f>
            <x14:dxf>
              <border>
                <left style="thin">
                  <color theme="0"/>
                </left>
                <right style="thin">
                  <color theme="0"/>
                </right>
                <top style="thin">
                  <color theme="0"/>
                </top>
                <bottom style="thin">
                  <color theme="0"/>
                </bottom>
                <vertical/>
                <horizontal/>
              </border>
            </x14:dxf>
          </x14:cfRule>
          <xm:sqref>O59:O60</xm:sqref>
        </x14:conditionalFormatting>
        <x14:conditionalFormatting xmlns:xm="http://schemas.microsoft.com/office/excel/2006/main">
          <x14:cfRule type="expression" priority="2333" id="{594E7B80-4F01-4A25-B75D-ED47E2CFAAC8}">
            <xm:f>$T$8='Assessment Details'!$Q$23</xm:f>
            <x14:dxf>
              <font>
                <color theme="0"/>
              </font>
              <fill>
                <patternFill>
                  <bgColor theme="0"/>
                </patternFill>
              </fill>
              <border>
                <vertical/>
                <horizontal/>
              </border>
            </x14:dxf>
          </x14:cfRule>
          <xm:sqref>O62</xm:sqref>
        </x14:conditionalFormatting>
        <x14:conditionalFormatting xmlns:xm="http://schemas.microsoft.com/office/excel/2006/main">
          <x14:cfRule type="expression" priority="2332" id="{B5708B9A-F16A-4B40-A4F5-F56F183612CF}">
            <xm:f>$T$8='Assessment Details'!$Q$23</xm:f>
            <x14:dxf>
              <border>
                <left style="thin">
                  <color theme="0"/>
                </left>
                <right style="thin">
                  <color theme="0"/>
                </right>
                <top style="thin">
                  <color theme="0"/>
                </top>
                <bottom style="thin">
                  <color theme="0"/>
                </bottom>
                <vertical/>
                <horizontal/>
              </border>
            </x14:dxf>
          </x14:cfRule>
          <xm:sqref>O62:O63</xm:sqref>
        </x14:conditionalFormatting>
        <x14:conditionalFormatting xmlns:xm="http://schemas.microsoft.com/office/excel/2006/main">
          <x14:cfRule type="expression" priority="4352" id="{EB55F4F4-1DD4-4294-9406-21C3CBEF7E73}">
            <xm:f>$T$8='Assessment Details'!$Q$23</xm:f>
            <x14:dxf>
              <font>
                <color theme="0"/>
              </font>
              <fill>
                <patternFill>
                  <bgColor theme="0"/>
                </patternFill>
              </fill>
              <border>
                <vertical/>
                <horizontal/>
              </border>
            </x14:dxf>
          </x14:cfRule>
          <xm:sqref>O67:O72</xm:sqref>
        </x14:conditionalFormatting>
        <x14:conditionalFormatting xmlns:xm="http://schemas.microsoft.com/office/excel/2006/main">
          <x14:cfRule type="expression" priority="199" id="{7D7C6925-A257-49BE-A707-A28D0318336B}">
            <xm:f>$T$8='Assessment Details'!$Q$23</xm:f>
            <x14:dxf>
              <border>
                <left style="thin">
                  <color theme="0"/>
                </left>
                <right style="thin">
                  <color theme="0"/>
                </right>
                <top style="thin">
                  <color theme="0"/>
                </top>
                <bottom style="thin">
                  <color theme="0"/>
                </bottom>
                <vertical/>
                <horizontal/>
              </border>
            </x14:dxf>
          </x14:cfRule>
          <x14:cfRule type="expression" priority="200" id="{040902CE-9860-413B-A8E8-2BA69DC644F4}">
            <xm:f>$T$8='Assessment Details'!$Q$23</xm:f>
            <x14:dxf>
              <font>
                <color theme="0"/>
              </font>
              <fill>
                <patternFill>
                  <bgColor theme="0"/>
                </patternFill>
              </fill>
              <border>
                <vertical/>
                <horizontal/>
              </border>
            </x14:dxf>
          </x14:cfRule>
          <xm:sqref>O70</xm:sqref>
        </x14:conditionalFormatting>
        <x14:conditionalFormatting xmlns:xm="http://schemas.microsoft.com/office/excel/2006/main">
          <x14:cfRule type="expression" priority="2275" id="{624BDA07-2E5A-4BB8-AB05-9D1324B44598}">
            <xm:f>$T$8='Assessment Details'!$Q$23</xm:f>
            <x14:dxf>
              <font>
                <color theme="0"/>
              </font>
              <fill>
                <patternFill>
                  <bgColor theme="0"/>
                </patternFill>
              </fill>
              <border>
                <vertical/>
                <horizontal/>
              </border>
            </x14:dxf>
          </x14:cfRule>
          <x14:cfRule type="expression" priority="2274" id="{C8D83D7C-7FCA-43B9-8A56-98275D98F953}">
            <xm:f>$T$8='Assessment Details'!$Q$23</xm:f>
            <x14:dxf>
              <border>
                <left style="thin">
                  <color theme="0"/>
                </left>
                <right style="thin">
                  <color theme="0"/>
                </right>
                <top style="thin">
                  <color theme="0"/>
                </top>
                <bottom style="thin">
                  <color theme="0"/>
                </bottom>
                <vertical/>
                <horizontal/>
              </border>
            </x14:dxf>
          </x14:cfRule>
          <xm:sqref>O74:O76</xm:sqref>
        </x14:conditionalFormatting>
        <x14:conditionalFormatting xmlns:xm="http://schemas.microsoft.com/office/excel/2006/main">
          <x14:cfRule type="expression" priority="2245" id="{AAF2E691-E93D-4F1C-9C1D-49345DC5D20C}">
            <xm:f>$T$8='Assessment Details'!$Q$23</xm:f>
            <x14:dxf>
              <border>
                <left style="thin">
                  <color theme="0"/>
                </left>
                <right style="thin">
                  <color theme="0"/>
                </right>
                <top style="thin">
                  <color theme="0"/>
                </top>
                <bottom style="thin">
                  <color theme="0"/>
                </bottom>
                <vertical/>
                <horizontal/>
              </border>
            </x14:dxf>
          </x14:cfRule>
          <x14:cfRule type="expression" priority="2246" id="{3AB8F301-5249-4A01-8980-347F6CBB67AA}">
            <xm:f>$T$8='Assessment Details'!$Q$23</xm:f>
            <x14:dxf>
              <font>
                <color theme="0"/>
              </font>
              <fill>
                <patternFill>
                  <bgColor theme="0"/>
                </patternFill>
              </fill>
              <border>
                <vertical/>
                <horizontal/>
              </border>
            </x14:dxf>
          </x14:cfRule>
          <xm:sqref>O78:O79</xm:sqref>
        </x14:conditionalFormatting>
        <x14:conditionalFormatting xmlns:xm="http://schemas.microsoft.com/office/excel/2006/main">
          <x14:cfRule type="expression" priority="2216" id="{DFA2286E-5E2D-490A-B777-279B25DA5D7A}">
            <xm:f>$T$8='Assessment Details'!$Q$23</xm:f>
            <x14:dxf>
              <border>
                <left style="thin">
                  <color theme="0"/>
                </left>
                <right style="thin">
                  <color theme="0"/>
                </right>
                <top style="thin">
                  <color theme="0"/>
                </top>
                <bottom style="thin">
                  <color theme="0"/>
                </bottom>
                <vertical/>
                <horizontal/>
              </border>
            </x14:dxf>
          </x14:cfRule>
          <x14:cfRule type="expression" priority="2217" id="{8639024F-F23F-4E81-8DB4-60196403B34E}">
            <xm:f>$T$8='Assessment Details'!$Q$23</xm:f>
            <x14:dxf>
              <font>
                <color theme="0"/>
              </font>
              <fill>
                <patternFill>
                  <bgColor theme="0"/>
                </patternFill>
              </fill>
              <border>
                <vertical/>
                <horizontal/>
              </border>
            </x14:dxf>
          </x14:cfRule>
          <xm:sqref>O81:O82</xm:sqref>
        </x14:conditionalFormatting>
        <x14:conditionalFormatting xmlns:xm="http://schemas.microsoft.com/office/excel/2006/main">
          <x14:cfRule type="expression" priority="815" id="{5A63F7A5-EDFA-41B7-9A2B-2E3B5AC6501F}">
            <xm:f>$T$8='Assessment Details'!$Q$23</xm:f>
            <x14:dxf>
              <font>
                <color theme="0"/>
              </font>
              <fill>
                <patternFill>
                  <bgColor theme="0"/>
                </patternFill>
              </fill>
              <border>
                <vertical/>
                <horizontal/>
              </border>
            </x14:dxf>
          </x14:cfRule>
          <xm:sqref>O84:O85</xm:sqref>
        </x14:conditionalFormatting>
        <x14:conditionalFormatting xmlns:xm="http://schemas.microsoft.com/office/excel/2006/main">
          <x14:cfRule type="expression" priority="814" id="{A2822926-0CDC-469D-810E-34D85549DB66}">
            <xm:f>$T$8='Assessment Details'!$Q$23</xm:f>
            <x14:dxf>
              <border>
                <left style="thin">
                  <color theme="0"/>
                </left>
                <right style="thin">
                  <color theme="0"/>
                </right>
                <top style="thin">
                  <color theme="0"/>
                </top>
                <bottom style="thin">
                  <color theme="0"/>
                </bottom>
                <vertical/>
                <horizontal/>
              </border>
            </x14:dxf>
          </x14:cfRule>
          <xm:sqref>O84:O86</xm:sqref>
        </x14:conditionalFormatting>
        <x14:conditionalFormatting xmlns:xm="http://schemas.microsoft.com/office/excel/2006/main">
          <x14:cfRule type="expression" priority="2158" id="{674A6998-AEE3-4066-906F-6FD4CBB1F6BC}">
            <xm:f>$T$8='Assessment Details'!$Q$23</xm:f>
            <x14:dxf>
              <border>
                <left style="thin">
                  <color theme="0"/>
                </left>
                <right style="thin">
                  <color theme="0"/>
                </right>
                <top style="thin">
                  <color theme="0"/>
                </top>
                <bottom style="thin">
                  <color theme="0"/>
                </bottom>
                <vertical/>
                <horizontal/>
              </border>
            </x14:dxf>
          </x14:cfRule>
          <x14:cfRule type="expression" priority="2159" id="{8C27B10B-C236-44AF-9911-EDBB50120527}">
            <xm:f>$T$8='Assessment Details'!$Q$23</xm:f>
            <x14:dxf>
              <font>
                <color theme="0"/>
              </font>
              <fill>
                <patternFill>
                  <bgColor theme="0"/>
                </patternFill>
              </fill>
              <border>
                <vertical/>
                <horizontal/>
              </border>
            </x14:dxf>
          </x14:cfRule>
          <xm:sqref>O88:O89</xm:sqref>
        </x14:conditionalFormatting>
        <x14:conditionalFormatting xmlns:xm="http://schemas.microsoft.com/office/excel/2006/main">
          <x14:cfRule type="expression" priority="2130" id="{F752570C-D2FC-4EFE-83D9-62BB7B2F3170}">
            <xm:f>$T$8='Assessment Details'!$Q$23</xm:f>
            <x14:dxf>
              <font>
                <color theme="0"/>
              </font>
              <fill>
                <patternFill>
                  <bgColor theme="0"/>
                </patternFill>
              </fill>
              <border>
                <vertical/>
                <horizontal/>
              </border>
            </x14:dxf>
          </x14:cfRule>
          <xm:sqref>O91</xm:sqref>
        </x14:conditionalFormatting>
        <x14:conditionalFormatting xmlns:xm="http://schemas.microsoft.com/office/excel/2006/main">
          <x14:cfRule type="expression" priority="2129" id="{AD315150-4F01-4163-BD4B-6271BC05F848}">
            <xm:f>$T$8='Assessment Details'!$Q$23</xm:f>
            <x14:dxf>
              <border>
                <left style="thin">
                  <color theme="0"/>
                </left>
                <right style="thin">
                  <color theme="0"/>
                </right>
                <top style="thin">
                  <color theme="0"/>
                </top>
                <bottom style="thin">
                  <color theme="0"/>
                </bottom>
                <vertical/>
                <horizontal/>
              </border>
            </x14:dxf>
          </x14:cfRule>
          <xm:sqref>O91:O92</xm:sqref>
        </x14:conditionalFormatting>
        <x14:conditionalFormatting xmlns:xm="http://schemas.microsoft.com/office/excel/2006/main">
          <x14:cfRule type="expression" priority="2101" id="{C07C2A46-91E7-4772-8CA9-25391F1186D4}">
            <xm:f>$T$8='Assessment Details'!$Q$23</xm:f>
            <x14:dxf>
              <font>
                <color theme="0"/>
              </font>
              <fill>
                <patternFill>
                  <bgColor theme="0"/>
                </patternFill>
              </fill>
              <border>
                <vertical/>
                <horizontal/>
              </border>
            </x14:dxf>
          </x14:cfRule>
          <x14:cfRule type="expression" priority="2100" id="{577E7415-B426-4761-969E-525C3026E8FA}">
            <xm:f>$T$8='Assessment Details'!$Q$23</xm:f>
            <x14:dxf>
              <border>
                <left style="thin">
                  <color theme="0"/>
                </left>
                <right style="thin">
                  <color theme="0"/>
                </right>
                <top style="thin">
                  <color theme="0"/>
                </top>
                <bottom style="thin">
                  <color theme="0"/>
                </bottom>
                <vertical/>
                <horizontal/>
              </border>
            </x14:dxf>
          </x14:cfRule>
          <xm:sqref>O96:O97</xm:sqref>
        </x14:conditionalFormatting>
        <x14:conditionalFormatting xmlns:xm="http://schemas.microsoft.com/office/excel/2006/main">
          <x14:cfRule type="expression" priority="763" id="{2ACB8806-BB00-4EEF-9AEF-4CAF9A1EE119}">
            <xm:f>$T$8='Assessment Details'!$Q$23</xm:f>
            <x14:dxf>
              <font>
                <color theme="0"/>
              </font>
              <fill>
                <patternFill>
                  <bgColor theme="0"/>
                </patternFill>
              </fill>
              <border>
                <vertical/>
                <horizontal/>
              </border>
            </x14:dxf>
          </x14:cfRule>
          <xm:sqref>O99:O100</xm:sqref>
        </x14:conditionalFormatting>
        <x14:conditionalFormatting xmlns:xm="http://schemas.microsoft.com/office/excel/2006/main">
          <x14:cfRule type="expression" priority="762" id="{F31C36FB-66C8-460F-8266-75E37A5CC967}">
            <xm:f>$T$8='Assessment Details'!$Q$23</xm:f>
            <x14:dxf>
              <border>
                <left style="thin">
                  <color theme="0"/>
                </left>
                <right style="thin">
                  <color theme="0"/>
                </right>
                <top style="thin">
                  <color theme="0"/>
                </top>
                <bottom style="thin">
                  <color theme="0"/>
                </bottom>
                <vertical/>
                <horizontal/>
              </border>
            </x14:dxf>
          </x14:cfRule>
          <xm:sqref>O99:O101</xm:sqref>
        </x14:conditionalFormatting>
        <x14:conditionalFormatting xmlns:xm="http://schemas.microsoft.com/office/excel/2006/main">
          <x14:cfRule type="expression" priority="36" id="{D72D6DDA-FFAC-4B57-841F-7DDC82B1A981}">
            <xm:f>$T$8='Assessment Details'!$Q$23</xm:f>
            <x14:dxf>
              <font>
                <color theme="0"/>
              </font>
              <fill>
                <patternFill>
                  <bgColor theme="0"/>
                </patternFill>
              </fill>
              <border>
                <vertical/>
                <horizontal/>
              </border>
            </x14:dxf>
          </x14:cfRule>
          <x14:cfRule type="expression" priority="35" id="{7ED2FCC3-E8E9-45FD-A850-83F42A77D77E}">
            <xm:f>$T$8='Assessment Details'!$Q$23</xm:f>
            <x14:dxf>
              <border>
                <left style="thin">
                  <color theme="0"/>
                </left>
                <right style="thin">
                  <color theme="0"/>
                </right>
                <top style="thin">
                  <color theme="0"/>
                </top>
                <bottom style="thin">
                  <color theme="0"/>
                </bottom>
                <vertical/>
                <horizontal/>
              </border>
            </x14:dxf>
          </x14:cfRule>
          <xm:sqref>O105:O106</xm:sqref>
        </x14:conditionalFormatting>
        <x14:conditionalFormatting xmlns:xm="http://schemas.microsoft.com/office/excel/2006/main">
          <x14:cfRule type="expression" priority="2014" id="{7B2A31D0-1B1D-40B1-A127-9805B0DD5AF0}">
            <xm:f>$T$8='Assessment Details'!$Q$23</xm:f>
            <x14:dxf>
              <font>
                <color theme="0"/>
              </font>
              <fill>
                <patternFill>
                  <bgColor theme="0"/>
                </patternFill>
              </fill>
              <border>
                <vertical/>
                <horizontal/>
              </border>
            </x14:dxf>
          </x14:cfRule>
          <x14:cfRule type="expression" priority="2013" id="{E6FA7601-77CD-4AE7-992B-729BB6BD7E1A}">
            <xm:f>$T$8='Assessment Details'!$Q$23</xm:f>
            <x14:dxf>
              <border>
                <left style="thin">
                  <color theme="0"/>
                </left>
                <right style="thin">
                  <color theme="0"/>
                </right>
                <top style="thin">
                  <color theme="0"/>
                </top>
                <bottom style="thin">
                  <color theme="0"/>
                </bottom>
                <vertical/>
                <horizontal/>
              </border>
            </x14:dxf>
          </x14:cfRule>
          <xm:sqref>O108</xm:sqref>
        </x14:conditionalFormatting>
        <x14:conditionalFormatting xmlns:xm="http://schemas.microsoft.com/office/excel/2006/main">
          <x14:cfRule type="expression" priority="1985" id="{32892BEA-02D1-45A9-8A5E-FD88AD203770}">
            <xm:f>$T$8='Assessment Details'!$Q$23</xm:f>
            <x14:dxf>
              <font>
                <color theme="0"/>
              </font>
              <fill>
                <patternFill>
                  <bgColor theme="0"/>
                </patternFill>
              </fill>
              <border>
                <vertical/>
                <horizontal/>
              </border>
            </x14:dxf>
          </x14:cfRule>
          <x14:cfRule type="expression" priority="1984" id="{0CC88DFC-5A80-49DF-8B48-B6A3B1455E8E}">
            <xm:f>$T$8='Assessment Details'!$Q$23</xm:f>
            <x14:dxf>
              <border>
                <left style="thin">
                  <color theme="0"/>
                </left>
                <right style="thin">
                  <color theme="0"/>
                </right>
                <top style="thin">
                  <color theme="0"/>
                </top>
                <bottom style="thin">
                  <color theme="0"/>
                </bottom>
                <vertical/>
                <horizontal/>
              </border>
            </x14:dxf>
          </x14:cfRule>
          <xm:sqref>O110:O112</xm:sqref>
        </x14:conditionalFormatting>
        <x14:conditionalFormatting xmlns:xm="http://schemas.microsoft.com/office/excel/2006/main">
          <x14:cfRule type="expression" priority="1956" id="{68C9DA0A-41E6-4F15-A030-01D389F3B82A}">
            <xm:f>$T$8='Assessment Details'!$Q$23</xm:f>
            <x14:dxf>
              <font>
                <color theme="0"/>
              </font>
              <fill>
                <patternFill>
                  <bgColor theme="0"/>
                </patternFill>
              </fill>
              <border>
                <vertical/>
                <horizontal/>
              </border>
            </x14:dxf>
          </x14:cfRule>
          <xm:sqref>O114</xm:sqref>
        </x14:conditionalFormatting>
        <x14:conditionalFormatting xmlns:xm="http://schemas.microsoft.com/office/excel/2006/main">
          <x14:cfRule type="expression" priority="1955" id="{465F5CC7-097C-46A4-B3E3-D5C4711C66D2}">
            <xm:f>$T$8='Assessment Details'!$Q$23</xm:f>
            <x14:dxf>
              <border>
                <left style="thin">
                  <color theme="0"/>
                </left>
                <right style="thin">
                  <color theme="0"/>
                </right>
                <top style="thin">
                  <color theme="0"/>
                </top>
                <bottom style="thin">
                  <color theme="0"/>
                </bottom>
                <vertical/>
                <horizontal/>
              </border>
            </x14:dxf>
          </x14:cfRule>
          <xm:sqref>O114:O115</xm:sqref>
        </x14:conditionalFormatting>
        <x14:conditionalFormatting xmlns:xm="http://schemas.microsoft.com/office/excel/2006/main">
          <x14:cfRule type="expression" priority="1053" id="{A1C72D73-A9A2-4173-B170-EA428AE8FCE0}">
            <xm:f>$T$8='Assessment Details'!$Q$23</xm:f>
            <x14:dxf>
              <font>
                <color theme="0"/>
              </font>
              <fill>
                <patternFill>
                  <bgColor theme="0"/>
                </patternFill>
              </fill>
              <border>
                <vertical/>
                <horizontal/>
              </border>
            </x14:dxf>
          </x14:cfRule>
          <x14:cfRule type="expression" priority="1052" id="{C332B9BF-6CBB-4400-A162-14E1CE03FA30}">
            <xm:f>$T$8='Assessment Details'!$Q$23</xm:f>
            <x14:dxf>
              <border>
                <left style="thin">
                  <color theme="0"/>
                </left>
                <right style="thin">
                  <color theme="0"/>
                </right>
                <top style="thin">
                  <color theme="0"/>
                </top>
                <bottom style="thin">
                  <color theme="0"/>
                </bottom>
                <vertical/>
                <horizontal/>
              </border>
            </x14:dxf>
          </x14:cfRule>
          <xm:sqref>O119:O121</xm:sqref>
        </x14:conditionalFormatting>
        <x14:conditionalFormatting xmlns:xm="http://schemas.microsoft.com/office/excel/2006/main">
          <x14:cfRule type="expression" priority="1049" id="{0CA13EFB-5FAE-443D-AAEA-19BF3CBA73DF}">
            <xm:f>$T$8='Assessment Details'!$Q$23</xm:f>
            <x14:dxf>
              <font>
                <color theme="0"/>
              </font>
              <fill>
                <patternFill>
                  <bgColor theme="0"/>
                </patternFill>
              </fill>
              <border>
                <vertical/>
                <horizontal/>
              </border>
            </x14:dxf>
          </x14:cfRule>
          <x14:cfRule type="expression" priority="1048" id="{0F71D829-C403-4643-9F3F-9308293F6A30}">
            <xm:f>$T$8='Assessment Details'!$Q$23</xm:f>
            <x14:dxf>
              <border>
                <left style="thin">
                  <color theme="0"/>
                </left>
                <right style="thin">
                  <color theme="0"/>
                </right>
                <top style="thin">
                  <color theme="0"/>
                </top>
                <bottom style="thin">
                  <color theme="0"/>
                </bottom>
                <vertical/>
                <horizontal/>
              </border>
            </x14:dxf>
          </x14:cfRule>
          <xm:sqref>O123:O125</xm:sqref>
        </x14:conditionalFormatting>
        <x14:conditionalFormatting xmlns:xm="http://schemas.microsoft.com/office/excel/2006/main">
          <x14:cfRule type="expression" priority="1044" id="{F5414219-E047-4E00-B627-ED7355889037}">
            <xm:f>$T$8='Assessment Details'!$Q$23</xm:f>
            <x14:dxf>
              <border>
                <left style="thin">
                  <color theme="0"/>
                </left>
                <right style="thin">
                  <color theme="0"/>
                </right>
                <top style="thin">
                  <color theme="0"/>
                </top>
                <bottom style="thin">
                  <color theme="0"/>
                </bottom>
                <vertical/>
                <horizontal/>
              </border>
            </x14:dxf>
          </x14:cfRule>
          <x14:cfRule type="expression" priority="1045" id="{9AB21409-CDEA-4079-BDC1-9A141F03A66C}">
            <xm:f>$T$8='Assessment Details'!$Q$23</xm:f>
            <x14:dxf>
              <font>
                <color theme="0"/>
              </font>
              <fill>
                <patternFill>
                  <bgColor theme="0"/>
                </patternFill>
              </fill>
              <border>
                <vertical/>
                <horizontal/>
              </border>
            </x14:dxf>
          </x14:cfRule>
          <xm:sqref>O127:O129</xm:sqref>
        </x14:conditionalFormatting>
        <x14:conditionalFormatting xmlns:xm="http://schemas.microsoft.com/office/excel/2006/main">
          <x14:cfRule type="expression" priority="957" id="{671B9F9F-87A1-4E8F-887D-B1C37FC1C2D5}">
            <xm:f>$T$8='Assessment Details'!$Q$23</xm:f>
            <x14:dxf>
              <border>
                <left style="thin">
                  <color theme="0"/>
                </left>
                <right style="thin">
                  <color theme="0"/>
                </right>
                <top style="thin">
                  <color theme="0"/>
                </top>
                <bottom style="thin">
                  <color theme="0"/>
                </bottom>
                <vertical/>
                <horizontal/>
              </border>
            </x14:dxf>
          </x14:cfRule>
          <x14:cfRule type="expression" priority="958" id="{B2517199-400D-4E79-BB0C-8BD036B7C495}">
            <xm:f>$T$8='Assessment Details'!$Q$23</xm:f>
            <x14:dxf>
              <font>
                <color theme="0"/>
              </font>
              <fill>
                <patternFill>
                  <bgColor theme="0"/>
                </patternFill>
              </fill>
              <border>
                <vertical/>
                <horizontal/>
              </border>
            </x14:dxf>
          </x14:cfRule>
          <xm:sqref>O131:O135</xm:sqref>
        </x14:conditionalFormatting>
        <x14:conditionalFormatting xmlns:xm="http://schemas.microsoft.com/office/excel/2006/main">
          <x14:cfRule type="expression" priority="85" id="{C91DA647-F13F-4C74-BD17-677CB8B5CA84}">
            <xm:f>$T$8='Assessment Details'!$Q$23</xm:f>
            <x14:dxf>
              <border>
                <left style="thin">
                  <color theme="0"/>
                </left>
                <right style="thin">
                  <color theme="0"/>
                </right>
                <top style="thin">
                  <color theme="0"/>
                </top>
                <bottom style="thin">
                  <color theme="0"/>
                </bottom>
                <vertical/>
                <horizontal/>
              </border>
            </x14:dxf>
          </x14:cfRule>
          <x14:cfRule type="expression" priority="86" id="{FA10BCCD-5F13-4B32-AEE2-32308139C0B9}">
            <xm:f>$T$8='Assessment Details'!$Q$23</xm:f>
            <x14:dxf>
              <font>
                <color theme="0"/>
              </font>
              <fill>
                <patternFill>
                  <bgColor theme="0"/>
                </patternFill>
              </fill>
              <border>
                <vertical/>
                <horizontal/>
              </border>
            </x14:dxf>
          </x14:cfRule>
          <xm:sqref>O137:O140</xm:sqref>
        </x14:conditionalFormatting>
        <x14:conditionalFormatting xmlns:xm="http://schemas.microsoft.com/office/excel/2006/main">
          <x14:cfRule type="expression" priority="1753" id="{67140F08-C9FC-46DD-A0AB-3302CF0056E4}">
            <xm:f>$T$8='Assessment Details'!$Q$23</xm:f>
            <x14:dxf>
              <font>
                <color theme="0"/>
              </font>
              <fill>
                <patternFill>
                  <bgColor theme="0"/>
                </patternFill>
              </fill>
              <border>
                <vertical/>
                <horizontal/>
              </border>
            </x14:dxf>
          </x14:cfRule>
          <xm:sqref>O142:O144</xm:sqref>
        </x14:conditionalFormatting>
        <x14:conditionalFormatting xmlns:xm="http://schemas.microsoft.com/office/excel/2006/main">
          <x14:cfRule type="expression" priority="1752" id="{A85ACC34-0D8B-4107-8A96-E3B853C679FE}">
            <xm:f>$T$8='Assessment Details'!$Q$23</xm:f>
            <x14:dxf>
              <border>
                <left style="thin">
                  <color theme="0"/>
                </left>
                <right style="thin">
                  <color theme="0"/>
                </right>
                <top style="thin">
                  <color theme="0"/>
                </top>
                <bottom style="thin">
                  <color theme="0"/>
                </bottom>
                <vertical/>
                <horizontal/>
              </border>
            </x14:dxf>
          </x14:cfRule>
          <xm:sqref>O142:O145</xm:sqref>
        </x14:conditionalFormatting>
        <x14:conditionalFormatting xmlns:xm="http://schemas.microsoft.com/office/excel/2006/main">
          <x14:cfRule type="expression" priority="57" id="{CFE9D092-6979-49C0-96B0-AE4EEF087773}">
            <xm:f>$T$8='Assessment Details'!$Q$23</xm:f>
            <x14:dxf>
              <border>
                <left style="thin">
                  <color theme="0"/>
                </left>
                <right style="thin">
                  <color theme="0"/>
                </right>
                <top style="thin">
                  <color theme="0"/>
                </top>
                <bottom style="thin">
                  <color theme="0"/>
                </bottom>
                <vertical/>
                <horizontal/>
              </border>
            </x14:dxf>
          </x14:cfRule>
          <x14:cfRule type="expression" priority="58" id="{663A9820-0F9C-4D23-A4D4-B1B4AF4ECE10}">
            <xm:f>$T$8='Assessment Details'!$Q$23</xm:f>
            <x14:dxf>
              <font>
                <color theme="0"/>
              </font>
              <fill>
                <patternFill>
                  <bgColor theme="0"/>
                </patternFill>
              </fill>
              <border>
                <vertical/>
                <horizontal/>
              </border>
            </x14:dxf>
          </x14:cfRule>
          <xm:sqref>O149:O153</xm:sqref>
        </x14:conditionalFormatting>
        <x14:conditionalFormatting xmlns:xm="http://schemas.microsoft.com/office/excel/2006/main">
          <x14:cfRule type="expression" priority="1694" id="{94DD3C6F-C113-46B5-9523-B3A9F444C760}">
            <xm:f>$T$8='Assessment Details'!$Q$23</xm:f>
            <x14:dxf>
              <border>
                <left style="thin">
                  <color theme="0"/>
                </left>
                <right style="thin">
                  <color theme="0"/>
                </right>
                <top style="thin">
                  <color theme="0"/>
                </top>
                <bottom style="thin">
                  <color theme="0"/>
                </bottom>
                <vertical/>
                <horizontal/>
              </border>
            </x14:dxf>
          </x14:cfRule>
          <x14:cfRule type="expression" priority="1695" id="{8111D68C-ED4E-4E20-A6EF-766488248D03}">
            <xm:f>$T$8='Assessment Details'!$Q$23</xm:f>
            <x14:dxf>
              <font>
                <color theme="0"/>
              </font>
              <fill>
                <patternFill>
                  <bgColor theme="0"/>
                </patternFill>
              </fill>
              <border>
                <vertical/>
                <horizontal/>
              </border>
            </x14:dxf>
          </x14:cfRule>
          <xm:sqref>O155</xm:sqref>
        </x14:conditionalFormatting>
        <x14:conditionalFormatting xmlns:xm="http://schemas.microsoft.com/office/excel/2006/main">
          <x14:cfRule type="expression" priority="1665" id="{FB83C662-E61F-403A-B5C3-A775A006BD5A}">
            <xm:f>$T$8='Assessment Details'!$Q$23</xm:f>
            <x14:dxf>
              <border>
                <left style="thin">
                  <color theme="0"/>
                </left>
                <right style="thin">
                  <color theme="0"/>
                </right>
                <top style="thin">
                  <color theme="0"/>
                </top>
                <bottom style="thin">
                  <color theme="0"/>
                </bottom>
                <vertical/>
                <horizontal/>
              </border>
            </x14:dxf>
          </x14:cfRule>
          <x14:cfRule type="expression" priority="1666" id="{E93C857C-28FB-4390-B46A-FF8DF2C14CA9}">
            <xm:f>$T$8='Assessment Details'!$Q$23</xm:f>
            <x14:dxf>
              <font>
                <color theme="0"/>
              </font>
              <fill>
                <patternFill>
                  <bgColor theme="0"/>
                </patternFill>
              </fill>
              <border>
                <vertical/>
                <horizontal/>
              </border>
            </x14:dxf>
          </x14:cfRule>
          <xm:sqref>O157</xm:sqref>
        </x14:conditionalFormatting>
        <x14:conditionalFormatting xmlns:xm="http://schemas.microsoft.com/office/excel/2006/main">
          <x14:cfRule type="expression" priority="1637" id="{B5BAF25E-EFB2-4473-9E7D-9B148D482A30}">
            <xm:f>$T$8='Assessment Details'!$Q$23</xm:f>
            <x14:dxf>
              <font>
                <color theme="0"/>
              </font>
              <fill>
                <patternFill>
                  <bgColor theme="0"/>
                </patternFill>
              </fill>
              <border>
                <vertical/>
                <horizontal/>
              </border>
            </x14:dxf>
          </x14:cfRule>
          <xm:sqref>O159</xm:sqref>
        </x14:conditionalFormatting>
        <x14:conditionalFormatting xmlns:xm="http://schemas.microsoft.com/office/excel/2006/main">
          <x14:cfRule type="expression" priority="1636" id="{C3B1ECA9-75EA-4F8E-A27C-14108B7F0209}">
            <xm:f>$T$8='Assessment Details'!$Q$23</xm:f>
            <x14:dxf>
              <border>
                <left style="thin">
                  <color theme="0"/>
                </left>
                <right style="thin">
                  <color theme="0"/>
                </right>
                <top style="thin">
                  <color theme="0"/>
                </top>
                <bottom style="thin">
                  <color theme="0"/>
                </bottom>
                <vertical/>
                <horizontal/>
              </border>
            </x14:dxf>
          </x14:cfRule>
          <xm:sqref>O159:O160</xm:sqref>
        </x14:conditionalFormatting>
        <x14:conditionalFormatting xmlns:xm="http://schemas.microsoft.com/office/excel/2006/main">
          <x14:cfRule type="expression" priority="228" id="{09CA425F-C18C-4B7E-B211-7F4BD61EB152}">
            <xm:f>$T$8='Assessment Details'!$Q$23</xm:f>
            <x14:dxf>
              <border>
                <left style="thin">
                  <color theme="0"/>
                </left>
                <right style="thin">
                  <color theme="0"/>
                </right>
                <top style="thin">
                  <color theme="0"/>
                </top>
                <bottom style="thin">
                  <color theme="0"/>
                </bottom>
                <vertical/>
                <horizontal/>
              </border>
            </x14:dxf>
          </x14:cfRule>
          <x14:cfRule type="expression" priority="229" id="{934EF046-70D2-46EA-81CD-20AF2A8CEC09}">
            <xm:f>$T$8='Assessment Details'!$Q$23</xm:f>
            <x14:dxf>
              <font>
                <color theme="0"/>
              </font>
              <fill>
                <patternFill>
                  <bgColor theme="0"/>
                </patternFill>
              </fill>
              <border>
                <vertical/>
                <horizontal/>
              </border>
            </x14:dxf>
          </x14:cfRule>
          <xm:sqref>O164:O165</xm:sqref>
        </x14:conditionalFormatting>
        <x14:conditionalFormatting xmlns:xm="http://schemas.microsoft.com/office/excel/2006/main">
          <x14:cfRule type="expression" priority="1037" id="{B4BB3E1A-7AFC-461C-AA75-FD582653BF7C}">
            <xm:f>$T$8='Assessment Details'!$Q$23</xm:f>
            <x14:dxf>
              <font>
                <color theme="0"/>
              </font>
              <fill>
                <patternFill>
                  <bgColor theme="0"/>
                </patternFill>
              </fill>
              <border>
                <vertical/>
                <horizontal/>
              </border>
            </x14:dxf>
          </x14:cfRule>
          <x14:cfRule type="expression" priority="1036" id="{0C1307FD-EF1C-4875-A07B-1E2C833AB17E}">
            <xm:f>$T$8='Assessment Details'!$Q$23</xm:f>
            <x14:dxf>
              <border>
                <left style="thin">
                  <color theme="0"/>
                </left>
                <right style="thin">
                  <color theme="0"/>
                </right>
                <top style="thin">
                  <color theme="0"/>
                </top>
                <bottom style="thin">
                  <color theme="0"/>
                </bottom>
                <vertical/>
                <horizontal/>
              </border>
            </x14:dxf>
          </x14:cfRule>
          <xm:sqref>O167:O169</xm:sqref>
        </x14:conditionalFormatting>
        <x14:conditionalFormatting xmlns:xm="http://schemas.microsoft.com/office/excel/2006/main">
          <x14:cfRule type="expression" priority="1550" id="{3D1E988D-03DD-499C-BF68-CF1240BEC228}">
            <xm:f>$T$8='Assessment Details'!$Q$23</xm:f>
            <x14:dxf>
              <font>
                <color theme="0"/>
              </font>
              <fill>
                <patternFill>
                  <bgColor theme="0"/>
                </patternFill>
              </fill>
              <border>
                <vertical/>
                <horizontal/>
              </border>
            </x14:dxf>
          </x14:cfRule>
          <x14:cfRule type="expression" priority="1549" id="{FEA7069D-5280-4A3C-A382-371BE113ED55}">
            <xm:f>$T$8='Assessment Details'!$Q$23</xm:f>
            <x14:dxf>
              <border>
                <left style="thin">
                  <color theme="0"/>
                </left>
                <right style="thin">
                  <color theme="0"/>
                </right>
                <top style="thin">
                  <color theme="0"/>
                </top>
                <bottom style="thin">
                  <color theme="0"/>
                </bottom>
                <vertical/>
                <horizontal/>
              </border>
            </x14:dxf>
          </x14:cfRule>
          <xm:sqref>O172:O173</xm:sqref>
        </x14:conditionalFormatting>
        <x14:conditionalFormatting xmlns:xm="http://schemas.microsoft.com/office/excel/2006/main">
          <x14:cfRule type="expression" priority="1029" id="{E15BC88D-C946-4E1A-BD75-8CEC8E32FC7D}">
            <xm:f>$T$8='Assessment Details'!$Q$23</xm:f>
            <x14:dxf>
              <font>
                <color theme="0"/>
              </font>
              <fill>
                <patternFill>
                  <bgColor theme="0"/>
                </patternFill>
              </fill>
              <border>
                <vertical/>
                <horizontal/>
              </border>
            </x14:dxf>
          </x14:cfRule>
          <x14:cfRule type="expression" priority="1028" id="{D6BB9F8E-0A57-42E3-B5E1-7644F2DFCD46}">
            <xm:f>$T$8='Assessment Details'!$Q$23</xm:f>
            <x14:dxf>
              <border>
                <left style="thin">
                  <color theme="0"/>
                </left>
                <right style="thin">
                  <color theme="0"/>
                </right>
                <top style="thin">
                  <color theme="0"/>
                </top>
                <bottom style="thin">
                  <color theme="0"/>
                </bottom>
                <vertical/>
                <horizontal/>
              </border>
            </x14:dxf>
          </x14:cfRule>
          <xm:sqref>O175:O177</xm:sqref>
        </x14:conditionalFormatting>
        <x14:conditionalFormatting xmlns:xm="http://schemas.microsoft.com/office/excel/2006/main">
          <x14:cfRule type="expression" priority="1024" id="{B52E7EFA-7B11-4DBB-A261-0F30E0B8B818}">
            <xm:f>$T$8='Assessment Details'!$Q$23</xm:f>
            <x14:dxf>
              <border>
                <left style="thin">
                  <color theme="0"/>
                </left>
                <right style="thin">
                  <color theme="0"/>
                </right>
                <top style="thin">
                  <color theme="0"/>
                </top>
                <bottom style="thin">
                  <color theme="0"/>
                </bottom>
                <vertical/>
                <horizontal/>
              </border>
            </x14:dxf>
          </x14:cfRule>
          <x14:cfRule type="expression" priority="1025" id="{810D66C2-8584-47FB-BFB3-19127E2BA28A}">
            <xm:f>$T$8='Assessment Details'!$Q$23</xm:f>
            <x14:dxf>
              <font>
                <color theme="0"/>
              </font>
              <fill>
                <patternFill>
                  <bgColor theme="0"/>
                </patternFill>
              </fill>
              <border>
                <vertical/>
                <horizontal/>
              </border>
            </x14:dxf>
          </x14:cfRule>
          <xm:sqref>O179:O181</xm:sqref>
        </x14:conditionalFormatting>
        <x14:conditionalFormatting xmlns:xm="http://schemas.microsoft.com/office/excel/2006/main">
          <x14:cfRule type="expression" priority="1462" id="{5B227801-2A9F-4CD2-92E4-A213D0C938B8}">
            <xm:f>$T$8='Assessment Details'!$Q$23</xm:f>
            <x14:dxf>
              <border>
                <left style="thin">
                  <color theme="0"/>
                </left>
                <right style="thin">
                  <color theme="0"/>
                </right>
                <top style="thin">
                  <color theme="0"/>
                </top>
                <bottom style="thin">
                  <color theme="0"/>
                </bottom>
                <vertical/>
                <horizontal/>
              </border>
            </x14:dxf>
          </x14:cfRule>
          <x14:cfRule type="expression" priority="1463" id="{E871B02C-4848-4F5F-92CF-340A21D6C286}">
            <xm:f>$T$8='Assessment Details'!$Q$23</xm:f>
            <x14:dxf>
              <font>
                <color theme="0"/>
              </font>
              <fill>
                <patternFill>
                  <bgColor theme="0"/>
                </patternFill>
              </fill>
              <border>
                <vertical/>
                <horizontal/>
              </border>
            </x14:dxf>
          </x14:cfRule>
          <xm:sqref>O183</xm:sqref>
        </x14:conditionalFormatting>
        <x14:conditionalFormatting xmlns:xm="http://schemas.microsoft.com/office/excel/2006/main">
          <x14:cfRule type="expression" priority="1020" id="{AB28594F-A99A-4757-BFE1-E7147E2E7D60}">
            <xm:f>$T$8='Assessment Details'!$Q$23</xm:f>
            <x14:dxf>
              <border>
                <left style="thin">
                  <color theme="0"/>
                </left>
                <right style="thin">
                  <color theme="0"/>
                </right>
                <top style="thin">
                  <color theme="0"/>
                </top>
                <bottom style="thin">
                  <color theme="0"/>
                </bottom>
                <vertical/>
                <horizontal/>
              </border>
            </x14:dxf>
          </x14:cfRule>
          <x14:cfRule type="expression" priority="1021" id="{FCD7DC89-57F5-486F-A2F7-AF9377A04FA9}">
            <xm:f>$T$8='Assessment Details'!$Q$23</xm:f>
            <x14:dxf>
              <font>
                <color theme="0"/>
              </font>
              <fill>
                <patternFill>
                  <bgColor theme="0"/>
                </patternFill>
              </fill>
              <border>
                <vertical/>
                <horizontal/>
              </border>
            </x14:dxf>
          </x14:cfRule>
          <xm:sqref>O185:O186</xm:sqref>
        </x14:conditionalFormatting>
        <x14:conditionalFormatting xmlns:xm="http://schemas.microsoft.com/office/excel/2006/main">
          <x14:cfRule type="expression" priority="1017" id="{9F3666A8-497C-45D2-A62F-5030F38C5965}">
            <xm:f>$T$8='Assessment Details'!$Q$23</xm:f>
            <x14:dxf>
              <font>
                <color theme="0"/>
              </font>
              <fill>
                <patternFill>
                  <bgColor theme="0"/>
                </patternFill>
              </fill>
              <border>
                <vertical/>
                <horizontal/>
              </border>
            </x14:dxf>
          </x14:cfRule>
          <xm:sqref>O188:O191</xm:sqref>
        </x14:conditionalFormatting>
        <x14:conditionalFormatting xmlns:xm="http://schemas.microsoft.com/office/excel/2006/main">
          <x14:cfRule type="expression" priority="1016" id="{1F45E4FB-CB65-4365-B584-4E2C78889E6D}">
            <xm:f>$T$8='Assessment Details'!$Q$23</xm:f>
            <x14:dxf>
              <border>
                <left style="thin">
                  <color theme="0"/>
                </left>
                <right style="thin">
                  <color theme="0"/>
                </right>
                <top style="thin">
                  <color theme="0"/>
                </top>
                <bottom style="thin">
                  <color theme="0"/>
                </bottom>
                <vertical/>
                <horizontal/>
              </border>
            </x14:dxf>
          </x14:cfRule>
          <xm:sqref>O188:O192</xm:sqref>
        </x14:conditionalFormatting>
        <x14:conditionalFormatting xmlns:xm="http://schemas.microsoft.com/office/excel/2006/main">
          <x14:cfRule type="expression" priority="895" id="{BD2F9586-8A9C-4136-BEF7-6BE1F2EAB39B}">
            <xm:f>$T$8='Assessment Details'!$Q$23</xm:f>
            <x14:dxf>
              <border>
                <left style="thin">
                  <color theme="0"/>
                </left>
                <right style="thin">
                  <color theme="0"/>
                </right>
                <top style="thin">
                  <color theme="0"/>
                </top>
                <bottom style="thin">
                  <color theme="0"/>
                </bottom>
                <vertical/>
                <horizontal/>
              </border>
            </x14:dxf>
          </x14:cfRule>
          <x14:cfRule type="expression" priority="896" id="{E80368FD-C2FC-46DB-B8AC-3633FFC17C20}">
            <xm:f>$T$8='Assessment Details'!$Q$23</xm:f>
            <x14:dxf>
              <font>
                <color theme="0"/>
              </font>
              <fill>
                <patternFill>
                  <bgColor theme="0"/>
                </patternFill>
              </fill>
              <border>
                <vertical/>
                <horizontal/>
              </border>
            </x14:dxf>
          </x14:cfRule>
          <xm:sqref>O196:O199</xm:sqref>
        </x14:conditionalFormatting>
        <x14:conditionalFormatting xmlns:xm="http://schemas.microsoft.com/office/excel/2006/main">
          <x14:cfRule type="expression" priority="1347" id="{680C9B30-37B3-4797-A8FC-161D3F09DDD1}">
            <xm:f>$T$8='Assessment Details'!$Q$23</xm:f>
            <x14:dxf>
              <font>
                <color theme="0"/>
              </font>
              <fill>
                <patternFill>
                  <bgColor theme="0"/>
                </patternFill>
              </fill>
              <border>
                <vertical/>
                <horizontal/>
              </border>
            </x14:dxf>
          </x14:cfRule>
          <x14:cfRule type="expression" priority="1346" id="{AE7630F1-E9A4-4A8E-8513-61D2B0D218BD}">
            <xm:f>$T$8='Assessment Details'!$Q$23</xm:f>
            <x14:dxf>
              <border>
                <left style="thin">
                  <color theme="0"/>
                </left>
                <right style="thin">
                  <color theme="0"/>
                </right>
                <top style="thin">
                  <color theme="0"/>
                </top>
                <bottom style="thin">
                  <color theme="0"/>
                </bottom>
                <vertical/>
                <horizontal/>
              </border>
            </x14:dxf>
          </x14:cfRule>
          <xm:sqref>O201:O202</xm:sqref>
        </x14:conditionalFormatting>
        <x14:conditionalFormatting xmlns:xm="http://schemas.microsoft.com/office/excel/2006/main">
          <x14:cfRule type="expression" priority="1318" id="{EA46645F-FDB6-46DD-AF04-1ACC11A62A19}">
            <xm:f>$T$8='Assessment Details'!$Q$23</xm:f>
            <x14:dxf>
              <font>
                <color theme="0"/>
              </font>
              <fill>
                <patternFill>
                  <bgColor theme="0"/>
                </patternFill>
              </fill>
              <border>
                <vertical/>
                <horizontal/>
              </border>
            </x14:dxf>
          </x14:cfRule>
          <x14:cfRule type="expression" priority="1317" id="{D8E5C5B9-67F1-4EFA-AAF7-A49BD24BB822}">
            <xm:f>$T$8='Assessment Details'!$Q$23</xm:f>
            <x14:dxf>
              <border>
                <left style="thin">
                  <color theme="0"/>
                </left>
                <right style="thin">
                  <color theme="0"/>
                </right>
                <top style="thin">
                  <color theme="0"/>
                </top>
                <bottom style="thin">
                  <color theme="0"/>
                </bottom>
                <vertical/>
                <horizontal/>
              </border>
            </x14:dxf>
          </x14:cfRule>
          <xm:sqref>O204:O205</xm:sqref>
        </x14:conditionalFormatting>
        <x14:conditionalFormatting xmlns:xm="http://schemas.microsoft.com/office/excel/2006/main">
          <x14:cfRule type="expression" priority="1289" id="{3B117DA8-9379-4B2E-8949-4302D2DFF4CA}">
            <xm:f>$T$8='Assessment Details'!$Q$23</xm:f>
            <x14:dxf>
              <font>
                <color theme="0"/>
              </font>
              <fill>
                <patternFill>
                  <bgColor theme="0"/>
                </patternFill>
              </fill>
              <border>
                <vertical/>
                <horizontal/>
              </border>
            </x14:dxf>
          </x14:cfRule>
          <xm:sqref>O207:O208</xm:sqref>
        </x14:conditionalFormatting>
        <x14:conditionalFormatting xmlns:xm="http://schemas.microsoft.com/office/excel/2006/main">
          <x14:cfRule type="expression" priority="1288" id="{59458F57-A529-4C23-A8EF-65BECC09D98B}">
            <xm:f>$T$8='Assessment Details'!$Q$23</xm:f>
            <x14:dxf>
              <border>
                <left style="thin">
                  <color theme="0"/>
                </left>
                <right style="thin">
                  <color theme="0"/>
                </right>
                <top style="thin">
                  <color theme="0"/>
                </top>
                <bottom style="thin">
                  <color theme="0"/>
                </bottom>
                <vertical/>
                <horizontal/>
              </border>
            </x14:dxf>
          </x14:cfRule>
          <xm:sqref>O207:O209</xm:sqref>
        </x14:conditionalFormatting>
        <x14:conditionalFormatting xmlns:xm="http://schemas.microsoft.com/office/excel/2006/main">
          <x14:cfRule type="expression" priority="1229" id="{2015831A-B28A-425A-ABEB-1D83A788414C}">
            <xm:f>$T$8='Assessment Details'!$Q$23</xm:f>
            <x14:dxf>
              <border>
                <left style="thin">
                  <color theme="0"/>
                </left>
                <right style="thin">
                  <color theme="0"/>
                </right>
                <top style="thin">
                  <color theme="0"/>
                </top>
                <bottom style="thin">
                  <color theme="0"/>
                </bottom>
                <vertical/>
                <horizontal/>
              </border>
            </x14:dxf>
          </x14:cfRule>
          <xm:sqref>O212:O226</xm:sqref>
        </x14:conditionalFormatting>
        <x14:conditionalFormatting xmlns:xm="http://schemas.microsoft.com/office/excel/2006/main">
          <x14:cfRule type="expression" priority="1230" id="{13F0E4D5-5D84-457B-833F-A9C88335247C}">
            <xm:f>$T$8='Assessment Details'!$Q$23</xm:f>
            <x14:dxf>
              <font>
                <color theme="0"/>
              </font>
              <fill>
                <patternFill>
                  <bgColor theme="0"/>
                </patternFill>
              </fill>
              <border>
                <vertical/>
                <horizontal/>
              </border>
            </x14:dxf>
          </x14:cfRule>
          <xm:sqref>O221:O225</xm:sqref>
        </x14:conditionalFormatting>
        <x14:conditionalFormatting xmlns:xm="http://schemas.microsoft.com/office/excel/2006/main">
          <x14:cfRule type="expression" priority="710" id="{8648F252-ED19-4266-80EA-94115D554B1E}">
            <xm:f>$T$8='Assessment Details'!$Q$23</xm:f>
            <x14:dxf>
              <border>
                <left style="thin">
                  <color theme="0"/>
                </left>
                <right style="thin">
                  <color theme="0"/>
                </right>
                <top style="thin">
                  <color theme="0"/>
                </top>
                <bottom style="thin">
                  <color theme="0"/>
                </bottom>
                <vertical/>
                <horizontal/>
              </border>
            </x14:dxf>
          </x14:cfRule>
          <xm:sqref>O36:Q37</xm:sqref>
        </x14:conditionalFormatting>
        <x14:conditionalFormatting xmlns:xm="http://schemas.microsoft.com/office/excel/2006/main">
          <x14:cfRule type="expression" priority="703" id="{EBE9A871-3F99-4979-A4F4-2335F98EF000}">
            <xm:f>$T$8='Assessment Details'!$Q$23</xm:f>
            <x14:dxf>
              <border>
                <left style="thin">
                  <color theme="0"/>
                </left>
                <right style="thin">
                  <color theme="0"/>
                </right>
                <top style="thin">
                  <color theme="0"/>
                </top>
                <bottom style="thin">
                  <color theme="0"/>
                </bottom>
                <vertical/>
                <horizontal/>
              </border>
            </x14:dxf>
          </x14:cfRule>
          <xm:sqref>O64:Q65</xm:sqref>
        </x14:conditionalFormatting>
        <x14:conditionalFormatting xmlns:xm="http://schemas.microsoft.com/office/excel/2006/main">
          <x14:cfRule type="expression" priority="696" id="{83A9A1C1-341F-4085-939C-5EB00F0A4EFD}">
            <xm:f>$T$8='Assessment Details'!$Q$23</xm:f>
            <x14:dxf>
              <border>
                <left style="thin">
                  <color theme="0"/>
                </left>
                <right style="thin">
                  <color theme="0"/>
                </right>
                <top style="thin">
                  <color theme="0"/>
                </top>
                <bottom style="thin">
                  <color theme="0"/>
                </bottom>
                <vertical/>
                <horizontal/>
              </border>
            </x14:dxf>
          </x14:cfRule>
          <xm:sqref>O93:Q94</xm:sqref>
        </x14:conditionalFormatting>
        <x14:conditionalFormatting xmlns:xm="http://schemas.microsoft.com/office/excel/2006/main">
          <x14:cfRule type="expression" priority="689" id="{B287D32D-09AC-4542-908E-5C03F7DF3000}">
            <xm:f>$T$8='Assessment Details'!$Q$23</xm:f>
            <x14:dxf>
              <border>
                <left style="thin">
                  <color theme="0"/>
                </left>
                <right style="thin">
                  <color theme="0"/>
                </right>
                <top style="thin">
                  <color theme="0"/>
                </top>
                <bottom style="thin">
                  <color theme="0"/>
                </bottom>
                <vertical/>
                <horizontal/>
              </border>
            </x14:dxf>
          </x14:cfRule>
          <xm:sqref>O102:Q103</xm:sqref>
        </x14:conditionalFormatting>
        <x14:conditionalFormatting xmlns:xm="http://schemas.microsoft.com/office/excel/2006/main">
          <x14:cfRule type="expression" priority="682" id="{B72FF84F-18DD-4E5D-AA5C-62AF8BEB20C0}">
            <xm:f>$T$8='Assessment Details'!$Q$23</xm:f>
            <x14:dxf>
              <border>
                <left style="thin">
                  <color theme="0"/>
                </left>
                <right style="thin">
                  <color theme="0"/>
                </right>
                <top style="thin">
                  <color theme="0"/>
                </top>
                <bottom style="thin">
                  <color theme="0"/>
                </bottom>
                <vertical/>
                <horizontal/>
              </border>
            </x14:dxf>
          </x14:cfRule>
          <xm:sqref>O116:Q117</xm:sqref>
        </x14:conditionalFormatting>
        <x14:conditionalFormatting xmlns:xm="http://schemas.microsoft.com/office/excel/2006/main">
          <x14:cfRule type="expression" priority="675" id="{D469E189-23D1-496D-8C4E-E6AA0AAB74A2}">
            <xm:f>$T$8='Assessment Details'!$Q$23</xm:f>
            <x14:dxf>
              <border>
                <left style="thin">
                  <color theme="0"/>
                </left>
                <right style="thin">
                  <color theme="0"/>
                </right>
                <top style="thin">
                  <color theme="0"/>
                </top>
                <bottom style="thin">
                  <color theme="0"/>
                </bottom>
                <vertical/>
                <horizontal/>
              </border>
            </x14:dxf>
          </x14:cfRule>
          <xm:sqref>O146:Q147</xm:sqref>
        </x14:conditionalFormatting>
        <x14:conditionalFormatting xmlns:xm="http://schemas.microsoft.com/office/excel/2006/main">
          <x14:cfRule type="expression" priority="668" id="{2C5498B1-8C8E-47D5-A2F1-8DA973C74463}">
            <xm:f>$T$8='Assessment Details'!$Q$23</xm:f>
            <x14:dxf>
              <border>
                <left style="thin">
                  <color theme="0"/>
                </left>
                <right style="thin">
                  <color theme="0"/>
                </right>
                <top style="thin">
                  <color theme="0"/>
                </top>
                <bottom style="thin">
                  <color theme="0"/>
                </bottom>
                <vertical/>
                <horizontal/>
              </border>
            </x14:dxf>
          </x14:cfRule>
          <xm:sqref>O161:Q162</xm:sqref>
        </x14:conditionalFormatting>
        <x14:conditionalFormatting xmlns:xm="http://schemas.microsoft.com/office/excel/2006/main">
          <x14:cfRule type="expression" priority="661" id="{7ED43190-5314-425F-9359-B4E182C97424}">
            <xm:f>$T$8='Assessment Details'!$Q$23</xm:f>
            <x14:dxf>
              <border>
                <left style="thin">
                  <color theme="0"/>
                </left>
                <right style="thin">
                  <color theme="0"/>
                </right>
                <top style="thin">
                  <color theme="0"/>
                </top>
                <bottom style="thin">
                  <color theme="0"/>
                </bottom>
                <vertical/>
                <horizontal/>
              </border>
            </x14:dxf>
          </x14:cfRule>
          <xm:sqref>O193:Q194</xm:sqref>
        </x14:conditionalFormatting>
        <x14:conditionalFormatting xmlns:xm="http://schemas.microsoft.com/office/excel/2006/main">
          <x14:cfRule type="expression" priority="654" id="{9A98555B-286B-4BCF-80C8-2808A450F13B}">
            <xm:f>$T$8='Assessment Details'!$Q$23</xm:f>
            <x14:dxf>
              <border>
                <left style="thin">
                  <color theme="0"/>
                </left>
                <right style="thin">
                  <color theme="0"/>
                </right>
                <top style="thin">
                  <color theme="0"/>
                </top>
                <bottom style="thin">
                  <color theme="0"/>
                </bottom>
                <vertical/>
                <horizontal/>
              </border>
            </x14:dxf>
          </x14:cfRule>
          <xm:sqref>O210:Q211</xm:sqref>
        </x14:conditionalFormatting>
        <x14:conditionalFormatting xmlns:xm="http://schemas.microsoft.com/office/excel/2006/main">
          <x14:cfRule type="expression" priority="4240" id="{65CE01A1-5605-4EA8-9C68-7A192DC9BB8C}">
            <xm:f>$T$8='Assessment Details'!$Q$23</xm:f>
            <x14:dxf>
              <font>
                <color theme="0"/>
              </font>
              <fill>
                <patternFill>
                  <bgColor theme="0"/>
                </patternFill>
              </fill>
              <border>
                <vertical/>
                <horizontal/>
              </border>
            </x14:dxf>
          </x14:cfRule>
          <xm:sqref>O236:Q236</xm:sqref>
        </x14:conditionalFormatting>
        <x14:conditionalFormatting xmlns:xm="http://schemas.microsoft.com/office/excel/2006/main">
          <x14:cfRule type="expression" priority="3746" id="{0DCA768C-2245-43CB-B02B-B6C8672CA3A2}">
            <xm:f>$T$8='Assessment Details'!$Q$23</xm:f>
            <x14:dxf>
              <font>
                <color theme="0"/>
              </font>
              <fill>
                <patternFill>
                  <bgColor theme="0"/>
                </patternFill>
              </fill>
              <border>
                <vertical/>
                <horizontal/>
              </border>
            </x14:dxf>
          </x14:cfRule>
          <x14:cfRule type="expression" priority="3745" id="{7E49C1AA-37D9-4981-8ADB-7C269B2ECAE3}">
            <xm:f>$T$8='Assessment Details'!$Q$23</xm:f>
            <x14:dxf>
              <border>
                <left style="thin">
                  <color theme="0"/>
                </left>
                <right style="thin">
                  <color theme="0"/>
                </right>
                <top style="thin">
                  <color theme="0"/>
                </top>
                <bottom style="thin">
                  <color theme="0"/>
                </bottom>
                <vertical/>
                <horizontal/>
              </border>
            </x14:dxf>
          </x14:cfRule>
          <xm:sqref>O247:S247</xm:sqref>
        </x14:conditionalFormatting>
        <x14:conditionalFormatting xmlns:xm="http://schemas.microsoft.com/office/excel/2006/main">
          <x14:cfRule type="expression" priority="5355" id="{1A60305C-32B7-4D4F-9804-69A16324B9A7}">
            <xm:f>$T$8='Assessment Details'!$Q$23</xm:f>
            <x14:dxf>
              <border>
                <vertical/>
                <horizontal/>
              </border>
            </x14:dxf>
          </x14:cfRule>
          <xm:sqref>O9:T9</xm:sqref>
        </x14:conditionalFormatting>
        <x14:conditionalFormatting xmlns:xm="http://schemas.microsoft.com/office/excel/2006/main">
          <x14:cfRule type="expression" priority="4563" id="{F07B10D0-2688-4D2D-9352-51F0145E8B48}">
            <xm:f>$T$8='Assessment Details'!$Q$23</xm:f>
            <x14:dxf>
              <border>
                <left style="thin">
                  <color theme="0"/>
                </left>
                <right style="thin">
                  <color theme="0"/>
                </right>
                <top style="thin">
                  <color theme="0"/>
                </top>
                <bottom style="thin">
                  <color theme="0"/>
                </bottom>
                <vertical/>
                <horizontal/>
              </border>
            </x14:dxf>
          </x14:cfRule>
          <xm:sqref>O9:T10 O18:O19 O67:O72 T214:T225 R226:T226 O245:T246 O248:T248 O251:T252 O254:T259</xm:sqref>
        </x14:conditionalFormatting>
        <x14:conditionalFormatting xmlns:xm="http://schemas.microsoft.com/office/excel/2006/main">
          <x14:cfRule type="expression" priority="227" id="{26E8AFB8-EB8E-4549-91E2-6F0B5A9F2377}">
            <xm:f>$T$8='Assessment Details'!$Q$23</xm:f>
            <x14:dxf>
              <font>
                <color theme="0"/>
              </font>
              <fill>
                <patternFill>
                  <bgColor theme="0"/>
                </patternFill>
              </fill>
              <border>
                <left/>
                <right/>
                <top/>
                <bottom/>
                <vertical/>
                <horizontal/>
              </border>
            </x14:dxf>
          </x14:cfRule>
          <xm:sqref>O9:T104</xm:sqref>
        </x14:conditionalFormatting>
        <x14:conditionalFormatting xmlns:xm="http://schemas.microsoft.com/office/excel/2006/main">
          <x14:cfRule type="expression" priority="34" id="{17C4D998-A4A6-4445-8DF3-2384226DAAA7}">
            <xm:f>$T$8='Assessment Details'!$Q$23</xm:f>
            <x14:dxf>
              <font>
                <color theme="0"/>
              </font>
              <fill>
                <patternFill>
                  <bgColor theme="0"/>
                </patternFill>
              </fill>
              <border>
                <left/>
                <right/>
                <top/>
                <bottom/>
                <vertical/>
                <horizontal/>
              </border>
            </x14:dxf>
          </x14:cfRule>
          <xm:sqref>O105:T226</xm:sqref>
        </x14:conditionalFormatting>
        <x14:conditionalFormatting xmlns:xm="http://schemas.microsoft.com/office/excel/2006/main">
          <x14:cfRule type="expression" priority="4239" id="{1E118A00-84A7-423B-BFC9-B87735183CA0}">
            <xm:f>$T$8='Assessment Details'!$Q$23</xm:f>
            <x14:dxf>
              <border>
                <left style="thin">
                  <color theme="0"/>
                </left>
                <right style="thin">
                  <color theme="0"/>
                </right>
                <top style="thin">
                  <color theme="0"/>
                </top>
                <bottom style="thin">
                  <color theme="0"/>
                </bottom>
                <vertical/>
                <horizontal/>
              </border>
            </x14:dxf>
          </x14:cfRule>
          <xm:sqref>O236:T236</xm:sqref>
        </x14:conditionalFormatting>
        <x14:conditionalFormatting xmlns:xm="http://schemas.microsoft.com/office/excel/2006/main">
          <x14:cfRule type="expression" priority="711" id="{1814D816-8456-4F4E-A505-94BF373FFA61}">
            <xm:f>$T$8='Assessment Details'!$Q$23</xm:f>
            <x14:dxf>
              <font>
                <color theme="0"/>
              </font>
              <fill>
                <patternFill>
                  <bgColor theme="0"/>
                </patternFill>
              </fill>
              <border>
                <vertical/>
                <horizontal/>
              </border>
            </x14:dxf>
          </x14:cfRule>
          <xm:sqref>Q36:Q37</xm:sqref>
        </x14:conditionalFormatting>
        <x14:conditionalFormatting xmlns:xm="http://schemas.microsoft.com/office/excel/2006/main">
          <x14:cfRule type="expression" priority="704" id="{9A0ECD73-169E-4688-A925-E62F5A4942F3}">
            <xm:f>$T$8='Assessment Details'!$Q$23</xm:f>
            <x14:dxf>
              <font>
                <color theme="0"/>
              </font>
              <fill>
                <patternFill>
                  <bgColor theme="0"/>
                </patternFill>
              </fill>
              <border>
                <vertical/>
                <horizontal/>
              </border>
            </x14:dxf>
          </x14:cfRule>
          <xm:sqref>Q64:Q65</xm:sqref>
        </x14:conditionalFormatting>
        <x14:conditionalFormatting xmlns:xm="http://schemas.microsoft.com/office/excel/2006/main">
          <x14:cfRule type="expression" priority="697" id="{88731133-85C1-497D-8440-7304B836D6C7}">
            <xm:f>$T$8='Assessment Details'!$Q$23</xm:f>
            <x14:dxf>
              <font>
                <color theme="0"/>
              </font>
              <fill>
                <patternFill>
                  <bgColor theme="0"/>
                </patternFill>
              </fill>
              <border>
                <vertical/>
                <horizontal/>
              </border>
            </x14:dxf>
          </x14:cfRule>
          <xm:sqref>Q93:Q94</xm:sqref>
        </x14:conditionalFormatting>
        <x14:conditionalFormatting xmlns:xm="http://schemas.microsoft.com/office/excel/2006/main">
          <x14:cfRule type="expression" priority="690" id="{5736BA94-FE01-46BA-9EE9-706893E950AD}">
            <xm:f>$T$8='Assessment Details'!$Q$23</xm:f>
            <x14:dxf>
              <font>
                <color theme="0"/>
              </font>
              <fill>
                <patternFill>
                  <bgColor theme="0"/>
                </patternFill>
              </fill>
              <border>
                <vertical/>
                <horizontal/>
              </border>
            </x14:dxf>
          </x14:cfRule>
          <xm:sqref>Q102:Q103</xm:sqref>
        </x14:conditionalFormatting>
        <x14:conditionalFormatting xmlns:xm="http://schemas.microsoft.com/office/excel/2006/main">
          <x14:cfRule type="expression" priority="683" id="{BAEC9280-F404-4074-ACAF-4F63E3923BED}">
            <xm:f>$T$8='Assessment Details'!$Q$23</xm:f>
            <x14:dxf>
              <font>
                <color theme="0"/>
              </font>
              <fill>
                <patternFill>
                  <bgColor theme="0"/>
                </patternFill>
              </fill>
              <border>
                <vertical/>
                <horizontal/>
              </border>
            </x14:dxf>
          </x14:cfRule>
          <xm:sqref>Q116:Q117</xm:sqref>
        </x14:conditionalFormatting>
        <x14:conditionalFormatting xmlns:xm="http://schemas.microsoft.com/office/excel/2006/main">
          <x14:cfRule type="expression" priority="676" id="{182A97A1-8919-4F98-85C4-E0C267AD6962}">
            <xm:f>$T$8='Assessment Details'!$Q$23</xm:f>
            <x14:dxf>
              <font>
                <color theme="0"/>
              </font>
              <fill>
                <patternFill>
                  <bgColor theme="0"/>
                </patternFill>
              </fill>
              <border>
                <vertical/>
                <horizontal/>
              </border>
            </x14:dxf>
          </x14:cfRule>
          <xm:sqref>Q146:Q147</xm:sqref>
        </x14:conditionalFormatting>
        <x14:conditionalFormatting xmlns:xm="http://schemas.microsoft.com/office/excel/2006/main">
          <x14:cfRule type="expression" priority="669" id="{288F7C53-6249-4956-B63F-F9F31F7E07EB}">
            <xm:f>$T$8='Assessment Details'!$Q$23</xm:f>
            <x14:dxf>
              <font>
                <color theme="0"/>
              </font>
              <fill>
                <patternFill>
                  <bgColor theme="0"/>
                </patternFill>
              </fill>
              <border>
                <vertical/>
                <horizontal/>
              </border>
            </x14:dxf>
          </x14:cfRule>
          <xm:sqref>Q161:Q162</xm:sqref>
        </x14:conditionalFormatting>
        <x14:conditionalFormatting xmlns:xm="http://schemas.microsoft.com/office/excel/2006/main">
          <x14:cfRule type="expression" priority="662" id="{74C1B7DC-0D98-4E3D-99BC-38306C50C7CC}">
            <xm:f>$T$8='Assessment Details'!$Q$23</xm:f>
            <x14:dxf>
              <font>
                <color theme="0"/>
              </font>
              <fill>
                <patternFill>
                  <bgColor theme="0"/>
                </patternFill>
              </fill>
              <border>
                <vertical/>
                <horizontal/>
              </border>
            </x14:dxf>
          </x14:cfRule>
          <xm:sqref>Q193:Q194</xm:sqref>
        </x14:conditionalFormatting>
        <x14:conditionalFormatting xmlns:xm="http://schemas.microsoft.com/office/excel/2006/main">
          <x14:cfRule type="expression" priority="655" id="{4A98C8D9-E7DE-435C-A48A-376A9AF70F60}">
            <xm:f>$T$8='Assessment Details'!$Q$23</xm:f>
            <x14:dxf>
              <font>
                <color theme="0"/>
              </font>
              <fill>
                <patternFill>
                  <bgColor theme="0"/>
                </patternFill>
              </fill>
              <border>
                <vertical/>
                <horizontal/>
              </border>
            </x14:dxf>
          </x14:cfRule>
          <xm:sqref>Q210:Q211</xm:sqref>
        </x14:conditionalFormatting>
        <x14:conditionalFormatting xmlns:xm="http://schemas.microsoft.com/office/excel/2006/main">
          <x14:cfRule type="expression" priority="238" id="{CB642F8B-2E61-4CCA-845E-E9BF5EBC7179}">
            <xm:f>$T$8='Assessment Details'!$Q$23</xm:f>
            <x14:dxf>
              <font>
                <color theme="0"/>
              </font>
              <fill>
                <patternFill>
                  <bgColor theme="0"/>
                </patternFill>
              </fill>
              <border>
                <vertical/>
                <horizontal/>
              </border>
            </x14:dxf>
          </x14:cfRule>
          <xm:sqref>R165</xm:sqref>
        </x14:conditionalFormatting>
        <x14:conditionalFormatting xmlns:xm="http://schemas.microsoft.com/office/excel/2006/main">
          <x14:cfRule type="expression" priority="779" id="{8866C9EC-AA27-438F-8DEF-B357553BAA70}">
            <xm:f>$T$8='Assessment Details'!$Q$23</xm:f>
            <x14:dxf>
              <border>
                <left style="thin">
                  <color theme="0"/>
                </left>
                <right style="thin">
                  <color theme="0"/>
                </right>
                <top style="thin">
                  <color theme="0"/>
                </top>
                <bottom style="thin">
                  <color theme="0"/>
                </bottom>
                <vertical/>
                <horizontal/>
              </border>
            </x14:dxf>
          </x14:cfRule>
          <xm:sqref>R11:S104</xm:sqref>
        </x14:conditionalFormatting>
        <x14:conditionalFormatting xmlns:xm="http://schemas.microsoft.com/office/excel/2006/main">
          <x14:cfRule type="expression" priority="3369" id="{6C3AC176-5C03-43AC-B982-5A5210702F2C}">
            <xm:f>$T$8='Assessment Details'!$Q$23</xm:f>
            <x14:dxf>
              <font>
                <color theme="0"/>
              </font>
              <fill>
                <patternFill>
                  <bgColor theme="0"/>
                </patternFill>
              </fill>
              <border>
                <vertical/>
                <horizontal/>
              </border>
            </x14:dxf>
          </x14:cfRule>
          <xm:sqref>R38:S40</xm:sqref>
        </x14:conditionalFormatting>
        <x14:conditionalFormatting xmlns:xm="http://schemas.microsoft.com/office/excel/2006/main">
          <x14:cfRule type="expression" priority="3205" id="{6A17C14E-95CA-4F1C-941A-66E9A1A1F0C1}">
            <xm:f>$T$8='Assessment Details'!$Q$23</xm:f>
            <x14:dxf>
              <font>
                <color theme="0"/>
              </font>
              <fill>
                <patternFill>
                  <bgColor theme="0"/>
                </patternFill>
              </fill>
              <border>
                <vertical/>
                <horizontal/>
              </border>
            </x14:dxf>
          </x14:cfRule>
          <xm:sqref>R46:S46</xm:sqref>
        </x14:conditionalFormatting>
        <x14:conditionalFormatting xmlns:xm="http://schemas.microsoft.com/office/excel/2006/main">
          <x14:cfRule type="expression" priority="3183" id="{CBDEB4C6-EF37-4241-8BAA-7739B31D5E1D}">
            <xm:f>$T$8='Assessment Details'!$Q$23</xm:f>
            <x14:dxf>
              <font>
                <color theme="0"/>
              </font>
              <fill>
                <patternFill>
                  <bgColor theme="0"/>
                </patternFill>
              </fill>
              <border>
                <vertical/>
                <horizontal/>
              </border>
            </x14:dxf>
          </x14:cfRule>
          <xm:sqref>R51:S51</xm:sqref>
        </x14:conditionalFormatting>
        <x14:conditionalFormatting xmlns:xm="http://schemas.microsoft.com/office/excel/2006/main">
          <x14:cfRule type="expression" priority="3161" id="{9315D916-3649-45C8-B0ED-ACFE0A540766}">
            <xm:f>$T$8='Assessment Details'!$Q$23</xm:f>
            <x14:dxf>
              <font>
                <color theme="0"/>
              </font>
              <fill>
                <patternFill>
                  <bgColor theme="0"/>
                </patternFill>
              </fill>
              <border>
                <vertical/>
                <horizontal/>
              </border>
            </x14:dxf>
          </x14:cfRule>
          <xm:sqref>R55:S55</xm:sqref>
        </x14:conditionalFormatting>
        <x14:conditionalFormatting xmlns:xm="http://schemas.microsoft.com/office/excel/2006/main">
          <x14:cfRule type="expression" priority="3139" id="{2AAD307E-B81E-482C-9484-1DC14EB803E1}">
            <xm:f>$T$8='Assessment Details'!$Q$23</xm:f>
            <x14:dxf>
              <font>
                <color theme="0"/>
              </font>
              <fill>
                <patternFill>
                  <bgColor theme="0"/>
                </patternFill>
              </fill>
              <border>
                <vertical/>
                <horizontal/>
              </border>
            </x14:dxf>
          </x14:cfRule>
          <xm:sqref>R58:S58</xm:sqref>
        </x14:conditionalFormatting>
        <x14:conditionalFormatting xmlns:xm="http://schemas.microsoft.com/office/excel/2006/main">
          <x14:cfRule type="expression" priority="3117" id="{975964DE-804D-495C-95B4-CA7D3DAF2E82}">
            <xm:f>$T$8='Assessment Details'!$Q$23</xm:f>
            <x14:dxf>
              <font>
                <color theme="0"/>
              </font>
              <fill>
                <patternFill>
                  <bgColor theme="0"/>
                </patternFill>
              </fill>
              <border>
                <vertical/>
                <horizontal/>
              </border>
            </x14:dxf>
          </x14:cfRule>
          <xm:sqref>R61:S61</xm:sqref>
        </x14:conditionalFormatting>
        <x14:conditionalFormatting xmlns:xm="http://schemas.microsoft.com/office/excel/2006/main">
          <x14:cfRule type="expression" priority="1161" id="{71D00486-2067-46DC-BDC1-5EE4D7A8ED6D}">
            <xm:f>$T$8='Assessment Details'!$Q$23</xm:f>
            <x14:dxf>
              <font>
                <color theme="0"/>
              </font>
              <fill>
                <patternFill>
                  <bgColor theme="0"/>
                </patternFill>
              </fill>
              <border>
                <vertical/>
                <horizontal/>
              </border>
            </x14:dxf>
          </x14:cfRule>
          <xm:sqref>R63:S63</xm:sqref>
        </x14:conditionalFormatting>
        <x14:conditionalFormatting xmlns:xm="http://schemas.microsoft.com/office/excel/2006/main">
          <x14:cfRule type="expression" priority="3348" id="{C5FDD142-AD61-4957-894A-D69E602D3558}">
            <xm:f>$T$8='Assessment Details'!$Q$23</xm:f>
            <x14:dxf>
              <font>
                <color theme="0"/>
              </font>
              <fill>
                <patternFill>
                  <bgColor theme="0"/>
                </patternFill>
              </fill>
              <border>
                <vertical/>
                <horizontal/>
              </border>
            </x14:dxf>
          </x14:cfRule>
          <xm:sqref>R66:S66</xm:sqref>
        </x14:conditionalFormatting>
        <x14:conditionalFormatting xmlns:xm="http://schemas.microsoft.com/office/excel/2006/main">
          <x14:cfRule type="expression" priority="3095" id="{3FE0B8C7-AF59-4BAA-8351-A2283C16C719}">
            <xm:f>$T$8='Assessment Details'!$Q$23</xm:f>
            <x14:dxf>
              <font>
                <color theme="0"/>
              </font>
              <fill>
                <patternFill>
                  <bgColor theme="0"/>
                </patternFill>
              </fill>
              <border>
                <vertical/>
                <horizontal/>
              </border>
            </x14:dxf>
          </x14:cfRule>
          <xm:sqref>R73:S73</xm:sqref>
        </x14:conditionalFormatting>
        <x14:conditionalFormatting xmlns:xm="http://schemas.microsoft.com/office/excel/2006/main">
          <x14:cfRule type="expression" priority="3073" id="{3BDE55F1-2597-4D5D-B985-F19E1B68F8B3}">
            <xm:f>$T$8='Assessment Details'!$Q$23</xm:f>
            <x14:dxf>
              <font>
                <color theme="0"/>
              </font>
              <fill>
                <patternFill>
                  <bgColor theme="0"/>
                </patternFill>
              </fill>
              <border>
                <vertical/>
                <horizontal/>
              </border>
            </x14:dxf>
          </x14:cfRule>
          <xm:sqref>R77:S77</xm:sqref>
        </x14:conditionalFormatting>
        <x14:conditionalFormatting xmlns:xm="http://schemas.microsoft.com/office/excel/2006/main">
          <x14:cfRule type="expression" priority="3051" id="{27B4461D-31DA-46E2-81BE-F64C43193179}">
            <xm:f>$T$8='Assessment Details'!$Q$23</xm:f>
            <x14:dxf>
              <font>
                <color theme="0"/>
              </font>
              <fill>
                <patternFill>
                  <bgColor theme="0"/>
                </patternFill>
              </fill>
              <border>
                <vertical/>
                <horizontal/>
              </border>
            </x14:dxf>
          </x14:cfRule>
          <xm:sqref>R80:S80</xm:sqref>
        </x14:conditionalFormatting>
        <x14:conditionalFormatting xmlns:xm="http://schemas.microsoft.com/office/excel/2006/main">
          <x14:cfRule type="expression" priority="3029" id="{1791F121-F855-4494-9F94-201AF776DAE3}">
            <xm:f>$T$8='Assessment Details'!$Q$23</xm:f>
            <x14:dxf>
              <font>
                <color theme="0"/>
              </font>
              <fill>
                <patternFill>
                  <bgColor theme="0"/>
                </patternFill>
              </fill>
              <border>
                <vertical/>
                <horizontal/>
              </border>
            </x14:dxf>
          </x14:cfRule>
          <xm:sqref>R83:S83</xm:sqref>
        </x14:conditionalFormatting>
        <x14:conditionalFormatting xmlns:xm="http://schemas.microsoft.com/office/excel/2006/main">
          <x14:cfRule type="expression" priority="3007" id="{F952D6D0-8EF4-4150-B3DA-A068385BB65C}">
            <xm:f>$T$8='Assessment Details'!$Q$23</xm:f>
            <x14:dxf>
              <font>
                <color theme="0"/>
              </font>
              <fill>
                <patternFill>
                  <bgColor theme="0"/>
                </patternFill>
              </fill>
              <border>
                <vertical/>
                <horizontal/>
              </border>
            </x14:dxf>
          </x14:cfRule>
          <xm:sqref>R87:S87</xm:sqref>
        </x14:conditionalFormatting>
        <x14:conditionalFormatting xmlns:xm="http://schemas.microsoft.com/office/excel/2006/main">
          <x14:cfRule type="expression" priority="2985" id="{961D8DA4-5850-4767-83A9-6460C9102A92}">
            <xm:f>$T$8='Assessment Details'!$Q$23</xm:f>
            <x14:dxf>
              <font>
                <color theme="0"/>
              </font>
              <fill>
                <patternFill>
                  <bgColor theme="0"/>
                </patternFill>
              </fill>
              <border>
                <vertical/>
                <horizontal/>
              </border>
            </x14:dxf>
          </x14:cfRule>
          <xm:sqref>R90:S90</xm:sqref>
        </x14:conditionalFormatting>
        <x14:conditionalFormatting xmlns:xm="http://schemas.microsoft.com/office/excel/2006/main">
          <x14:cfRule type="expression" priority="1149" id="{2E906952-F76B-4002-AEF2-19C384210E97}">
            <xm:f>$T$8='Assessment Details'!$Q$23</xm:f>
            <x14:dxf>
              <font>
                <color theme="0"/>
              </font>
              <fill>
                <patternFill>
                  <bgColor theme="0"/>
                </patternFill>
              </fill>
              <border>
                <vertical/>
                <horizontal/>
              </border>
            </x14:dxf>
          </x14:cfRule>
          <xm:sqref>R92:S92</xm:sqref>
        </x14:conditionalFormatting>
        <x14:conditionalFormatting xmlns:xm="http://schemas.microsoft.com/office/excel/2006/main">
          <x14:cfRule type="expression" priority="3327" id="{9BE243BD-939B-4B2A-8445-545F1AAAA016}">
            <xm:f>$T$8='Assessment Details'!$Q$23</xm:f>
            <x14:dxf>
              <font>
                <color theme="0"/>
              </font>
              <fill>
                <patternFill>
                  <bgColor theme="0"/>
                </patternFill>
              </fill>
              <border>
                <vertical/>
                <horizontal/>
              </border>
            </x14:dxf>
          </x14:cfRule>
          <xm:sqref>R95:S95</xm:sqref>
        </x14:conditionalFormatting>
        <x14:conditionalFormatting xmlns:xm="http://schemas.microsoft.com/office/excel/2006/main">
          <x14:cfRule type="expression" priority="780" id="{69C310A9-BDC7-4B47-82CD-FC12E23ACA02}">
            <xm:f>$T$8='Assessment Details'!$Q$23</xm:f>
            <x14:dxf>
              <font>
                <color theme="0"/>
              </font>
              <fill>
                <patternFill>
                  <bgColor theme="0"/>
                </patternFill>
              </fill>
              <border>
                <vertical/>
                <horizontal/>
              </border>
            </x14:dxf>
          </x14:cfRule>
          <xm:sqref>R98:S99</xm:sqref>
        </x14:conditionalFormatting>
        <x14:conditionalFormatting xmlns:xm="http://schemas.microsoft.com/office/excel/2006/main">
          <x14:cfRule type="expression" priority="1137" id="{EA046676-BAF8-44C4-868F-A279D4782715}">
            <xm:f>$T$8='Assessment Details'!$Q$23</xm:f>
            <x14:dxf>
              <font>
                <color theme="0"/>
              </font>
              <fill>
                <patternFill>
                  <bgColor theme="0"/>
                </patternFill>
              </fill>
              <border>
                <vertical/>
                <horizontal/>
              </border>
            </x14:dxf>
          </x14:cfRule>
          <xm:sqref>R101:S101</xm:sqref>
        </x14:conditionalFormatting>
        <x14:conditionalFormatting xmlns:xm="http://schemas.microsoft.com/office/excel/2006/main">
          <x14:cfRule type="expression" priority="173" id="{FAD9C128-0C7C-438D-A6E0-664F9EFCF777}">
            <xm:f>$T$8='Assessment Details'!$Q$23</xm:f>
            <x14:dxf>
              <font>
                <color theme="0"/>
              </font>
              <fill>
                <patternFill>
                  <bgColor theme="0"/>
                </patternFill>
              </fill>
              <border>
                <vertical/>
                <horizontal/>
              </border>
            </x14:dxf>
          </x14:cfRule>
          <xm:sqref>R104:S105</xm:sqref>
        </x14:conditionalFormatting>
        <x14:conditionalFormatting xmlns:xm="http://schemas.microsoft.com/office/excel/2006/main">
          <x14:cfRule type="expression" priority="111" id="{8272D6CF-31FE-45BA-9858-520A52503E9B}">
            <xm:f>$T$8='Assessment Details'!$Q$23</xm:f>
            <x14:dxf>
              <border>
                <left style="thin">
                  <color theme="0"/>
                </left>
                <right style="thin">
                  <color theme="0"/>
                </right>
                <top style="thin">
                  <color theme="0"/>
                </top>
                <bottom style="thin">
                  <color theme="0"/>
                </bottom>
                <vertical/>
                <horizontal/>
              </border>
            </x14:dxf>
          </x14:cfRule>
          <xm:sqref>R105:S225</xm:sqref>
        </x14:conditionalFormatting>
        <x14:conditionalFormatting xmlns:xm="http://schemas.microsoft.com/office/excel/2006/main">
          <x14:cfRule type="expression" priority="2941" id="{36786943-CE38-4D1B-AD09-4CA0C9B83C65}">
            <xm:f>$T$8='Assessment Details'!$Q$23</xm:f>
            <x14:dxf>
              <font>
                <color theme="0"/>
              </font>
              <fill>
                <patternFill>
                  <bgColor theme="0"/>
                </patternFill>
              </fill>
              <border>
                <vertical/>
                <horizontal/>
              </border>
            </x14:dxf>
          </x14:cfRule>
          <xm:sqref>R107:S107</xm:sqref>
        </x14:conditionalFormatting>
        <x14:conditionalFormatting xmlns:xm="http://schemas.microsoft.com/office/excel/2006/main">
          <x14:cfRule type="expression" priority="2919" id="{5B061993-778C-4B5B-86B1-6227066F6059}">
            <xm:f>$T$8='Assessment Details'!$Q$23</xm:f>
            <x14:dxf>
              <font>
                <color theme="0"/>
              </font>
              <fill>
                <patternFill>
                  <bgColor theme="0"/>
                </patternFill>
              </fill>
              <border>
                <vertical/>
                <horizontal/>
              </border>
            </x14:dxf>
          </x14:cfRule>
          <xm:sqref>R109:S109</xm:sqref>
        </x14:conditionalFormatting>
        <x14:conditionalFormatting xmlns:xm="http://schemas.microsoft.com/office/excel/2006/main">
          <x14:cfRule type="expression" priority="2897" id="{D1134714-5ACA-428C-A7C1-04B0913D0057}">
            <xm:f>$T$8='Assessment Details'!$Q$23</xm:f>
            <x14:dxf>
              <font>
                <color theme="0"/>
              </font>
              <fill>
                <patternFill>
                  <bgColor theme="0"/>
                </patternFill>
              </fill>
              <border>
                <vertical/>
                <horizontal/>
              </border>
            </x14:dxf>
          </x14:cfRule>
          <xm:sqref>R113:S113</xm:sqref>
        </x14:conditionalFormatting>
        <x14:conditionalFormatting xmlns:xm="http://schemas.microsoft.com/office/excel/2006/main">
          <x14:cfRule type="expression" priority="1125" id="{72E050F9-DC77-4BE7-B77A-34D110C0BE12}">
            <xm:f>$T$8='Assessment Details'!$Q$23</xm:f>
            <x14:dxf>
              <font>
                <color theme="0"/>
              </font>
              <fill>
                <patternFill>
                  <bgColor theme="0"/>
                </patternFill>
              </fill>
              <border>
                <vertical/>
                <horizontal/>
              </border>
            </x14:dxf>
          </x14:cfRule>
          <xm:sqref>R115:S115</xm:sqref>
        </x14:conditionalFormatting>
        <x14:conditionalFormatting xmlns:xm="http://schemas.microsoft.com/office/excel/2006/main">
          <x14:cfRule type="expression" priority="3285" id="{1421B727-C568-499F-B397-D12CBB809207}">
            <xm:f>$T$8='Assessment Details'!$Q$23</xm:f>
            <x14:dxf>
              <font>
                <color theme="0"/>
              </font>
              <fill>
                <patternFill>
                  <bgColor theme="0"/>
                </patternFill>
              </fill>
              <border>
                <vertical/>
                <horizontal/>
              </border>
            </x14:dxf>
          </x14:cfRule>
          <xm:sqref>R118:S118</xm:sqref>
        </x14:conditionalFormatting>
        <x14:conditionalFormatting xmlns:xm="http://schemas.microsoft.com/office/excel/2006/main">
          <x14:cfRule type="expression" priority="2875" id="{80841CB3-12D6-444D-9765-69377C98ED5F}">
            <xm:f>$T$8='Assessment Details'!$Q$23</xm:f>
            <x14:dxf>
              <font>
                <color theme="0"/>
              </font>
              <fill>
                <patternFill>
                  <bgColor theme="0"/>
                </patternFill>
              </fill>
              <border>
                <vertical/>
                <horizontal/>
              </border>
            </x14:dxf>
          </x14:cfRule>
          <xm:sqref>R122:S122</xm:sqref>
        </x14:conditionalFormatting>
        <x14:conditionalFormatting xmlns:xm="http://schemas.microsoft.com/office/excel/2006/main">
          <x14:cfRule type="expression" priority="2853" id="{B890570A-82E1-4E0D-A346-6FDDE8DEC1D0}">
            <xm:f>$T$8='Assessment Details'!$Q$23</xm:f>
            <x14:dxf>
              <font>
                <color theme="0"/>
              </font>
              <fill>
                <patternFill>
                  <bgColor theme="0"/>
                </patternFill>
              </fill>
              <border>
                <vertical/>
                <horizontal/>
              </border>
            </x14:dxf>
          </x14:cfRule>
          <xm:sqref>R126:S126</xm:sqref>
        </x14:conditionalFormatting>
        <x14:conditionalFormatting xmlns:xm="http://schemas.microsoft.com/office/excel/2006/main">
          <x14:cfRule type="expression" priority="2831" id="{5B1D4D43-C3DD-4D2B-9A6A-F6209B1558D7}">
            <xm:f>$T$8='Assessment Details'!$Q$23</xm:f>
            <x14:dxf>
              <font>
                <color theme="0"/>
              </font>
              <fill>
                <patternFill>
                  <bgColor theme="0"/>
                </patternFill>
              </fill>
              <border>
                <vertical/>
                <horizontal/>
              </border>
            </x14:dxf>
          </x14:cfRule>
          <xm:sqref>R130:S130</xm:sqref>
        </x14:conditionalFormatting>
        <x14:conditionalFormatting xmlns:xm="http://schemas.microsoft.com/office/excel/2006/main">
          <x14:cfRule type="expression" priority="2809" id="{BC298DA3-0041-4003-A615-CD4D3EEDB4B6}">
            <xm:f>$T$8='Assessment Details'!$Q$23</xm:f>
            <x14:dxf>
              <font>
                <color theme="0"/>
              </font>
              <fill>
                <patternFill>
                  <bgColor theme="0"/>
                </patternFill>
              </fill>
              <border>
                <vertical/>
                <horizontal/>
              </border>
            </x14:dxf>
          </x14:cfRule>
          <xm:sqref>R136:S136</xm:sqref>
        </x14:conditionalFormatting>
        <x14:conditionalFormatting xmlns:xm="http://schemas.microsoft.com/office/excel/2006/main">
          <x14:cfRule type="expression" priority="2787" id="{93E5126A-40F2-49DB-A53F-8972F416241F}">
            <xm:f>$T$8='Assessment Details'!$Q$23</xm:f>
            <x14:dxf>
              <font>
                <color theme="0"/>
              </font>
              <fill>
                <patternFill>
                  <bgColor theme="0"/>
                </patternFill>
              </fill>
              <border>
                <vertical/>
                <horizontal/>
              </border>
            </x14:dxf>
          </x14:cfRule>
          <xm:sqref>R141:S141</xm:sqref>
        </x14:conditionalFormatting>
        <x14:conditionalFormatting xmlns:xm="http://schemas.microsoft.com/office/excel/2006/main">
          <x14:cfRule type="expression" priority="1113" id="{1FFE2CDF-5A3B-464B-B27F-AEE5C806C559}">
            <xm:f>$T$8='Assessment Details'!$Q$23</xm:f>
            <x14:dxf>
              <font>
                <color theme="0"/>
              </font>
              <fill>
                <patternFill>
                  <bgColor theme="0"/>
                </patternFill>
              </fill>
              <border>
                <vertical/>
                <horizontal/>
              </border>
            </x14:dxf>
          </x14:cfRule>
          <xm:sqref>R145:S145</xm:sqref>
        </x14:conditionalFormatting>
        <x14:conditionalFormatting xmlns:xm="http://schemas.microsoft.com/office/excel/2006/main">
          <x14:cfRule type="expression" priority="132" id="{8C2205B5-D082-41BE-9828-54B10EEB7ABF}">
            <xm:f>$T$8='Assessment Details'!$Q$23</xm:f>
            <x14:dxf>
              <font>
                <color theme="0"/>
              </font>
              <fill>
                <patternFill>
                  <bgColor theme="0"/>
                </patternFill>
              </fill>
              <border>
                <vertical/>
                <horizontal/>
              </border>
            </x14:dxf>
          </x14:cfRule>
          <xm:sqref>R148:S149</xm:sqref>
        </x14:conditionalFormatting>
        <x14:conditionalFormatting xmlns:xm="http://schemas.microsoft.com/office/excel/2006/main">
          <x14:cfRule type="expression" priority="274" id="{65CA73E6-BD38-436B-8667-DF9AAF8E6316}">
            <xm:f>$T$8='Assessment Details'!$Q$23</xm:f>
            <x14:dxf>
              <font>
                <color theme="0"/>
              </font>
              <fill>
                <patternFill>
                  <bgColor theme="0"/>
                </patternFill>
              </fill>
              <border>
                <vertical/>
                <horizontal/>
              </border>
            </x14:dxf>
          </x14:cfRule>
          <xm:sqref>R153:S154</xm:sqref>
        </x14:conditionalFormatting>
        <x14:conditionalFormatting xmlns:xm="http://schemas.microsoft.com/office/excel/2006/main">
          <x14:cfRule type="expression" priority="2743" id="{C699121D-3149-497E-A3AB-E5903A92AE07}">
            <xm:f>$T$8='Assessment Details'!$Q$23</xm:f>
            <x14:dxf>
              <font>
                <color theme="0"/>
              </font>
              <fill>
                <patternFill>
                  <bgColor theme="0"/>
                </patternFill>
              </fill>
              <border>
                <vertical/>
                <horizontal/>
              </border>
            </x14:dxf>
          </x14:cfRule>
          <xm:sqref>R156:S156</xm:sqref>
        </x14:conditionalFormatting>
        <x14:conditionalFormatting xmlns:xm="http://schemas.microsoft.com/office/excel/2006/main">
          <x14:cfRule type="expression" priority="2721" id="{58EA91C2-F4B4-4BCD-A5AC-E3CB8D00696E}">
            <xm:f>$T$8='Assessment Details'!$Q$23</xm:f>
            <x14:dxf>
              <font>
                <color theme="0"/>
              </font>
              <fill>
                <patternFill>
                  <bgColor theme="0"/>
                </patternFill>
              </fill>
              <border>
                <vertical/>
                <horizontal/>
              </border>
            </x14:dxf>
          </x14:cfRule>
          <xm:sqref>R158:S158</xm:sqref>
        </x14:conditionalFormatting>
        <x14:conditionalFormatting xmlns:xm="http://schemas.microsoft.com/office/excel/2006/main">
          <x14:cfRule type="expression" priority="1101" id="{0056FDA5-F740-4214-8184-D291462FB1E4}">
            <xm:f>$T$8='Assessment Details'!$Q$23</xm:f>
            <x14:dxf>
              <font>
                <color theme="0"/>
              </font>
              <fill>
                <patternFill>
                  <bgColor theme="0"/>
                </patternFill>
              </fill>
              <border>
                <vertical/>
                <horizontal/>
              </border>
            </x14:dxf>
          </x14:cfRule>
          <xm:sqref>R160:S160</xm:sqref>
        </x14:conditionalFormatting>
        <x14:conditionalFormatting xmlns:xm="http://schemas.microsoft.com/office/excel/2006/main">
          <x14:cfRule type="expression" priority="3243" id="{0444930C-4CE3-44D2-BC81-4C1D88FCCA1B}">
            <xm:f>$T$8='Assessment Details'!$Q$23</xm:f>
            <x14:dxf>
              <font>
                <color theme="0"/>
              </font>
              <fill>
                <patternFill>
                  <bgColor theme="0"/>
                </patternFill>
              </fill>
              <border>
                <vertical/>
                <horizontal/>
              </border>
            </x14:dxf>
          </x14:cfRule>
          <xm:sqref>R163:S163</xm:sqref>
        </x14:conditionalFormatting>
        <x14:conditionalFormatting xmlns:xm="http://schemas.microsoft.com/office/excel/2006/main">
          <x14:cfRule type="expression" priority="2699" id="{5085BEE2-F280-4D62-BA43-B519A5B40CF4}">
            <xm:f>$T$8='Assessment Details'!$Q$23</xm:f>
            <x14:dxf>
              <font>
                <color theme="0"/>
              </font>
              <fill>
                <patternFill>
                  <bgColor theme="0"/>
                </patternFill>
              </fill>
              <border>
                <vertical/>
                <horizontal/>
              </border>
            </x14:dxf>
          </x14:cfRule>
          <xm:sqref>R166:S166</xm:sqref>
        </x14:conditionalFormatting>
        <x14:conditionalFormatting xmlns:xm="http://schemas.microsoft.com/office/excel/2006/main">
          <x14:cfRule type="expression" priority="2677" id="{DE222025-3144-4E99-8DE8-CC9624D26BAD}">
            <xm:f>$T$8='Assessment Details'!$Q$23</xm:f>
            <x14:dxf>
              <font>
                <color theme="0"/>
              </font>
              <fill>
                <patternFill>
                  <bgColor theme="0"/>
                </patternFill>
              </fill>
              <border>
                <vertical/>
                <horizontal/>
              </border>
            </x14:dxf>
          </x14:cfRule>
          <xm:sqref>R170:S171</xm:sqref>
        </x14:conditionalFormatting>
        <x14:conditionalFormatting xmlns:xm="http://schemas.microsoft.com/office/excel/2006/main">
          <x14:cfRule type="expression" priority="2655" id="{03F5AC57-CEE1-4E27-BDCA-705C92F9C04A}">
            <xm:f>$T$8='Assessment Details'!$Q$23</xm:f>
            <x14:dxf>
              <font>
                <color theme="0"/>
              </font>
              <fill>
                <patternFill>
                  <bgColor theme="0"/>
                </patternFill>
              </fill>
              <border>
                <vertical/>
                <horizontal/>
              </border>
            </x14:dxf>
          </x14:cfRule>
          <xm:sqref>R174:S174</xm:sqref>
        </x14:conditionalFormatting>
        <x14:conditionalFormatting xmlns:xm="http://schemas.microsoft.com/office/excel/2006/main">
          <x14:cfRule type="expression" priority="2633" id="{BB47B5EE-B404-4459-A9DC-7A8F921C40F1}">
            <xm:f>$T$8='Assessment Details'!$Q$23</xm:f>
            <x14:dxf>
              <font>
                <color theme="0"/>
              </font>
              <fill>
                <patternFill>
                  <bgColor theme="0"/>
                </patternFill>
              </fill>
              <border>
                <vertical/>
                <horizontal/>
              </border>
            </x14:dxf>
          </x14:cfRule>
          <xm:sqref>R178:S178</xm:sqref>
        </x14:conditionalFormatting>
        <x14:conditionalFormatting xmlns:xm="http://schemas.microsoft.com/office/excel/2006/main">
          <x14:cfRule type="expression" priority="2611" id="{FF3D70A3-E2F0-4011-AF6E-88CB2A9F4AB2}">
            <xm:f>$T$8='Assessment Details'!$Q$23</xm:f>
            <x14:dxf>
              <font>
                <color theme="0"/>
              </font>
              <fill>
                <patternFill>
                  <bgColor theme="0"/>
                </patternFill>
              </fill>
              <border>
                <vertical/>
                <horizontal/>
              </border>
            </x14:dxf>
          </x14:cfRule>
          <xm:sqref>R182:S182</xm:sqref>
        </x14:conditionalFormatting>
        <x14:conditionalFormatting xmlns:xm="http://schemas.microsoft.com/office/excel/2006/main">
          <x14:cfRule type="expression" priority="2589" id="{A5C32B32-ED52-48B4-9A25-BD04F4A1AB84}">
            <xm:f>$T$8='Assessment Details'!$Q$23</xm:f>
            <x14:dxf>
              <font>
                <color theme="0"/>
              </font>
              <fill>
                <patternFill>
                  <bgColor theme="0"/>
                </patternFill>
              </fill>
              <border>
                <vertical/>
                <horizontal/>
              </border>
            </x14:dxf>
          </x14:cfRule>
          <xm:sqref>R184:S184</xm:sqref>
        </x14:conditionalFormatting>
        <x14:conditionalFormatting xmlns:xm="http://schemas.microsoft.com/office/excel/2006/main">
          <x14:cfRule type="expression" priority="2567" id="{A5CBEBC7-91C4-4779-A03E-ED4532776B98}">
            <xm:f>$T$8='Assessment Details'!$Q$23</xm:f>
            <x14:dxf>
              <font>
                <color theme="0"/>
              </font>
              <fill>
                <patternFill>
                  <bgColor theme="0"/>
                </patternFill>
              </fill>
              <border>
                <vertical/>
                <horizontal/>
              </border>
            </x14:dxf>
          </x14:cfRule>
          <xm:sqref>R187:S187</xm:sqref>
        </x14:conditionalFormatting>
        <x14:conditionalFormatting xmlns:xm="http://schemas.microsoft.com/office/excel/2006/main">
          <x14:cfRule type="expression" priority="1089" id="{01659BDE-7E5B-4728-97BD-B3D5A26A65DA}">
            <xm:f>$T$8='Assessment Details'!$Q$23</xm:f>
            <x14:dxf>
              <font>
                <color theme="0"/>
              </font>
              <fill>
                <patternFill>
                  <bgColor theme="0"/>
                </patternFill>
              </fill>
              <border>
                <vertical/>
                <horizontal/>
              </border>
            </x14:dxf>
          </x14:cfRule>
          <xm:sqref>R192:S192</xm:sqref>
        </x14:conditionalFormatting>
        <x14:conditionalFormatting xmlns:xm="http://schemas.microsoft.com/office/excel/2006/main">
          <x14:cfRule type="expression" priority="3222" id="{CFFC450B-3C88-4BFB-ACDE-B81081183CE2}">
            <xm:f>$T$8='Assessment Details'!$Q$23</xm:f>
            <x14:dxf>
              <font>
                <color theme="0"/>
              </font>
              <fill>
                <patternFill>
                  <bgColor theme="0"/>
                </patternFill>
              </fill>
              <border>
                <vertical/>
                <horizontal/>
              </border>
            </x14:dxf>
          </x14:cfRule>
          <xm:sqref>R195:S195</xm:sqref>
        </x14:conditionalFormatting>
        <x14:conditionalFormatting xmlns:xm="http://schemas.microsoft.com/office/excel/2006/main">
          <x14:cfRule type="expression" priority="910" id="{A9A358BE-AE04-490A-B2F6-E1AF02BEC657}">
            <xm:f>$T$8='Assessment Details'!$Q$23</xm:f>
            <x14:dxf>
              <font>
                <color theme="0"/>
              </font>
              <fill>
                <patternFill>
                  <bgColor theme="0"/>
                </patternFill>
              </fill>
              <border>
                <vertical/>
                <horizontal/>
              </border>
            </x14:dxf>
          </x14:cfRule>
          <xm:sqref>R197:S197</xm:sqref>
        </x14:conditionalFormatting>
        <x14:conditionalFormatting xmlns:xm="http://schemas.microsoft.com/office/excel/2006/main">
          <x14:cfRule type="expression" priority="2545" id="{37A99355-9BE5-4679-964D-6ED8844998FD}">
            <xm:f>$T$8='Assessment Details'!$Q$23</xm:f>
            <x14:dxf>
              <font>
                <color theme="0"/>
              </font>
              <fill>
                <patternFill>
                  <bgColor theme="0"/>
                </patternFill>
              </fill>
              <border>
                <vertical/>
                <horizontal/>
              </border>
            </x14:dxf>
          </x14:cfRule>
          <xm:sqref>R200:S200</xm:sqref>
        </x14:conditionalFormatting>
        <x14:conditionalFormatting xmlns:xm="http://schemas.microsoft.com/office/excel/2006/main">
          <x14:cfRule type="expression" priority="2523" id="{D7D360FE-8CC6-4803-A70B-CAE7A8DA2370}">
            <xm:f>$T$8='Assessment Details'!$Q$23</xm:f>
            <x14:dxf>
              <font>
                <color theme="0"/>
              </font>
              <fill>
                <patternFill>
                  <bgColor theme="0"/>
                </patternFill>
              </fill>
              <border>
                <vertical/>
                <horizontal/>
              </border>
            </x14:dxf>
          </x14:cfRule>
          <xm:sqref>R203:S203</xm:sqref>
        </x14:conditionalFormatting>
        <x14:conditionalFormatting xmlns:xm="http://schemas.microsoft.com/office/excel/2006/main">
          <x14:cfRule type="expression" priority="2501" id="{9BE0B12E-ED3A-4BF6-BE58-06E577076887}">
            <xm:f>$T$8='Assessment Details'!$Q$23</xm:f>
            <x14:dxf>
              <font>
                <color theme="0"/>
              </font>
              <fill>
                <patternFill>
                  <bgColor theme="0"/>
                </patternFill>
              </fill>
              <border>
                <vertical/>
                <horizontal/>
              </border>
            </x14:dxf>
          </x14:cfRule>
          <xm:sqref>R206:S206</xm:sqref>
        </x14:conditionalFormatting>
        <x14:conditionalFormatting xmlns:xm="http://schemas.microsoft.com/office/excel/2006/main">
          <x14:cfRule type="expression" priority="1077" id="{89C49241-A961-4AFA-940F-7360A325BAED}">
            <xm:f>$T$8='Assessment Details'!$Q$23</xm:f>
            <x14:dxf>
              <font>
                <color theme="0"/>
              </font>
              <fill>
                <patternFill>
                  <bgColor theme="0"/>
                </patternFill>
              </fill>
              <border>
                <vertical/>
                <horizontal/>
              </border>
            </x14:dxf>
          </x14:cfRule>
          <xm:sqref>R209:S209</xm:sqref>
        </x14:conditionalFormatting>
        <x14:conditionalFormatting xmlns:xm="http://schemas.microsoft.com/office/excel/2006/main">
          <x14:cfRule type="expression" priority="742" id="{8A10B796-3553-48A3-A8D4-D6C07CC5F03D}">
            <xm:f>$AA$8='Assessment Details'!$Q$23</xm:f>
            <x14:dxf>
              <border>
                <left style="thin">
                  <color theme="0"/>
                </left>
                <right style="thin">
                  <color theme="0"/>
                </right>
                <top style="thin">
                  <color theme="0"/>
                </top>
                <bottom style="thin">
                  <color theme="0"/>
                </bottom>
                <vertical/>
                <horizontal/>
              </border>
            </x14:dxf>
          </x14:cfRule>
          <x14:cfRule type="expression" priority="743" id="{FCAF0747-B7DD-45B9-9D71-FD5596F44912}">
            <xm:f>$AA$8='Assessment Details'!$Q$23</xm:f>
            <x14:dxf>
              <font>
                <color theme="0"/>
              </font>
              <fill>
                <patternFill>
                  <bgColor theme="0"/>
                </patternFill>
              </fill>
            </x14:dxf>
          </x14:cfRule>
          <xm:sqref>V12:V16</xm:sqref>
        </x14:conditionalFormatting>
        <x14:conditionalFormatting xmlns:xm="http://schemas.microsoft.com/office/excel/2006/main">
          <x14:cfRule type="expression" priority="3395" id="{ADE3DB88-2496-4BE7-BDC3-B98ACF16BED3}">
            <xm:f>$AA$8='Assessment Details'!$Q$23</xm:f>
            <x14:dxf>
              <border>
                <left style="thin">
                  <color theme="0"/>
                </left>
                <right style="thin">
                  <color theme="0"/>
                </right>
                <top style="thin">
                  <color theme="0"/>
                </top>
                <bottom style="thin">
                  <color theme="0"/>
                </bottom>
                <vertical/>
                <horizontal/>
              </border>
            </x14:dxf>
          </x14:cfRule>
          <x14:cfRule type="expression" priority="3396" id="{B0A2CEFF-3203-4EFC-97E6-4FD644D6FD19}">
            <xm:f>$AA$8='Assessment Details'!$Q$23</xm:f>
            <x14:dxf>
              <font>
                <color theme="0"/>
              </font>
              <fill>
                <patternFill>
                  <bgColor theme="0"/>
                </patternFill>
              </fill>
            </x14:dxf>
          </x14:cfRule>
          <xm:sqref>V18:V19</xm:sqref>
        </x14:conditionalFormatting>
        <x14:conditionalFormatting xmlns:xm="http://schemas.microsoft.com/office/excel/2006/main">
          <x14:cfRule type="expression" priority="834" id="{A1124C2E-2CE1-4778-BC0F-B3175E84C11D}">
            <xm:f>$AA$8='Assessment Details'!$Q$23</xm:f>
            <x14:dxf>
              <font>
                <color theme="0"/>
              </font>
              <fill>
                <patternFill>
                  <bgColor theme="0"/>
                </patternFill>
              </fill>
            </x14:dxf>
          </x14:cfRule>
          <x14:cfRule type="expression" priority="833" id="{DFFD3404-113B-426E-8669-4775A0CD70DD}">
            <xm:f>$AA$8='Assessment Details'!$Q$23</xm:f>
            <x14:dxf>
              <border>
                <left style="thin">
                  <color theme="0"/>
                </left>
                <right style="thin">
                  <color theme="0"/>
                </right>
                <top style="thin">
                  <color theme="0"/>
                </top>
                <bottom style="thin">
                  <color theme="0"/>
                </bottom>
                <vertical/>
                <horizontal/>
              </border>
            </x14:dxf>
          </x14:cfRule>
          <xm:sqref>V21:V26</xm:sqref>
        </x14:conditionalFormatting>
        <x14:conditionalFormatting xmlns:xm="http://schemas.microsoft.com/office/excel/2006/main">
          <x14:cfRule type="expression" priority="3388" id="{4DC1D019-7687-4557-AA3C-2EAB0E799B24}">
            <xm:f>$AA$8='Assessment Details'!$Q$23</xm:f>
            <x14:dxf>
              <font>
                <color theme="0"/>
              </font>
              <fill>
                <patternFill>
                  <bgColor theme="0"/>
                </patternFill>
              </fill>
            </x14:dxf>
          </x14:cfRule>
          <x14:cfRule type="expression" priority="3387" id="{C3B9F756-BA02-4BE4-A786-0959C2B9093C}">
            <xm:f>$AA$8='Assessment Details'!$Q$23</xm:f>
            <x14:dxf>
              <border>
                <left style="thin">
                  <color theme="0"/>
                </left>
                <right style="thin">
                  <color theme="0"/>
                </right>
                <top style="thin">
                  <color theme="0"/>
                </top>
                <bottom style="thin">
                  <color theme="0"/>
                </bottom>
                <vertical/>
                <horizontal/>
              </border>
            </x14:dxf>
          </x14:cfRule>
          <xm:sqref>V28:V30</xm:sqref>
        </x14:conditionalFormatting>
        <x14:conditionalFormatting xmlns:xm="http://schemas.microsoft.com/office/excel/2006/main">
          <x14:cfRule type="expression" priority="3384" id="{9D8EAA10-831B-47F6-9880-B672D74A7B47}">
            <xm:f>$AA$8='Assessment Details'!$Q$23</xm:f>
            <x14:dxf>
              <font>
                <color theme="0"/>
              </font>
              <fill>
                <patternFill>
                  <bgColor theme="0"/>
                </patternFill>
              </fill>
            </x14:dxf>
          </x14:cfRule>
          <xm:sqref>V32:V34</xm:sqref>
        </x14:conditionalFormatting>
        <x14:conditionalFormatting xmlns:xm="http://schemas.microsoft.com/office/excel/2006/main">
          <x14:cfRule type="expression" priority="3383" id="{8D490185-C11D-4E2C-A262-0F04EC874789}">
            <xm:f>$AA$8='Assessment Details'!$Q$23</xm:f>
            <x14:dxf>
              <border>
                <left style="thin">
                  <color theme="0"/>
                </left>
                <right style="thin">
                  <color theme="0"/>
                </right>
                <top style="thin">
                  <color theme="0"/>
                </top>
                <bottom style="thin">
                  <color theme="0"/>
                </bottom>
                <vertical/>
                <horizontal/>
              </border>
            </x14:dxf>
          </x14:cfRule>
          <xm:sqref>V32:V35</xm:sqref>
        </x14:conditionalFormatting>
        <x14:conditionalFormatting xmlns:xm="http://schemas.microsoft.com/office/excel/2006/main">
          <x14:cfRule type="expression" priority="294" id="{EE5D9CA1-F0E4-419F-910C-6DE85D74E322}">
            <xm:f>$AA$8='Assessment Details'!$Q$23</xm:f>
            <x14:dxf>
              <font>
                <color theme="0"/>
              </font>
              <fill>
                <patternFill>
                  <bgColor theme="0"/>
                </patternFill>
              </fill>
            </x14:dxf>
          </x14:cfRule>
          <x14:cfRule type="expression" priority="293" id="{0ED5B0BE-EB5F-459A-97B7-CB07977EF185}">
            <xm:f>$AA$8='Assessment Details'!$Q$23</xm:f>
            <x14:dxf>
              <border>
                <left style="thin">
                  <color theme="0"/>
                </left>
                <right style="thin">
                  <color theme="0"/>
                </right>
                <top style="thin">
                  <color theme="0"/>
                </top>
                <bottom style="thin">
                  <color theme="0"/>
                </bottom>
                <vertical/>
                <horizontal/>
              </border>
            </x14:dxf>
          </x14:cfRule>
          <xm:sqref>V39:V45</xm:sqref>
        </x14:conditionalFormatting>
        <x14:conditionalFormatting xmlns:xm="http://schemas.microsoft.com/office/excel/2006/main">
          <x14:cfRule type="expression" priority="2431" id="{D6211A4D-1F18-47FB-8C6F-B6B4E8C7276F}">
            <xm:f>$AA$8='Assessment Details'!$Q$23</xm:f>
            <x14:dxf>
              <border>
                <left style="thin">
                  <color theme="0"/>
                </left>
                <right style="thin">
                  <color theme="0"/>
                </right>
                <top style="thin">
                  <color theme="0"/>
                </top>
                <bottom style="thin">
                  <color theme="0"/>
                </bottom>
                <vertical/>
                <horizontal/>
              </border>
            </x14:dxf>
          </x14:cfRule>
          <x14:cfRule type="expression" priority="2432" id="{B16CC0B9-0CF9-4BC4-B50C-20280CD71DB9}">
            <xm:f>$AA$8='Assessment Details'!$Q$23</xm:f>
            <x14:dxf>
              <font>
                <color theme="0"/>
              </font>
              <fill>
                <patternFill>
                  <bgColor theme="0"/>
                </patternFill>
              </fill>
            </x14:dxf>
          </x14:cfRule>
          <xm:sqref>V47:V50</xm:sqref>
        </x14:conditionalFormatting>
        <x14:conditionalFormatting xmlns:xm="http://schemas.microsoft.com/office/excel/2006/main">
          <x14:cfRule type="expression" priority="2403" id="{C13CF83B-3E24-403D-ACE9-CB88E7959896}">
            <xm:f>$AA$8='Assessment Details'!$Q$23</xm:f>
            <x14:dxf>
              <font>
                <color theme="0"/>
              </font>
              <fill>
                <patternFill>
                  <bgColor theme="0"/>
                </patternFill>
              </fill>
            </x14:dxf>
          </x14:cfRule>
          <x14:cfRule type="expression" priority="2402" id="{70213745-7607-4C38-B131-7AF5FAF240C3}">
            <xm:f>$AA$8='Assessment Details'!$Q$23</xm:f>
            <x14:dxf>
              <border>
                <left style="thin">
                  <color theme="0"/>
                </left>
                <right style="thin">
                  <color theme="0"/>
                </right>
                <top style="thin">
                  <color theme="0"/>
                </top>
                <bottom style="thin">
                  <color theme="0"/>
                </bottom>
                <vertical/>
                <horizontal/>
              </border>
            </x14:dxf>
          </x14:cfRule>
          <xm:sqref>V52:V54</xm:sqref>
        </x14:conditionalFormatting>
        <x14:conditionalFormatting xmlns:xm="http://schemas.microsoft.com/office/excel/2006/main">
          <x14:cfRule type="expression" priority="1013" id="{19AB23A2-C4DB-4818-8BF7-717483615861}">
            <xm:f>$AA$8='Assessment Details'!$Q$23</xm:f>
            <x14:dxf>
              <font>
                <color theme="0"/>
              </font>
              <fill>
                <patternFill>
                  <bgColor theme="0"/>
                </patternFill>
              </fill>
            </x14:dxf>
          </x14:cfRule>
          <x14:cfRule type="expression" priority="1012" id="{3E522E31-31A2-4846-86B9-8C7E51FDE895}">
            <xm:f>$AA$8='Assessment Details'!$Q$23</xm:f>
            <x14:dxf>
              <border>
                <left style="thin">
                  <color theme="0"/>
                </left>
                <right style="thin">
                  <color theme="0"/>
                </right>
                <top style="thin">
                  <color theme="0"/>
                </top>
                <bottom style="thin">
                  <color theme="0"/>
                </bottom>
                <vertical/>
                <horizontal/>
              </border>
            </x14:dxf>
          </x14:cfRule>
          <xm:sqref>V56:V57</xm:sqref>
        </x14:conditionalFormatting>
        <x14:conditionalFormatting xmlns:xm="http://schemas.microsoft.com/office/excel/2006/main">
          <x14:cfRule type="expression" priority="2345" id="{CB71A114-E15F-4B34-82A8-A06476665063}">
            <xm:f>$AA$8='Assessment Details'!$Q$23</xm:f>
            <x14:dxf>
              <font>
                <color theme="0"/>
              </font>
              <fill>
                <patternFill>
                  <bgColor theme="0"/>
                </patternFill>
              </fill>
            </x14:dxf>
          </x14:cfRule>
          <x14:cfRule type="expression" priority="2344" id="{DB3093EC-74C7-40E1-9C37-44C4FFABBAD7}">
            <xm:f>$AA$8='Assessment Details'!$Q$23</xm:f>
            <x14:dxf>
              <border>
                <left style="thin">
                  <color theme="0"/>
                </left>
                <right style="thin">
                  <color theme="0"/>
                </right>
                <top style="thin">
                  <color theme="0"/>
                </top>
                <bottom style="thin">
                  <color theme="0"/>
                </bottom>
                <vertical/>
                <horizontal/>
              </border>
            </x14:dxf>
          </x14:cfRule>
          <xm:sqref>V59:V60</xm:sqref>
        </x14:conditionalFormatting>
        <x14:conditionalFormatting xmlns:xm="http://schemas.microsoft.com/office/excel/2006/main">
          <x14:cfRule type="expression" priority="1159" id="{ABC178BE-55CD-4AD6-9B80-E1ADE74D0F65}">
            <xm:f>$AA$8='Assessment Details'!$Q$23</xm:f>
            <x14:dxf>
              <font>
                <color theme="0"/>
              </font>
              <fill>
                <patternFill>
                  <bgColor theme="0"/>
                </patternFill>
              </fill>
            </x14:dxf>
          </x14:cfRule>
          <x14:cfRule type="expression" priority="1158" id="{B34A33E1-F52C-4841-AEB3-E470F60604C5}">
            <xm:f>$AA$8='Assessment Details'!$Q$23</xm:f>
            <x14:dxf>
              <border>
                <left style="thin">
                  <color theme="0"/>
                </left>
                <right style="thin">
                  <color theme="0"/>
                </right>
                <top style="thin">
                  <color theme="0"/>
                </top>
                <bottom style="thin">
                  <color theme="0"/>
                </bottom>
                <vertical/>
                <horizontal/>
              </border>
            </x14:dxf>
          </x14:cfRule>
          <xm:sqref>V62:V63</xm:sqref>
        </x14:conditionalFormatting>
        <x14:conditionalFormatting xmlns:xm="http://schemas.microsoft.com/office/excel/2006/main">
          <x14:cfRule type="expression" priority="190" id="{0341C9CF-C989-455B-BED3-3F5C54F48A03}">
            <xm:f>$AA$8='Assessment Details'!$Q$23</xm:f>
            <x14:dxf>
              <border>
                <left style="thin">
                  <color theme="0"/>
                </left>
                <right style="thin">
                  <color theme="0"/>
                </right>
                <top style="thin">
                  <color theme="0"/>
                </top>
                <bottom style="thin">
                  <color theme="0"/>
                </bottom>
                <vertical/>
                <horizontal/>
              </border>
            </x14:dxf>
          </x14:cfRule>
          <x14:cfRule type="expression" priority="191" id="{37EEC3DA-3771-43C1-84AB-4DF49BD6D9B7}">
            <xm:f>$AA$8='Assessment Details'!$Q$23</xm:f>
            <x14:dxf>
              <font>
                <color theme="0"/>
              </font>
              <fill>
                <patternFill>
                  <bgColor theme="0"/>
                </patternFill>
              </fill>
            </x14:dxf>
          </x14:cfRule>
          <xm:sqref>V67:V72</xm:sqref>
        </x14:conditionalFormatting>
        <x14:conditionalFormatting xmlns:xm="http://schemas.microsoft.com/office/excel/2006/main">
          <x14:cfRule type="expression" priority="2258" id="{AB0458F2-B50D-48A9-A136-B8142DE40861}">
            <xm:f>$AA$8='Assessment Details'!$Q$23</xm:f>
            <x14:dxf>
              <font>
                <color theme="0"/>
              </font>
              <fill>
                <patternFill>
                  <bgColor theme="0"/>
                </patternFill>
              </fill>
            </x14:dxf>
          </x14:cfRule>
          <x14:cfRule type="expression" priority="2257" id="{04A59890-99BC-4105-8456-C1E9F7D31E91}">
            <xm:f>$AA$8='Assessment Details'!$Q$23</xm:f>
            <x14:dxf>
              <border>
                <left style="thin">
                  <color theme="0"/>
                </left>
                <right style="thin">
                  <color theme="0"/>
                </right>
                <top style="thin">
                  <color theme="0"/>
                </top>
                <bottom style="thin">
                  <color theme="0"/>
                </bottom>
                <vertical/>
                <horizontal/>
              </border>
            </x14:dxf>
          </x14:cfRule>
          <xm:sqref>V74:V76</xm:sqref>
        </x14:conditionalFormatting>
        <x14:conditionalFormatting xmlns:xm="http://schemas.microsoft.com/office/excel/2006/main">
          <x14:cfRule type="expression" priority="2228" id="{FC4023BD-68ED-4558-9A2B-3D04902BEE9B}">
            <xm:f>$AA$8='Assessment Details'!$Q$23</xm:f>
            <x14:dxf>
              <border>
                <left style="thin">
                  <color theme="0"/>
                </left>
                <right style="thin">
                  <color theme="0"/>
                </right>
                <top style="thin">
                  <color theme="0"/>
                </top>
                <bottom style="thin">
                  <color theme="0"/>
                </bottom>
                <vertical/>
                <horizontal/>
              </border>
            </x14:dxf>
          </x14:cfRule>
          <x14:cfRule type="expression" priority="2229" id="{2E7100A6-7B8F-4808-B6A2-D3BE9816341C}">
            <xm:f>$AA$8='Assessment Details'!$Q$23</xm:f>
            <x14:dxf>
              <font>
                <color theme="0"/>
              </font>
              <fill>
                <patternFill>
                  <bgColor theme="0"/>
                </patternFill>
              </fill>
            </x14:dxf>
          </x14:cfRule>
          <xm:sqref>V78:V79</xm:sqref>
        </x14:conditionalFormatting>
        <x14:conditionalFormatting xmlns:xm="http://schemas.microsoft.com/office/excel/2006/main">
          <x14:cfRule type="expression" priority="2199" id="{18AE2361-A98A-42D3-96CF-E77AEE8F46B2}">
            <xm:f>$AA$8='Assessment Details'!$Q$23</xm:f>
            <x14:dxf>
              <border>
                <left style="thin">
                  <color theme="0"/>
                </left>
                <right style="thin">
                  <color theme="0"/>
                </right>
                <top style="thin">
                  <color theme="0"/>
                </top>
                <bottom style="thin">
                  <color theme="0"/>
                </bottom>
                <vertical/>
                <horizontal/>
              </border>
            </x14:dxf>
          </x14:cfRule>
          <x14:cfRule type="expression" priority="2200" id="{6BE170C4-1FB8-4BDF-942B-64FC45CD4B36}">
            <xm:f>$AA$8='Assessment Details'!$Q$23</xm:f>
            <x14:dxf>
              <font>
                <color theme="0"/>
              </font>
              <fill>
                <patternFill>
                  <bgColor theme="0"/>
                </patternFill>
              </fill>
            </x14:dxf>
          </x14:cfRule>
          <xm:sqref>V81:V82</xm:sqref>
        </x14:conditionalFormatting>
        <x14:conditionalFormatting xmlns:xm="http://schemas.microsoft.com/office/excel/2006/main">
          <x14:cfRule type="expression" priority="798" id="{7D01B325-A133-4A43-8630-C038C0769CE1}">
            <xm:f>$AA$8='Assessment Details'!$Q$23</xm:f>
            <x14:dxf>
              <font>
                <color theme="0"/>
              </font>
              <fill>
                <patternFill>
                  <bgColor theme="0"/>
                </patternFill>
              </fill>
            </x14:dxf>
          </x14:cfRule>
          <xm:sqref>V84:V85</xm:sqref>
        </x14:conditionalFormatting>
        <x14:conditionalFormatting xmlns:xm="http://schemas.microsoft.com/office/excel/2006/main">
          <x14:cfRule type="expression" priority="797" id="{8C95A82D-2DB8-47B8-A590-797014BCF744}">
            <xm:f>$AA$8='Assessment Details'!$Q$23</xm:f>
            <x14:dxf>
              <border>
                <left style="thin">
                  <color theme="0"/>
                </left>
                <right style="thin">
                  <color theme="0"/>
                </right>
                <top style="thin">
                  <color theme="0"/>
                </top>
                <bottom style="thin">
                  <color theme="0"/>
                </bottom>
                <vertical/>
                <horizontal/>
              </border>
            </x14:dxf>
          </x14:cfRule>
          <xm:sqref>V84:V86</xm:sqref>
        </x14:conditionalFormatting>
        <x14:conditionalFormatting xmlns:xm="http://schemas.microsoft.com/office/excel/2006/main">
          <x14:cfRule type="expression" priority="2142" id="{350E3395-ADF6-4C24-88B5-226CCCB7E2C1}">
            <xm:f>$AA$8='Assessment Details'!$Q$23</xm:f>
            <x14:dxf>
              <font>
                <color theme="0"/>
              </font>
              <fill>
                <patternFill>
                  <bgColor theme="0"/>
                </patternFill>
              </fill>
            </x14:dxf>
          </x14:cfRule>
          <x14:cfRule type="expression" priority="2141" id="{282C15CE-13FA-41D8-856D-B17BEF62880E}">
            <xm:f>$AA$8='Assessment Details'!$Q$23</xm:f>
            <x14:dxf>
              <border>
                <left style="thin">
                  <color theme="0"/>
                </left>
                <right style="thin">
                  <color theme="0"/>
                </right>
                <top style="thin">
                  <color theme="0"/>
                </top>
                <bottom style="thin">
                  <color theme="0"/>
                </bottom>
                <vertical/>
                <horizontal/>
              </border>
            </x14:dxf>
          </x14:cfRule>
          <xm:sqref>V88:V89</xm:sqref>
        </x14:conditionalFormatting>
        <x14:conditionalFormatting xmlns:xm="http://schemas.microsoft.com/office/excel/2006/main">
          <x14:cfRule type="expression" priority="1147" id="{AA2B09B7-D032-4EDC-9E2C-B2613AF925BA}">
            <xm:f>$AA$8='Assessment Details'!$Q$23</xm:f>
            <x14:dxf>
              <font>
                <color theme="0"/>
              </font>
              <fill>
                <patternFill>
                  <bgColor theme="0"/>
                </patternFill>
              </fill>
            </x14:dxf>
          </x14:cfRule>
          <x14:cfRule type="expression" priority="1146" id="{2E11EAEC-490D-47E0-AC73-6DF2825CAB7B}">
            <xm:f>$AA$8='Assessment Details'!$Q$23</xm:f>
            <x14:dxf>
              <border>
                <left style="thin">
                  <color theme="0"/>
                </left>
                <right style="thin">
                  <color theme="0"/>
                </right>
                <top style="thin">
                  <color theme="0"/>
                </top>
                <bottom style="thin">
                  <color theme="0"/>
                </bottom>
                <vertical/>
                <horizontal/>
              </border>
            </x14:dxf>
          </x14:cfRule>
          <xm:sqref>V91:V92</xm:sqref>
        </x14:conditionalFormatting>
        <x14:conditionalFormatting xmlns:xm="http://schemas.microsoft.com/office/excel/2006/main">
          <x14:cfRule type="expression" priority="2083" id="{1A327D6A-84EE-4B73-BBC3-DA9F1F71661F}">
            <xm:f>$AA$8='Assessment Details'!$Q$23</xm:f>
            <x14:dxf>
              <border>
                <left style="thin">
                  <color theme="0"/>
                </left>
                <right style="thin">
                  <color theme="0"/>
                </right>
                <top style="thin">
                  <color theme="0"/>
                </top>
                <bottom style="thin">
                  <color theme="0"/>
                </bottom>
                <vertical/>
                <horizontal/>
              </border>
            </x14:dxf>
          </x14:cfRule>
          <x14:cfRule type="expression" priority="2084" id="{7AB54FE5-B9DA-4EA7-A9E5-953C8B3C0473}">
            <xm:f>$AA$8='Assessment Details'!$Q$23</xm:f>
            <x14:dxf>
              <font>
                <color theme="0"/>
              </font>
              <fill>
                <patternFill>
                  <bgColor theme="0"/>
                </patternFill>
              </fill>
            </x14:dxf>
          </x14:cfRule>
          <xm:sqref>V96:V97</xm:sqref>
        </x14:conditionalFormatting>
        <x14:conditionalFormatting xmlns:xm="http://schemas.microsoft.com/office/excel/2006/main">
          <x14:cfRule type="expression" priority="759" id="{3D434EE4-339E-4213-A321-7B3E76D92597}">
            <xm:f>$AA$8='Assessment Details'!$Q$23</xm:f>
            <x14:dxf>
              <font>
                <color theme="0"/>
              </font>
              <fill>
                <patternFill>
                  <bgColor theme="0"/>
                </patternFill>
              </fill>
            </x14:dxf>
          </x14:cfRule>
          <x14:cfRule type="expression" priority="758" id="{983395C1-0379-4A53-B586-C7BB4E5634B8}">
            <xm:f>$AA$8='Assessment Details'!$Q$23</xm:f>
            <x14:dxf>
              <border>
                <left style="thin">
                  <color theme="0"/>
                </left>
                <right style="thin">
                  <color theme="0"/>
                </right>
                <top style="thin">
                  <color theme="0"/>
                </top>
                <bottom style="thin">
                  <color theme="0"/>
                </bottom>
                <vertical/>
                <horizontal/>
              </border>
            </x14:dxf>
          </x14:cfRule>
          <xm:sqref>V99:V101</xm:sqref>
        </x14:conditionalFormatting>
        <x14:conditionalFormatting xmlns:xm="http://schemas.microsoft.com/office/excel/2006/main">
          <x14:cfRule type="expression" priority="31" id="{547E3762-46C6-4BA6-BFF0-8EE8D88B0A50}">
            <xm:f>$AA$8='Assessment Details'!$Q$23</xm:f>
            <x14:dxf>
              <font>
                <color theme="0"/>
              </font>
              <fill>
                <patternFill>
                  <bgColor theme="0"/>
                </patternFill>
              </fill>
            </x14:dxf>
          </x14:cfRule>
          <x14:cfRule type="expression" priority="30" id="{603D39AB-06BB-41A3-BB2F-ABC5ADEE2C7A}">
            <xm:f>$AA$8='Assessment Details'!$Q$23</xm:f>
            <x14:dxf>
              <border>
                <left style="thin">
                  <color theme="0"/>
                </left>
                <right style="thin">
                  <color theme="0"/>
                </right>
                <top style="thin">
                  <color theme="0"/>
                </top>
                <bottom style="thin">
                  <color theme="0"/>
                </bottom>
                <vertical/>
                <horizontal/>
              </border>
            </x14:dxf>
          </x14:cfRule>
          <xm:sqref>V105:V106</xm:sqref>
        </x14:conditionalFormatting>
        <x14:conditionalFormatting xmlns:xm="http://schemas.microsoft.com/office/excel/2006/main">
          <x14:cfRule type="expression" priority="1996" id="{F62E1726-0408-441A-A6AF-C3E7A5ECAD32}">
            <xm:f>$AA$8='Assessment Details'!$Q$23</xm:f>
            <x14:dxf>
              <border>
                <left style="thin">
                  <color theme="0"/>
                </left>
                <right style="thin">
                  <color theme="0"/>
                </right>
                <top style="thin">
                  <color theme="0"/>
                </top>
                <bottom style="thin">
                  <color theme="0"/>
                </bottom>
                <vertical/>
                <horizontal/>
              </border>
            </x14:dxf>
          </x14:cfRule>
          <x14:cfRule type="expression" priority="1997" id="{4A476CF7-E041-4E3A-99FF-8438380D39EC}">
            <xm:f>$AA$8='Assessment Details'!$Q$23</xm:f>
            <x14:dxf>
              <font>
                <color theme="0"/>
              </font>
              <fill>
                <patternFill>
                  <bgColor theme="0"/>
                </patternFill>
              </fill>
            </x14:dxf>
          </x14:cfRule>
          <xm:sqref>V108</xm:sqref>
        </x14:conditionalFormatting>
        <x14:conditionalFormatting xmlns:xm="http://schemas.microsoft.com/office/excel/2006/main">
          <x14:cfRule type="expression" priority="1968" id="{D72C36D9-F5B6-4AB0-8FB7-C5F40119A46A}">
            <xm:f>$AA$8='Assessment Details'!$Q$23</xm:f>
            <x14:dxf>
              <font>
                <color theme="0"/>
              </font>
              <fill>
                <patternFill>
                  <bgColor theme="0"/>
                </patternFill>
              </fill>
            </x14:dxf>
          </x14:cfRule>
          <x14:cfRule type="expression" priority="1967" id="{1E986299-3ACC-45EB-86AF-48B4725B7348}">
            <xm:f>$AA$8='Assessment Details'!$Q$23</xm:f>
            <x14:dxf>
              <border>
                <left style="thin">
                  <color theme="0"/>
                </left>
                <right style="thin">
                  <color theme="0"/>
                </right>
                <top style="thin">
                  <color theme="0"/>
                </top>
                <bottom style="thin">
                  <color theme="0"/>
                </bottom>
                <vertical/>
                <horizontal/>
              </border>
            </x14:dxf>
          </x14:cfRule>
          <xm:sqref>V110:V112</xm:sqref>
        </x14:conditionalFormatting>
        <x14:conditionalFormatting xmlns:xm="http://schemas.microsoft.com/office/excel/2006/main">
          <x14:cfRule type="expression" priority="1122" id="{76622B2F-5B20-4947-A273-3BD00F9314A7}">
            <xm:f>$AA$8='Assessment Details'!$Q$23</xm:f>
            <x14:dxf>
              <border>
                <left style="thin">
                  <color theme="0"/>
                </left>
                <right style="thin">
                  <color theme="0"/>
                </right>
                <top style="thin">
                  <color theme="0"/>
                </top>
                <bottom style="thin">
                  <color theme="0"/>
                </bottom>
                <vertical/>
                <horizontal/>
              </border>
            </x14:dxf>
          </x14:cfRule>
          <x14:cfRule type="expression" priority="1123" id="{7D5772DD-D924-4429-89D0-A0B89E56E56E}">
            <xm:f>$AA$8='Assessment Details'!$Q$23</xm:f>
            <x14:dxf>
              <font>
                <color theme="0"/>
              </font>
              <fill>
                <patternFill>
                  <bgColor theme="0"/>
                </patternFill>
              </fill>
            </x14:dxf>
          </x14:cfRule>
          <xm:sqref>V114:V115</xm:sqref>
        </x14:conditionalFormatting>
        <x14:conditionalFormatting xmlns:xm="http://schemas.microsoft.com/office/excel/2006/main">
          <x14:cfRule type="expression" priority="1009" id="{E4F5CCB3-7DF2-44C2-997E-04B23439CC35}">
            <xm:f>$AA$8='Assessment Details'!$Q$23</xm:f>
            <x14:dxf>
              <font>
                <color theme="0"/>
              </font>
              <fill>
                <patternFill>
                  <bgColor theme="0"/>
                </patternFill>
              </fill>
            </x14:dxf>
          </x14:cfRule>
          <x14:cfRule type="expression" priority="1008" id="{8997DEA7-1621-4987-8607-29D63DAFA6D9}">
            <xm:f>$AA$8='Assessment Details'!$Q$23</xm:f>
            <x14:dxf>
              <border>
                <left style="thin">
                  <color theme="0"/>
                </left>
                <right style="thin">
                  <color theme="0"/>
                </right>
                <top style="thin">
                  <color theme="0"/>
                </top>
                <bottom style="thin">
                  <color theme="0"/>
                </bottom>
                <vertical/>
                <horizontal/>
              </border>
            </x14:dxf>
          </x14:cfRule>
          <xm:sqref>V119:V121</xm:sqref>
        </x14:conditionalFormatting>
        <x14:conditionalFormatting xmlns:xm="http://schemas.microsoft.com/office/excel/2006/main">
          <x14:cfRule type="expression" priority="1004" id="{B98DEB26-927B-4877-99F1-2CE26AB46A9B}">
            <xm:f>$AA$8='Assessment Details'!$Q$23</xm:f>
            <x14:dxf>
              <border>
                <left style="thin">
                  <color theme="0"/>
                </left>
                <right style="thin">
                  <color theme="0"/>
                </right>
                <top style="thin">
                  <color theme="0"/>
                </top>
                <bottom style="thin">
                  <color theme="0"/>
                </bottom>
                <vertical/>
                <horizontal/>
              </border>
            </x14:dxf>
          </x14:cfRule>
          <x14:cfRule type="expression" priority="1005" id="{845251D0-00A1-4820-B1E0-5B0CE3E55951}">
            <xm:f>$AA$8='Assessment Details'!$Q$23</xm:f>
            <x14:dxf>
              <font>
                <color theme="0"/>
              </font>
              <fill>
                <patternFill>
                  <bgColor theme="0"/>
                </patternFill>
              </fill>
            </x14:dxf>
          </x14:cfRule>
          <xm:sqref>V123:V125</xm:sqref>
        </x14:conditionalFormatting>
        <x14:conditionalFormatting xmlns:xm="http://schemas.microsoft.com/office/excel/2006/main">
          <x14:cfRule type="expression" priority="1000" id="{E7D0564C-754D-4F6B-B819-B61EA376CEC6}">
            <xm:f>$AA$8='Assessment Details'!$Q$23</xm:f>
            <x14:dxf>
              <border>
                <left style="thin">
                  <color theme="0"/>
                </left>
                <right style="thin">
                  <color theme="0"/>
                </right>
                <top style="thin">
                  <color theme="0"/>
                </top>
                <bottom style="thin">
                  <color theme="0"/>
                </bottom>
                <vertical/>
                <horizontal/>
              </border>
            </x14:dxf>
          </x14:cfRule>
          <x14:cfRule type="expression" priority="1001" id="{E89EA77A-3AB6-472C-B478-0F7F36629A8D}">
            <xm:f>$AA$8='Assessment Details'!$Q$23</xm:f>
            <x14:dxf>
              <font>
                <color theme="0"/>
              </font>
              <fill>
                <patternFill>
                  <bgColor theme="0"/>
                </patternFill>
              </fill>
            </x14:dxf>
          </x14:cfRule>
          <xm:sqref>V127:V129</xm:sqref>
        </x14:conditionalFormatting>
        <x14:conditionalFormatting xmlns:xm="http://schemas.microsoft.com/office/excel/2006/main">
          <x14:cfRule type="expression" priority="941" id="{78D933A3-BF0F-43E5-BA80-71B8ABB8CBE1}">
            <xm:f>$AA$8='Assessment Details'!$Q$23</xm:f>
            <x14:dxf>
              <font>
                <color theme="0"/>
              </font>
              <fill>
                <patternFill>
                  <bgColor theme="0"/>
                </patternFill>
              </fill>
            </x14:dxf>
          </x14:cfRule>
          <x14:cfRule type="expression" priority="940" id="{AB46B7D5-2DE9-49A4-8D5C-3ABCC6D206FD}">
            <xm:f>$AA$8='Assessment Details'!$Q$23</xm:f>
            <x14:dxf>
              <border>
                <left style="thin">
                  <color theme="0"/>
                </left>
                <right style="thin">
                  <color theme="0"/>
                </right>
                <top style="thin">
                  <color theme="0"/>
                </top>
                <bottom style="thin">
                  <color theme="0"/>
                </bottom>
                <vertical/>
                <horizontal/>
              </border>
            </x14:dxf>
          </x14:cfRule>
          <xm:sqref>V131:V135</xm:sqref>
        </x14:conditionalFormatting>
        <x14:conditionalFormatting xmlns:xm="http://schemas.microsoft.com/office/excel/2006/main">
          <x14:cfRule type="expression" priority="82" id="{EC8A3289-B5B7-47C5-AAE4-1F74BDB5E375}">
            <xm:f>$AA$8='Assessment Details'!$Q$23</xm:f>
            <x14:dxf>
              <font>
                <color theme="0"/>
              </font>
              <fill>
                <patternFill>
                  <bgColor theme="0"/>
                </patternFill>
              </fill>
            </x14:dxf>
          </x14:cfRule>
          <x14:cfRule type="expression" priority="81" id="{121D25EC-91F5-4D3E-890D-70BA55A374BA}">
            <xm:f>$AA$8='Assessment Details'!$Q$23</xm:f>
            <x14:dxf>
              <border>
                <left style="thin">
                  <color theme="0"/>
                </left>
                <right style="thin">
                  <color theme="0"/>
                </right>
                <top style="thin">
                  <color theme="0"/>
                </top>
                <bottom style="thin">
                  <color theme="0"/>
                </bottom>
                <vertical/>
                <horizontal/>
              </border>
            </x14:dxf>
          </x14:cfRule>
          <xm:sqref>V137:V140</xm:sqref>
        </x14:conditionalFormatting>
        <x14:conditionalFormatting xmlns:xm="http://schemas.microsoft.com/office/excel/2006/main">
          <x14:cfRule type="expression" priority="1110" id="{C7F05634-C1C7-4679-A9F9-F9612083CF9F}">
            <xm:f>$AA$8='Assessment Details'!$Q$23</xm:f>
            <x14:dxf>
              <border>
                <left style="thin">
                  <color theme="0"/>
                </left>
                <right style="thin">
                  <color theme="0"/>
                </right>
                <top style="thin">
                  <color theme="0"/>
                </top>
                <bottom style="thin">
                  <color theme="0"/>
                </bottom>
                <vertical/>
                <horizontal/>
              </border>
            </x14:dxf>
          </x14:cfRule>
          <x14:cfRule type="expression" priority="1111" id="{4D02F44B-AD7E-441E-80DD-0A60777C100A}">
            <xm:f>$AA$8='Assessment Details'!$Q$23</xm:f>
            <x14:dxf>
              <font>
                <color theme="0"/>
              </font>
              <fill>
                <patternFill>
                  <bgColor theme="0"/>
                </patternFill>
              </fill>
            </x14:dxf>
          </x14:cfRule>
          <xm:sqref>V142:V145</xm:sqref>
        </x14:conditionalFormatting>
        <x14:conditionalFormatting xmlns:xm="http://schemas.microsoft.com/office/excel/2006/main">
          <x14:cfRule type="expression" priority="52" id="{03603EAF-29D2-4CE3-97E4-DEF60729EBFE}">
            <xm:f>$AA$8='Assessment Details'!$Q$23</xm:f>
            <x14:dxf>
              <border>
                <left style="thin">
                  <color theme="0"/>
                </left>
                <right style="thin">
                  <color theme="0"/>
                </right>
                <top style="thin">
                  <color theme="0"/>
                </top>
                <bottom style="thin">
                  <color theme="0"/>
                </bottom>
                <vertical/>
                <horizontal/>
              </border>
            </x14:dxf>
          </x14:cfRule>
          <x14:cfRule type="expression" priority="53" id="{9F1446FF-EF02-41B9-82C6-D7BAC1237BF2}">
            <xm:f>$AA$8='Assessment Details'!$Q$23</xm:f>
            <x14:dxf>
              <font>
                <color theme="0"/>
              </font>
              <fill>
                <patternFill>
                  <bgColor theme="0"/>
                </patternFill>
              </fill>
            </x14:dxf>
          </x14:cfRule>
          <xm:sqref>V149:V153</xm:sqref>
        </x14:conditionalFormatting>
        <x14:conditionalFormatting xmlns:xm="http://schemas.microsoft.com/office/excel/2006/main">
          <x14:cfRule type="expression" priority="1677" id="{C9BE59CD-01E6-4E04-81D4-CC65C596A545}">
            <xm:f>$AA$8='Assessment Details'!$Q$23</xm:f>
            <x14:dxf>
              <border>
                <left style="thin">
                  <color theme="0"/>
                </left>
                <right style="thin">
                  <color theme="0"/>
                </right>
                <top style="thin">
                  <color theme="0"/>
                </top>
                <bottom style="thin">
                  <color theme="0"/>
                </bottom>
                <vertical/>
                <horizontal/>
              </border>
            </x14:dxf>
          </x14:cfRule>
          <x14:cfRule type="expression" priority="1678" id="{EFD004EF-0AD9-4C0E-A482-FE351BFD77E4}">
            <xm:f>$AA$8='Assessment Details'!$Q$23</xm:f>
            <x14:dxf>
              <font>
                <color theme="0"/>
              </font>
              <fill>
                <patternFill>
                  <bgColor theme="0"/>
                </patternFill>
              </fill>
            </x14:dxf>
          </x14:cfRule>
          <xm:sqref>V155</xm:sqref>
        </x14:conditionalFormatting>
        <x14:conditionalFormatting xmlns:xm="http://schemas.microsoft.com/office/excel/2006/main">
          <x14:cfRule type="expression" priority="1649" id="{505F3318-0C46-4E24-842E-54A82A74FDB0}">
            <xm:f>$AA$8='Assessment Details'!$Q$23</xm:f>
            <x14:dxf>
              <font>
                <color theme="0"/>
              </font>
              <fill>
                <patternFill>
                  <bgColor theme="0"/>
                </patternFill>
              </fill>
            </x14:dxf>
          </x14:cfRule>
          <x14:cfRule type="expression" priority="1648" id="{A6A933DF-C393-4F14-9D8E-B37AEA7D3CB9}">
            <xm:f>$AA$8='Assessment Details'!$Q$23</xm:f>
            <x14:dxf>
              <border>
                <left style="thin">
                  <color theme="0"/>
                </left>
                <right style="thin">
                  <color theme="0"/>
                </right>
                <top style="thin">
                  <color theme="0"/>
                </top>
                <bottom style="thin">
                  <color theme="0"/>
                </bottom>
                <vertical/>
                <horizontal/>
              </border>
            </x14:dxf>
          </x14:cfRule>
          <xm:sqref>V157</xm:sqref>
        </x14:conditionalFormatting>
        <x14:conditionalFormatting xmlns:xm="http://schemas.microsoft.com/office/excel/2006/main">
          <x14:cfRule type="expression" priority="1098" id="{D40BFFAE-632F-4041-81F0-92A93FE14725}">
            <xm:f>$AA$8='Assessment Details'!$Q$23</xm:f>
            <x14:dxf>
              <border>
                <left style="thin">
                  <color theme="0"/>
                </left>
                <right style="thin">
                  <color theme="0"/>
                </right>
                <top style="thin">
                  <color theme="0"/>
                </top>
                <bottom style="thin">
                  <color theme="0"/>
                </bottom>
                <vertical/>
                <horizontal/>
              </border>
            </x14:dxf>
          </x14:cfRule>
          <x14:cfRule type="expression" priority="1099" id="{BA1EBAC0-8656-4B2A-BDB0-FC726DB0747D}">
            <xm:f>$AA$8='Assessment Details'!$Q$23</xm:f>
            <x14:dxf>
              <font>
                <color theme="0"/>
              </font>
              <fill>
                <patternFill>
                  <bgColor theme="0"/>
                </patternFill>
              </fill>
            </x14:dxf>
          </x14:cfRule>
          <xm:sqref>V159:V160</xm:sqref>
        </x14:conditionalFormatting>
        <x14:conditionalFormatting xmlns:xm="http://schemas.microsoft.com/office/excel/2006/main">
          <x14:cfRule type="expression" priority="216" id="{645F55AC-AEC3-49A7-9FF8-9C56EC37578F}">
            <xm:f>$AA$8='Assessment Details'!$Q$23</xm:f>
            <x14:dxf>
              <font>
                <color theme="0"/>
              </font>
              <fill>
                <patternFill>
                  <bgColor theme="0"/>
                </patternFill>
              </fill>
            </x14:dxf>
          </x14:cfRule>
          <x14:cfRule type="expression" priority="215" id="{E3A3E958-208D-4007-9FEE-45A1BE170DA7}">
            <xm:f>$AA$8='Assessment Details'!$Q$23</xm:f>
            <x14:dxf>
              <border>
                <left style="thin">
                  <color theme="0"/>
                </left>
                <right style="thin">
                  <color theme="0"/>
                </right>
                <top style="thin">
                  <color theme="0"/>
                </top>
                <bottom style="thin">
                  <color theme="0"/>
                </bottom>
                <vertical/>
                <horizontal/>
              </border>
            </x14:dxf>
          </x14:cfRule>
          <xm:sqref>V164:V165</xm:sqref>
        </x14:conditionalFormatting>
        <x14:conditionalFormatting xmlns:xm="http://schemas.microsoft.com/office/excel/2006/main">
          <x14:cfRule type="expression" priority="993" id="{CF7298BA-77B9-485A-9BE2-478440936C0B}">
            <xm:f>$AA$8='Assessment Details'!$Q$23</xm:f>
            <x14:dxf>
              <font>
                <color theme="0"/>
              </font>
              <fill>
                <patternFill>
                  <bgColor theme="0"/>
                </patternFill>
              </fill>
            </x14:dxf>
          </x14:cfRule>
          <x14:cfRule type="expression" priority="992" id="{D7CF9EF4-7D95-437D-807D-E4BEDB3B5C36}">
            <xm:f>$AA$8='Assessment Details'!$Q$23</xm:f>
            <x14:dxf>
              <border>
                <left style="thin">
                  <color theme="0"/>
                </left>
                <right style="thin">
                  <color theme="0"/>
                </right>
                <top style="thin">
                  <color theme="0"/>
                </top>
                <bottom style="thin">
                  <color theme="0"/>
                </bottom>
                <vertical/>
                <horizontal/>
              </border>
            </x14:dxf>
          </x14:cfRule>
          <xm:sqref>V167:V169</xm:sqref>
        </x14:conditionalFormatting>
        <x14:conditionalFormatting xmlns:xm="http://schemas.microsoft.com/office/excel/2006/main">
          <x14:cfRule type="expression" priority="1532" id="{7B46AC8A-3833-42E8-83A3-338992A82C94}">
            <xm:f>$AA$8='Assessment Details'!$Q$23</xm:f>
            <x14:dxf>
              <border>
                <left style="thin">
                  <color theme="0"/>
                </left>
                <right style="thin">
                  <color theme="0"/>
                </right>
                <top style="thin">
                  <color theme="0"/>
                </top>
                <bottom style="thin">
                  <color theme="0"/>
                </bottom>
                <vertical/>
                <horizontal/>
              </border>
            </x14:dxf>
          </x14:cfRule>
          <x14:cfRule type="expression" priority="1533" id="{84F84A84-D28C-4541-BF15-E652C7765B65}">
            <xm:f>$AA$8='Assessment Details'!$Q$23</xm:f>
            <x14:dxf>
              <font>
                <color theme="0"/>
              </font>
              <fill>
                <patternFill>
                  <bgColor theme="0"/>
                </patternFill>
              </fill>
            </x14:dxf>
          </x14:cfRule>
          <xm:sqref>V172:V173</xm:sqref>
        </x14:conditionalFormatting>
        <x14:conditionalFormatting xmlns:xm="http://schemas.microsoft.com/office/excel/2006/main">
          <x14:cfRule type="expression" priority="984" id="{2BF95581-B9FF-4EB8-ACA1-D5906B79080F}">
            <xm:f>$AA$8='Assessment Details'!$Q$23</xm:f>
            <x14:dxf>
              <border>
                <left style="thin">
                  <color theme="0"/>
                </left>
                <right style="thin">
                  <color theme="0"/>
                </right>
                <top style="thin">
                  <color theme="0"/>
                </top>
                <bottom style="thin">
                  <color theme="0"/>
                </bottom>
                <vertical/>
                <horizontal/>
              </border>
            </x14:dxf>
          </x14:cfRule>
          <x14:cfRule type="expression" priority="985" id="{9C5F1920-15C5-4D63-BF78-C867EE0D1066}">
            <xm:f>$AA$8='Assessment Details'!$Q$23</xm:f>
            <x14:dxf>
              <font>
                <color theme="0"/>
              </font>
              <fill>
                <patternFill>
                  <bgColor theme="0"/>
                </patternFill>
              </fill>
            </x14:dxf>
          </x14:cfRule>
          <xm:sqref>V175:V177</xm:sqref>
        </x14:conditionalFormatting>
        <x14:conditionalFormatting xmlns:xm="http://schemas.microsoft.com/office/excel/2006/main">
          <x14:cfRule type="expression" priority="980" id="{60293951-1398-4DE9-B2F3-E03416288676}">
            <xm:f>$AA$8='Assessment Details'!$Q$23</xm:f>
            <x14:dxf>
              <border>
                <left style="thin">
                  <color theme="0"/>
                </left>
                <right style="thin">
                  <color theme="0"/>
                </right>
                <top style="thin">
                  <color theme="0"/>
                </top>
                <bottom style="thin">
                  <color theme="0"/>
                </bottom>
                <vertical/>
                <horizontal/>
              </border>
            </x14:dxf>
          </x14:cfRule>
          <x14:cfRule type="expression" priority="981" id="{24031FE4-1162-4B7D-898B-DBE9F537F491}">
            <xm:f>$AA$8='Assessment Details'!$Q$23</xm:f>
            <x14:dxf>
              <font>
                <color theme="0"/>
              </font>
              <fill>
                <patternFill>
                  <bgColor theme="0"/>
                </patternFill>
              </fill>
            </x14:dxf>
          </x14:cfRule>
          <xm:sqref>V179:V181</xm:sqref>
        </x14:conditionalFormatting>
        <x14:conditionalFormatting xmlns:xm="http://schemas.microsoft.com/office/excel/2006/main">
          <x14:cfRule type="expression" priority="1446" id="{EC96F803-68EB-422C-85D3-F19E95C35C07}">
            <xm:f>$AA$8='Assessment Details'!$Q$23</xm:f>
            <x14:dxf>
              <font>
                <color theme="0"/>
              </font>
              <fill>
                <patternFill>
                  <bgColor theme="0"/>
                </patternFill>
              </fill>
            </x14:dxf>
          </x14:cfRule>
          <x14:cfRule type="expression" priority="1445" id="{5CFF3259-D6B5-403F-B1C7-61A200BA1D99}">
            <xm:f>$AA$8='Assessment Details'!$Q$23</xm:f>
            <x14:dxf>
              <border>
                <left style="thin">
                  <color theme="0"/>
                </left>
                <right style="thin">
                  <color theme="0"/>
                </right>
                <top style="thin">
                  <color theme="0"/>
                </top>
                <bottom style="thin">
                  <color theme="0"/>
                </bottom>
                <vertical/>
                <horizontal/>
              </border>
            </x14:dxf>
          </x14:cfRule>
          <xm:sqref>V183</xm:sqref>
        </x14:conditionalFormatting>
        <x14:conditionalFormatting xmlns:xm="http://schemas.microsoft.com/office/excel/2006/main">
          <x14:cfRule type="expression" priority="977" id="{9EF85750-6FC4-475C-8C83-DFB11D4C3DA0}">
            <xm:f>$AA$8='Assessment Details'!$Q$23</xm:f>
            <x14:dxf>
              <font>
                <color theme="0"/>
              </font>
              <fill>
                <patternFill>
                  <bgColor theme="0"/>
                </patternFill>
              </fill>
            </x14:dxf>
          </x14:cfRule>
          <x14:cfRule type="expression" priority="976" id="{6010812E-E8F6-4C2D-B2E1-5E66992EFB0A}">
            <xm:f>$AA$8='Assessment Details'!$Q$23</xm:f>
            <x14:dxf>
              <border>
                <left style="thin">
                  <color theme="0"/>
                </left>
                <right style="thin">
                  <color theme="0"/>
                </right>
                <top style="thin">
                  <color theme="0"/>
                </top>
                <bottom style="thin">
                  <color theme="0"/>
                </bottom>
                <vertical/>
                <horizontal/>
              </border>
            </x14:dxf>
          </x14:cfRule>
          <xm:sqref>V185:V186</xm:sqref>
        </x14:conditionalFormatting>
        <x14:conditionalFormatting xmlns:xm="http://schemas.microsoft.com/office/excel/2006/main">
          <x14:cfRule type="expression" priority="973" id="{0D72CF25-68DE-4A74-8636-9DAF8D6D6513}">
            <xm:f>$AA$8='Assessment Details'!$Q$23</xm:f>
            <x14:dxf>
              <font>
                <color theme="0"/>
              </font>
              <fill>
                <patternFill>
                  <bgColor theme="0"/>
                </patternFill>
              </fill>
            </x14:dxf>
          </x14:cfRule>
          <x14:cfRule type="expression" priority="972" id="{0ADC0875-4C4C-4DE0-AB5F-F67641AFDAA8}">
            <xm:f>$AA$8='Assessment Details'!$Q$23</xm:f>
            <x14:dxf>
              <border>
                <left style="thin">
                  <color theme="0"/>
                </left>
                <right style="thin">
                  <color theme="0"/>
                </right>
                <top style="thin">
                  <color theme="0"/>
                </top>
                <bottom style="thin">
                  <color theme="0"/>
                </bottom>
                <vertical/>
                <horizontal/>
              </border>
            </x14:dxf>
          </x14:cfRule>
          <xm:sqref>V188:V192</xm:sqref>
        </x14:conditionalFormatting>
        <x14:conditionalFormatting xmlns:xm="http://schemas.microsoft.com/office/excel/2006/main">
          <x14:cfRule type="expression" priority="891" id="{6603C269-79BC-4AF0-A48B-5E9E9B275056}">
            <xm:f>$AA$8='Assessment Details'!$Q$23</xm:f>
            <x14:dxf>
              <border>
                <left style="thin">
                  <color theme="0"/>
                </left>
                <right style="thin">
                  <color theme="0"/>
                </right>
                <top style="thin">
                  <color theme="0"/>
                </top>
                <bottom style="thin">
                  <color theme="0"/>
                </bottom>
                <vertical/>
                <horizontal/>
              </border>
            </x14:dxf>
          </x14:cfRule>
          <x14:cfRule type="expression" priority="892" id="{878A2DCC-515D-4CD5-8B70-E72BA35F09A6}">
            <xm:f>$AA$8='Assessment Details'!$Q$23</xm:f>
            <x14:dxf>
              <font>
                <color theme="0"/>
              </font>
              <fill>
                <patternFill>
                  <bgColor theme="0"/>
                </patternFill>
              </fill>
            </x14:dxf>
          </x14:cfRule>
          <xm:sqref>V196:V199</xm:sqref>
        </x14:conditionalFormatting>
        <x14:conditionalFormatting xmlns:xm="http://schemas.microsoft.com/office/excel/2006/main">
          <x14:cfRule type="expression" priority="1330" id="{99BF82AF-6DDE-4C97-9EDE-55F2D2148B47}">
            <xm:f>$AA$8='Assessment Details'!$Q$23</xm:f>
            <x14:dxf>
              <font>
                <color theme="0"/>
              </font>
              <fill>
                <patternFill>
                  <bgColor theme="0"/>
                </patternFill>
              </fill>
            </x14:dxf>
          </x14:cfRule>
          <x14:cfRule type="expression" priority="1329" id="{786C99D9-805D-4EC4-AAA5-946042835C3F}">
            <xm:f>$AA$8='Assessment Details'!$Q$23</xm:f>
            <x14:dxf>
              <border>
                <left style="thin">
                  <color theme="0"/>
                </left>
                <right style="thin">
                  <color theme="0"/>
                </right>
                <top style="thin">
                  <color theme="0"/>
                </top>
                <bottom style="thin">
                  <color theme="0"/>
                </bottom>
                <vertical/>
                <horizontal/>
              </border>
            </x14:dxf>
          </x14:cfRule>
          <xm:sqref>V201:V202</xm:sqref>
        </x14:conditionalFormatting>
        <x14:conditionalFormatting xmlns:xm="http://schemas.microsoft.com/office/excel/2006/main">
          <x14:cfRule type="expression" priority="1300" id="{ED8048D2-72D6-46EC-B068-FC4231F93B04}">
            <xm:f>$AA$8='Assessment Details'!$Q$23</xm:f>
            <x14:dxf>
              <border>
                <left style="thin">
                  <color theme="0"/>
                </left>
                <right style="thin">
                  <color theme="0"/>
                </right>
                <top style="thin">
                  <color theme="0"/>
                </top>
                <bottom style="thin">
                  <color theme="0"/>
                </bottom>
                <vertical/>
                <horizontal/>
              </border>
            </x14:dxf>
          </x14:cfRule>
          <x14:cfRule type="expression" priority="1301" id="{227D99A2-8A89-4449-B850-632A63640735}">
            <xm:f>$AA$8='Assessment Details'!$Q$23</xm:f>
            <x14:dxf>
              <font>
                <color theme="0"/>
              </font>
              <fill>
                <patternFill>
                  <bgColor theme="0"/>
                </patternFill>
              </fill>
            </x14:dxf>
          </x14:cfRule>
          <xm:sqref>V204:V205</xm:sqref>
        </x14:conditionalFormatting>
        <x14:conditionalFormatting xmlns:xm="http://schemas.microsoft.com/office/excel/2006/main">
          <x14:cfRule type="expression" priority="1075" id="{43E8197F-C15F-4E6A-9D11-219C57008C5C}">
            <xm:f>$AA$8='Assessment Details'!$Q$23</xm:f>
            <x14:dxf>
              <font>
                <color theme="0"/>
              </font>
              <fill>
                <patternFill>
                  <bgColor theme="0"/>
                </patternFill>
              </fill>
            </x14:dxf>
          </x14:cfRule>
          <x14:cfRule type="expression" priority="1074" id="{F45E98F7-5F58-46EB-8121-5241DBEB9E82}">
            <xm:f>$AA$8='Assessment Details'!$Q$23</xm:f>
            <x14:dxf>
              <border>
                <left style="thin">
                  <color theme="0"/>
                </left>
                <right style="thin">
                  <color theme="0"/>
                </right>
                <top style="thin">
                  <color theme="0"/>
                </top>
                <bottom style="thin">
                  <color theme="0"/>
                </bottom>
                <vertical/>
                <horizontal/>
              </border>
            </x14:dxf>
          </x14:cfRule>
          <xm:sqref>V207:V209</xm:sqref>
        </x14:conditionalFormatting>
        <x14:conditionalFormatting xmlns:xm="http://schemas.microsoft.com/office/excel/2006/main">
          <x14:cfRule type="expression" priority="1062" id="{6A2E87DA-EB79-40E0-873E-702FD57712F9}">
            <xm:f>$AA$8='Assessment Details'!$Q$23</xm:f>
            <x14:dxf>
              <border>
                <left style="thin">
                  <color theme="0"/>
                </left>
                <right style="thin">
                  <color theme="0"/>
                </right>
                <top style="thin">
                  <color theme="0"/>
                </top>
                <bottom style="thin">
                  <color theme="0"/>
                </bottom>
                <vertical/>
                <horizontal/>
              </border>
            </x14:dxf>
          </x14:cfRule>
          <xm:sqref>V212:V226</xm:sqref>
        </x14:conditionalFormatting>
        <x14:conditionalFormatting xmlns:xm="http://schemas.microsoft.com/office/excel/2006/main">
          <x14:cfRule type="expression" priority="1063" id="{3B264B50-F180-4FE0-8A6C-12ECE604D2C9}">
            <xm:f>$AA$8='Assessment Details'!$Q$23</xm:f>
            <x14:dxf>
              <font>
                <color theme="0"/>
              </font>
              <fill>
                <patternFill>
                  <bgColor theme="0"/>
                </patternFill>
              </fill>
            </x14:dxf>
          </x14:cfRule>
          <xm:sqref>V221:V226</xm:sqref>
        </x14:conditionalFormatting>
        <x14:conditionalFormatting xmlns:xm="http://schemas.microsoft.com/office/excel/2006/main">
          <x14:cfRule type="expression" priority="4086" id="{548FE308-7257-4041-A67A-44E3146350BC}">
            <xm:f>$AA$8='Assessment Details'!$Q$23</xm:f>
            <x14:dxf>
              <border>
                <left style="thin">
                  <color theme="0"/>
                </left>
                <right style="thin">
                  <color theme="0"/>
                </right>
                <top style="thin">
                  <color theme="0"/>
                </top>
                <bottom style="thin">
                  <color theme="0"/>
                </bottom>
                <vertical/>
                <horizontal/>
              </border>
            </x14:dxf>
          </x14:cfRule>
          <xm:sqref>V36:W37 V64:W65 V93:W94 V102:W103 V116:W117 V146:W147 V161:W162 V193:W194 V210:W211 AA226 V251:Z252</xm:sqref>
        </x14:conditionalFormatting>
        <x14:conditionalFormatting xmlns:xm="http://schemas.microsoft.com/office/excel/2006/main">
          <x14:cfRule type="expression" priority="4236" id="{E03EFE18-FBBD-40FC-BDF3-34AF33D8729A}">
            <xm:f>$T$8='Assessment Details'!$Q$23</xm:f>
            <x14:dxf>
              <font>
                <color theme="0"/>
              </font>
              <fill>
                <patternFill>
                  <bgColor theme="0"/>
                </patternFill>
              </fill>
              <border>
                <vertical/>
                <horizontal/>
              </border>
            </x14:dxf>
          </x14:cfRule>
          <x14:cfRule type="expression" priority="4235" id="{1B409915-313F-482D-9590-169533B82CE8}">
            <xm:f>$T$8='Assessment Details'!$Q$23</xm:f>
            <x14:dxf>
              <border>
                <left style="thin">
                  <color theme="0"/>
                </left>
                <right style="thin">
                  <color theme="0"/>
                </right>
                <top style="thin">
                  <color theme="0"/>
                </top>
                <bottom style="thin">
                  <color theme="0"/>
                </bottom>
                <vertical/>
                <horizontal/>
              </border>
            </x14:dxf>
          </x14:cfRule>
          <xm:sqref>V236:X236</xm:sqref>
        </x14:conditionalFormatting>
        <x14:conditionalFormatting xmlns:xm="http://schemas.microsoft.com/office/excel/2006/main">
          <x14:cfRule type="expression" priority="4087" id="{3E1A5667-438E-4E2D-A819-A6E789848E50}">
            <xm:f>$AA$8='Assessment Details'!$Q$23</xm:f>
            <x14:dxf>
              <font>
                <color theme="0"/>
              </font>
              <fill>
                <patternFill>
                  <bgColor theme="0"/>
                </patternFill>
              </fill>
            </x14:dxf>
          </x14:cfRule>
          <xm:sqref>V251:X252</xm:sqref>
        </x14:conditionalFormatting>
        <x14:conditionalFormatting xmlns:xm="http://schemas.microsoft.com/office/excel/2006/main">
          <x14:cfRule type="expression" priority="3744" id="{77D1E0B0-30DF-4C79-9789-3D9EF437F938}">
            <xm:f>$AA$8='Assessment Details'!$Q$23</xm:f>
            <x14:dxf>
              <font>
                <color theme="0"/>
              </font>
              <fill>
                <patternFill>
                  <bgColor theme="0"/>
                </patternFill>
              </fill>
            </x14:dxf>
          </x14:cfRule>
          <x14:cfRule type="expression" priority="3743" id="{3612A464-E812-4286-B9F5-C19F3242B82C}">
            <xm:f>$AA$8='Assessment Details'!$Q$23</xm:f>
            <x14:dxf>
              <border>
                <left style="thin">
                  <color theme="0"/>
                </left>
                <right style="thin">
                  <color theme="0"/>
                </right>
                <top style="thin">
                  <color theme="0"/>
                </top>
                <bottom style="thin">
                  <color theme="0"/>
                </bottom>
                <vertical/>
                <horizontal/>
              </border>
            </x14:dxf>
          </x14:cfRule>
          <xm:sqref>V245:Z248</xm:sqref>
        </x14:conditionalFormatting>
        <x14:conditionalFormatting xmlns:xm="http://schemas.microsoft.com/office/excel/2006/main">
          <x14:cfRule type="expression" priority="4023" id="{05CD3DBD-1D3C-47C4-979A-3B6551DB1F7B}">
            <xm:f>$AA$8='Assessment Details'!$Q$23</xm:f>
            <x14:dxf>
              <font>
                <color theme="0"/>
              </font>
              <fill>
                <patternFill>
                  <bgColor theme="0"/>
                </patternFill>
              </fill>
            </x14:dxf>
          </x14:cfRule>
          <xm:sqref>V254:Z255</xm:sqref>
        </x14:conditionalFormatting>
        <x14:conditionalFormatting xmlns:xm="http://schemas.microsoft.com/office/excel/2006/main">
          <x14:cfRule type="expression" priority="3978" id="{666DDFF4-B863-47FE-ABF9-E2EE77E7729D}">
            <xm:f>$AA$8='Assessment Details'!$Q$23</xm:f>
            <x14:dxf>
              <border>
                <left style="thin">
                  <color theme="0"/>
                </left>
                <right style="thin">
                  <color theme="0"/>
                </right>
                <top style="thin">
                  <color theme="0"/>
                </top>
                <bottom style="thin">
                  <color theme="0"/>
                </bottom>
                <vertical/>
                <horizontal/>
              </border>
            </x14:dxf>
          </x14:cfRule>
          <xm:sqref>V254:Z259</xm:sqref>
        </x14:conditionalFormatting>
        <x14:conditionalFormatting xmlns:xm="http://schemas.microsoft.com/office/excel/2006/main">
          <x14:cfRule type="expression" priority="3979" id="{8171F4EA-E567-40FF-BC0B-6FCFBEC7F2DA}">
            <xm:f>$AA$8='Assessment Details'!$Q$23</xm:f>
            <x14:dxf>
              <font>
                <color theme="0"/>
              </font>
              <fill>
                <patternFill>
                  <bgColor theme="0"/>
                </patternFill>
              </fill>
            </x14:dxf>
          </x14:cfRule>
          <xm:sqref>V257:Z259</xm:sqref>
        </x14:conditionalFormatting>
        <x14:conditionalFormatting xmlns:xm="http://schemas.microsoft.com/office/excel/2006/main">
          <x14:cfRule type="expression" priority="4561" id="{EF72BBD8-21BF-47F9-A216-8FDC90D5599B}">
            <xm:f>$AA$8='Assessment Details'!$Q$23</xm:f>
            <x14:dxf>
              <border>
                <left style="thin">
                  <color theme="0"/>
                </left>
                <right style="thin">
                  <color theme="0"/>
                </right>
                <top style="thin">
                  <color theme="0"/>
                </top>
                <bottom style="thin">
                  <color theme="0"/>
                </bottom>
                <vertical/>
                <horizontal/>
              </border>
            </x14:dxf>
          </x14:cfRule>
          <xm:sqref>V9:AA10</xm:sqref>
        </x14:conditionalFormatting>
        <x14:conditionalFormatting xmlns:xm="http://schemas.microsoft.com/office/excel/2006/main">
          <x14:cfRule type="expression" priority="29" id="{30DBE182-A183-4E95-8D5A-A9F398975206}">
            <xm:f>$AA$8='Assessment Details'!$Q$23</xm:f>
            <x14:dxf>
              <font>
                <color theme="0"/>
              </font>
              <fill>
                <patternFill>
                  <bgColor theme="0"/>
                </patternFill>
              </fill>
              <border>
                <left/>
                <right/>
                <top/>
                <bottom/>
              </border>
            </x14:dxf>
          </x14:cfRule>
          <xm:sqref>V9:AA226</xm:sqref>
        </x14:conditionalFormatting>
        <x14:conditionalFormatting xmlns:xm="http://schemas.microsoft.com/office/excel/2006/main">
          <x14:cfRule type="expression" priority="626" id="{8549E820-C377-48FD-A48B-8593111D4F8A}">
            <xm:f>$T$8='Assessment Details'!$Q$23</xm:f>
            <x14:dxf>
              <font>
                <color theme="0"/>
              </font>
              <fill>
                <patternFill>
                  <bgColor theme="0"/>
                </patternFill>
              </fill>
              <border>
                <vertical/>
                <horizontal/>
              </border>
            </x14:dxf>
          </x14:cfRule>
          <x14:cfRule type="expression" priority="625" id="{3A81CF31-E8DE-433C-BBAB-BC4BC823E4CF}">
            <xm:f>$T$8='Assessment Details'!$Q$23</xm:f>
            <x14:dxf>
              <border>
                <left style="thin">
                  <color theme="0"/>
                </left>
                <right style="thin">
                  <color theme="0"/>
                </right>
                <top style="thin">
                  <color theme="0"/>
                </top>
                <bottom style="thin">
                  <color theme="0"/>
                </bottom>
                <vertical/>
                <horizontal/>
              </border>
            </x14:dxf>
          </x14:cfRule>
          <xm:sqref>X36:X37</xm:sqref>
        </x14:conditionalFormatting>
        <x14:conditionalFormatting xmlns:xm="http://schemas.microsoft.com/office/excel/2006/main">
          <x14:cfRule type="expression" priority="618" id="{B29C4BCE-0079-496D-8EDC-BDB4F14A6BE5}">
            <xm:f>$T$8='Assessment Details'!$Q$23</xm:f>
            <x14:dxf>
              <border>
                <left style="thin">
                  <color theme="0"/>
                </left>
                <right style="thin">
                  <color theme="0"/>
                </right>
                <top style="thin">
                  <color theme="0"/>
                </top>
                <bottom style="thin">
                  <color theme="0"/>
                </bottom>
                <vertical/>
                <horizontal/>
              </border>
            </x14:dxf>
          </x14:cfRule>
          <x14:cfRule type="expression" priority="619" id="{56AD95EA-5B74-4280-B8EE-32D6E0A2A840}">
            <xm:f>$T$8='Assessment Details'!$Q$23</xm:f>
            <x14:dxf>
              <font>
                <color theme="0"/>
              </font>
              <fill>
                <patternFill>
                  <bgColor theme="0"/>
                </patternFill>
              </fill>
              <border>
                <vertical/>
                <horizontal/>
              </border>
            </x14:dxf>
          </x14:cfRule>
          <xm:sqref>X64:X65</xm:sqref>
        </x14:conditionalFormatting>
        <x14:conditionalFormatting xmlns:xm="http://schemas.microsoft.com/office/excel/2006/main">
          <x14:cfRule type="expression" priority="612" id="{703C8C6D-B206-4EA6-8EF5-42C47E7733B6}">
            <xm:f>$T$8='Assessment Details'!$Q$23</xm:f>
            <x14:dxf>
              <font>
                <color theme="0"/>
              </font>
              <fill>
                <patternFill>
                  <bgColor theme="0"/>
                </patternFill>
              </fill>
              <border>
                <vertical/>
                <horizontal/>
              </border>
            </x14:dxf>
          </x14:cfRule>
          <x14:cfRule type="expression" priority="611" id="{FCC3926C-CE4D-447F-B735-42A02E10F3CC}">
            <xm:f>$T$8='Assessment Details'!$Q$23</xm:f>
            <x14:dxf>
              <border>
                <left style="thin">
                  <color theme="0"/>
                </left>
                <right style="thin">
                  <color theme="0"/>
                </right>
                <top style="thin">
                  <color theme="0"/>
                </top>
                <bottom style="thin">
                  <color theme="0"/>
                </bottom>
                <vertical/>
                <horizontal/>
              </border>
            </x14:dxf>
          </x14:cfRule>
          <xm:sqref>X93:X94</xm:sqref>
        </x14:conditionalFormatting>
        <x14:conditionalFormatting xmlns:xm="http://schemas.microsoft.com/office/excel/2006/main">
          <x14:cfRule type="expression" priority="604" id="{B7DC1EBD-D6C5-4B8C-8B3A-9E4F0FEC1CB8}">
            <xm:f>$T$8='Assessment Details'!$Q$23</xm:f>
            <x14:dxf>
              <border>
                <left style="thin">
                  <color theme="0"/>
                </left>
                <right style="thin">
                  <color theme="0"/>
                </right>
                <top style="thin">
                  <color theme="0"/>
                </top>
                <bottom style="thin">
                  <color theme="0"/>
                </bottom>
                <vertical/>
                <horizontal/>
              </border>
            </x14:dxf>
          </x14:cfRule>
          <x14:cfRule type="expression" priority="605" id="{34E6D511-70AB-4E9D-B5C3-3CA4966EA31C}">
            <xm:f>$T$8='Assessment Details'!$Q$23</xm:f>
            <x14:dxf>
              <font>
                <color theme="0"/>
              </font>
              <fill>
                <patternFill>
                  <bgColor theme="0"/>
                </patternFill>
              </fill>
              <border>
                <vertical/>
                <horizontal/>
              </border>
            </x14:dxf>
          </x14:cfRule>
          <xm:sqref>X102:X103</xm:sqref>
        </x14:conditionalFormatting>
        <x14:conditionalFormatting xmlns:xm="http://schemas.microsoft.com/office/excel/2006/main">
          <x14:cfRule type="expression" priority="598" id="{F94B71A7-BD36-4236-A6DC-1AAF0A79DA9C}">
            <xm:f>$T$8='Assessment Details'!$Q$23</xm:f>
            <x14:dxf>
              <font>
                <color theme="0"/>
              </font>
              <fill>
                <patternFill>
                  <bgColor theme="0"/>
                </patternFill>
              </fill>
              <border>
                <vertical/>
                <horizontal/>
              </border>
            </x14:dxf>
          </x14:cfRule>
          <x14:cfRule type="expression" priority="597" id="{33E3661B-D345-4D41-B2F3-A7D4897D48C9}">
            <xm:f>$T$8='Assessment Details'!$Q$23</xm:f>
            <x14:dxf>
              <border>
                <left style="thin">
                  <color theme="0"/>
                </left>
                <right style="thin">
                  <color theme="0"/>
                </right>
                <top style="thin">
                  <color theme="0"/>
                </top>
                <bottom style="thin">
                  <color theme="0"/>
                </bottom>
                <vertical/>
                <horizontal/>
              </border>
            </x14:dxf>
          </x14:cfRule>
          <xm:sqref>X116:X117</xm:sqref>
        </x14:conditionalFormatting>
        <x14:conditionalFormatting xmlns:xm="http://schemas.microsoft.com/office/excel/2006/main">
          <x14:cfRule type="expression" priority="591" id="{C86AD676-9B60-41E2-B9D1-2A4407514768}">
            <xm:f>$T$8='Assessment Details'!$Q$23</xm:f>
            <x14:dxf>
              <font>
                <color theme="0"/>
              </font>
              <fill>
                <patternFill>
                  <bgColor theme="0"/>
                </patternFill>
              </fill>
              <border>
                <vertical/>
                <horizontal/>
              </border>
            </x14:dxf>
          </x14:cfRule>
          <x14:cfRule type="expression" priority="590" id="{B009EFF1-5C4E-404B-97CB-A75E98C24251}">
            <xm:f>$T$8='Assessment Details'!$Q$23</xm:f>
            <x14:dxf>
              <border>
                <left style="thin">
                  <color theme="0"/>
                </left>
                <right style="thin">
                  <color theme="0"/>
                </right>
                <top style="thin">
                  <color theme="0"/>
                </top>
                <bottom style="thin">
                  <color theme="0"/>
                </bottom>
                <vertical/>
                <horizontal/>
              </border>
            </x14:dxf>
          </x14:cfRule>
          <xm:sqref>X146:X147</xm:sqref>
        </x14:conditionalFormatting>
        <x14:conditionalFormatting xmlns:xm="http://schemas.microsoft.com/office/excel/2006/main">
          <x14:cfRule type="expression" priority="583" id="{F0873F40-3A68-4411-B534-637CE6F9DFA3}">
            <xm:f>$T$8='Assessment Details'!$Q$23</xm:f>
            <x14:dxf>
              <border>
                <left style="thin">
                  <color theme="0"/>
                </left>
                <right style="thin">
                  <color theme="0"/>
                </right>
                <top style="thin">
                  <color theme="0"/>
                </top>
                <bottom style="thin">
                  <color theme="0"/>
                </bottom>
                <vertical/>
                <horizontal/>
              </border>
            </x14:dxf>
          </x14:cfRule>
          <x14:cfRule type="expression" priority="584" id="{6323C794-8A7C-4992-8E90-CAF3FDDFA08D}">
            <xm:f>$T$8='Assessment Details'!$Q$23</xm:f>
            <x14:dxf>
              <font>
                <color theme="0"/>
              </font>
              <fill>
                <patternFill>
                  <bgColor theme="0"/>
                </patternFill>
              </fill>
              <border>
                <vertical/>
                <horizontal/>
              </border>
            </x14:dxf>
          </x14:cfRule>
          <xm:sqref>X161:X162</xm:sqref>
        </x14:conditionalFormatting>
        <x14:conditionalFormatting xmlns:xm="http://schemas.microsoft.com/office/excel/2006/main">
          <x14:cfRule type="expression" priority="577" id="{FCD05809-E385-43B1-BEE9-32BBF65D574F}">
            <xm:f>$T$8='Assessment Details'!$Q$23</xm:f>
            <x14:dxf>
              <font>
                <color theme="0"/>
              </font>
              <fill>
                <patternFill>
                  <bgColor theme="0"/>
                </patternFill>
              </fill>
              <border>
                <vertical/>
                <horizontal/>
              </border>
            </x14:dxf>
          </x14:cfRule>
          <x14:cfRule type="expression" priority="576" id="{7FDAF1A2-2419-4B82-B8EF-8158B62BB591}">
            <xm:f>$T$8='Assessment Details'!$Q$23</xm:f>
            <x14:dxf>
              <border>
                <left style="thin">
                  <color theme="0"/>
                </left>
                <right style="thin">
                  <color theme="0"/>
                </right>
                <top style="thin">
                  <color theme="0"/>
                </top>
                <bottom style="thin">
                  <color theme="0"/>
                </bottom>
                <vertical/>
                <horizontal/>
              </border>
            </x14:dxf>
          </x14:cfRule>
          <xm:sqref>X193:X194</xm:sqref>
        </x14:conditionalFormatting>
        <x14:conditionalFormatting xmlns:xm="http://schemas.microsoft.com/office/excel/2006/main">
          <x14:cfRule type="expression" priority="569" id="{E1516C20-E913-452D-8F9C-E50184B72040}">
            <xm:f>$T$8='Assessment Details'!$Q$23</xm:f>
            <x14:dxf>
              <border>
                <left style="thin">
                  <color theme="0"/>
                </left>
                <right style="thin">
                  <color theme="0"/>
                </right>
                <top style="thin">
                  <color theme="0"/>
                </top>
                <bottom style="thin">
                  <color theme="0"/>
                </bottom>
                <vertical/>
                <horizontal/>
              </border>
            </x14:dxf>
          </x14:cfRule>
          <x14:cfRule type="expression" priority="570" id="{A07BA65D-7D48-4F65-A996-E0325805E0BB}">
            <xm:f>$T$8='Assessment Details'!$Q$23</xm:f>
            <x14:dxf>
              <font>
                <color theme="0"/>
              </font>
              <fill>
                <patternFill>
                  <bgColor theme="0"/>
                </patternFill>
              </fill>
              <border>
                <vertical/>
                <horizontal/>
              </border>
            </x14:dxf>
          </x14:cfRule>
          <xm:sqref>X210:X211</xm:sqref>
        </x14:conditionalFormatting>
        <x14:conditionalFormatting xmlns:xm="http://schemas.microsoft.com/office/excel/2006/main">
          <x14:cfRule type="expression" priority="99" id="{52397341-4709-4971-B9C3-8F664875CBFF}">
            <xm:f>$AA$8='Assessment Details'!$Q$23</xm:f>
            <x14:dxf>
              <border>
                <left style="thin">
                  <color theme="0"/>
                </left>
                <right style="thin">
                  <color theme="0"/>
                </right>
                <top style="thin">
                  <color theme="0"/>
                </top>
                <bottom style="thin">
                  <color theme="0"/>
                </bottom>
                <vertical/>
                <horizontal/>
              </border>
            </x14:dxf>
          </x14:cfRule>
          <xm:sqref>Y11:Z226</xm:sqref>
        </x14:conditionalFormatting>
        <x14:conditionalFormatting xmlns:xm="http://schemas.microsoft.com/office/excel/2006/main">
          <x14:cfRule type="expression" priority="748" id="{A8780FD0-5326-4D6A-AA5A-EF2B796DECD5}">
            <xm:f>$AA$8='Assessment Details'!$Q$23</xm:f>
            <x14:dxf>
              <font>
                <color theme="0"/>
              </font>
              <fill>
                <patternFill>
                  <bgColor theme="0"/>
                </patternFill>
              </fill>
            </x14:dxf>
          </x14:cfRule>
          <xm:sqref>Y12:Z16</xm:sqref>
        </x14:conditionalFormatting>
        <x14:conditionalFormatting xmlns:xm="http://schemas.microsoft.com/office/excel/2006/main">
          <x14:cfRule type="expression" priority="841" id="{4CF4F4F0-C7CE-4D35-BFC6-31BEBFEB74CC}">
            <xm:f>$AA$8='Assessment Details'!$Q$23</xm:f>
            <x14:dxf>
              <font>
                <color theme="0"/>
              </font>
              <fill>
                <patternFill>
                  <bgColor theme="0"/>
                </patternFill>
              </fill>
            </x14:dxf>
          </x14:cfRule>
          <xm:sqref>Y21:Z26</xm:sqref>
        </x14:conditionalFormatting>
        <x14:conditionalFormatting xmlns:xm="http://schemas.microsoft.com/office/excel/2006/main">
          <x14:cfRule type="expression" priority="3521" id="{017C0CD2-BFC7-4472-8A84-D25E983FAB4B}">
            <xm:f>$AA$8='Assessment Details'!$Q$23</xm:f>
            <x14:dxf>
              <font>
                <color theme="0"/>
              </font>
              <fill>
                <patternFill>
                  <bgColor theme="0"/>
                </patternFill>
              </fill>
            </x14:dxf>
          </x14:cfRule>
          <xm:sqref>Y28:Z30</xm:sqref>
        </x14:conditionalFormatting>
        <x14:conditionalFormatting xmlns:xm="http://schemas.microsoft.com/office/excel/2006/main">
          <x14:cfRule type="expression" priority="3473" id="{56402DFA-9922-456D-8512-574F77753863}">
            <xm:f>$AA$8='Assessment Details'!$Q$23</xm:f>
            <x14:dxf>
              <font>
                <color theme="0"/>
              </font>
              <fill>
                <patternFill>
                  <bgColor theme="0"/>
                </patternFill>
              </fill>
            </x14:dxf>
          </x14:cfRule>
          <xm:sqref>Y32:Z34</xm:sqref>
        </x14:conditionalFormatting>
        <x14:conditionalFormatting xmlns:xm="http://schemas.microsoft.com/office/excel/2006/main">
          <x14:cfRule type="expression" priority="2331" id="{A4F5DEDE-ED55-4EA4-9A3D-3AE3E3BE1DDC}">
            <xm:f>$AA$8='Assessment Details'!$Q$23</xm:f>
            <x14:dxf>
              <font>
                <color theme="0"/>
              </font>
              <fill>
                <patternFill>
                  <bgColor theme="0"/>
                </patternFill>
              </fill>
            </x14:dxf>
          </x14:cfRule>
          <xm:sqref>Y38:Z62</xm:sqref>
        </x14:conditionalFormatting>
        <x14:conditionalFormatting xmlns:xm="http://schemas.microsoft.com/office/excel/2006/main">
          <x14:cfRule type="expression" priority="813" id="{609FE846-1353-46BF-8A8E-52297A2A302F}">
            <xm:f>$AA$8='Assessment Details'!$Q$23</xm:f>
            <x14:dxf>
              <font>
                <color theme="0"/>
              </font>
              <fill>
                <patternFill>
                  <bgColor theme="0"/>
                </patternFill>
              </fill>
            </x14:dxf>
          </x14:cfRule>
          <xm:sqref>Y66:Z85</xm:sqref>
        </x14:conditionalFormatting>
        <x14:conditionalFormatting xmlns:xm="http://schemas.microsoft.com/office/excel/2006/main">
          <x14:cfRule type="expression" priority="2128" id="{5664C6BB-F929-4B99-B383-9CE7C18DE75F}">
            <xm:f>$AA$8='Assessment Details'!$Q$23</xm:f>
            <x14:dxf>
              <font>
                <color theme="0"/>
              </font>
              <fill>
                <patternFill>
                  <bgColor theme="0"/>
                </patternFill>
              </fill>
            </x14:dxf>
          </x14:cfRule>
          <xm:sqref>Y87:Z91</xm:sqref>
        </x14:conditionalFormatting>
        <x14:conditionalFormatting xmlns:xm="http://schemas.microsoft.com/office/excel/2006/main">
          <x14:cfRule type="expression" priority="778" id="{369EE6F7-B847-4C15-9E39-4DF832F655E4}">
            <xm:f>$AA$8='Assessment Details'!$Q$23</xm:f>
            <x14:dxf>
              <font>
                <color theme="0"/>
              </font>
              <fill>
                <patternFill>
                  <bgColor theme="0"/>
                </patternFill>
              </fill>
            </x14:dxf>
          </x14:cfRule>
          <xm:sqref>Y95:Z100</xm:sqref>
        </x14:conditionalFormatting>
        <x14:conditionalFormatting xmlns:xm="http://schemas.microsoft.com/office/excel/2006/main">
          <x14:cfRule type="expression" priority="171" id="{221EEEEE-A194-4069-968F-DD9AB90A71E1}">
            <xm:f>$AA$8='Assessment Details'!$Q$23</xm:f>
            <x14:dxf>
              <font>
                <color theme="0"/>
              </font>
              <fill>
                <patternFill>
                  <bgColor theme="0"/>
                </patternFill>
              </fill>
            </x14:dxf>
          </x14:cfRule>
          <xm:sqref>Y104:Z114</xm:sqref>
        </x14:conditionalFormatting>
        <x14:conditionalFormatting xmlns:xm="http://schemas.microsoft.com/office/excel/2006/main">
          <x14:cfRule type="expression" priority="100" id="{F4FCB03C-9991-4657-B3A4-C172320EADE2}">
            <xm:f>$AA$8='Assessment Details'!$Q$23</xm:f>
            <x14:dxf>
              <font>
                <color theme="0"/>
              </font>
              <fill>
                <patternFill>
                  <bgColor theme="0"/>
                </patternFill>
              </fill>
            </x14:dxf>
          </x14:cfRule>
          <xm:sqref>Y118:Z144</xm:sqref>
        </x14:conditionalFormatting>
        <x14:conditionalFormatting xmlns:xm="http://schemas.microsoft.com/office/excel/2006/main">
          <x14:cfRule type="expression" priority="130" id="{CB7E89B4-EAD9-4F74-9F14-36721AD881AE}">
            <xm:f>$AA$8='Assessment Details'!$Q$23</xm:f>
            <x14:dxf>
              <font>
                <color theme="0"/>
              </font>
              <fill>
                <patternFill>
                  <bgColor theme="0"/>
                </patternFill>
              </fill>
            </x14:dxf>
          </x14:cfRule>
          <xm:sqref>Y148:Z159</xm:sqref>
        </x14:conditionalFormatting>
        <x14:conditionalFormatting xmlns:xm="http://schemas.microsoft.com/office/excel/2006/main">
          <x14:cfRule type="expression" priority="221" id="{B2FC46A1-2C92-496B-9E89-791D09A9AF0B}">
            <xm:f>$AA$8='Assessment Details'!$Q$23</xm:f>
            <x14:dxf>
              <font>
                <color theme="0"/>
              </font>
              <fill>
                <patternFill>
                  <bgColor theme="0"/>
                </patternFill>
              </fill>
            </x14:dxf>
          </x14:cfRule>
          <xm:sqref>Y163:Z171</xm:sqref>
        </x14:conditionalFormatting>
        <x14:conditionalFormatting xmlns:xm="http://schemas.microsoft.com/office/excel/2006/main">
          <x14:cfRule type="expression" priority="1403" id="{12FE712B-FA74-4B7D-9AE3-59C41D8B7D36}">
            <xm:f>$AA$8='Assessment Details'!$Q$23</xm:f>
            <x14:dxf>
              <font>
                <color theme="0"/>
              </font>
              <fill>
                <patternFill>
                  <bgColor theme="0"/>
                </patternFill>
              </fill>
            </x14:dxf>
          </x14:cfRule>
          <xm:sqref>Y174:Z191</xm:sqref>
        </x14:conditionalFormatting>
        <x14:conditionalFormatting xmlns:xm="http://schemas.microsoft.com/office/excel/2006/main">
          <x14:cfRule type="expression" priority="919" id="{70D6E1F0-AB43-49B6-A6D2-18A2BF9BD4BF}">
            <xm:f>$AA$8='Assessment Details'!$Q$23</xm:f>
            <x14:dxf>
              <font>
                <color theme="0"/>
              </font>
              <fill>
                <patternFill>
                  <bgColor theme="0"/>
                </patternFill>
              </fill>
            </x14:dxf>
          </x14:cfRule>
          <xm:sqref>Y195:Z208</xm:sqref>
        </x14:conditionalFormatting>
        <x14:conditionalFormatting xmlns:xm="http://schemas.microsoft.com/office/excel/2006/main">
          <x14:cfRule type="expression" priority="4246" id="{003CF9C3-5882-4AE5-9825-DD5F562997CA}">
            <xm:f>$AA$8='Assessment Details'!$Q$23</xm:f>
            <x14:dxf>
              <font>
                <color theme="0"/>
              </font>
              <fill>
                <patternFill>
                  <bgColor theme="0"/>
                </patternFill>
              </fill>
            </x14:dxf>
          </x14:cfRule>
          <x14:cfRule type="expression" priority="4245" id="{506DB9F6-CF47-4A3E-8BDC-0CF6F0FB1801}">
            <xm:f>$AA$8='Assessment Details'!$Q$23</xm:f>
            <x14:dxf>
              <border>
                <left style="thin">
                  <color theme="0"/>
                </left>
                <right style="thin">
                  <color theme="0"/>
                </right>
                <top style="thin">
                  <color theme="0"/>
                </top>
                <bottom style="thin">
                  <color theme="0"/>
                </bottom>
                <vertical/>
                <horizontal/>
              </border>
            </x14:dxf>
          </x14:cfRule>
          <xm:sqref>Y236:Z236</xm:sqref>
        </x14:conditionalFormatting>
        <x14:conditionalFormatting xmlns:xm="http://schemas.microsoft.com/office/excel/2006/main">
          <x14:cfRule type="expression" priority="4102" id="{089B1A5E-D6F8-4926-BCCD-A2B7E5A02655}">
            <xm:f>$AA$8='Assessment Details'!$Q$23</xm:f>
            <x14:dxf>
              <font>
                <color theme="0"/>
              </font>
              <fill>
                <patternFill>
                  <bgColor theme="0"/>
                </patternFill>
              </fill>
            </x14:dxf>
          </x14:cfRule>
          <xm:sqref>Y252:Z252</xm:sqref>
        </x14:conditionalFormatting>
        <x14:conditionalFormatting xmlns:xm="http://schemas.microsoft.com/office/excel/2006/main">
          <x14:cfRule type="expression" priority="4489" id="{DD02E5C0-2556-4DD5-BD85-B262FB3B1D1C}">
            <xm:f>$AA$8='Assessment Details'!$Q$23</xm:f>
            <x14:dxf>
              <border>
                <left style="thin">
                  <color theme="0"/>
                </left>
                <right style="thin">
                  <color theme="0"/>
                </right>
                <top style="thin">
                  <color theme="0"/>
                </top>
                <bottom style="thin">
                  <color theme="0"/>
                </bottom>
                <vertical/>
                <horizontal/>
              </border>
            </x14:dxf>
          </x14:cfRule>
          <x14:cfRule type="expression" priority="4490" id="{3B48386A-6E88-435D-96E3-7ECE48307FC5}">
            <xm:f>$AA$8='Assessment Details'!$Q$23</xm:f>
            <x14:dxf>
              <font>
                <color theme="0"/>
              </font>
              <fill>
                <patternFill>
                  <bgColor theme="0"/>
                </patternFill>
              </fill>
            </x14:dxf>
          </x14:cfRule>
          <xm:sqref>AC9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9DD9B8DC-50C3-42AA-B785-0ACAAF7B8138}">
          <x14:formula1>
            <xm:f>'Assessment Details'!$R$51:$R$53</xm:f>
          </x14:formula1>
          <xm:sqref>H236 V236:X236 O236:Q236</xm:sqref>
        </x14:dataValidation>
        <x14:dataValidation type="list" allowBlank="1" showInputMessage="1" showErrorMessage="1" xr:uid="{7DE43009-7353-4701-B7CF-95630AC842DF}">
          <x14:formula1>
            <xm:f>'Assessment Details'!$S$51:$S$54</xm:f>
          </x14:formula1>
          <xm:sqref>H246 V246:X246 O246:Q246</xm:sqref>
        </x14:dataValidation>
        <x14:dataValidation type="list" allowBlank="1" showInputMessage="1" showErrorMessage="1" xr:uid="{5D177215-4930-400E-A3FB-EDCFC4BEE1FF}">
          <x14:formula1>
            <xm:f>'Assessment Details'!$Y$51:$Y$54</xm:f>
          </x14:formula1>
          <xm:sqref>H259 V259:X259 O259:Q259</xm:sqref>
        </x14:dataValidation>
        <x14:dataValidation type="list" allowBlank="1" showInputMessage="1" showErrorMessage="1" xr:uid="{1E93DD87-5A0C-4126-B9A3-5DAD71ABAFE9}">
          <x14:formula1>
            <xm:f>'Assessment Details'!$V$51:$V$53</xm:f>
          </x14:formula1>
          <xm:sqref>H254 V254:X254 O254:Q254</xm:sqref>
        </x14:dataValidation>
        <x14:dataValidation type="list" allowBlank="1" showInputMessage="1" showErrorMessage="1" xr:uid="{132D4D07-9028-4ECD-B9C8-6A71A2814CDB}">
          <x14:formula1>
            <xm:f>'Assessment Details'!$T$51:$T$53</xm:f>
          </x14:formula1>
          <xm:sqref>H247 V247:X247 O247:Q247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C7407-5863-4540-8005-DCA0DF80D7D1}">
  <dimension ref="B3:F158"/>
  <sheetViews>
    <sheetView workbookViewId="0">
      <selection activeCell="I36" sqref="I36"/>
    </sheetView>
  </sheetViews>
  <sheetFormatPr baseColWidth="10" defaultColWidth="8.7109375" defaultRowHeight="15" x14ac:dyDescent="0.25"/>
  <cols>
    <col min="2" max="2" width="15.140625" bestFit="1" customWidth="1"/>
    <col min="3" max="3" width="71.85546875" bestFit="1" customWidth="1"/>
    <col min="5" max="5" width="22.42578125" bestFit="1" customWidth="1"/>
  </cols>
  <sheetData>
    <row r="3" spans="2:6" x14ac:dyDescent="0.25">
      <c r="B3" s="1130" t="s">
        <v>341</v>
      </c>
      <c r="C3" s="1130" t="s">
        <v>342</v>
      </c>
      <c r="D3" s="1132" t="s">
        <v>830</v>
      </c>
      <c r="E3" s="1130" t="s">
        <v>831</v>
      </c>
      <c r="F3" s="1131" t="s">
        <v>344</v>
      </c>
    </row>
    <row r="4" spans="2:6" x14ac:dyDescent="0.25">
      <c r="B4" s="1130"/>
      <c r="C4" s="1130"/>
      <c r="D4" s="1132"/>
      <c r="E4" s="1130"/>
      <c r="F4" s="1131"/>
    </row>
    <row r="5" spans="2:6" x14ac:dyDescent="0.25">
      <c r="B5" s="1130"/>
      <c r="C5" s="1130"/>
      <c r="D5" s="1132"/>
      <c r="E5" s="1130"/>
      <c r="F5" s="1131"/>
    </row>
    <row r="6" spans="2:6" x14ac:dyDescent="0.25">
      <c r="B6" s="305" t="s">
        <v>345</v>
      </c>
      <c r="C6" s="305"/>
      <c r="D6" s="772"/>
      <c r="E6" s="305"/>
      <c r="F6" s="770"/>
    </row>
    <row r="7" spans="2:6" x14ac:dyDescent="0.25">
      <c r="B7" s="1133" t="s">
        <v>91</v>
      </c>
      <c r="C7" s="1118" t="s">
        <v>832</v>
      </c>
      <c r="D7" s="1119"/>
      <c r="E7" s="1119"/>
      <c r="F7" s="1120"/>
    </row>
    <row r="8" spans="2:6" x14ac:dyDescent="0.25">
      <c r="B8" s="1134"/>
      <c r="C8" s="308" t="s">
        <v>585</v>
      </c>
      <c r="D8" s="773">
        <v>1</v>
      </c>
      <c r="E8" s="780">
        <v>1</v>
      </c>
      <c r="F8" s="781" t="s">
        <v>346</v>
      </c>
    </row>
    <row r="9" spans="2:6" x14ac:dyDescent="0.25">
      <c r="B9" s="1134"/>
      <c r="C9" s="308" t="s">
        <v>586</v>
      </c>
      <c r="D9" s="773">
        <v>1</v>
      </c>
      <c r="E9" s="780">
        <v>1</v>
      </c>
      <c r="F9" s="781" t="s">
        <v>346</v>
      </c>
    </row>
    <row r="10" spans="2:6" x14ac:dyDescent="0.25">
      <c r="B10" s="1134"/>
      <c r="C10" s="308" t="s">
        <v>587</v>
      </c>
      <c r="D10" s="773">
        <v>2</v>
      </c>
      <c r="E10" s="780">
        <v>2</v>
      </c>
      <c r="F10" s="781" t="s">
        <v>346</v>
      </c>
    </row>
    <row r="11" spans="2:6" x14ac:dyDescent="0.25">
      <c r="B11" s="1135"/>
      <c r="C11" s="308" t="s">
        <v>588</v>
      </c>
      <c r="D11" s="773">
        <v>1</v>
      </c>
      <c r="E11" s="780">
        <v>1</v>
      </c>
      <c r="F11" s="781" t="s">
        <v>346</v>
      </c>
    </row>
    <row r="12" spans="2:6" x14ac:dyDescent="0.25">
      <c r="B12" s="1133" t="s">
        <v>92</v>
      </c>
      <c r="C12" s="1118" t="s">
        <v>833</v>
      </c>
      <c r="D12" s="1119"/>
      <c r="E12" s="1119"/>
      <c r="F12" s="1120"/>
    </row>
    <row r="13" spans="2:6" x14ac:dyDescent="0.25">
      <c r="B13" s="1134"/>
      <c r="C13" s="308" t="s">
        <v>590</v>
      </c>
      <c r="D13" s="773">
        <v>2</v>
      </c>
      <c r="E13" s="782">
        <v>2</v>
      </c>
      <c r="F13" s="781" t="s">
        <v>346</v>
      </c>
    </row>
    <row r="14" spans="2:6" x14ac:dyDescent="0.25">
      <c r="B14" s="1135"/>
      <c r="C14" s="308" t="s">
        <v>591</v>
      </c>
      <c r="D14" s="773">
        <v>1</v>
      </c>
      <c r="E14" s="782">
        <v>1</v>
      </c>
      <c r="F14" s="781" t="s">
        <v>346</v>
      </c>
    </row>
    <row r="15" spans="2:6" x14ac:dyDescent="0.25">
      <c r="B15" s="1133" t="s">
        <v>93</v>
      </c>
      <c r="C15" s="1118" t="s">
        <v>347</v>
      </c>
      <c r="D15" s="1119"/>
      <c r="E15" s="1119"/>
      <c r="F15" s="1120"/>
    </row>
    <row r="16" spans="2:6" x14ac:dyDescent="0.25">
      <c r="B16" s="1134"/>
      <c r="C16" s="308" t="s">
        <v>592</v>
      </c>
      <c r="D16" s="773">
        <v>1</v>
      </c>
      <c r="E16" s="780">
        <v>1</v>
      </c>
      <c r="F16" s="781" t="s">
        <v>346</v>
      </c>
    </row>
    <row r="17" spans="2:6" x14ac:dyDescent="0.25">
      <c r="B17" s="1134"/>
      <c r="C17" s="308" t="s">
        <v>593</v>
      </c>
      <c r="D17" s="773">
        <v>1</v>
      </c>
      <c r="E17" s="780">
        <v>1</v>
      </c>
      <c r="F17" s="781" t="s">
        <v>346</v>
      </c>
    </row>
    <row r="18" spans="2:6" x14ac:dyDescent="0.25">
      <c r="B18" s="1134"/>
      <c r="C18" s="308" t="s">
        <v>594</v>
      </c>
      <c r="D18" s="773">
        <v>2</v>
      </c>
      <c r="E18" s="780">
        <v>2</v>
      </c>
      <c r="F18" s="781" t="s">
        <v>346</v>
      </c>
    </row>
    <row r="19" spans="2:6" x14ac:dyDescent="0.25">
      <c r="B19" s="1135"/>
      <c r="C19" s="308" t="s">
        <v>595</v>
      </c>
      <c r="D19" s="773">
        <v>1</v>
      </c>
      <c r="E19" s="780">
        <v>1</v>
      </c>
      <c r="F19" s="781" t="s">
        <v>346</v>
      </c>
    </row>
    <row r="20" spans="2:6" x14ac:dyDescent="0.25">
      <c r="B20" s="1133" t="s">
        <v>94</v>
      </c>
      <c r="C20" s="1118" t="s">
        <v>348</v>
      </c>
      <c r="D20" s="1119"/>
      <c r="E20" s="1119"/>
      <c r="F20" s="1120"/>
    </row>
    <row r="21" spans="2:6" x14ac:dyDescent="0.25">
      <c r="B21" s="1134"/>
      <c r="C21" s="308" t="s">
        <v>596</v>
      </c>
      <c r="D21" s="773">
        <v>1</v>
      </c>
      <c r="E21" s="780">
        <v>1</v>
      </c>
      <c r="F21" s="781" t="s">
        <v>346</v>
      </c>
    </row>
    <row r="22" spans="2:6" x14ac:dyDescent="0.25">
      <c r="B22" s="1134"/>
      <c r="C22" s="308" t="s">
        <v>597</v>
      </c>
      <c r="D22" s="773">
        <v>1</v>
      </c>
      <c r="E22" s="780">
        <v>1</v>
      </c>
      <c r="F22" s="781" t="s">
        <v>346</v>
      </c>
    </row>
    <row r="23" spans="2:6" x14ac:dyDescent="0.25">
      <c r="B23" s="1135"/>
      <c r="C23" s="308" t="s">
        <v>598</v>
      </c>
      <c r="D23" s="773">
        <v>1</v>
      </c>
      <c r="E23" s="780">
        <v>1</v>
      </c>
      <c r="F23" s="781" t="s">
        <v>346</v>
      </c>
    </row>
    <row r="24" spans="2:6" x14ac:dyDescent="0.25">
      <c r="B24" s="1136" t="s">
        <v>95</v>
      </c>
      <c r="C24" s="1119" t="s">
        <v>349</v>
      </c>
      <c r="D24" s="1119"/>
      <c r="E24" s="1119"/>
      <c r="F24" s="1120"/>
    </row>
    <row r="25" spans="2:6" x14ac:dyDescent="0.25">
      <c r="B25" s="1137"/>
      <c r="C25" s="308" t="s">
        <v>599</v>
      </c>
      <c r="D25" s="773">
        <v>1</v>
      </c>
      <c r="E25" s="780">
        <v>1</v>
      </c>
      <c r="F25" s="781" t="s">
        <v>346</v>
      </c>
    </row>
    <row r="26" spans="2:6" x14ac:dyDescent="0.25">
      <c r="B26" s="1137"/>
      <c r="C26" s="308" t="s">
        <v>600</v>
      </c>
      <c r="D26" s="773">
        <v>1</v>
      </c>
      <c r="E26" s="780">
        <v>1</v>
      </c>
      <c r="F26" s="781" t="s">
        <v>346</v>
      </c>
    </row>
    <row r="27" spans="2:6" x14ac:dyDescent="0.25">
      <c r="B27" s="1137"/>
      <c r="C27" s="308" t="s">
        <v>601</v>
      </c>
      <c r="D27" s="773">
        <v>1</v>
      </c>
      <c r="E27" s="780">
        <v>1</v>
      </c>
      <c r="F27" s="781" t="s">
        <v>346</v>
      </c>
    </row>
    <row r="28" spans="2:6" x14ac:dyDescent="0.25">
      <c r="B28" s="307" t="s">
        <v>350</v>
      </c>
      <c r="C28" s="306"/>
      <c r="D28" s="774"/>
      <c r="E28" s="307"/>
      <c r="F28" s="783"/>
    </row>
    <row r="29" spans="2:6" x14ac:dyDescent="0.25">
      <c r="B29" s="1124" t="s">
        <v>116</v>
      </c>
      <c r="C29" s="1138" t="s">
        <v>834</v>
      </c>
      <c r="D29" s="1139"/>
      <c r="E29" s="1139"/>
      <c r="F29" s="1140"/>
    </row>
    <row r="30" spans="2:6" x14ac:dyDescent="0.25">
      <c r="B30" s="1125"/>
      <c r="C30" s="771" t="s">
        <v>602</v>
      </c>
      <c r="D30" s="773">
        <v>3</v>
      </c>
      <c r="E30" s="784">
        <v>3</v>
      </c>
      <c r="F30" s="785" t="s">
        <v>346</v>
      </c>
    </row>
    <row r="31" spans="2:6" x14ac:dyDescent="0.25">
      <c r="B31" s="1125"/>
      <c r="C31" s="771" t="s">
        <v>603</v>
      </c>
      <c r="D31" s="773">
        <v>1</v>
      </c>
      <c r="E31" s="786">
        <v>1</v>
      </c>
      <c r="F31" s="787" t="s">
        <v>346</v>
      </c>
    </row>
    <row r="32" spans="2:6" x14ac:dyDescent="0.25">
      <c r="B32" s="1125"/>
      <c r="C32" s="771" t="s">
        <v>604</v>
      </c>
      <c r="D32" s="773">
        <v>1</v>
      </c>
      <c r="E32" s="786">
        <v>1</v>
      </c>
      <c r="F32" s="787" t="s">
        <v>346</v>
      </c>
    </row>
    <row r="33" spans="2:6" x14ac:dyDescent="0.25">
      <c r="B33" s="1125"/>
      <c r="C33" s="771" t="s">
        <v>605</v>
      </c>
      <c r="D33" s="773" t="s">
        <v>234</v>
      </c>
      <c r="E33" s="786" t="s">
        <v>234</v>
      </c>
      <c r="F33" s="787" t="s">
        <v>351</v>
      </c>
    </row>
    <row r="34" spans="2:6" x14ac:dyDescent="0.25">
      <c r="B34" s="1126"/>
      <c r="C34" s="771" t="s">
        <v>606</v>
      </c>
      <c r="D34" s="773">
        <v>1</v>
      </c>
      <c r="E34" s="780">
        <v>1</v>
      </c>
      <c r="F34" s="785" t="s">
        <v>351</v>
      </c>
    </row>
    <row r="35" spans="2:6" x14ac:dyDescent="0.25">
      <c r="B35" s="1124" t="s">
        <v>117</v>
      </c>
      <c r="C35" s="1138" t="s">
        <v>835</v>
      </c>
      <c r="D35" s="1139"/>
      <c r="E35" s="1139"/>
      <c r="F35" s="1140"/>
    </row>
    <row r="36" spans="2:6" x14ac:dyDescent="0.25">
      <c r="B36" s="1125"/>
      <c r="C36" s="771" t="s">
        <v>608</v>
      </c>
      <c r="D36" s="773">
        <v>1</v>
      </c>
      <c r="E36" s="780">
        <v>1</v>
      </c>
      <c r="F36" s="785"/>
    </row>
    <row r="37" spans="2:6" x14ac:dyDescent="0.25">
      <c r="B37" s="1125"/>
      <c r="C37" s="309" t="s">
        <v>609</v>
      </c>
      <c r="D37" s="773">
        <v>2</v>
      </c>
      <c r="E37" s="780">
        <v>2</v>
      </c>
      <c r="F37" s="785" t="s">
        <v>346</v>
      </c>
    </row>
    <row r="38" spans="2:6" x14ac:dyDescent="0.25">
      <c r="B38" s="1126"/>
      <c r="C38" s="309" t="s">
        <v>610</v>
      </c>
      <c r="D38" s="773">
        <v>1</v>
      </c>
      <c r="E38" s="788">
        <v>1</v>
      </c>
      <c r="F38" s="785" t="s">
        <v>346</v>
      </c>
    </row>
    <row r="39" spans="2:6" x14ac:dyDescent="0.25">
      <c r="B39" s="1124" t="s">
        <v>118</v>
      </c>
      <c r="C39" s="1138" t="s">
        <v>836</v>
      </c>
      <c r="D39" s="1139"/>
      <c r="E39" s="1139"/>
      <c r="F39" s="1140"/>
    </row>
    <row r="40" spans="2:6" x14ac:dyDescent="0.25">
      <c r="B40" s="1125"/>
      <c r="C40" s="771" t="s">
        <v>611</v>
      </c>
      <c r="D40" s="773">
        <v>1</v>
      </c>
      <c r="E40" s="780">
        <v>1</v>
      </c>
      <c r="F40" s="785" t="s">
        <v>346</v>
      </c>
    </row>
    <row r="41" spans="2:6" x14ac:dyDescent="0.25">
      <c r="B41" s="1125"/>
      <c r="C41" s="309" t="s">
        <v>612</v>
      </c>
      <c r="D41" s="773">
        <v>1</v>
      </c>
      <c r="E41" s="780">
        <v>1</v>
      </c>
      <c r="F41" s="785" t="s">
        <v>346</v>
      </c>
    </row>
    <row r="42" spans="2:6" x14ac:dyDescent="0.25">
      <c r="B42" s="1126"/>
      <c r="C42" s="309" t="s">
        <v>837</v>
      </c>
      <c r="D42" s="773">
        <v>1</v>
      </c>
      <c r="E42" s="780">
        <v>1</v>
      </c>
      <c r="F42" s="785" t="s">
        <v>346</v>
      </c>
    </row>
    <row r="43" spans="2:6" x14ac:dyDescent="0.25">
      <c r="B43" s="309" t="s">
        <v>120</v>
      </c>
      <c r="C43" s="776" t="s">
        <v>615</v>
      </c>
      <c r="D43" s="773">
        <v>3</v>
      </c>
      <c r="E43" s="784">
        <v>3</v>
      </c>
      <c r="F43" s="785" t="s">
        <v>346</v>
      </c>
    </row>
    <row r="44" spans="2:6" x14ac:dyDescent="0.25">
      <c r="B44" s="1127" t="s">
        <v>121</v>
      </c>
      <c r="C44" s="1138" t="s">
        <v>838</v>
      </c>
      <c r="D44" s="1139"/>
      <c r="E44" s="1139"/>
      <c r="F44" s="1140"/>
    </row>
    <row r="45" spans="2:6" x14ac:dyDescent="0.25">
      <c r="B45" s="1128"/>
      <c r="C45" s="771" t="s">
        <v>839</v>
      </c>
      <c r="D45" s="773">
        <v>1</v>
      </c>
      <c r="E45" s="784">
        <v>1</v>
      </c>
      <c r="F45" s="789" t="s">
        <v>346</v>
      </c>
    </row>
    <row r="46" spans="2:6" x14ac:dyDescent="0.25">
      <c r="B46" s="1129"/>
      <c r="C46" s="309" t="s">
        <v>840</v>
      </c>
      <c r="D46" s="773">
        <v>1</v>
      </c>
      <c r="E46" s="784">
        <v>1</v>
      </c>
      <c r="F46" s="789" t="s">
        <v>346</v>
      </c>
    </row>
    <row r="47" spans="2:6" x14ac:dyDescent="0.25">
      <c r="B47" s="309" t="s">
        <v>123</v>
      </c>
      <c r="C47" s="776" t="s">
        <v>352</v>
      </c>
      <c r="D47" s="773" t="s">
        <v>234</v>
      </c>
      <c r="E47" s="780" t="s">
        <v>234</v>
      </c>
      <c r="F47" s="785" t="s">
        <v>351</v>
      </c>
    </row>
    <row r="48" spans="2:6" x14ac:dyDescent="0.25">
      <c r="B48" s="306"/>
      <c r="C48" s="306"/>
      <c r="D48" s="774"/>
      <c r="E48" s="307"/>
      <c r="F48" s="783"/>
    </row>
    <row r="49" spans="2:6" x14ac:dyDescent="0.25">
      <c r="B49" s="307" t="s">
        <v>353</v>
      </c>
      <c r="C49" s="306"/>
      <c r="D49" s="774"/>
      <c r="E49" s="307"/>
      <c r="F49" s="783"/>
    </row>
    <row r="50" spans="2:6" x14ac:dyDescent="0.25">
      <c r="B50" s="1127" t="s">
        <v>134</v>
      </c>
      <c r="C50" s="1138" t="s">
        <v>841</v>
      </c>
      <c r="D50" s="1139"/>
      <c r="E50" s="1139"/>
      <c r="F50" s="1140"/>
    </row>
    <row r="51" spans="2:6" x14ac:dyDescent="0.25">
      <c r="B51" s="1128"/>
      <c r="C51" s="771" t="s">
        <v>619</v>
      </c>
      <c r="D51" s="773">
        <v>2</v>
      </c>
      <c r="E51" s="780">
        <v>2</v>
      </c>
      <c r="F51" s="781" t="s">
        <v>346</v>
      </c>
    </row>
    <row r="52" spans="2:6" x14ac:dyDescent="0.25">
      <c r="B52" s="1128"/>
      <c r="C52" s="309" t="s">
        <v>620</v>
      </c>
      <c r="D52" s="773">
        <v>1</v>
      </c>
      <c r="E52" s="780">
        <v>1</v>
      </c>
      <c r="F52" s="781" t="s">
        <v>346</v>
      </c>
    </row>
    <row r="53" spans="2:6" x14ac:dyDescent="0.25">
      <c r="B53" s="1128"/>
      <c r="C53" s="309" t="s">
        <v>621</v>
      </c>
      <c r="D53" s="773">
        <v>4</v>
      </c>
      <c r="E53" s="780">
        <v>4</v>
      </c>
      <c r="F53" s="781" t="s">
        <v>346</v>
      </c>
    </row>
    <row r="54" spans="2:6" x14ac:dyDescent="0.25">
      <c r="B54" s="1128"/>
      <c r="C54" s="309" t="s">
        <v>622</v>
      </c>
      <c r="D54" s="773">
        <v>1</v>
      </c>
      <c r="E54" s="780">
        <v>1</v>
      </c>
      <c r="F54" s="781" t="s">
        <v>346</v>
      </c>
    </row>
    <row r="55" spans="2:6" x14ac:dyDescent="0.25">
      <c r="B55" s="1129"/>
      <c r="C55" s="309" t="s">
        <v>623</v>
      </c>
      <c r="D55" s="773">
        <v>4</v>
      </c>
      <c r="E55" s="780">
        <v>4</v>
      </c>
      <c r="F55" s="781" t="s">
        <v>346</v>
      </c>
    </row>
    <row r="56" spans="2:6" x14ac:dyDescent="0.25">
      <c r="B56" s="1127" t="s">
        <v>135</v>
      </c>
      <c r="C56" s="1141" t="s">
        <v>842</v>
      </c>
      <c r="D56" s="1142"/>
      <c r="E56" s="1142"/>
      <c r="F56" s="1143"/>
    </row>
    <row r="57" spans="2:6" x14ac:dyDescent="0.25">
      <c r="B57" s="1128"/>
      <c r="C57" s="309" t="s">
        <v>624</v>
      </c>
      <c r="D57" s="773">
        <v>1</v>
      </c>
      <c r="E57" s="780">
        <v>1</v>
      </c>
      <c r="F57" s="790" t="s">
        <v>346</v>
      </c>
    </row>
    <row r="58" spans="2:6" x14ac:dyDescent="0.25">
      <c r="B58" s="1128"/>
      <c r="C58" s="309" t="s">
        <v>625</v>
      </c>
      <c r="D58" s="773">
        <v>1</v>
      </c>
      <c r="E58" s="780">
        <v>1</v>
      </c>
      <c r="F58" s="790" t="s">
        <v>346</v>
      </c>
    </row>
    <row r="59" spans="2:6" x14ac:dyDescent="0.25">
      <c r="B59" s="1129"/>
      <c r="C59" s="309" t="s">
        <v>626</v>
      </c>
      <c r="D59" s="773" t="s">
        <v>234</v>
      </c>
      <c r="E59" s="780" t="s">
        <v>234</v>
      </c>
      <c r="F59" s="790" t="s">
        <v>351</v>
      </c>
    </row>
    <row r="60" spans="2:6" x14ac:dyDescent="0.25">
      <c r="B60" s="309" t="s">
        <v>136</v>
      </c>
      <c r="C60" s="779" t="s">
        <v>355</v>
      </c>
      <c r="D60" s="773">
        <v>1</v>
      </c>
      <c r="E60" s="780">
        <v>1</v>
      </c>
      <c r="F60" s="790" t="s">
        <v>346</v>
      </c>
    </row>
    <row r="61" spans="2:6" x14ac:dyDescent="0.25">
      <c r="B61" s="1127" t="s">
        <v>138</v>
      </c>
      <c r="C61" s="1118" t="s">
        <v>356</v>
      </c>
      <c r="D61" s="1119"/>
      <c r="E61" s="1119"/>
      <c r="F61" s="1120"/>
    </row>
    <row r="62" spans="2:6" x14ac:dyDescent="0.25">
      <c r="B62" s="1128"/>
      <c r="C62" s="309" t="s">
        <v>629</v>
      </c>
      <c r="D62" s="773">
        <v>1</v>
      </c>
      <c r="E62" s="786" t="s">
        <v>234</v>
      </c>
      <c r="F62" s="791" t="s">
        <v>351</v>
      </c>
    </row>
    <row r="63" spans="2:6" x14ac:dyDescent="0.25">
      <c r="B63" s="1129"/>
      <c r="C63" s="309" t="s">
        <v>630</v>
      </c>
      <c r="D63" s="773">
        <v>1</v>
      </c>
      <c r="E63" s="786" t="s">
        <v>234</v>
      </c>
      <c r="F63" s="791" t="s">
        <v>351</v>
      </c>
    </row>
    <row r="64" spans="2:6" x14ac:dyDescent="0.25">
      <c r="B64" s="1127" t="s">
        <v>139</v>
      </c>
      <c r="C64" s="1118" t="s">
        <v>357</v>
      </c>
      <c r="D64" s="1119"/>
      <c r="E64" s="1119"/>
      <c r="F64" s="1120"/>
    </row>
    <row r="65" spans="2:6" x14ac:dyDescent="0.25">
      <c r="B65" s="1128"/>
      <c r="C65" s="309" t="s">
        <v>631</v>
      </c>
      <c r="D65" s="773">
        <v>1</v>
      </c>
      <c r="E65" s="780">
        <v>1</v>
      </c>
      <c r="F65" s="781" t="s">
        <v>346</v>
      </c>
    </row>
    <row r="66" spans="2:6" x14ac:dyDescent="0.25">
      <c r="B66" s="1129"/>
      <c r="C66" s="309" t="s">
        <v>632</v>
      </c>
      <c r="D66" s="773">
        <v>1</v>
      </c>
      <c r="E66" s="780">
        <v>1</v>
      </c>
      <c r="F66" s="781" t="s">
        <v>346</v>
      </c>
    </row>
    <row r="67" spans="2:6" x14ac:dyDescent="0.25">
      <c r="B67" s="1127" t="s">
        <v>140</v>
      </c>
      <c r="C67" s="1118" t="s">
        <v>358</v>
      </c>
      <c r="D67" s="1119"/>
      <c r="E67" s="1119"/>
      <c r="F67" s="1120"/>
    </row>
    <row r="68" spans="2:6" x14ac:dyDescent="0.25">
      <c r="B68" s="1128"/>
      <c r="C68" s="309" t="s">
        <v>633</v>
      </c>
      <c r="D68" s="773">
        <v>1</v>
      </c>
      <c r="E68" s="780" t="s">
        <v>234</v>
      </c>
      <c r="F68" s="781" t="s">
        <v>351</v>
      </c>
    </row>
    <row r="69" spans="2:6" x14ac:dyDescent="0.25">
      <c r="B69" s="1129"/>
      <c r="C69" s="309" t="s">
        <v>634</v>
      </c>
      <c r="D69" s="773">
        <v>4</v>
      </c>
      <c r="E69" s="780" t="s">
        <v>234</v>
      </c>
      <c r="F69" s="781" t="s">
        <v>351</v>
      </c>
    </row>
    <row r="70" spans="2:6" x14ac:dyDescent="0.25">
      <c r="B70" s="309" t="s">
        <v>141</v>
      </c>
      <c r="C70" s="776" t="s">
        <v>359</v>
      </c>
      <c r="D70" s="773">
        <v>2</v>
      </c>
      <c r="E70" s="780">
        <v>2</v>
      </c>
      <c r="F70" s="781" t="s">
        <v>346</v>
      </c>
    </row>
    <row r="71" spans="2:6" x14ac:dyDescent="0.25">
      <c r="B71" s="306"/>
      <c r="C71" s="306"/>
      <c r="D71" s="774"/>
      <c r="E71" s="307"/>
      <c r="F71" s="783"/>
    </row>
    <row r="72" spans="2:6" x14ac:dyDescent="0.25">
      <c r="B72" s="307" t="s">
        <v>360</v>
      </c>
      <c r="C72" s="306"/>
      <c r="D72" s="774"/>
      <c r="E72" s="307"/>
      <c r="F72" s="783"/>
    </row>
    <row r="73" spans="2:6" x14ac:dyDescent="0.25">
      <c r="B73" s="1127" t="s">
        <v>146</v>
      </c>
      <c r="C73" s="1118" t="s">
        <v>843</v>
      </c>
      <c r="D73" s="1119"/>
      <c r="E73" s="1119"/>
      <c r="F73" s="1119"/>
    </row>
    <row r="74" spans="2:6" x14ac:dyDescent="0.25">
      <c r="B74" s="1128"/>
      <c r="C74" s="309" t="s">
        <v>636</v>
      </c>
      <c r="D74" s="773">
        <v>2</v>
      </c>
      <c r="E74" s="780">
        <v>2</v>
      </c>
      <c r="F74" s="789" t="s">
        <v>346</v>
      </c>
    </row>
    <row r="75" spans="2:6" x14ac:dyDescent="0.25">
      <c r="B75" s="1129"/>
      <c r="C75" s="309" t="s">
        <v>637</v>
      </c>
      <c r="D75" s="773">
        <v>1</v>
      </c>
      <c r="E75" s="792">
        <v>1</v>
      </c>
      <c r="F75" s="793" t="s">
        <v>346</v>
      </c>
    </row>
    <row r="76" spans="2:6" x14ac:dyDescent="0.25">
      <c r="B76" s="309" t="s">
        <v>147</v>
      </c>
      <c r="C76" s="776" t="s">
        <v>844</v>
      </c>
      <c r="D76" s="773">
        <v>10</v>
      </c>
      <c r="E76" s="792">
        <v>10</v>
      </c>
      <c r="F76" s="793" t="s">
        <v>346</v>
      </c>
    </row>
    <row r="77" spans="2:6" x14ac:dyDescent="0.25">
      <c r="B77" s="306"/>
      <c r="C77" s="306"/>
      <c r="D77" s="774"/>
      <c r="E77" s="307"/>
      <c r="F77" s="783"/>
    </row>
    <row r="78" spans="2:6" x14ac:dyDescent="0.25">
      <c r="B78" s="307" t="s">
        <v>363</v>
      </c>
      <c r="C78" s="306"/>
      <c r="D78" s="774"/>
      <c r="E78" s="307"/>
      <c r="F78" s="783"/>
    </row>
    <row r="79" spans="2:6" x14ac:dyDescent="0.25">
      <c r="B79" s="309" t="s">
        <v>168</v>
      </c>
      <c r="C79" s="776" t="s">
        <v>364</v>
      </c>
      <c r="D79" s="773">
        <v>5</v>
      </c>
      <c r="E79" s="792">
        <v>1</v>
      </c>
      <c r="F79" s="793" t="s">
        <v>346</v>
      </c>
    </row>
    <row r="80" spans="2:6" x14ac:dyDescent="0.25">
      <c r="B80" s="309" t="s">
        <v>169</v>
      </c>
      <c r="C80" s="776" t="s">
        <v>365</v>
      </c>
      <c r="D80" s="773">
        <v>1</v>
      </c>
      <c r="E80" s="792">
        <v>1</v>
      </c>
      <c r="F80" s="793" t="s">
        <v>346</v>
      </c>
    </row>
    <row r="81" spans="2:6" x14ac:dyDescent="0.25">
      <c r="B81" s="309" t="s">
        <v>170</v>
      </c>
      <c r="C81" s="1118" t="s">
        <v>366</v>
      </c>
      <c r="D81" s="1119"/>
      <c r="E81" s="1119"/>
      <c r="F81" s="1119"/>
    </row>
    <row r="82" spans="2:6" x14ac:dyDescent="0.25">
      <c r="B82" s="309"/>
      <c r="C82" s="309" t="s">
        <v>642</v>
      </c>
      <c r="D82" s="773">
        <v>1</v>
      </c>
      <c r="E82" s="792">
        <v>1</v>
      </c>
      <c r="F82" s="793" t="s">
        <v>346</v>
      </c>
    </row>
    <row r="83" spans="2:6" x14ac:dyDescent="0.25">
      <c r="B83" s="309"/>
      <c r="C83" s="309" t="s">
        <v>643</v>
      </c>
      <c r="D83" s="773">
        <v>1</v>
      </c>
      <c r="E83" s="792">
        <v>1</v>
      </c>
      <c r="F83" s="793" t="s">
        <v>346</v>
      </c>
    </row>
    <row r="84" spans="2:6" x14ac:dyDescent="0.25">
      <c r="B84" s="309"/>
      <c r="C84" s="309" t="s">
        <v>644</v>
      </c>
      <c r="D84" s="773" t="s">
        <v>234</v>
      </c>
      <c r="E84" s="792" t="s">
        <v>234</v>
      </c>
      <c r="F84" s="793" t="s">
        <v>351</v>
      </c>
    </row>
    <row r="85" spans="2:6" x14ac:dyDescent="0.25">
      <c r="B85" s="309" t="s">
        <v>171</v>
      </c>
      <c r="C85" s="776" t="s">
        <v>367</v>
      </c>
      <c r="D85" s="773">
        <v>1</v>
      </c>
      <c r="E85" s="792">
        <v>1</v>
      </c>
      <c r="F85" s="793" t="s">
        <v>346</v>
      </c>
    </row>
    <row r="86" spans="2:6" x14ac:dyDescent="0.25">
      <c r="B86" s="306"/>
      <c r="C86" s="306"/>
      <c r="D86" s="774"/>
      <c r="E86" s="307"/>
      <c r="F86" s="783"/>
    </row>
    <row r="87" spans="2:6" x14ac:dyDescent="0.25">
      <c r="B87" s="307" t="s">
        <v>368</v>
      </c>
      <c r="C87" s="306"/>
      <c r="D87" s="774"/>
      <c r="E87" s="307"/>
      <c r="F87" s="783"/>
    </row>
    <row r="88" spans="2:6" x14ac:dyDescent="0.25">
      <c r="B88" s="309" t="s">
        <v>172</v>
      </c>
      <c r="C88" s="1118" t="s">
        <v>845</v>
      </c>
      <c r="D88" s="1119"/>
      <c r="E88" s="1119"/>
      <c r="F88" s="1120"/>
    </row>
    <row r="89" spans="2:6" x14ac:dyDescent="0.25">
      <c r="B89" s="309"/>
      <c r="C89" s="309" t="s">
        <v>646</v>
      </c>
      <c r="D89" s="773">
        <v>3</v>
      </c>
      <c r="E89" s="780">
        <v>3</v>
      </c>
      <c r="F89" s="781" t="s">
        <v>346</v>
      </c>
    </row>
    <row r="90" spans="2:6" x14ac:dyDescent="0.25">
      <c r="B90" s="309"/>
      <c r="C90" s="309" t="s">
        <v>647</v>
      </c>
      <c r="D90" s="773">
        <v>2</v>
      </c>
      <c r="E90" s="780">
        <v>2</v>
      </c>
      <c r="F90" s="781" t="s">
        <v>346</v>
      </c>
    </row>
    <row r="91" spans="2:6" x14ac:dyDescent="0.25">
      <c r="B91" s="309" t="s">
        <v>477</v>
      </c>
      <c r="C91" s="1118" t="s">
        <v>846</v>
      </c>
      <c r="D91" s="1119"/>
      <c r="E91" s="1119"/>
      <c r="F91" s="1120"/>
    </row>
    <row r="92" spans="2:6" x14ac:dyDescent="0.25">
      <c r="B92" s="309"/>
      <c r="C92" s="309" t="s">
        <v>649</v>
      </c>
      <c r="D92" s="773">
        <v>1</v>
      </c>
      <c r="E92" s="780">
        <v>1</v>
      </c>
      <c r="F92" s="781" t="s">
        <v>346</v>
      </c>
    </row>
    <row r="93" spans="2:6" x14ac:dyDescent="0.25">
      <c r="B93" s="309"/>
      <c r="C93" s="309" t="s">
        <v>650</v>
      </c>
      <c r="D93" s="773">
        <v>2</v>
      </c>
      <c r="E93" s="780">
        <v>1</v>
      </c>
      <c r="F93" s="781" t="s">
        <v>346</v>
      </c>
    </row>
    <row r="94" spans="2:6" x14ac:dyDescent="0.25">
      <c r="B94" s="309" t="s">
        <v>173</v>
      </c>
      <c r="C94" s="1118" t="s">
        <v>847</v>
      </c>
      <c r="D94" s="1119"/>
      <c r="E94" s="1119"/>
      <c r="F94" s="1120"/>
    </row>
    <row r="95" spans="2:6" x14ac:dyDescent="0.25">
      <c r="B95" s="309"/>
      <c r="C95" s="309" t="s">
        <v>652</v>
      </c>
      <c r="D95" s="773">
        <v>1</v>
      </c>
      <c r="E95" s="780">
        <v>1</v>
      </c>
      <c r="F95" s="781" t="s">
        <v>346</v>
      </c>
    </row>
    <row r="96" spans="2:6" x14ac:dyDescent="0.25">
      <c r="B96" s="309"/>
      <c r="C96" s="309" t="s">
        <v>653</v>
      </c>
      <c r="D96" s="773">
        <v>2</v>
      </c>
      <c r="E96" s="780">
        <v>1</v>
      </c>
      <c r="F96" s="781" t="s">
        <v>346</v>
      </c>
    </row>
    <row r="97" spans="2:6" x14ac:dyDescent="0.25">
      <c r="B97" s="309" t="s">
        <v>174</v>
      </c>
      <c r="C97" s="1118" t="s">
        <v>369</v>
      </c>
      <c r="D97" s="1119"/>
      <c r="E97" s="1119"/>
      <c r="F97" s="1120"/>
    </row>
    <row r="98" spans="2:6" x14ac:dyDescent="0.25">
      <c r="B98" s="775"/>
      <c r="C98" s="309" t="s">
        <v>655</v>
      </c>
      <c r="D98" s="773">
        <v>1</v>
      </c>
      <c r="E98" s="780">
        <v>1</v>
      </c>
      <c r="F98" s="781" t="s">
        <v>346</v>
      </c>
    </row>
    <row r="99" spans="2:6" x14ac:dyDescent="0.25">
      <c r="B99" s="775"/>
      <c r="C99" s="309" t="s">
        <v>656</v>
      </c>
      <c r="D99" s="773">
        <v>1</v>
      </c>
      <c r="E99" s="780" t="s">
        <v>234</v>
      </c>
      <c r="F99" s="781" t="s">
        <v>351</v>
      </c>
    </row>
    <row r="100" spans="2:6" x14ac:dyDescent="0.25">
      <c r="B100" s="775"/>
      <c r="C100" s="309" t="s">
        <v>657</v>
      </c>
      <c r="D100" s="773">
        <v>2</v>
      </c>
      <c r="E100" s="780">
        <v>2</v>
      </c>
      <c r="F100" s="781" t="s">
        <v>346</v>
      </c>
    </row>
    <row r="101" spans="2:6" x14ac:dyDescent="0.25">
      <c r="B101" s="309" t="s">
        <v>175</v>
      </c>
      <c r="C101" s="1118" t="s">
        <v>659</v>
      </c>
      <c r="D101" s="1119"/>
      <c r="E101" s="1119"/>
      <c r="F101" s="1120"/>
    </row>
    <row r="102" spans="2:6" x14ac:dyDescent="0.25">
      <c r="B102" s="775"/>
      <c r="C102" s="309" t="s">
        <v>658</v>
      </c>
      <c r="D102" s="773">
        <v>1</v>
      </c>
      <c r="E102" s="780">
        <v>1</v>
      </c>
      <c r="F102" s="781" t="s">
        <v>346</v>
      </c>
    </row>
    <row r="103" spans="2:6" x14ac:dyDescent="0.25">
      <c r="B103" s="775"/>
      <c r="C103" s="309" t="s">
        <v>659</v>
      </c>
      <c r="D103" s="773">
        <v>1</v>
      </c>
      <c r="E103" s="780">
        <v>1</v>
      </c>
      <c r="F103" s="781" t="s">
        <v>346</v>
      </c>
    </row>
    <row r="104" spans="2:6" x14ac:dyDescent="0.25">
      <c r="B104" s="775"/>
      <c r="C104" s="309" t="s">
        <v>660</v>
      </c>
      <c r="D104" s="773">
        <v>2</v>
      </c>
      <c r="E104" s="780">
        <v>2</v>
      </c>
      <c r="F104" s="781" t="s">
        <v>346</v>
      </c>
    </row>
    <row r="105" spans="2:6" x14ac:dyDescent="0.25">
      <c r="B105" s="309" t="s">
        <v>478</v>
      </c>
      <c r="C105" s="1118" t="s">
        <v>848</v>
      </c>
      <c r="D105" s="1119"/>
      <c r="E105" s="1119"/>
      <c r="F105" s="1120"/>
    </row>
    <row r="106" spans="2:6" x14ac:dyDescent="0.25">
      <c r="B106" s="775"/>
      <c r="C106" s="309" t="s">
        <v>661</v>
      </c>
      <c r="D106" s="773">
        <v>1</v>
      </c>
      <c r="E106" s="780">
        <v>1</v>
      </c>
      <c r="F106" s="781" t="s">
        <v>346</v>
      </c>
    </row>
    <row r="107" spans="2:6" x14ac:dyDescent="0.25">
      <c r="B107" s="775"/>
      <c r="C107" s="309" t="s">
        <v>662</v>
      </c>
      <c r="D107" s="773">
        <v>1</v>
      </c>
      <c r="E107" s="780">
        <v>1</v>
      </c>
      <c r="F107" s="781" t="s">
        <v>346</v>
      </c>
    </row>
    <row r="108" spans="2:6" x14ac:dyDescent="0.25">
      <c r="B108" s="775"/>
      <c r="C108" s="309" t="s">
        <v>849</v>
      </c>
      <c r="D108" s="773">
        <v>2</v>
      </c>
      <c r="E108" s="780">
        <v>2</v>
      </c>
      <c r="F108" s="781" t="s">
        <v>346</v>
      </c>
    </row>
    <row r="109" spans="2:6" x14ac:dyDescent="0.25">
      <c r="B109" s="307" t="s">
        <v>370</v>
      </c>
      <c r="C109" s="306"/>
      <c r="D109" s="774"/>
      <c r="E109" s="307"/>
      <c r="F109" s="783"/>
    </row>
    <row r="110" spans="2:6" x14ac:dyDescent="0.25">
      <c r="B110" s="776" t="s">
        <v>176</v>
      </c>
      <c r="C110" s="1123" t="s">
        <v>371</v>
      </c>
      <c r="D110" s="1121"/>
      <c r="E110" s="1121"/>
      <c r="F110" s="1122"/>
    </row>
    <row r="111" spans="2:6" x14ac:dyDescent="0.25">
      <c r="B111" s="309"/>
      <c r="C111" s="309" t="s">
        <v>664</v>
      </c>
      <c r="D111" s="773">
        <v>1</v>
      </c>
      <c r="E111" s="780">
        <v>1</v>
      </c>
      <c r="F111" s="781" t="s">
        <v>346</v>
      </c>
    </row>
    <row r="112" spans="2:6" x14ac:dyDescent="0.25">
      <c r="B112" s="309"/>
      <c r="C112" s="309" t="s">
        <v>665</v>
      </c>
      <c r="D112" s="773">
        <v>2</v>
      </c>
      <c r="E112" s="780">
        <v>2</v>
      </c>
      <c r="F112" s="781" t="s">
        <v>346</v>
      </c>
    </row>
    <row r="113" spans="2:6" x14ac:dyDescent="0.25">
      <c r="B113" s="309"/>
      <c r="C113" s="309" t="s">
        <v>666</v>
      </c>
      <c r="D113" s="773">
        <v>2</v>
      </c>
      <c r="E113" s="780">
        <v>2</v>
      </c>
      <c r="F113" s="781" t="s">
        <v>346</v>
      </c>
    </row>
    <row r="114" spans="2:6" x14ac:dyDescent="0.25">
      <c r="B114" s="776" t="s">
        <v>372</v>
      </c>
      <c r="C114" s="776" t="s">
        <v>373</v>
      </c>
      <c r="D114" s="773">
        <v>1</v>
      </c>
      <c r="E114" s="780">
        <v>1</v>
      </c>
      <c r="F114" s="781" t="s">
        <v>346</v>
      </c>
    </row>
    <row r="115" spans="2:6" x14ac:dyDescent="0.25">
      <c r="B115" s="776" t="s">
        <v>374</v>
      </c>
      <c r="C115" s="776" t="s">
        <v>373</v>
      </c>
      <c r="D115" s="773" t="s">
        <v>234</v>
      </c>
      <c r="E115" s="780" t="s">
        <v>234</v>
      </c>
      <c r="F115" s="781" t="s">
        <v>351</v>
      </c>
    </row>
    <row r="116" spans="2:6" x14ac:dyDescent="0.25">
      <c r="B116" s="776" t="s">
        <v>178</v>
      </c>
      <c r="C116" s="776" t="s">
        <v>375</v>
      </c>
      <c r="D116" s="773">
        <v>1</v>
      </c>
      <c r="E116" s="780">
        <v>1</v>
      </c>
      <c r="F116" s="781" t="s">
        <v>351</v>
      </c>
    </row>
    <row r="117" spans="2:6" x14ac:dyDescent="0.25">
      <c r="B117" s="306"/>
      <c r="C117" s="306"/>
      <c r="D117" s="774"/>
      <c r="E117" s="307"/>
      <c r="F117" s="783"/>
    </row>
    <row r="118" spans="2:6" x14ac:dyDescent="0.25">
      <c r="B118" s="307" t="s">
        <v>376</v>
      </c>
      <c r="C118" s="306"/>
      <c r="D118" s="774"/>
      <c r="E118" s="307"/>
      <c r="F118" s="783"/>
    </row>
    <row r="119" spans="2:6" x14ac:dyDescent="0.25">
      <c r="B119" s="776" t="s">
        <v>179</v>
      </c>
      <c r="C119" s="776" t="s">
        <v>377</v>
      </c>
      <c r="D119" s="773" t="s">
        <v>234</v>
      </c>
      <c r="E119" s="780" t="s">
        <v>234</v>
      </c>
      <c r="F119" s="781" t="s">
        <v>351</v>
      </c>
    </row>
    <row r="120" spans="2:6" x14ac:dyDescent="0.25">
      <c r="B120" s="776" t="s">
        <v>180</v>
      </c>
      <c r="C120" s="1118" t="s">
        <v>850</v>
      </c>
      <c r="D120" s="1119"/>
      <c r="E120" s="1119"/>
      <c r="F120" s="1120"/>
    </row>
    <row r="121" spans="2:6" x14ac:dyDescent="0.25">
      <c r="B121" s="309"/>
      <c r="C121" s="309" t="s">
        <v>672</v>
      </c>
      <c r="D121" s="773">
        <v>1</v>
      </c>
      <c r="E121" s="780">
        <v>1</v>
      </c>
      <c r="F121" s="781" t="s">
        <v>346</v>
      </c>
    </row>
    <row r="122" spans="2:6" x14ac:dyDescent="0.25">
      <c r="B122" s="309"/>
      <c r="C122" s="309" t="s">
        <v>673</v>
      </c>
      <c r="D122" s="773">
        <v>1</v>
      </c>
      <c r="E122" s="780">
        <v>1</v>
      </c>
      <c r="F122" s="781" t="s">
        <v>346</v>
      </c>
    </row>
    <row r="123" spans="2:6" x14ac:dyDescent="0.25">
      <c r="B123" s="776" t="s">
        <v>851</v>
      </c>
      <c r="C123" s="1123" t="s">
        <v>852</v>
      </c>
      <c r="D123" s="1121"/>
      <c r="E123" s="1121"/>
      <c r="F123" s="1122"/>
    </row>
    <row r="124" spans="2:6" x14ac:dyDescent="0.25">
      <c r="B124" s="309"/>
      <c r="C124" s="309" t="s">
        <v>675</v>
      </c>
      <c r="D124" s="773">
        <v>1</v>
      </c>
      <c r="E124" s="780">
        <v>1</v>
      </c>
      <c r="F124" s="781" t="s">
        <v>346</v>
      </c>
    </row>
    <row r="125" spans="2:6" x14ac:dyDescent="0.25">
      <c r="B125" s="309"/>
      <c r="C125" s="309" t="s">
        <v>676</v>
      </c>
      <c r="D125" s="773">
        <v>2</v>
      </c>
      <c r="E125" s="780">
        <v>1</v>
      </c>
      <c r="F125" s="781" t="s">
        <v>346</v>
      </c>
    </row>
    <row r="126" spans="2:6" x14ac:dyDescent="0.25">
      <c r="B126" s="776" t="s">
        <v>181</v>
      </c>
      <c r="C126" s="1118" t="s">
        <v>853</v>
      </c>
      <c r="D126" s="1119"/>
      <c r="E126" s="1119"/>
      <c r="F126" s="1120"/>
    </row>
    <row r="127" spans="2:6" x14ac:dyDescent="0.25">
      <c r="B127" s="309"/>
      <c r="C127" s="309" t="s">
        <v>678</v>
      </c>
      <c r="D127" s="773">
        <v>1</v>
      </c>
      <c r="E127" s="780">
        <v>1</v>
      </c>
      <c r="F127" s="781" t="s">
        <v>346</v>
      </c>
    </row>
    <row r="128" spans="2:6" x14ac:dyDescent="0.25">
      <c r="B128" s="309"/>
      <c r="C128" s="309" t="s">
        <v>679</v>
      </c>
      <c r="D128" s="773">
        <v>3</v>
      </c>
      <c r="E128" s="780">
        <v>3</v>
      </c>
      <c r="F128" s="781" t="s">
        <v>346</v>
      </c>
    </row>
    <row r="129" spans="2:6" x14ac:dyDescent="0.25">
      <c r="B129" s="776" t="s">
        <v>182</v>
      </c>
      <c r="C129" s="1118" t="s">
        <v>378</v>
      </c>
      <c r="D129" s="1119"/>
      <c r="E129" s="1119"/>
      <c r="F129" s="1120"/>
    </row>
    <row r="130" spans="2:6" x14ac:dyDescent="0.25">
      <c r="B130" s="309"/>
      <c r="C130" s="309" t="s">
        <v>681</v>
      </c>
      <c r="D130" s="773">
        <v>1</v>
      </c>
      <c r="E130" s="780">
        <v>1</v>
      </c>
      <c r="F130" s="781" t="s">
        <v>346</v>
      </c>
    </row>
    <row r="131" spans="2:6" x14ac:dyDescent="0.25">
      <c r="B131" s="309"/>
      <c r="C131" s="309" t="s">
        <v>682</v>
      </c>
      <c r="D131" s="773">
        <v>1</v>
      </c>
      <c r="E131" s="780">
        <v>1</v>
      </c>
      <c r="F131" s="781" t="s">
        <v>346</v>
      </c>
    </row>
    <row r="132" spans="2:6" x14ac:dyDescent="0.25">
      <c r="B132" s="776" t="s">
        <v>183</v>
      </c>
      <c r="C132" s="776" t="s">
        <v>854</v>
      </c>
      <c r="D132" s="773">
        <v>1</v>
      </c>
      <c r="E132" s="780" t="s">
        <v>234</v>
      </c>
      <c r="F132" s="781" t="s">
        <v>351</v>
      </c>
    </row>
    <row r="133" spans="2:6" x14ac:dyDescent="0.25">
      <c r="B133" s="778" t="s">
        <v>855</v>
      </c>
      <c r="C133" s="778" t="s">
        <v>856</v>
      </c>
      <c r="D133" s="773">
        <v>2</v>
      </c>
      <c r="E133" s="780">
        <v>2</v>
      </c>
      <c r="F133" s="781" t="s">
        <v>346</v>
      </c>
    </row>
    <row r="134" spans="2:6" x14ac:dyDescent="0.25">
      <c r="B134" s="778" t="s">
        <v>857</v>
      </c>
      <c r="C134" s="1121" t="s">
        <v>858</v>
      </c>
      <c r="D134" s="1121"/>
      <c r="E134" s="1121"/>
      <c r="F134" s="1122"/>
    </row>
    <row r="135" spans="2:6" x14ac:dyDescent="0.25">
      <c r="B135" s="775"/>
      <c r="C135" s="309" t="s">
        <v>687</v>
      </c>
      <c r="D135" s="773">
        <v>1</v>
      </c>
      <c r="E135" s="780">
        <v>1</v>
      </c>
      <c r="F135" s="781" t="s">
        <v>346</v>
      </c>
    </row>
    <row r="136" spans="2:6" x14ac:dyDescent="0.25">
      <c r="B136" s="775"/>
      <c r="C136" s="309" t="s">
        <v>688</v>
      </c>
      <c r="D136" s="773">
        <v>1</v>
      </c>
      <c r="E136" s="780">
        <v>1</v>
      </c>
      <c r="F136" s="781" t="s">
        <v>346</v>
      </c>
    </row>
    <row r="137" spans="2:6" x14ac:dyDescent="0.25">
      <c r="B137" s="775"/>
      <c r="C137" s="775"/>
      <c r="D137" s="777"/>
      <c r="E137" s="794"/>
      <c r="F137" s="783"/>
    </row>
    <row r="138" spans="2:6" x14ac:dyDescent="0.25">
      <c r="B138" s="307" t="s">
        <v>379</v>
      </c>
      <c r="C138" s="306"/>
      <c r="D138" s="774"/>
      <c r="E138" s="307"/>
      <c r="F138" s="783"/>
    </row>
    <row r="139" spans="2:6" x14ac:dyDescent="0.25">
      <c r="B139" s="776" t="s">
        <v>380</v>
      </c>
      <c r="C139" s="776" t="s">
        <v>381</v>
      </c>
      <c r="D139" s="773">
        <v>3</v>
      </c>
      <c r="E139" s="780">
        <v>3</v>
      </c>
      <c r="F139" s="781" t="s">
        <v>346</v>
      </c>
    </row>
    <row r="140" spans="2:6" x14ac:dyDescent="0.25">
      <c r="B140" s="776" t="s">
        <v>382</v>
      </c>
      <c r="C140" s="776" t="s">
        <v>859</v>
      </c>
      <c r="D140" s="773">
        <v>2</v>
      </c>
      <c r="E140" s="780">
        <v>2</v>
      </c>
      <c r="F140" s="781" t="s">
        <v>346</v>
      </c>
    </row>
    <row r="141" spans="2:6" x14ac:dyDescent="0.25">
      <c r="B141" s="776" t="s">
        <v>384</v>
      </c>
      <c r="C141" s="776" t="s">
        <v>385</v>
      </c>
      <c r="D141" s="773">
        <v>1</v>
      </c>
      <c r="E141" s="780">
        <v>1</v>
      </c>
      <c r="F141" s="781" t="s">
        <v>346</v>
      </c>
    </row>
    <row r="142" spans="2:6" x14ac:dyDescent="0.25">
      <c r="B142" s="776" t="s">
        <v>386</v>
      </c>
      <c r="C142" s="776" t="s">
        <v>387</v>
      </c>
      <c r="D142" s="773">
        <v>1</v>
      </c>
      <c r="E142" s="780">
        <v>1</v>
      </c>
      <c r="F142" s="781" t="s">
        <v>346</v>
      </c>
    </row>
    <row r="143" spans="2:6" x14ac:dyDescent="0.25">
      <c r="B143" s="306"/>
      <c r="C143" s="306"/>
      <c r="D143" s="774"/>
      <c r="E143" s="307"/>
      <c r="F143" s="783"/>
    </row>
    <row r="144" spans="2:6" x14ac:dyDescent="0.25">
      <c r="B144" s="307" t="s">
        <v>388</v>
      </c>
      <c r="C144" s="306"/>
      <c r="D144" s="774"/>
      <c r="E144" s="307"/>
      <c r="F144" s="783"/>
    </row>
    <row r="145" spans="2:6" x14ac:dyDescent="0.25">
      <c r="B145" s="309" t="s">
        <v>547</v>
      </c>
      <c r="C145" s="309" t="s">
        <v>860</v>
      </c>
      <c r="D145" s="773">
        <v>1</v>
      </c>
      <c r="E145" s="780">
        <v>1</v>
      </c>
      <c r="F145" s="781" t="s">
        <v>346</v>
      </c>
    </row>
    <row r="146" spans="2:6" x14ac:dyDescent="0.25">
      <c r="B146" s="309" t="s">
        <v>861</v>
      </c>
      <c r="C146" s="309" t="s">
        <v>862</v>
      </c>
      <c r="D146" s="773">
        <v>1</v>
      </c>
      <c r="E146" s="780">
        <v>1</v>
      </c>
      <c r="F146" s="781" t="s">
        <v>346</v>
      </c>
    </row>
    <row r="147" spans="2:6" x14ac:dyDescent="0.25">
      <c r="B147" s="309" t="s">
        <v>861</v>
      </c>
      <c r="C147" s="309" t="s">
        <v>863</v>
      </c>
      <c r="D147" s="773">
        <v>1</v>
      </c>
      <c r="E147" s="780">
        <v>1</v>
      </c>
      <c r="F147" s="781" t="s">
        <v>346</v>
      </c>
    </row>
    <row r="148" spans="2:6" x14ac:dyDescent="0.25">
      <c r="B148" s="309" t="s">
        <v>541</v>
      </c>
      <c r="C148" s="309" t="s">
        <v>864</v>
      </c>
      <c r="D148" s="773">
        <v>1</v>
      </c>
      <c r="E148" s="780">
        <v>1</v>
      </c>
      <c r="F148" s="781" t="s">
        <v>351</v>
      </c>
    </row>
    <row r="149" spans="2:6" x14ac:dyDescent="0.25">
      <c r="B149" s="309" t="s">
        <v>572</v>
      </c>
      <c r="C149" s="309" t="s">
        <v>865</v>
      </c>
      <c r="D149" s="773">
        <v>1</v>
      </c>
      <c r="E149" s="780">
        <v>1</v>
      </c>
      <c r="F149" s="781" t="s">
        <v>346</v>
      </c>
    </row>
    <row r="150" spans="2:6" x14ac:dyDescent="0.25">
      <c r="B150" s="309" t="s">
        <v>572</v>
      </c>
      <c r="C150" s="309" t="s">
        <v>866</v>
      </c>
      <c r="D150" s="773">
        <v>1</v>
      </c>
      <c r="E150" s="780">
        <v>1</v>
      </c>
      <c r="F150" s="781" t="s">
        <v>346</v>
      </c>
    </row>
    <row r="151" spans="2:6" x14ac:dyDescent="0.25">
      <c r="B151" s="309" t="s">
        <v>867</v>
      </c>
      <c r="C151" s="309" t="s">
        <v>868</v>
      </c>
      <c r="D151" s="773">
        <v>1</v>
      </c>
      <c r="E151" s="780">
        <v>1</v>
      </c>
      <c r="F151" s="781" t="s">
        <v>346</v>
      </c>
    </row>
    <row r="152" spans="2:6" x14ac:dyDescent="0.25">
      <c r="B152" s="309" t="s">
        <v>3</v>
      </c>
      <c r="C152" s="309" t="s">
        <v>869</v>
      </c>
      <c r="D152" s="773">
        <v>1</v>
      </c>
      <c r="E152" s="780">
        <v>1</v>
      </c>
      <c r="F152" s="781" t="s">
        <v>346</v>
      </c>
    </row>
    <row r="153" spans="2:6" x14ac:dyDescent="0.25">
      <c r="B153" s="309" t="s">
        <v>550</v>
      </c>
      <c r="C153" s="309" t="s">
        <v>870</v>
      </c>
      <c r="D153" s="773">
        <v>1</v>
      </c>
      <c r="E153" s="780">
        <v>1</v>
      </c>
      <c r="F153" s="781" t="s">
        <v>346</v>
      </c>
    </row>
    <row r="154" spans="2:6" x14ac:dyDescent="0.25">
      <c r="B154" s="306" t="s">
        <v>552</v>
      </c>
      <c r="C154" s="309" t="s">
        <v>871</v>
      </c>
      <c r="D154" s="773">
        <v>1</v>
      </c>
      <c r="E154" s="780">
        <v>1</v>
      </c>
      <c r="F154" s="781" t="s">
        <v>346</v>
      </c>
    </row>
    <row r="155" spans="2:6" x14ac:dyDescent="0.25">
      <c r="B155" s="306" t="s">
        <v>872</v>
      </c>
      <c r="C155" s="309" t="s">
        <v>873</v>
      </c>
      <c r="D155" s="773">
        <v>1</v>
      </c>
      <c r="E155" s="780">
        <v>1</v>
      </c>
      <c r="F155" s="781" t="s">
        <v>346</v>
      </c>
    </row>
    <row r="156" spans="2:6" x14ac:dyDescent="0.25">
      <c r="B156" s="306" t="s">
        <v>874</v>
      </c>
      <c r="C156" s="309" t="s">
        <v>875</v>
      </c>
      <c r="D156" s="773">
        <v>1</v>
      </c>
      <c r="E156" s="780">
        <v>1</v>
      </c>
      <c r="F156" s="781" t="s">
        <v>346</v>
      </c>
    </row>
    <row r="157" spans="2:6" x14ac:dyDescent="0.25">
      <c r="B157" s="306" t="s">
        <v>876</v>
      </c>
      <c r="C157" s="309" t="s">
        <v>877</v>
      </c>
      <c r="D157" s="773">
        <v>1</v>
      </c>
      <c r="E157" s="780" t="s">
        <v>234</v>
      </c>
      <c r="F157" s="781" t="s">
        <v>351</v>
      </c>
    </row>
    <row r="158" spans="2:6" x14ac:dyDescent="0.25">
      <c r="B158" s="306" t="s">
        <v>857</v>
      </c>
      <c r="C158" s="309" t="s">
        <v>878</v>
      </c>
      <c r="D158" s="773">
        <v>1</v>
      </c>
      <c r="E158" s="780">
        <v>1</v>
      </c>
      <c r="F158" s="781" t="s">
        <v>346</v>
      </c>
    </row>
  </sheetData>
  <mergeCells count="48">
    <mergeCell ref="C88:F88"/>
    <mergeCell ref="C91:F91"/>
    <mergeCell ref="C94:F94"/>
    <mergeCell ref="C97:F97"/>
    <mergeCell ref="C101:F101"/>
    <mergeCell ref="C67:F67"/>
    <mergeCell ref="B64:B66"/>
    <mergeCell ref="B73:B75"/>
    <mergeCell ref="C73:F73"/>
    <mergeCell ref="C81:F81"/>
    <mergeCell ref="C50:F50"/>
    <mergeCell ref="C56:F56"/>
    <mergeCell ref="B61:B63"/>
    <mergeCell ref="C61:F61"/>
    <mergeCell ref="C64:F64"/>
    <mergeCell ref="C24:F24"/>
    <mergeCell ref="C29:F29"/>
    <mergeCell ref="C35:F35"/>
    <mergeCell ref="C39:F39"/>
    <mergeCell ref="C44:F44"/>
    <mergeCell ref="B35:B38"/>
    <mergeCell ref="B3:B5"/>
    <mergeCell ref="F3:F5"/>
    <mergeCell ref="D3:D5"/>
    <mergeCell ref="C3:C5"/>
    <mergeCell ref="B29:B34"/>
    <mergeCell ref="E3:E5"/>
    <mergeCell ref="B7:B11"/>
    <mergeCell ref="B12:B14"/>
    <mergeCell ref="B15:B19"/>
    <mergeCell ref="B20:B23"/>
    <mergeCell ref="B24:B27"/>
    <mergeCell ref="C15:F15"/>
    <mergeCell ref="C12:F12"/>
    <mergeCell ref="C7:F7"/>
    <mergeCell ref="C20:F20"/>
    <mergeCell ref="B39:B42"/>
    <mergeCell ref="B44:B46"/>
    <mergeCell ref="B50:B55"/>
    <mergeCell ref="B56:B59"/>
    <mergeCell ref="B67:B69"/>
    <mergeCell ref="C129:F129"/>
    <mergeCell ref="C134:F134"/>
    <mergeCell ref="C105:F105"/>
    <mergeCell ref="C110:F110"/>
    <mergeCell ref="C123:F123"/>
    <mergeCell ref="C120:F120"/>
    <mergeCell ref="C126:F1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46"/>
  <sheetViews>
    <sheetView zoomScale="90" zoomScaleNormal="90" workbookViewId="0">
      <selection activeCell="K9" sqref="K9"/>
    </sheetView>
  </sheetViews>
  <sheetFormatPr baseColWidth="10" defaultColWidth="8.85546875" defaultRowHeight="15" x14ac:dyDescent="0.25"/>
  <cols>
    <col min="1" max="1" width="13.5703125" customWidth="1"/>
    <col min="2" max="2" width="7.28515625" customWidth="1"/>
    <col min="3" max="3" width="60.28515625" bestFit="1" customWidth="1"/>
    <col min="4" max="4" width="19.85546875" hidden="1" customWidth="1"/>
    <col min="5" max="5" width="27.140625" hidden="1" customWidth="1"/>
    <col min="6" max="6" width="22.5703125" hidden="1" customWidth="1"/>
    <col min="7" max="7" width="8.85546875" customWidth="1"/>
    <col min="8" max="8" width="11.140625" customWidth="1"/>
    <col min="9" max="18" width="8.85546875" customWidth="1"/>
    <col min="19" max="19" width="20.140625" customWidth="1"/>
    <col min="20" max="20" width="45.85546875" customWidth="1"/>
    <col min="21" max="21" width="46.28515625" customWidth="1"/>
    <col min="22" max="22" width="36.140625" customWidth="1"/>
    <col min="23" max="30" width="8.85546875" customWidth="1"/>
  </cols>
  <sheetData>
    <row r="1" spans="1:31" ht="15.75" thickBot="1" x14ac:dyDescent="0.3">
      <c r="A1">
        <v>1</v>
      </c>
      <c r="B1">
        <v>2</v>
      </c>
      <c r="C1">
        <v>3</v>
      </c>
      <c r="D1">
        <v>4</v>
      </c>
      <c r="E1">
        <v>5</v>
      </c>
      <c r="F1">
        <v>6</v>
      </c>
      <c r="G1">
        <v>7</v>
      </c>
      <c r="H1">
        <v>8</v>
      </c>
    </row>
    <row r="2" spans="1:31" ht="15.75" thickBot="1" x14ac:dyDescent="0.3">
      <c r="C2" s="62" t="s">
        <v>251</v>
      </c>
      <c r="D2" s="62"/>
      <c r="E2" s="62"/>
      <c r="F2" s="62"/>
      <c r="G2" s="62"/>
      <c r="H2" s="318" t="s">
        <v>334</v>
      </c>
      <c r="I2" s="301" t="s">
        <v>12</v>
      </c>
      <c r="J2" t="s">
        <v>11</v>
      </c>
    </row>
    <row r="3" spans="1:31" ht="15.75" thickBot="1" x14ac:dyDescent="0.3">
      <c r="S3" t="s">
        <v>391</v>
      </c>
    </row>
    <row r="4" spans="1:31" ht="15.75" thickBot="1" x14ac:dyDescent="0.3">
      <c r="S4" s="314" t="s">
        <v>341</v>
      </c>
      <c r="T4" s="315" t="s">
        <v>342</v>
      </c>
      <c r="U4" s="315" t="s">
        <v>343</v>
      </c>
      <c r="V4" s="316"/>
    </row>
    <row r="5" spans="1:31" ht="15.75" thickBot="1" x14ac:dyDescent="0.3">
      <c r="C5" s="52" t="s">
        <v>85</v>
      </c>
      <c r="D5" s="55" t="s">
        <v>247</v>
      </c>
      <c r="E5" s="60" t="s">
        <v>250</v>
      </c>
      <c r="F5" s="55" t="s">
        <v>213</v>
      </c>
      <c r="H5" s="317" t="s">
        <v>389</v>
      </c>
      <c r="N5" s="1145" t="s">
        <v>390</v>
      </c>
      <c r="O5" s="1145"/>
      <c r="S5" s="305" t="s">
        <v>345</v>
      </c>
      <c r="T5" s="305"/>
      <c r="U5" s="772"/>
      <c r="V5" s="305"/>
      <c r="W5" s="770"/>
      <c r="X5" s="565"/>
      <c r="Y5" s="565"/>
      <c r="Z5" s="565"/>
      <c r="AA5" s="565"/>
      <c r="AB5" s="565"/>
      <c r="AC5" s="565"/>
      <c r="AD5" s="565"/>
    </row>
    <row r="6" spans="1:31" ht="15.75" thickBot="1" x14ac:dyDescent="0.3">
      <c r="B6" s="132"/>
      <c r="C6" s="133" t="s">
        <v>61</v>
      </c>
      <c r="D6" s="59"/>
      <c r="E6" s="59"/>
      <c r="F6" s="59"/>
      <c r="H6" s="133"/>
      <c r="N6" s="305" t="s">
        <v>345</v>
      </c>
      <c r="O6" t="b">
        <f>N6=S5</f>
        <v>1</v>
      </c>
      <c r="S6" s="1137" t="s">
        <v>91</v>
      </c>
      <c r="T6" s="867" t="s">
        <v>832</v>
      </c>
      <c r="W6" s="770"/>
      <c r="X6" s="565"/>
      <c r="Y6" s="565"/>
      <c r="Z6" s="565"/>
      <c r="AA6" s="565"/>
      <c r="AB6" s="565"/>
      <c r="AC6" s="565"/>
      <c r="AD6" s="565"/>
    </row>
    <row r="7" spans="1:31" x14ac:dyDescent="0.25">
      <c r="A7" s="121" t="s">
        <v>91</v>
      </c>
      <c r="B7" s="725" t="s">
        <v>91</v>
      </c>
      <c r="C7" s="725" t="s">
        <v>305</v>
      </c>
      <c r="D7" s="46">
        <f>Poeng!T10</f>
        <v>5</v>
      </c>
      <c r="E7" s="45"/>
      <c r="F7" s="46">
        <f>Poeng!AB10</f>
        <v>5</v>
      </c>
      <c r="H7" s="797">
        <f>SUMIF($R$7:$R$182,A7,$U$7:$U$182)</f>
        <v>0</v>
      </c>
      <c r="I7" s="320" t="str">
        <f>IF(F7=H7,"OK","FEIL")</f>
        <v>FEIL</v>
      </c>
      <c r="N7" s="308" t="s">
        <v>91</v>
      </c>
      <c r="O7" t="b">
        <f>N7=S6</f>
        <v>1</v>
      </c>
      <c r="R7" t="s">
        <v>710</v>
      </c>
      <c r="S7" s="1137"/>
      <c r="T7" s="917" t="s">
        <v>589</v>
      </c>
      <c r="U7" s="780">
        <v>1</v>
      </c>
      <c r="V7" s="781" t="s">
        <v>346</v>
      </c>
      <c r="W7" s="770"/>
      <c r="X7" s="565"/>
      <c r="Y7" s="565"/>
      <c r="Z7" s="565"/>
      <c r="AA7" s="565"/>
      <c r="AB7" s="565"/>
      <c r="AC7" s="565"/>
      <c r="AD7" s="565"/>
    </row>
    <row r="8" spans="1:31" x14ac:dyDescent="0.25">
      <c r="A8" t="s">
        <v>710</v>
      </c>
      <c r="B8" s="43" t="s">
        <v>692</v>
      </c>
      <c r="C8" s="916" t="s">
        <v>589</v>
      </c>
      <c r="D8" s="44">
        <f>Poeng!T16</f>
        <v>3</v>
      </c>
      <c r="E8" s="43"/>
      <c r="F8" s="46">
        <f>Poeng!AB16</f>
        <v>3</v>
      </c>
      <c r="H8" s="145">
        <f t="shared" ref="H8:H36" si="0">SUMIF($R$7:$R$182,A8,$U$7:$U$182)</f>
        <v>1</v>
      </c>
      <c r="I8" s="320" t="str">
        <f t="shared" ref="I8:I36" si="1">IF(F8=H8,"OK","FEIL")</f>
        <v>FEIL</v>
      </c>
      <c r="N8" s="308" t="s">
        <v>92</v>
      </c>
      <c r="O8" t="b">
        <f t="shared" ref="O8:O72" si="2">N8=S8</f>
        <v>0</v>
      </c>
      <c r="R8" t="s">
        <v>711</v>
      </c>
      <c r="S8" s="1137"/>
      <c r="T8" s="918" t="s">
        <v>588</v>
      </c>
      <c r="U8" s="780">
        <v>1</v>
      </c>
      <c r="V8" s="781" t="s">
        <v>346</v>
      </c>
      <c r="W8" s="770"/>
      <c r="X8" s="565"/>
      <c r="Y8" s="565"/>
      <c r="Z8" s="565"/>
      <c r="AA8" s="565"/>
      <c r="AB8" s="565"/>
      <c r="AC8" s="565"/>
      <c r="AD8" s="565"/>
      <c r="AE8">
        <v>1</v>
      </c>
    </row>
    <row r="9" spans="1:31" x14ac:dyDescent="0.25">
      <c r="A9" t="s">
        <v>711</v>
      </c>
      <c r="B9" s="43" t="s">
        <v>695</v>
      </c>
      <c r="C9" s="916" t="s">
        <v>588</v>
      </c>
      <c r="D9" s="44">
        <f>Poeng!T19</f>
        <v>7</v>
      </c>
      <c r="E9" s="43"/>
      <c r="F9" s="46">
        <f>Poeng!AB19</f>
        <v>7</v>
      </c>
      <c r="H9" s="145">
        <f t="shared" si="0"/>
        <v>1</v>
      </c>
      <c r="I9" s="320" t="str">
        <f t="shared" si="1"/>
        <v>FEIL</v>
      </c>
      <c r="N9" s="308" t="s">
        <v>93</v>
      </c>
      <c r="O9" t="b">
        <f t="shared" si="2"/>
        <v>0</v>
      </c>
      <c r="R9" t="s">
        <v>712</v>
      </c>
      <c r="S9" s="1137"/>
      <c r="T9" s="918" t="s">
        <v>585</v>
      </c>
      <c r="U9" s="780">
        <v>1</v>
      </c>
      <c r="V9" s="781" t="s">
        <v>346</v>
      </c>
      <c r="W9" s="770"/>
      <c r="X9" s="565"/>
      <c r="Y9" s="565"/>
      <c r="Z9" s="565"/>
      <c r="AA9" s="565"/>
      <c r="AB9" s="565"/>
      <c r="AC9" s="565"/>
      <c r="AD9" s="565"/>
      <c r="AE9">
        <v>2</v>
      </c>
    </row>
    <row r="10" spans="1:31" x14ac:dyDescent="0.25">
      <c r="A10" t="s">
        <v>712</v>
      </c>
      <c r="B10" s="43" t="s">
        <v>696</v>
      </c>
      <c r="C10" s="916" t="s">
        <v>585</v>
      </c>
      <c r="D10" s="44">
        <f>Poeng!T26</f>
        <v>3</v>
      </c>
      <c r="E10" s="43"/>
      <c r="F10" s="46">
        <f>Poeng!AB26</f>
        <v>3</v>
      </c>
      <c r="H10" s="145">
        <f t="shared" si="0"/>
        <v>1</v>
      </c>
      <c r="I10" s="320" t="str">
        <f t="shared" si="1"/>
        <v>FEIL</v>
      </c>
      <c r="N10" s="308" t="s">
        <v>94</v>
      </c>
      <c r="O10" t="b">
        <f t="shared" si="2"/>
        <v>0</v>
      </c>
      <c r="R10" t="s">
        <v>713</v>
      </c>
      <c r="S10" s="1137"/>
      <c r="T10" s="918" t="s">
        <v>586</v>
      </c>
      <c r="U10" s="780">
        <v>1</v>
      </c>
      <c r="V10" s="781" t="s">
        <v>346</v>
      </c>
      <c r="W10" s="770"/>
      <c r="X10" s="565"/>
      <c r="Y10" s="565"/>
      <c r="Z10" s="565"/>
      <c r="AA10" s="565"/>
      <c r="AB10" s="565"/>
      <c r="AC10" s="565"/>
      <c r="AD10" s="565"/>
      <c r="AE10">
        <v>3</v>
      </c>
    </row>
    <row r="11" spans="1:31" ht="15" customHeight="1" x14ac:dyDescent="0.25">
      <c r="A11" t="s">
        <v>713</v>
      </c>
      <c r="B11" s="43" t="s">
        <v>694</v>
      </c>
      <c r="C11" s="916" t="s">
        <v>586</v>
      </c>
      <c r="D11" s="44">
        <f>Poeng!T30</f>
        <v>3</v>
      </c>
      <c r="E11" s="43"/>
      <c r="F11" s="46">
        <f>Poeng!AB30</f>
        <v>3</v>
      </c>
      <c r="H11" s="145">
        <f t="shared" si="0"/>
        <v>1</v>
      </c>
      <c r="I11" s="320" t="str">
        <f t="shared" si="1"/>
        <v>FEIL</v>
      </c>
      <c r="N11" s="308" t="s">
        <v>95</v>
      </c>
      <c r="O11" t="b">
        <f t="shared" si="2"/>
        <v>0</v>
      </c>
      <c r="R11" t="s">
        <v>714</v>
      </c>
      <c r="S11" s="1144"/>
      <c r="T11" s="918" t="s">
        <v>587</v>
      </c>
      <c r="U11" s="780">
        <v>2</v>
      </c>
      <c r="V11" s="781" t="s">
        <v>346</v>
      </c>
      <c r="W11" s="770"/>
      <c r="X11" s="565"/>
      <c r="Y11" s="565"/>
      <c r="Z11" s="565"/>
      <c r="AA11" s="565"/>
      <c r="AB11" s="565"/>
      <c r="AC11" s="565"/>
      <c r="AD11" s="565"/>
      <c r="AE11">
        <v>4</v>
      </c>
    </row>
    <row r="12" spans="1:31" x14ac:dyDescent="0.25">
      <c r="A12" t="s">
        <v>714</v>
      </c>
      <c r="B12" s="43" t="s">
        <v>693</v>
      </c>
      <c r="C12" s="916" t="s">
        <v>587</v>
      </c>
      <c r="D12" s="44">
        <f>Poeng!T34</f>
        <v>0</v>
      </c>
      <c r="E12" s="43"/>
      <c r="F12" s="46">
        <f>Poeng!AB34</f>
        <v>0</v>
      </c>
      <c r="H12" s="145">
        <f t="shared" si="0"/>
        <v>2</v>
      </c>
      <c r="I12" s="320" t="str">
        <f t="shared" si="1"/>
        <v>FEIL</v>
      </c>
      <c r="N12" s="306"/>
      <c r="O12" t="b">
        <f t="shared" si="2"/>
        <v>0</v>
      </c>
      <c r="S12" s="1133" t="s">
        <v>92</v>
      </c>
      <c r="T12" s="919" t="s">
        <v>833</v>
      </c>
      <c r="U12" s="868"/>
      <c r="V12" s="869"/>
      <c r="W12" s="770"/>
      <c r="X12" s="565"/>
      <c r="Y12" s="565"/>
      <c r="Z12" s="565"/>
      <c r="AA12" s="565"/>
      <c r="AB12" s="565"/>
      <c r="AC12" s="565"/>
      <c r="AD12" s="565"/>
      <c r="AE12">
        <v>5</v>
      </c>
    </row>
    <row r="13" spans="1:31" ht="15.75" thickBot="1" x14ac:dyDescent="0.3">
      <c r="A13" s="121" t="s">
        <v>92</v>
      </c>
      <c r="B13" s="725" t="s">
        <v>92</v>
      </c>
      <c r="C13" s="725" t="s">
        <v>306</v>
      </c>
      <c r="D13" s="49">
        <f>Poeng!T35</f>
        <v>0</v>
      </c>
      <c r="E13" s="48"/>
      <c r="F13" s="46">
        <f>Poeng!AB35</f>
        <v>0</v>
      </c>
      <c r="H13" s="797">
        <f t="shared" si="0"/>
        <v>0</v>
      </c>
      <c r="I13" s="320" t="str">
        <f t="shared" si="1"/>
        <v>OK</v>
      </c>
      <c r="N13" s="307" t="s">
        <v>350</v>
      </c>
      <c r="O13" t="b">
        <f t="shared" si="2"/>
        <v>0</v>
      </c>
      <c r="R13" t="s">
        <v>715</v>
      </c>
      <c r="S13" s="1134"/>
      <c r="T13" s="918" t="s">
        <v>590</v>
      </c>
      <c r="U13" s="782">
        <v>2</v>
      </c>
      <c r="V13" s="781" t="s">
        <v>346</v>
      </c>
      <c r="W13" s="770"/>
      <c r="X13" s="565"/>
      <c r="Y13" s="565"/>
      <c r="Z13" s="565"/>
      <c r="AA13" s="565"/>
      <c r="AB13" s="565"/>
      <c r="AC13" s="565"/>
      <c r="AD13" s="565"/>
      <c r="AE13">
        <v>6</v>
      </c>
    </row>
    <row r="14" spans="1:31" ht="15.75" thickBot="1" x14ac:dyDescent="0.3">
      <c r="A14" t="s">
        <v>715</v>
      </c>
      <c r="B14" s="43" t="s">
        <v>692</v>
      </c>
      <c r="C14" s="916" t="s">
        <v>590</v>
      </c>
      <c r="D14" s="50">
        <f>Poeng!T36</f>
        <v>21</v>
      </c>
      <c r="E14" s="50"/>
      <c r="F14" s="50">
        <f>SUM(F7:F13)</f>
        <v>21</v>
      </c>
      <c r="H14" s="145">
        <f t="shared" si="0"/>
        <v>2</v>
      </c>
      <c r="I14" s="320" t="str">
        <f t="shared" si="1"/>
        <v>FEIL</v>
      </c>
      <c r="N14" s="311" t="s">
        <v>116</v>
      </c>
      <c r="O14" t="b">
        <f t="shared" si="2"/>
        <v>0</v>
      </c>
      <c r="R14" t="s">
        <v>716</v>
      </c>
      <c r="S14" s="1135"/>
      <c r="T14" s="918" t="s">
        <v>591</v>
      </c>
      <c r="U14" s="782">
        <v>1</v>
      </c>
      <c r="V14" s="781" t="s">
        <v>346</v>
      </c>
      <c r="W14" s="770"/>
      <c r="X14" s="565"/>
      <c r="Y14" s="565"/>
      <c r="Z14" s="565"/>
      <c r="AA14" s="565"/>
      <c r="AB14" s="565"/>
      <c r="AC14" s="565"/>
      <c r="AD14" s="565"/>
      <c r="AE14">
        <v>7</v>
      </c>
    </row>
    <row r="15" spans="1:31" ht="15.75" thickBot="1" x14ac:dyDescent="0.3">
      <c r="A15" t="s">
        <v>716</v>
      </c>
      <c r="B15" s="43" t="s">
        <v>695</v>
      </c>
      <c r="C15" s="916" t="s">
        <v>591</v>
      </c>
      <c r="H15" s="145">
        <f t="shared" si="0"/>
        <v>1</v>
      </c>
      <c r="I15" s="320" t="str">
        <f t="shared" si="1"/>
        <v>FEIL</v>
      </c>
      <c r="N15" s="312"/>
      <c r="O15" t="b">
        <f t="shared" si="2"/>
        <v>0</v>
      </c>
      <c r="S15" s="1133" t="s">
        <v>93</v>
      </c>
      <c r="T15" s="867" t="s">
        <v>347</v>
      </c>
      <c r="U15" s="868"/>
      <c r="V15" s="869"/>
      <c r="W15" s="770"/>
      <c r="AE15">
        <v>8</v>
      </c>
    </row>
    <row r="16" spans="1:31" ht="15.75" thickBot="1" x14ac:dyDescent="0.3">
      <c r="A16" s="121" t="s">
        <v>93</v>
      </c>
      <c r="B16" s="725" t="s">
        <v>93</v>
      </c>
      <c r="C16" s="725" t="s">
        <v>307</v>
      </c>
      <c r="D16" s="47"/>
      <c r="E16" s="47"/>
      <c r="F16" s="47"/>
      <c r="H16" s="797">
        <f t="shared" si="0"/>
        <v>0</v>
      </c>
      <c r="I16" s="320" t="str">
        <f t="shared" si="1"/>
        <v>OK</v>
      </c>
      <c r="N16" s="313"/>
      <c r="O16" t="b">
        <f t="shared" si="2"/>
        <v>1</v>
      </c>
      <c r="R16" t="s">
        <v>717</v>
      </c>
      <c r="S16" s="1134"/>
      <c r="T16" s="308" t="s">
        <v>592</v>
      </c>
      <c r="U16" s="780">
        <v>1</v>
      </c>
      <c r="V16" s="781" t="s">
        <v>346</v>
      </c>
      <c r="W16" s="770"/>
      <c r="AE16">
        <v>9</v>
      </c>
    </row>
    <row r="17" spans="1:31" x14ac:dyDescent="0.25">
      <c r="A17" t="s">
        <v>717</v>
      </c>
      <c r="B17" s="43" t="s">
        <v>692</v>
      </c>
      <c r="C17" s="795" t="s">
        <v>592</v>
      </c>
      <c r="D17" s="46">
        <f>Poeng!T39</f>
        <v>7</v>
      </c>
      <c r="E17" s="45"/>
      <c r="F17" s="46">
        <f>Poeng!AB39</f>
        <v>7</v>
      </c>
      <c r="H17" s="145">
        <f t="shared" si="0"/>
        <v>1</v>
      </c>
      <c r="I17" s="320" t="str">
        <f t="shared" si="1"/>
        <v>FEIL</v>
      </c>
      <c r="N17" s="311" t="s">
        <v>117</v>
      </c>
      <c r="O17" t="b">
        <f t="shared" si="2"/>
        <v>0</v>
      </c>
      <c r="R17" t="s">
        <v>718</v>
      </c>
      <c r="S17" s="1134"/>
      <c r="T17" s="308" t="s">
        <v>593</v>
      </c>
      <c r="U17" s="780">
        <v>1</v>
      </c>
      <c r="V17" s="781" t="s">
        <v>346</v>
      </c>
      <c r="W17" s="770"/>
      <c r="AE17">
        <v>10</v>
      </c>
    </row>
    <row r="18" spans="1:31" x14ac:dyDescent="0.25">
      <c r="A18" t="s">
        <v>718</v>
      </c>
      <c r="B18" s="43" t="s">
        <v>695</v>
      </c>
      <c r="C18" s="795" t="s">
        <v>593</v>
      </c>
      <c r="D18" s="44">
        <f>Poeng!T46</f>
        <v>4</v>
      </c>
      <c r="E18" s="43"/>
      <c r="F18" s="46">
        <f>Poeng!AB46</f>
        <v>4</v>
      </c>
      <c r="H18" s="145">
        <f t="shared" si="0"/>
        <v>1</v>
      </c>
      <c r="I18" s="320" t="str">
        <f t="shared" si="1"/>
        <v>FEIL</v>
      </c>
      <c r="N18" s="312"/>
      <c r="O18" t="b">
        <f t="shared" si="2"/>
        <v>1</v>
      </c>
      <c r="R18" t="s">
        <v>719</v>
      </c>
      <c r="S18" s="1134"/>
      <c r="T18" s="308" t="s">
        <v>594</v>
      </c>
      <c r="U18" s="780">
        <v>2</v>
      </c>
      <c r="V18" s="781" t="s">
        <v>346</v>
      </c>
      <c r="W18" s="770"/>
      <c r="AE18">
        <v>11</v>
      </c>
    </row>
    <row r="19" spans="1:31" x14ac:dyDescent="0.25">
      <c r="A19" t="s">
        <v>719</v>
      </c>
      <c r="B19" s="43" t="s">
        <v>696</v>
      </c>
      <c r="C19" s="854" t="s">
        <v>911</v>
      </c>
      <c r="D19" s="44">
        <f>Poeng!T51</f>
        <v>3</v>
      </c>
      <c r="E19" s="43"/>
      <c r="F19" s="46">
        <f>Poeng!AB51</f>
        <v>3</v>
      </c>
      <c r="H19" s="877">
        <f>IF(SUMIF($R$7:$R$182,A19,$U$7:$U$182)=2,1,SUMIF($R$7:$R$182,A19,$U$7:$U$182))</f>
        <v>1</v>
      </c>
      <c r="I19" s="320" t="str">
        <f t="shared" si="1"/>
        <v>FEIL</v>
      </c>
      <c r="J19" t="s">
        <v>943</v>
      </c>
      <c r="N19" s="313"/>
      <c r="O19" t="b">
        <f t="shared" si="2"/>
        <v>1</v>
      </c>
      <c r="R19" t="s">
        <v>909</v>
      </c>
      <c r="S19" s="1135"/>
      <c r="T19" s="308" t="s">
        <v>595</v>
      </c>
      <c r="U19" s="780">
        <v>3</v>
      </c>
      <c r="V19" s="781" t="s">
        <v>346</v>
      </c>
      <c r="W19" s="770"/>
      <c r="AE19">
        <v>12</v>
      </c>
    </row>
    <row r="20" spans="1:31" ht="15" customHeight="1" x14ac:dyDescent="0.25">
      <c r="A20" t="s">
        <v>720</v>
      </c>
      <c r="B20" s="43" t="s">
        <v>694</v>
      </c>
      <c r="C20" s="854" t="s">
        <v>912</v>
      </c>
      <c r="D20" s="44">
        <f>Poeng!T55</f>
        <v>0</v>
      </c>
      <c r="E20" s="43"/>
      <c r="F20" s="46">
        <f>Poeng!AB55</f>
        <v>0</v>
      </c>
      <c r="H20" s="877">
        <f>IF(SUMIF($R$7:$R$182,A19,$U$7:$U$182)=2,1,0)</f>
        <v>1</v>
      </c>
      <c r="I20" s="320" t="str">
        <f t="shared" si="1"/>
        <v>FEIL</v>
      </c>
      <c r="J20" t="s">
        <v>943</v>
      </c>
      <c r="N20" s="309" t="s">
        <v>118</v>
      </c>
      <c r="O20" t="b">
        <f t="shared" si="2"/>
        <v>0</v>
      </c>
      <c r="S20" s="1133" t="s">
        <v>94</v>
      </c>
      <c r="T20" s="867" t="s">
        <v>348</v>
      </c>
      <c r="U20" s="868"/>
      <c r="V20" s="869"/>
      <c r="W20" s="770"/>
      <c r="AE20">
        <v>13</v>
      </c>
    </row>
    <row r="21" spans="1:31" x14ac:dyDescent="0.25">
      <c r="A21" t="s">
        <v>909</v>
      </c>
      <c r="B21" s="43" t="s">
        <v>693</v>
      </c>
      <c r="C21" s="854" t="s">
        <v>913</v>
      </c>
      <c r="D21" s="44">
        <f>Poeng!T56</f>
        <v>3</v>
      </c>
      <c r="E21" s="43"/>
      <c r="F21" s="46">
        <f>Poeng!AB56</f>
        <v>3</v>
      </c>
      <c r="H21" s="877">
        <f>IF(SUMIF($R$7:$R$182,A21,$U$7:$U$182)=3,1,SUMIF($R$7:$R$182,A21,$U$7:$U$182))</f>
        <v>1</v>
      </c>
      <c r="I21" s="320" t="str">
        <f t="shared" si="1"/>
        <v>FEIL</v>
      </c>
      <c r="J21" t="s">
        <v>943</v>
      </c>
      <c r="N21" s="309" t="s">
        <v>119</v>
      </c>
      <c r="O21" t="b">
        <f t="shared" si="2"/>
        <v>0</v>
      </c>
      <c r="R21" t="s">
        <v>721</v>
      </c>
      <c r="S21" s="1134"/>
      <c r="T21" s="308" t="s">
        <v>596</v>
      </c>
      <c r="U21" s="780">
        <v>1</v>
      </c>
      <c r="V21" s="781" t="s">
        <v>346</v>
      </c>
      <c r="W21" s="770"/>
      <c r="AE21">
        <v>14</v>
      </c>
    </row>
    <row r="22" spans="1:31" ht="48.75" customHeight="1" x14ac:dyDescent="0.25">
      <c r="A22" t="s">
        <v>910</v>
      </c>
      <c r="B22" s="43" t="s">
        <v>908</v>
      </c>
      <c r="C22" s="854" t="s">
        <v>914</v>
      </c>
      <c r="D22" s="44">
        <f>Poeng!T59</f>
        <v>2</v>
      </c>
      <c r="E22" s="43"/>
      <c r="F22" s="46">
        <f>Poeng!AB59</f>
        <v>2</v>
      </c>
      <c r="H22" s="877">
        <f>IF(SUMIF($R$7:$R$182,A21,$U$7:$U$182)=3,2,0)</f>
        <v>2</v>
      </c>
      <c r="I22" s="320" t="str">
        <f t="shared" si="1"/>
        <v>OK</v>
      </c>
      <c r="J22" t="s">
        <v>943</v>
      </c>
      <c r="N22" s="309" t="s">
        <v>120</v>
      </c>
      <c r="O22" t="b">
        <f t="shared" si="2"/>
        <v>0</v>
      </c>
      <c r="R22" t="s">
        <v>722</v>
      </c>
      <c r="S22" s="1134"/>
      <c r="T22" s="308" t="s">
        <v>597</v>
      </c>
      <c r="U22" s="780">
        <v>1</v>
      </c>
      <c r="V22" s="781" t="s">
        <v>346</v>
      </c>
      <c r="W22" s="770"/>
      <c r="AE22">
        <v>15</v>
      </c>
    </row>
    <row r="23" spans="1:31" ht="15" customHeight="1" x14ac:dyDescent="0.25">
      <c r="A23" s="121" t="s">
        <v>94</v>
      </c>
      <c r="B23" s="725" t="s">
        <v>94</v>
      </c>
      <c r="C23" s="725" t="s">
        <v>395</v>
      </c>
      <c r="D23" s="61">
        <f>Poeng!T62</f>
        <v>0</v>
      </c>
      <c r="E23" s="43"/>
      <c r="F23" s="321">
        <f>Poeng!AB62</f>
        <v>0</v>
      </c>
      <c r="H23" s="797">
        <f t="shared" si="0"/>
        <v>0</v>
      </c>
      <c r="I23" s="320" t="str">
        <f t="shared" si="1"/>
        <v>OK</v>
      </c>
      <c r="N23" s="309" t="s">
        <v>121</v>
      </c>
      <c r="O23" t="b">
        <f t="shared" si="2"/>
        <v>0</v>
      </c>
      <c r="R23" t="s">
        <v>723</v>
      </c>
      <c r="S23" s="1135"/>
      <c r="T23" s="308" t="s">
        <v>598</v>
      </c>
      <c r="U23" s="780">
        <v>1</v>
      </c>
      <c r="V23" s="781" t="s">
        <v>346</v>
      </c>
      <c r="W23" s="770"/>
      <c r="AE23">
        <v>16</v>
      </c>
    </row>
    <row r="24" spans="1:31" x14ac:dyDescent="0.25">
      <c r="A24" t="s">
        <v>721</v>
      </c>
      <c r="B24" s="43" t="s">
        <v>692</v>
      </c>
      <c r="C24" s="795" t="s">
        <v>596</v>
      </c>
      <c r="D24" s="44">
        <f>Poeng!T63</f>
        <v>0</v>
      </c>
      <c r="E24" s="43"/>
      <c r="F24" s="46">
        <f>Poeng!AB63</f>
        <v>0</v>
      </c>
      <c r="H24" s="145">
        <f t="shared" si="0"/>
        <v>1</v>
      </c>
      <c r="I24" s="320" t="str">
        <f t="shared" si="1"/>
        <v>FEIL</v>
      </c>
      <c r="N24" s="309" t="s">
        <v>122</v>
      </c>
      <c r="O24" t="b">
        <f t="shared" si="2"/>
        <v>0</v>
      </c>
      <c r="S24" s="1136" t="s">
        <v>95</v>
      </c>
      <c r="T24" s="868" t="s">
        <v>349</v>
      </c>
      <c r="U24" s="868"/>
      <c r="V24" s="869"/>
      <c r="W24" s="770"/>
      <c r="AE24">
        <v>17</v>
      </c>
    </row>
    <row r="25" spans="1:31" ht="73.5" customHeight="1" thickBot="1" x14ac:dyDescent="0.3">
      <c r="A25" t="s">
        <v>722</v>
      </c>
      <c r="B25" s="43" t="s">
        <v>695</v>
      </c>
      <c r="C25" s="795" t="s">
        <v>597</v>
      </c>
      <c r="D25" s="49">
        <f>Poeng!T65</f>
        <v>0</v>
      </c>
      <c r="E25" s="48"/>
      <c r="F25" s="46">
        <f>Poeng!AB65</f>
        <v>0</v>
      </c>
      <c r="H25" s="145">
        <f t="shared" si="0"/>
        <v>1</v>
      </c>
      <c r="I25" s="320" t="str">
        <f t="shared" si="1"/>
        <v>FEIL</v>
      </c>
      <c r="N25" s="309" t="s">
        <v>123</v>
      </c>
      <c r="O25" t="b">
        <f t="shared" si="2"/>
        <v>0</v>
      </c>
      <c r="R25" t="s">
        <v>724</v>
      </c>
      <c r="S25" s="1137"/>
      <c r="T25" s="308" t="s">
        <v>599</v>
      </c>
      <c r="U25" s="780">
        <v>1</v>
      </c>
      <c r="V25" s="781" t="s">
        <v>346</v>
      </c>
      <c r="W25" s="770"/>
      <c r="AE25">
        <v>18</v>
      </c>
    </row>
    <row r="26" spans="1:31" ht="15.75" thickBot="1" x14ac:dyDescent="0.3">
      <c r="A26" t="s">
        <v>723</v>
      </c>
      <c r="B26" s="43" t="s">
        <v>696</v>
      </c>
      <c r="C26" s="795" t="s">
        <v>598</v>
      </c>
      <c r="D26" s="50">
        <f>Poeng!T66</f>
        <v>19</v>
      </c>
      <c r="E26" s="50"/>
      <c r="F26" s="50">
        <f>SUM(F17:F25)</f>
        <v>19</v>
      </c>
      <c r="H26" s="145">
        <f t="shared" si="0"/>
        <v>1</v>
      </c>
      <c r="I26" s="320" t="str">
        <f t="shared" si="1"/>
        <v>FEIL</v>
      </c>
      <c r="N26" s="309" t="s">
        <v>124</v>
      </c>
      <c r="O26" t="b">
        <f t="shared" si="2"/>
        <v>0</v>
      </c>
      <c r="R26" t="s">
        <v>725</v>
      </c>
      <c r="S26" s="1137"/>
      <c r="T26" s="308" t="s">
        <v>600</v>
      </c>
      <c r="U26" s="780">
        <v>1</v>
      </c>
      <c r="V26" s="781" t="s">
        <v>346</v>
      </c>
      <c r="W26" s="770"/>
      <c r="AE26">
        <v>19</v>
      </c>
    </row>
    <row r="27" spans="1:31" ht="15.75" thickBot="1" x14ac:dyDescent="0.3">
      <c r="A27" s="121" t="s">
        <v>95</v>
      </c>
      <c r="B27" s="725" t="s">
        <v>95</v>
      </c>
      <c r="C27" s="725" t="s">
        <v>308</v>
      </c>
      <c r="H27" s="797">
        <f t="shared" si="0"/>
        <v>0</v>
      </c>
      <c r="I27" s="320" t="str">
        <f t="shared" si="1"/>
        <v>OK</v>
      </c>
      <c r="N27" s="306"/>
      <c r="O27" t="b">
        <f t="shared" si="2"/>
        <v>1</v>
      </c>
      <c r="R27" t="s">
        <v>726</v>
      </c>
      <c r="S27" s="1137"/>
      <c r="T27" s="308" t="s">
        <v>601</v>
      </c>
      <c r="U27" s="780">
        <v>1</v>
      </c>
      <c r="V27" s="781" t="s">
        <v>346</v>
      </c>
      <c r="W27" s="770"/>
      <c r="AE27">
        <v>20</v>
      </c>
    </row>
    <row r="28" spans="1:31" ht="15.75" thickBot="1" x14ac:dyDescent="0.3">
      <c r="A28" t="s">
        <v>724</v>
      </c>
      <c r="B28" s="43" t="s">
        <v>692</v>
      </c>
      <c r="C28" s="795" t="s">
        <v>599</v>
      </c>
      <c r="D28" s="47"/>
      <c r="E28" s="47"/>
      <c r="F28" s="47"/>
      <c r="H28" s="145">
        <f t="shared" si="0"/>
        <v>1</v>
      </c>
      <c r="I28" s="320" t="str">
        <f t="shared" si="1"/>
        <v>FEIL</v>
      </c>
      <c r="N28" s="307" t="s">
        <v>353</v>
      </c>
      <c r="O28" t="b">
        <f t="shared" si="2"/>
        <v>0</v>
      </c>
      <c r="S28" s="307" t="s">
        <v>350</v>
      </c>
      <c r="T28" s="306"/>
      <c r="U28" s="307"/>
      <c r="V28" s="783"/>
      <c r="W28" s="770"/>
      <c r="AE28">
        <v>21</v>
      </c>
    </row>
    <row r="29" spans="1:31" x14ac:dyDescent="0.25">
      <c r="A29" t="s">
        <v>725</v>
      </c>
      <c r="B29" s="43" t="s">
        <v>695</v>
      </c>
      <c r="C29" s="795" t="s">
        <v>600</v>
      </c>
      <c r="D29" s="46">
        <f>Poeng!T69</f>
        <v>12</v>
      </c>
      <c r="E29" s="45"/>
      <c r="F29" s="46">
        <f>Poeng!AB69</f>
        <v>12</v>
      </c>
      <c r="H29" s="145">
        <f t="shared" si="0"/>
        <v>1</v>
      </c>
      <c r="I29" s="320" t="str">
        <f t="shared" si="1"/>
        <v>FEIL</v>
      </c>
      <c r="N29" s="309" t="s">
        <v>134</v>
      </c>
      <c r="O29" t="b">
        <f t="shared" si="2"/>
        <v>0</v>
      </c>
      <c r="S29" s="1124" t="s">
        <v>116</v>
      </c>
      <c r="T29" s="870" t="s">
        <v>834</v>
      </c>
      <c r="U29" s="881"/>
      <c r="V29" s="871"/>
      <c r="W29" s="770"/>
      <c r="AE29">
        <v>22</v>
      </c>
    </row>
    <row r="30" spans="1:31" x14ac:dyDescent="0.25">
      <c r="A30" t="s">
        <v>726</v>
      </c>
      <c r="B30" s="43" t="s">
        <v>696</v>
      </c>
      <c r="C30" s="795" t="s">
        <v>601</v>
      </c>
      <c r="D30" s="44">
        <f>Poeng!T75</f>
        <v>2</v>
      </c>
      <c r="E30" s="43"/>
      <c r="F30" s="46">
        <f>Poeng!AB75</f>
        <v>2</v>
      </c>
      <c r="H30" s="145">
        <f t="shared" si="0"/>
        <v>1</v>
      </c>
      <c r="I30" s="320" t="str">
        <f t="shared" si="1"/>
        <v>FEIL</v>
      </c>
      <c r="N30" s="309" t="s">
        <v>252</v>
      </c>
      <c r="O30" t="b">
        <f t="shared" si="2"/>
        <v>0</v>
      </c>
      <c r="R30" t="s">
        <v>728</v>
      </c>
      <c r="S30" s="1125"/>
      <c r="T30" s="771" t="s">
        <v>602</v>
      </c>
      <c r="U30" s="784">
        <v>3</v>
      </c>
      <c r="V30" s="785" t="s">
        <v>346</v>
      </c>
      <c r="W30" s="770"/>
      <c r="AE30">
        <v>23</v>
      </c>
    </row>
    <row r="31" spans="1:31" x14ac:dyDescent="0.25">
      <c r="B31" s="608" t="s">
        <v>96</v>
      </c>
      <c r="C31" s="608"/>
      <c r="D31" s="44">
        <f>Poeng!T79</f>
        <v>1</v>
      </c>
      <c r="E31" s="43"/>
      <c r="F31" s="46">
        <f>Poeng!AB79</f>
        <v>1</v>
      </c>
      <c r="H31" s="822">
        <f t="shared" si="0"/>
        <v>0</v>
      </c>
      <c r="I31" s="320" t="str">
        <f t="shared" si="1"/>
        <v>FEIL</v>
      </c>
      <c r="N31" s="309" t="s">
        <v>354</v>
      </c>
      <c r="O31" t="b">
        <f t="shared" si="2"/>
        <v>0</v>
      </c>
      <c r="R31" t="s">
        <v>729</v>
      </c>
      <c r="S31" s="1125"/>
      <c r="T31" s="771" t="s">
        <v>603</v>
      </c>
      <c r="U31" s="786">
        <v>1</v>
      </c>
      <c r="V31" s="787" t="s">
        <v>346</v>
      </c>
      <c r="W31" s="770"/>
      <c r="AE31">
        <v>24</v>
      </c>
    </row>
    <row r="32" spans="1:31" ht="15.75" customHeight="1" thickBot="1" x14ac:dyDescent="0.3">
      <c r="B32" s="608" t="s">
        <v>97</v>
      </c>
      <c r="C32" s="608"/>
      <c r="D32" s="44">
        <f>Poeng!T82</f>
        <v>0</v>
      </c>
      <c r="E32" s="43"/>
      <c r="F32" s="46">
        <f>Poeng!AB82</f>
        <v>0</v>
      </c>
      <c r="H32" s="822">
        <f t="shared" si="0"/>
        <v>0</v>
      </c>
      <c r="I32" s="320" t="str">
        <f t="shared" si="1"/>
        <v>OK</v>
      </c>
      <c r="N32" s="309" t="s">
        <v>136</v>
      </c>
      <c r="O32" t="b">
        <f t="shared" si="2"/>
        <v>0</v>
      </c>
      <c r="R32" t="s">
        <v>730</v>
      </c>
      <c r="S32" s="1125"/>
      <c r="T32" s="771" t="s">
        <v>604</v>
      </c>
      <c r="U32" s="786">
        <v>1</v>
      </c>
      <c r="V32" s="787" t="s">
        <v>346</v>
      </c>
      <c r="W32" s="770"/>
      <c r="AE32">
        <v>25</v>
      </c>
    </row>
    <row r="33" spans="1:31" ht="15.75" thickBot="1" x14ac:dyDescent="0.3">
      <c r="A33" t="s">
        <v>881</v>
      </c>
      <c r="B33" s="617"/>
      <c r="C33" s="616" t="s">
        <v>213</v>
      </c>
      <c r="D33" s="44">
        <f>Poeng!T83</f>
        <v>2</v>
      </c>
      <c r="E33" s="43"/>
      <c r="F33" s="46">
        <f>Poeng!AB83</f>
        <v>2</v>
      </c>
      <c r="H33" s="175">
        <f t="shared" si="0"/>
        <v>0</v>
      </c>
      <c r="I33" s="320" t="str">
        <f t="shared" si="1"/>
        <v>FEIL</v>
      </c>
      <c r="N33" s="309" t="s">
        <v>137</v>
      </c>
      <c r="O33" t="b">
        <f t="shared" si="2"/>
        <v>0</v>
      </c>
      <c r="R33" t="s">
        <v>731</v>
      </c>
      <c r="S33" s="1125"/>
      <c r="T33" s="771" t="s">
        <v>605</v>
      </c>
      <c r="U33" s="786">
        <v>1</v>
      </c>
      <c r="V33" s="787" t="s">
        <v>346</v>
      </c>
      <c r="W33" s="770"/>
      <c r="AE33">
        <v>26</v>
      </c>
    </row>
    <row r="34" spans="1:31" ht="15.75" thickBot="1" x14ac:dyDescent="0.3">
      <c r="D34" s="44">
        <f>Poeng!T86</f>
        <v>3</v>
      </c>
      <c r="E34" s="43"/>
      <c r="F34" s="46">
        <f>Poeng!AB86</f>
        <v>3</v>
      </c>
      <c r="H34">
        <f t="shared" si="0"/>
        <v>0</v>
      </c>
      <c r="I34" s="320" t="str">
        <f t="shared" si="1"/>
        <v>FEIL</v>
      </c>
      <c r="N34" s="309" t="s">
        <v>138</v>
      </c>
      <c r="O34" t="b">
        <f t="shared" si="2"/>
        <v>0</v>
      </c>
      <c r="R34" t="s">
        <v>955</v>
      </c>
      <c r="S34" s="1126"/>
      <c r="T34" s="771" t="s">
        <v>606</v>
      </c>
      <c r="U34" s="780">
        <v>1</v>
      </c>
      <c r="V34" s="785" t="s">
        <v>346</v>
      </c>
      <c r="W34" s="770"/>
      <c r="AE34">
        <v>27</v>
      </c>
    </row>
    <row r="35" spans="1:31" ht="15.75" thickBot="1" x14ac:dyDescent="0.3">
      <c r="B35" s="127"/>
      <c r="C35" s="47" t="s">
        <v>64</v>
      </c>
      <c r="D35" s="44">
        <f>Poeng!T90</f>
        <v>5</v>
      </c>
      <c r="E35" s="43"/>
      <c r="F35" s="46">
        <f>Poeng!AB90</f>
        <v>5</v>
      </c>
      <c r="H35" s="122">
        <f t="shared" si="0"/>
        <v>0</v>
      </c>
      <c r="I35" s="320" t="str">
        <f t="shared" si="1"/>
        <v>FEIL</v>
      </c>
      <c r="N35" s="309" t="s">
        <v>139</v>
      </c>
      <c r="O35" t="b">
        <f t="shared" si="2"/>
        <v>0</v>
      </c>
      <c r="S35" s="1124" t="s">
        <v>117</v>
      </c>
      <c r="T35" s="870" t="s">
        <v>835</v>
      </c>
      <c r="U35" s="881"/>
      <c r="V35" s="871"/>
      <c r="W35" s="770"/>
      <c r="AE35">
        <v>28</v>
      </c>
    </row>
    <row r="36" spans="1:31" x14ac:dyDescent="0.25">
      <c r="A36" s="121" t="s">
        <v>116</v>
      </c>
      <c r="B36" s="726" t="s">
        <v>116</v>
      </c>
      <c r="C36" s="724" t="s">
        <v>114</v>
      </c>
      <c r="D36" s="44">
        <f>Poeng!T93</f>
        <v>2</v>
      </c>
      <c r="E36" s="43"/>
      <c r="F36" s="46">
        <f>Poeng!AB93</f>
        <v>2</v>
      </c>
      <c r="H36" s="829">
        <f t="shared" si="0"/>
        <v>0</v>
      </c>
      <c r="I36" s="320" t="str">
        <f t="shared" si="1"/>
        <v>FEIL</v>
      </c>
      <c r="N36" s="309" t="s">
        <v>140</v>
      </c>
      <c r="O36" t="b">
        <f t="shared" si="2"/>
        <v>0</v>
      </c>
      <c r="R36" t="s">
        <v>733</v>
      </c>
      <c r="S36" s="1125"/>
      <c r="T36" s="771" t="s">
        <v>608</v>
      </c>
      <c r="U36" s="780">
        <v>1</v>
      </c>
      <c r="V36" s="785"/>
      <c r="W36" s="770"/>
      <c r="AE36">
        <v>29</v>
      </c>
    </row>
    <row r="37" spans="1:31" ht="15.75" customHeight="1" x14ac:dyDescent="0.25">
      <c r="A37" t="s">
        <v>727</v>
      </c>
      <c r="B37" t="s">
        <v>692</v>
      </c>
      <c r="N37" s="309" t="s">
        <v>141</v>
      </c>
      <c r="O37" t="b">
        <f t="shared" si="2"/>
        <v>0</v>
      </c>
      <c r="R37" t="s">
        <v>734</v>
      </c>
      <c r="S37" s="1125"/>
      <c r="T37" s="309" t="s">
        <v>609</v>
      </c>
      <c r="U37" s="780">
        <v>2</v>
      </c>
      <c r="V37" s="785" t="s">
        <v>346</v>
      </c>
      <c r="W37" s="770"/>
      <c r="AE37">
        <v>30</v>
      </c>
    </row>
    <row r="38" spans="1:31" ht="15.75" customHeight="1" x14ac:dyDescent="0.25">
      <c r="A38" t="s">
        <v>728</v>
      </c>
      <c r="B38" s="144" t="s">
        <v>695</v>
      </c>
      <c r="C38" s="795" t="s">
        <v>602</v>
      </c>
      <c r="D38" s="44">
        <f>Poeng!T95</f>
        <v>0</v>
      </c>
      <c r="E38" s="43"/>
      <c r="F38" s="46">
        <f>Poeng!AB95</f>
        <v>0</v>
      </c>
      <c r="H38" s="184">
        <f>SUMIF($R$7:$R$182,A38,$U$7:$U$182)</f>
        <v>3</v>
      </c>
      <c r="I38" s="320" t="str">
        <f t="shared" ref="I38:I74" si="3">IF(F38=H38,"OK","FEIL")</f>
        <v>FEIL</v>
      </c>
      <c r="N38" s="309" t="s">
        <v>142</v>
      </c>
      <c r="O38" t="b">
        <f t="shared" si="2"/>
        <v>0</v>
      </c>
      <c r="R38" t="s">
        <v>735</v>
      </c>
      <c r="S38" s="1126"/>
      <c r="T38" s="309" t="s">
        <v>610</v>
      </c>
      <c r="U38" s="788">
        <v>1</v>
      </c>
      <c r="V38" s="785" t="s">
        <v>346</v>
      </c>
      <c r="W38" s="770"/>
      <c r="AE38">
        <v>31</v>
      </c>
    </row>
    <row r="39" spans="1:31" ht="15.75" thickBot="1" x14ac:dyDescent="0.3">
      <c r="A39" t="s">
        <v>729</v>
      </c>
      <c r="B39" s="144" t="s">
        <v>696</v>
      </c>
      <c r="C39" s="795" t="s">
        <v>603</v>
      </c>
      <c r="D39" s="44">
        <f>Poeng!T96</f>
        <v>0</v>
      </c>
      <c r="E39" s="43"/>
      <c r="F39" s="46">
        <f>Poeng!AB96</f>
        <v>0</v>
      </c>
      <c r="H39" s="184">
        <f t="shared" ref="H39:H71" si="4">SUMIF($R$7:$R$182,A39,$U$7:$U$182)</f>
        <v>1</v>
      </c>
      <c r="I39" s="320" t="str">
        <f t="shared" si="3"/>
        <v>FEIL</v>
      </c>
      <c r="N39" s="310" t="s">
        <v>143</v>
      </c>
      <c r="O39" t="b">
        <f t="shared" si="2"/>
        <v>0</v>
      </c>
      <c r="S39" s="1124" t="s">
        <v>118</v>
      </c>
      <c r="T39" s="870" t="s">
        <v>836</v>
      </c>
      <c r="U39" s="881"/>
      <c r="V39" s="871"/>
      <c r="W39" s="770"/>
      <c r="AE39">
        <v>32</v>
      </c>
    </row>
    <row r="40" spans="1:31" ht="15.75" thickBot="1" x14ac:dyDescent="0.3">
      <c r="A40" t="s">
        <v>730</v>
      </c>
      <c r="B40" s="144" t="s">
        <v>694</v>
      </c>
      <c r="C40" s="795" t="s">
        <v>604</v>
      </c>
      <c r="D40" s="50">
        <f>Poeng!T97</f>
        <v>27</v>
      </c>
      <c r="E40" s="50"/>
      <c r="F40" s="50">
        <f>SUM(F29:F39)</f>
        <v>27</v>
      </c>
      <c r="H40" s="184">
        <f t="shared" si="4"/>
        <v>1</v>
      </c>
      <c r="I40" s="320" t="str">
        <f t="shared" si="3"/>
        <v>FEIL</v>
      </c>
      <c r="N40" s="306"/>
      <c r="O40" t="b">
        <f t="shared" si="2"/>
        <v>1</v>
      </c>
      <c r="R40" t="s">
        <v>736</v>
      </c>
      <c r="S40" s="1125"/>
      <c r="T40" s="771" t="s">
        <v>611</v>
      </c>
      <c r="U40" s="780">
        <v>1</v>
      </c>
      <c r="V40" s="785" t="s">
        <v>346</v>
      </c>
      <c r="W40" s="770"/>
      <c r="AE40">
        <v>33</v>
      </c>
    </row>
    <row r="41" spans="1:31" ht="15.75" thickBot="1" x14ac:dyDescent="0.3">
      <c r="A41" t="s">
        <v>731</v>
      </c>
      <c r="B41" s="144" t="s">
        <v>693</v>
      </c>
      <c r="C41" s="795" t="s">
        <v>605</v>
      </c>
      <c r="H41" s="184">
        <f t="shared" si="4"/>
        <v>1</v>
      </c>
      <c r="I41" s="320" t="str">
        <f t="shared" si="3"/>
        <v>FEIL</v>
      </c>
      <c r="N41" s="307" t="s">
        <v>360</v>
      </c>
      <c r="O41" t="b">
        <f t="shared" si="2"/>
        <v>0</v>
      </c>
      <c r="R41" t="s">
        <v>737</v>
      </c>
      <c r="S41" s="1125"/>
      <c r="T41" s="309" t="s">
        <v>612</v>
      </c>
      <c r="U41" s="780">
        <v>1</v>
      </c>
      <c r="V41" s="785" t="s">
        <v>346</v>
      </c>
      <c r="W41" s="770"/>
      <c r="AE41">
        <v>34</v>
      </c>
    </row>
    <row r="42" spans="1:31" ht="15.75" thickBot="1" x14ac:dyDescent="0.3">
      <c r="A42" t="s">
        <v>955</v>
      </c>
      <c r="B42" s="144" t="s">
        <v>908</v>
      </c>
      <c r="C42" s="795" t="s">
        <v>606</v>
      </c>
      <c r="D42" s="47"/>
      <c r="E42" s="47"/>
      <c r="F42" s="47"/>
      <c r="H42" s="184">
        <f t="shared" si="4"/>
        <v>1</v>
      </c>
      <c r="I42" s="320" t="str">
        <f t="shared" si="3"/>
        <v>FEIL</v>
      </c>
      <c r="N42" s="309" t="s">
        <v>146</v>
      </c>
      <c r="O42" t="b">
        <f t="shared" si="2"/>
        <v>0</v>
      </c>
      <c r="R42" t="s">
        <v>738</v>
      </c>
      <c r="S42" s="1126"/>
      <c r="T42" s="309" t="s">
        <v>837</v>
      </c>
      <c r="U42" s="780">
        <v>1</v>
      </c>
      <c r="V42" s="785" t="s">
        <v>346</v>
      </c>
      <c r="W42" s="770"/>
      <c r="AE42">
        <v>35</v>
      </c>
    </row>
    <row r="43" spans="1:31" x14ac:dyDescent="0.25">
      <c r="A43" s="121" t="s">
        <v>117</v>
      </c>
      <c r="B43" s="727" t="s">
        <v>117</v>
      </c>
      <c r="C43" s="725" t="s">
        <v>111</v>
      </c>
      <c r="D43" s="44">
        <f>Poeng!T100</f>
        <v>3</v>
      </c>
      <c r="E43" s="43"/>
      <c r="F43" s="46">
        <f>Poeng!AB100</f>
        <v>3</v>
      </c>
      <c r="H43" s="829">
        <f t="shared" si="4"/>
        <v>0</v>
      </c>
      <c r="I43" s="320" t="str">
        <f t="shared" si="3"/>
        <v>FEIL</v>
      </c>
      <c r="N43" s="309" t="s">
        <v>147</v>
      </c>
      <c r="O43" t="b">
        <f t="shared" si="2"/>
        <v>0</v>
      </c>
      <c r="R43" t="s">
        <v>740</v>
      </c>
      <c r="S43" s="309" t="s">
        <v>120</v>
      </c>
      <c r="T43" s="776" t="s">
        <v>615</v>
      </c>
      <c r="U43" s="784">
        <v>3</v>
      </c>
      <c r="V43" s="785" t="s">
        <v>346</v>
      </c>
      <c r="W43" s="770"/>
      <c r="AE43">
        <v>36</v>
      </c>
    </row>
    <row r="44" spans="1:31" ht="15.75" customHeight="1" x14ac:dyDescent="0.25">
      <c r="B44" s="144" t="s">
        <v>692</v>
      </c>
      <c r="C44" s="817" t="s">
        <v>607</v>
      </c>
      <c r="D44" s="44">
        <f>Poeng!T103</f>
        <v>10</v>
      </c>
      <c r="E44" s="43"/>
      <c r="F44" s="46">
        <f>Poeng!AB103</f>
        <v>10</v>
      </c>
      <c r="H44" s="184">
        <f t="shared" si="4"/>
        <v>0</v>
      </c>
      <c r="I44" s="320" t="str">
        <f t="shared" si="3"/>
        <v>FEIL</v>
      </c>
      <c r="N44" s="309" t="s">
        <v>361</v>
      </c>
      <c r="O44" t="b">
        <f t="shared" si="2"/>
        <v>0</v>
      </c>
      <c r="S44" s="1127" t="s">
        <v>121</v>
      </c>
      <c r="T44" s="870" t="s">
        <v>838</v>
      </c>
      <c r="U44" s="881"/>
      <c r="V44" s="871"/>
      <c r="W44" s="770"/>
      <c r="AE44">
        <v>37</v>
      </c>
    </row>
    <row r="45" spans="1:31" ht="15.75" customHeight="1" x14ac:dyDescent="0.25">
      <c r="A45" t="s">
        <v>733</v>
      </c>
      <c r="B45" s="144" t="s">
        <v>695</v>
      </c>
      <c r="C45" s="795" t="s">
        <v>608</v>
      </c>
      <c r="D45" s="61">
        <f>Poeng!T106</f>
        <v>0</v>
      </c>
      <c r="E45" s="43"/>
      <c r="F45" s="46">
        <f>Poeng!AB106</f>
        <v>0</v>
      </c>
      <c r="H45" s="184">
        <f t="shared" si="4"/>
        <v>1</v>
      </c>
      <c r="I45" s="320" t="str">
        <f t="shared" si="3"/>
        <v>FEIL</v>
      </c>
      <c r="N45" s="309" t="s">
        <v>362</v>
      </c>
      <c r="O45" t="b">
        <f t="shared" si="2"/>
        <v>0</v>
      </c>
      <c r="R45" t="s">
        <v>741</v>
      </c>
      <c r="S45" s="1128"/>
      <c r="T45" s="771" t="s">
        <v>839</v>
      </c>
      <c r="U45" s="784">
        <v>2</v>
      </c>
      <c r="V45" s="789" t="s">
        <v>346</v>
      </c>
      <c r="W45" s="770"/>
      <c r="AE45">
        <v>38</v>
      </c>
    </row>
    <row r="46" spans="1:31" ht="15.75" customHeight="1" x14ac:dyDescent="0.25">
      <c r="A46" t="s">
        <v>734</v>
      </c>
      <c r="B46" s="146" t="s">
        <v>696</v>
      </c>
      <c r="C46" s="795" t="s">
        <v>609</v>
      </c>
      <c r="D46" s="61">
        <f>Poeng!T107</f>
        <v>0</v>
      </c>
      <c r="E46" s="43"/>
      <c r="F46" s="46">
        <f>Poeng!AB107</f>
        <v>0</v>
      </c>
      <c r="H46" s="184">
        <f t="shared" si="4"/>
        <v>2</v>
      </c>
      <c r="I46" s="320" t="str">
        <f t="shared" si="3"/>
        <v>FEIL</v>
      </c>
      <c r="N46" s="309" t="s">
        <v>149</v>
      </c>
      <c r="O46" t="b">
        <f t="shared" si="2"/>
        <v>0</v>
      </c>
      <c r="R46" t="s">
        <v>742</v>
      </c>
      <c r="S46" s="1129"/>
      <c r="T46" s="309" t="s">
        <v>840</v>
      </c>
      <c r="U46" s="784">
        <v>1</v>
      </c>
      <c r="V46" s="789" t="s">
        <v>346</v>
      </c>
      <c r="W46" s="770"/>
      <c r="AE46">
        <v>39</v>
      </c>
    </row>
    <row r="47" spans="1:31" ht="15.75" customHeight="1" x14ac:dyDescent="0.25">
      <c r="A47" t="s">
        <v>735</v>
      </c>
      <c r="B47" s="146" t="s">
        <v>694</v>
      </c>
      <c r="C47" s="795" t="s">
        <v>610</v>
      </c>
      <c r="D47" s="61">
        <f>Poeng!T108</f>
        <v>0</v>
      </c>
      <c r="E47" s="43"/>
      <c r="F47" s="46">
        <f>Poeng!AB108</f>
        <v>0</v>
      </c>
      <c r="H47" s="184">
        <f t="shared" si="4"/>
        <v>1</v>
      </c>
      <c r="I47" s="320" t="str">
        <f t="shared" si="3"/>
        <v>FEIL</v>
      </c>
      <c r="N47" s="309" t="s">
        <v>150</v>
      </c>
      <c r="O47" t="b">
        <f t="shared" si="2"/>
        <v>0</v>
      </c>
      <c r="R47" t="s">
        <v>743</v>
      </c>
      <c r="S47" s="309" t="s">
        <v>123</v>
      </c>
      <c r="T47" s="776" t="s">
        <v>352</v>
      </c>
      <c r="U47" s="780" t="s">
        <v>234</v>
      </c>
      <c r="V47" s="785" t="s">
        <v>346</v>
      </c>
      <c r="W47" s="770"/>
      <c r="AE47">
        <v>40</v>
      </c>
    </row>
    <row r="48" spans="1:31" ht="15.75" thickBot="1" x14ac:dyDescent="0.3">
      <c r="A48" s="121" t="s">
        <v>118</v>
      </c>
      <c r="B48" s="727" t="s">
        <v>118</v>
      </c>
      <c r="C48" s="725" t="s">
        <v>112</v>
      </c>
      <c r="D48" s="61">
        <f>Poeng!T109</f>
        <v>0</v>
      </c>
      <c r="E48" s="63"/>
      <c r="F48" s="46">
        <f>Poeng!AB109</f>
        <v>0</v>
      </c>
      <c r="H48" s="829">
        <f t="shared" si="4"/>
        <v>0</v>
      </c>
      <c r="I48" s="320" t="str">
        <f t="shared" si="3"/>
        <v>OK</v>
      </c>
      <c r="N48" s="309" t="s">
        <v>313</v>
      </c>
      <c r="O48" t="b">
        <f t="shared" si="2"/>
        <v>0</v>
      </c>
      <c r="S48" s="306"/>
      <c r="T48" s="306"/>
      <c r="U48" s="307"/>
      <c r="V48" s="783"/>
      <c r="W48" s="770"/>
      <c r="AE48">
        <v>41</v>
      </c>
    </row>
    <row r="49" spans="1:31" ht="15.75" thickBot="1" x14ac:dyDescent="0.3">
      <c r="A49" t="s">
        <v>736</v>
      </c>
      <c r="B49" s="144" t="s">
        <v>692</v>
      </c>
      <c r="C49" s="795" t="s">
        <v>611</v>
      </c>
      <c r="D49" s="50">
        <f>Poeng!T110</f>
        <v>13</v>
      </c>
      <c r="E49" s="50"/>
      <c r="F49" s="50">
        <f>SUM(F43:F48)</f>
        <v>13</v>
      </c>
      <c r="H49" s="184">
        <f t="shared" si="4"/>
        <v>1</v>
      </c>
      <c r="I49" s="320" t="str">
        <f t="shared" si="3"/>
        <v>FEIL</v>
      </c>
      <c r="N49" s="306"/>
      <c r="O49" t="b">
        <f t="shared" si="2"/>
        <v>0</v>
      </c>
      <c r="S49" s="307" t="s">
        <v>353</v>
      </c>
      <c r="T49" s="306"/>
      <c r="U49" s="307"/>
      <c r="V49" s="783"/>
      <c r="W49" s="770"/>
      <c r="AE49">
        <v>42</v>
      </c>
    </row>
    <row r="50" spans="1:31" ht="15.75" thickBot="1" x14ac:dyDescent="0.3">
      <c r="A50" t="s">
        <v>737</v>
      </c>
      <c r="B50" s="144" t="s">
        <v>695</v>
      </c>
      <c r="C50" s="795" t="s">
        <v>612</v>
      </c>
      <c r="H50" s="184">
        <f t="shared" si="4"/>
        <v>1</v>
      </c>
      <c r="I50" s="320" t="str">
        <f t="shared" si="3"/>
        <v>FEIL</v>
      </c>
      <c r="N50" s="307" t="s">
        <v>363</v>
      </c>
      <c r="O50" t="b">
        <f t="shared" si="2"/>
        <v>0</v>
      </c>
      <c r="S50" s="1127" t="s">
        <v>134</v>
      </c>
      <c r="T50" s="870" t="s">
        <v>841</v>
      </c>
      <c r="U50" s="881"/>
      <c r="V50" s="871"/>
      <c r="W50" s="770"/>
      <c r="AE50">
        <v>43</v>
      </c>
    </row>
    <row r="51" spans="1:31" ht="15.75" thickBot="1" x14ac:dyDescent="0.3">
      <c r="A51" t="s">
        <v>738</v>
      </c>
      <c r="B51" s="146" t="s">
        <v>696</v>
      </c>
      <c r="C51" s="795" t="s">
        <v>613</v>
      </c>
      <c r="D51" s="47"/>
      <c r="E51" s="47"/>
      <c r="F51" s="47"/>
      <c r="H51" s="184">
        <f t="shared" si="4"/>
        <v>1</v>
      </c>
      <c r="I51" s="320" t="str">
        <f t="shared" si="3"/>
        <v>FEIL</v>
      </c>
      <c r="N51" s="309" t="s">
        <v>168</v>
      </c>
      <c r="O51" t="b">
        <f t="shared" si="2"/>
        <v>0</v>
      </c>
      <c r="R51" t="s">
        <v>744</v>
      </c>
      <c r="S51" s="1128"/>
      <c r="T51" s="771" t="s">
        <v>619</v>
      </c>
      <c r="U51" s="780" t="s">
        <v>234</v>
      </c>
      <c r="V51" s="781" t="s">
        <v>346</v>
      </c>
      <c r="W51" s="770"/>
      <c r="AE51">
        <v>44</v>
      </c>
    </row>
    <row r="52" spans="1:31" x14ac:dyDescent="0.25">
      <c r="B52" s="609" t="s">
        <v>119</v>
      </c>
      <c r="C52" s="610"/>
      <c r="D52" s="46">
        <f>Poeng!T113</f>
        <v>5</v>
      </c>
      <c r="E52" s="45"/>
      <c r="F52" s="46">
        <f>Poeng!AB113</f>
        <v>5</v>
      </c>
      <c r="H52" s="830">
        <f t="shared" si="4"/>
        <v>0</v>
      </c>
      <c r="I52" s="320" t="str">
        <f t="shared" si="3"/>
        <v>FEIL</v>
      </c>
      <c r="N52" s="309" t="s">
        <v>169</v>
      </c>
      <c r="O52" t="b">
        <f t="shared" si="2"/>
        <v>0</v>
      </c>
      <c r="R52" t="s">
        <v>745</v>
      </c>
      <c r="S52" s="1128"/>
      <c r="T52" s="309" t="s">
        <v>620</v>
      </c>
      <c r="U52" s="780">
        <v>1</v>
      </c>
      <c r="V52" s="781" t="s">
        <v>346</v>
      </c>
      <c r="W52" s="770"/>
      <c r="AE52">
        <v>45</v>
      </c>
    </row>
    <row r="53" spans="1:31" x14ac:dyDescent="0.25">
      <c r="A53" s="121" t="s">
        <v>120</v>
      </c>
      <c r="B53" s="727" t="s">
        <v>120</v>
      </c>
      <c r="C53" s="725" t="s">
        <v>126</v>
      </c>
      <c r="D53" s="44">
        <f>Poeng!T115</f>
        <v>1</v>
      </c>
      <c r="E53" s="43"/>
      <c r="F53" s="46">
        <f>Poeng!AB115</f>
        <v>1</v>
      </c>
      <c r="H53" s="829">
        <f t="shared" si="4"/>
        <v>0</v>
      </c>
      <c r="I53" s="320" t="str">
        <f t="shared" si="3"/>
        <v>FEIL</v>
      </c>
      <c r="N53" s="309" t="s">
        <v>170</v>
      </c>
      <c r="O53" t="b">
        <f t="shared" si="2"/>
        <v>0</v>
      </c>
      <c r="R53" t="s">
        <v>746</v>
      </c>
      <c r="S53" s="1128"/>
      <c r="T53" s="309" t="s">
        <v>621</v>
      </c>
      <c r="U53" s="780">
        <v>22</v>
      </c>
      <c r="V53" s="781" t="s">
        <v>346</v>
      </c>
      <c r="W53" s="770"/>
      <c r="AE53">
        <v>46</v>
      </c>
    </row>
    <row r="54" spans="1:31" x14ac:dyDescent="0.25">
      <c r="B54" s="144" t="s">
        <v>692</v>
      </c>
      <c r="C54" s="817" t="s">
        <v>614</v>
      </c>
      <c r="D54" s="44">
        <f>Poeng!T117</f>
        <v>2</v>
      </c>
      <c r="E54" s="43"/>
      <c r="F54" s="46">
        <f>Poeng!AB117</f>
        <v>2</v>
      </c>
      <c r="H54" s="184">
        <f t="shared" si="4"/>
        <v>0</v>
      </c>
      <c r="I54" s="320" t="str">
        <f t="shared" si="3"/>
        <v>FEIL</v>
      </c>
      <c r="N54" s="309" t="s">
        <v>171</v>
      </c>
      <c r="O54" t="b">
        <f t="shared" si="2"/>
        <v>0</v>
      </c>
      <c r="R54" t="s">
        <v>747</v>
      </c>
      <c r="S54" s="1128"/>
      <c r="T54" s="309" t="s">
        <v>622</v>
      </c>
      <c r="U54" s="780">
        <v>1</v>
      </c>
      <c r="V54" s="781" t="s">
        <v>346</v>
      </c>
      <c r="W54" s="770"/>
      <c r="AE54">
        <v>47</v>
      </c>
    </row>
    <row r="55" spans="1:31" ht="15.75" thickBot="1" x14ac:dyDescent="0.3">
      <c r="A55" t="s">
        <v>740</v>
      </c>
      <c r="B55" s="144" t="s">
        <v>695</v>
      </c>
      <c r="C55" s="795" t="s">
        <v>615</v>
      </c>
      <c r="D55" s="44">
        <f>Poeng!T121</f>
        <v>1</v>
      </c>
      <c r="E55" s="43"/>
      <c r="F55" s="46">
        <f>Poeng!AB121</f>
        <v>1</v>
      </c>
      <c r="H55" s="184">
        <f t="shared" si="4"/>
        <v>3</v>
      </c>
      <c r="I55" s="320" t="str">
        <f t="shared" si="3"/>
        <v>FEIL</v>
      </c>
      <c r="N55" s="306"/>
      <c r="O55" t="b">
        <f t="shared" si="2"/>
        <v>1</v>
      </c>
      <c r="R55" t="s">
        <v>748</v>
      </c>
      <c r="S55" s="1129"/>
      <c r="T55" s="309" t="s">
        <v>623</v>
      </c>
      <c r="U55" s="780" t="s">
        <v>234</v>
      </c>
      <c r="V55" s="781" t="s">
        <v>346</v>
      </c>
      <c r="W55" s="770"/>
      <c r="AE55">
        <v>48</v>
      </c>
    </row>
    <row r="56" spans="1:31" ht="15.75" thickBot="1" x14ac:dyDescent="0.3">
      <c r="A56" s="121" t="s">
        <v>121</v>
      </c>
      <c r="B56" s="727" t="s">
        <v>121</v>
      </c>
      <c r="C56" s="725" t="s">
        <v>113</v>
      </c>
      <c r="D56" s="50">
        <f>Poeng!T123</f>
        <v>9</v>
      </c>
      <c r="E56" s="50"/>
      <c r="F56" s="50">
        <f>SUM(F52:F55)</f>
        <v>9</v>
      </c>
      <c r="H56" s="829">
        <f t="shared" si="4"/>
        <v>0</v>
      </c>
      <c r="I56" s="320" t="str">
        <f t="shared" si="3"/>
        <v>FEIL</v>
      </c>
      <c r="N56" s="307" t="s">
        <v>368</v>
      </c>
      <c r="O56" t="b">
        <f t="shared" si="2"/>
        <v>0</v>
      </c>
      <c r="S56" s="1127" t="s">
        <v>135</v>
      </c>
      <c r="T56" s="872" t="s">
        <v>842</v>
      </c>
      <c r="U56" s="873"/>
      <c r="V56" s="874"/>
      <c r="W56" s="770"/>
      <c r="AE56">
        <v>49</v>
      </c>
    </row>
    <row r="57" spans="1:31" ht="15.75" thickBot="1" x14ac:dyDescent="0.3">
      <c r="A57" t="s">
        <v>741</v>
      </c>
      <c r="B57" s="144" t="s">
        <v>692</v>
      </c>
      <c r="C57" s="795" t="s">
        <v>616</v>
      </c>
      <c r="H57" s="184">
        <f t="shared" si="4"/>
        <v>2</v>
      </c>
      <c r="I57" s="320" t="str">
        <f t="shared" si="3"/>
        <v>FEIL</v>
      </c>
      <c r="N57" s="309" t="s">
        <v>172</v>
      </c>
      <c r="O57" t="b">
        <f t="shared" si="2"/>
        <v>0</v>
      </c>
      <c r="R57" t="s">
        <v>252</v>
      </c>
      <c r="S57" s="1128"/>
      <c r="T57" s="309" t="s">
        <v>624</v>
      </c>
      <c r="U57" s="780">
        <v>1</v>
      </c>
      <c r="V57" s="790" t="s">
        <v>346</v>
      </c>
      <c r="W57" s="770"/>
      <c r="AE57">
        <v>50</v>
      </c>
    </row>
    <row r="58" spans="1:31" ht="15.75" thickBot="1" x14ac:dyDescent="0.3">
      <c r="A58" t="s">
        <v>742</v>
      </c>
      <c r="B58" s="144" t="s">
        <v>695</v>
      </c>
      <c r="C58" s="795" t="s">
        <v>617</v>
      </c>
      <c r="D58" s="47"/>
      <c r="E58" s="47"/>
      <c r="F58" s="47"/>
      <c r="H58" s="184">
        <f t="shared" si="4"/>
        <v>1</v>
      </c>
      <c r="I58" s="320" t="str">
        <f t="shared" si="3"/>
        <v>FEIL</v>
      </c>
      <c r="N58" s="309" t="s">
        <v>173</v>
      </c>
      <c r="O58" t="b">
        <f t="shared" si="2"/>
        <v>0</v>
      </c>
      <c r="R58" t="s">
        <v>354</v>
      </c>
      <c r="S58" s="1128"/>
      <c r="T58" s="309" t="s">
        <v>625</v>
      </c>
      <c r="U58" s="780">
        <v>1</v>
      </c>
      <c r="V58" s="790" t="s">
        <v>346</v>
      </c>
      <c r="W58" s="770"/>
      <c r="AE58">
        <v>51</v>
      </c>
    </row>
    <row r="59" spans="1:31" x14ac:dyDescent="0.25">
      <c r="B59" s="609" t="s">
        <v>122</v>
      </c>
      <c r="C59" s="608"/>
      <c r="D59" s="46">
        <f>Poeng!T126</f>
        <v>5</v>
      </c>
      <c r="E59" s="45"/>
      <c r="F59" s="46">
        <f>Poeng!AB126</f>
        <v>5</v>
      </c>
      <c r="H59" s="830">
        <f t="shared" si="4"/>
        <v>0</v>
      </c>
      <c r="I59" s="320" t="str">
        <f t="shared" si="3"/>
        <v>FEIL</v>
      </c>
      <c r="N59" s="309"/>
      <c r="R59" t="s">
        <v>749</v>
      </c>
      <c r="S59" s="1129"/>
      <c r="T59" s="309" t="s">
        <v>626</v>
      </c>
      <c r="U59" s="780" t="s">
        <v>234</v>
      </c>
      <c r="V59" s="790" t="s">
        <v>346</v>
      </c>
      <c r="W59" s="770"/>
      <c r="AE59">
        <v>52</v>
      </c>
    </row>
    <row r="60" spans="1:31" x14ac:dyDescent="0.25">
      <c r="A60" s="121" t="s">
        <v>123</v>
      </c>
      <c r="B60" s="727" t="s">
        <v>123</v>
      </c>
      <c r="C60" s="725" t="s">
        <v>115</v>
      </c>
      <c r="D60" s="46">
        <f>Poeng!T130</f>
        <v>3</v>
      </c>
      <c r="E60" s="45"/>
      <c r="F60" s="46">
        <f>Poeng!AB130</f>
        <v>3</v>
      </c>
      <c r="H60" s="829">
        <f t="shared" si="4"/>
        <v>0</v>
      </c>
      <c r="I60" s="320" t="str">
        <f t="shared" si="3"/>
        <v>FEIL</v>
      </c>
      <c r="N60" s="309" t="s">
        <v>174</v>
      </c>
      <c r="O60" t="b">
        <f t="shared" si="2"/>
        <v>0</v>
      </c>
      <c r="R60" t="s">
        <v>750</v>
      </c>
      <c r="S60" s="309" t="s">
        <v>136</v>
      </c>
      <c r="T60" s="779" t="s">
        <v>355</v>
      </c>
      <c r="U60" s="780">
        <v>1</v>
      </c>
      <c r="V60" s="790" t="s">
        <v>346</v>
      </c>
      <c r="W60" s="770"/>
      <c r="AE60">
        <v>53</v>
      </c>
    </row>
    <row r="61" spans="1:31" x14ac:dyDescent="0.25">
      <c r="A61" t="s">
        <v>743</v>
      </c>
      <c r="B61" s="167" t="s">
        <v>692</v>
      </c>
      <c r="C61" s="795" t="s">
        <v>618</v>
      </c>
      <c r="D61" s="46">
        <f>Poeng!T134</f>
        <v>3</v>
      </c>
      <c r="E61" s="43"/>
      <c r="F61" s="46">
        <f>Poeng!AB134</f>
        <v>3</v>
      </c>
      <c r="H61" s="184">
        <f t="shared" si="4"/>
        <v>0</v>
      </c>
      <c r="I61" s="320" t="str">
        <f t="shared" si="3"/>
        <v>FEIL</v>
      </c>
      <c r="N61" s="306"/>
      <c r="O61" t="b">
        <f t="shared" si="2"/>
        <v>0</v>
      </c>
      <c r="S61" s="1127" t="s">
        <v>138</v>
      </c>
      <c r="T61" s="867" t="s">
        <v>356</v>
      </c>
      <c r="U61" s="868"/>
      <c r="V61" s="869"/>
      <c r="W61" s="770"/>
      <c r="AE61">
        <v>54</v>
      </c>
    </row>
    <row r="62" spans="1:31" ht="15.75" thickBot="1" x14ac:dyDescent="0.3">
      <c r="B62" s="611" t="s">
        <v>124</v>
      </c>
      <c r="C62" s="612"/>
      <c r="D62" s="46">
        <f>Poeng!T138</f>
        <v>4</v>
      </c>
      <c r="E62" s="43"/>
      <c r="F62" s="46">
        <f>Poeng!AB138</f>
        <v>4</v>
      </c>
      <c r="H62" s="830">
        <f t="shared" si="4"/>
        <v>0</v>
      </c>
      <c r="I62" s="320" t="str">
        <f t="shared" si="3"/>
        <v>FEIL</v>
      </c>
      <c r="N62" s="306"/>
      <c r="R62" t="s">
        <v>752</v>
      </c>
      <c r="S62" s="1128"/>
      <c r="T62" s="309" t="s">
        <v>629</v>
      </c>
      <c r="U62" s="786" t="s">
        <v>234</v>
      </c>
      <c r="V62" s="791" t="s">
        <v>351</v>
      </c>
      <c r="W62" s="770"/>
      <c r="AE62">
        <v>55</v>
      </c>
    </row>
    <row r="63" spans="1:31" ht="15.75" thickBot="1" x14ac:dyDescent="0.3">
      <c r="A63" t="s">
        <v>882</v>
      </c>
      <c r="B63" s="174"/>
      <c r="C63" s="50" t="s">
        <v>213</v>
      </c>
      <c r="D63" s="46">
        <f>Poeng!T144</f>
        <v>3</v>
      </c>
      <c r="E63" s="43"/>
      <c r="F63" s="46">
        <f>Poeng!AB144</f>
        <v>3</v>
      </c>
      <c r="H63" s="195">
        <f t="shared" si="4"/>
        <v>0</v>
      </c>
      <c r="I63" s="320" t="str">
        <f t="shared" si="3"/>
        <v>FEIL</v>
      </c>
      <c r="N63" s="307" t="s">
        <v>370</v>
      </c>
      <c r="O63" t="b">
        <f t="shared" si="2"/>
        <v>0</v>
      </c>
      <c r="R63" t="s">
        <v>753</v>
      </c>
      <c r="S63" s="1129"/>
      <c r="T63" s="309" t="s">
        <v>630</v>
      </c>
      <c r="U63" s="786" t="s">
        <v>234</v>
      </c>
      <c r="V63" s="791" t="s">
        <v>351</v>
      </c>
      <c r="W63" s="770"/>
      <c r="AE63">
        <v>56</v>
      </c>
    </row>
    <row r="64" spans="1:31" ht="15.75" thickBot="1" x14ac:dyDescent="0.3">
      <c r="D64" s="46">
        <f>Poeng!T148</f>
        <v>3</v>
      </c>
      <c r="E64" s="43"/>
      <c r="F64" s="46">
        <f>Poeng!AB148</f>
        <v>3</v>
      </c>
      <c r="H64">
        <f t="shared" si="4"/>
        <v>0</v>
      </c>
      <c r="I64" s="320" t="str">
        <f t="shared" si="3"/>
        <v>FEIL</v>
      </c>
      <c r="N64" s="309" t="s">
        <v>176</v>
      </c>
      <c r="O64" t="b">
        <f t="shared" si="2"/>
        <v>0</v>
      </c>
      <c r="S64" s="1127" t="s">
        <v>139</v>
      </c>
      <c r="T64" s="867" t="s">
        <v>357</v>
      </c>
      <c r="U64" s="868"/>
      <c r="V64" s="869"/>
      <c r="W64" s="770"/>
      <c r="AE64">
        <v>57</v>
      </c>
    </row>
    <row r="65" spans="1:31" ht="15.75" thickBot="1" x14ac:dyDescent="0.3">
      <c r="B65" s="127"/>
      <c r="C65" s="47" t="s">
        <v>65</v>
      </c>
      <c r="D65" s="50">
        <f>Poeng!T152</f>
        <v>21</v>
      </c>
      <c r="E65" s="50"/>
      <c r="F65" s="50">
        <f>SUM(F59:F64)</f>
        <v>21</v>
      </c>
      <c r="H65" s="122">
        <f t="shared" si="4"/>
        <v>0</v>
      </c>
      <c r="I65" s="320" t="str">
        <f t="shared" si="3"/>
        <v>FEIL</v>
      </c>
      <c r="N65" s="309" t="s">
        <v>177</v>
      </c>
      <c r="O65" t="b">
        <f t="shared" si="2"/>
        <v>0</v>
      </c>
      <c r="R65" t="s">
        <v>754</v>
      </c>
      <c r="S65" s="1128"/>
      <c r="T65" s="309" t="s">
        <v>631</v>
      </c>
      <c r="U65" s="780">
        <v>1</v>
      </c>
      <c r="V65" s="781" t="s">
        <v>346</v>
      </c>
      <c r="W65" s="770"/>
      <c r="AE65">
        <v>58</v>
      </c>
    </row>
    <row r="66" spans="1:31" ht="15.75" thickBot="1" x14ac:dyDescent="0.3">
      <c r="A66" s="121" t="s">
        <v>134</v>
      </c>
      <c r="B66" s="726" t="s">
        <v>134</v>
      </c>
      <c r="C66" s="724" t="s">
        <v>127</v>
      </c>
      <c r="H66" s="131">
        <f t="shared" si="4"/>
        <v>0</v>
      </c>
      <c r="I66" s="320" t="str">
        <f t="shared" si="3"/>
        <v>OK</v>
      </c>
      <c r="N66" s="309" t="s">
        <v>372</v>
      </c>
      <c r="O66" t="b">
        <f t="shared" si="2"/>
        <v>0</v>
      </c>
      <c r="R66" t="s">
        <v>755</v>
      </c>
      <c r="S66" s="1129"/>
      <c r="T66" s="309" t="s">
        <v>632</v>
      </c>
      <c r="U66" s="780">
        <v>2</v>
      </c>
      <c r="V66" s="781" t="s">
        <v>346</v>
      </c>
      <c r="W66" s="770"/>
      <c r="AE66">
        <v>59</v>
      </c>
    </row>
    <row r="67" spans="1:31" ht="15.75" thickBot="1" x14ac:dyDescent="0.3">
      <c r="A67" t="s">
        <v>744</v>
      </c>
      <c r="B67" s="144" t="s">
        <v>692</v>
      </c>
      <c r="C67" s="795" t="s">
        <v>619</v>
      </c>
      <c r="D67" s="47"/>
      <c r="E67" s="47"/>
      <c r="F67" s="47"/>
      <c r="H67" s="148">
        <f t="shared" si="4"/>
        <v>0</v>
      </c>
      <c r="I67" s="320" t="str">
        <f t="shared" si="3"/>
        <v>OK</v>
      </c>
      <c r="N67" s="309" t="s">
        <v>374</v>
      </c>
      <c r="O67" t="b">
        <f t="shared" si="2"/>
        <v>0</v>
      </c>
      <c r="S67" s="1127" t="s">
        <v>140</v>
      </c>
      <c r="T67" s="867" t="s">
        <v>358</v>
      </c>
      <c r="U67" s="868"/>
      <c r="V67" s="869"/>
      <c r="W67" s="770"/>
      <c r="AE67">
        <v>60</v>
      </c>
    </row>
    <row r="68" spans="1:31" ht="15" customHeight="1" x14ac:dyDescent="0.25">
      <c r="A68" t="s">
        <v>745</v>
      </c>
      <c r="B68" s="144" t="s">
        <v>695</v>
      </c>
      <c r="C68" s="795" t="s">
        <v>620</v>
      </c>
      <c r="D68" s="46">
        <f>Poeng!T155</f>
        <v>5</v>
      </c>
      <c r="E68" s="45"/>
      <c r="F68" s="46">
        <f>Poeng!AB155</f>
        <v>5</v>
      </c>
      <c r="H68" s="148">
        <f t="shared" si="4"/>
        <v>1</v>
      </c>
      <c r="I68" s="320" t="str">
        <f t="shared" si="3"/>
        <v>FEIL</v>
      </c>
      <c r="N68" s="309" t="s">
        <v>178</v>
      </c>
      <c r="O68" t="b">
        <f t="shared" si="2"/>
        <v>0</v>
      </c>
      <c r="R68" t="s">
        <v>756</v>
      </c>
      <c r="S68" s="1128"/>
      <c r="T68" s="309" t="s">
        <v>633</v>
      </c>
      <c r="U68" s="780" t="s">
        <v>234</v>
      </c>
      <c r="V68" s="781" t="s">
        <v>351</v>
      </c>
      <c r="W68" s="770"/>
      <c r="AE68">
        <v>61</v>
      </c>
    </row>
    <row r="69" spans="1:31" x14ac:dyDescent="0.25">
      <c r="A69" t="s">
        <v>746</v>
      </c>
      <c r="B69" s="144" t="s">
        <v>696</v>
      </c>
      <c r="C69" s="795" t="s">
        <v>621</v>
      </c>
      <c r="D69" s="44">
        <f>Poeng!T159</f>
        <v>0</v>
      </c>
      <c r="E69" s="43"/>
      <c r="F69" s="46">
        <f>Poeng!AB159</f>
        <v>0</v>
      </c>
      <c r="H69" s="148">
        <f t="shared" si="4"/>
        <v>22</v>
      </c>
      <c r="I69" s="320" t="str">
        <f t="shared" si="3"/>
        <v>FEIL</v>
      </c>
      <c r="N69" s="306"/>
      <c r="O69" t="b">
        <f t="shared" si="2"/>
        <v>1</v>
      </c>
      <c r="R69" t="s">
        <v>757</v>
      </c>
      <c r="S69" s="1129"/>
      <c r="T69" s="309" t="s">
        <v>634</v>
      </c>
      <c r="U69" s="780" t="s">
        <v>234</v>
      </c>
      <c r="V69" s="781" t="s">
        <v>351</v>
      </c>
      <c r="W69" s="770"/>
      <c r="AE69">
        <v>62</v>
      </c>
    </row>
    <row r="70" spans="1:31" x14ac:dyDescent="0.25">
      <c r="A70" t="s">
        <v>747</v>
      </c>
      <c r="B70" s="144" t="s">
        <v>694</v>
      </c>
      <c r="C70" s="795" t="s">
        <v>622</v>
      </c>
      <c r="D70" s="44">
        <f>Poeng!T160</f>
        <v>1</v>
      </c>
      <c r="E70" s="43"/>
      <c r="F70" s="46">
        <f>Poeng!AB160</f>
        <v>1</v>
      </c>
      <c r="H70" s="148">
        <f t="shared" si="4"/>
        <v>1</v>
      </c>
      <c r="I70" s="320" t="str">
        <f t="shared" si="3"/>
        <v>OK</v>
      </c>
      <c r="N70" s="307" t="s">
        <v>376</v>
      </c>
      <c r="O70" t="b">
        <f t="shared" si="2"/>
        <v>0</v>
      </c>
      <c r="R70" t="s">
        <v>758</v>
      </c>
      <c r="S70" s="309" t="s">
        <v>141</v>
      </c>
      <c r="T70" s="776" t="s">
        <v>359</v>
      </c>
      <c r="U70" s="780" t="s">
        <v>234</v>
      </c>
      <c r="V70" s="781" t="s">
        <v>346</v>
      </c>
      <c r="W70" s="770"/>
      <c r="AE70">
        <v>63</v>
      </c>
    </row>
    <row r="71" spans="1:31" ht="15.75" thickBot="1" x14ac:dyDescent="0.3">
      <c r="A71" t="s">
        <v>748</v>
      </c>
      <c r="B71" s="144" t="s">
        <v>693</v>
      </c>
      <c r="C71" s="795" t="s">
        <v>623</v>
      </c>
      <c r="D71" s="44">
        <f>Poeng!T164</f>
        <v>1</v>
      </c>
      <c r="E71" s="43"/>
      <c r="F71" s="46">
        <f>Poeng!AB164</f>
        <v>1</v>
      </c>
      <c r="H71" s="148">
        <f t="shared" si="4"/>
        <v>0</v>
      </c>
      <c r="I71" s="320" t="str">
        <f t="shared" si="3"/>
        <v>FEIL</v>
      </c>
      <c r="N71" s="309" t="s">
        <v>179</v>
      </c>
      <c r="O71" t="b">
        <f t="shared" si="2"/>
        <v>0</v>
      </c>
      <c r="S71" s="306"/>
      <c r="T71" s="306"/>
      <c r="U71" s="307"/>
      <c r="V71" s="783"/>
      <c r="W71" s="770"/>
      <c r="AE71">
        <v>64</v>
      </c>
    </row>
    <row r="72" spans="1:31" ht="15.75" thickBot="1" x14ac:dyDescent="0.3">
      <c r="A72" s="121" t="s">
        <v>135</v>
      </c>
      <c r="B72" s="727" t="s">
        <v>135</v>
      </c>
      <c r="C72" s="725" t="s">
        <v>133</v>
      </c>
      <c r="D72" s="50">
        <f>Poeng!T166</f>
        <v>7</v>
      </c>
      <c r="E72" s="50"/>
      <c r="F72" s="50">
        <f>SUM(F68:F71)</f>
        <v>7</v>
      </c>
      <c r="H72" s="831">
        <f t="shared" ref="H72:H135" si="5">SUMIF($R$7:$R$182,A72,$U$7:$U$182)</f>
        <v>0</v>
      </c>
      <c r="I72" s="320" t="str">
        <f t="shared" si="3"/>
        <v>FEIL</v>
      </c>
      <c r="N72" s="309" t="s">
        <v>180</v>
      </c>
      <c r="O72" t="b">
        <f t="shared" si="2"/>
        <v>0</v>
      </c>
      <c r="S72" s="307" t="s">
        <v>360</v>
      </c>
      <c r="T72" s="306"/>
      <c r="U72" s="307"/>
      <c r="V72" s="783"/>
      <c r="W72" s="770"/>
      <c r="AE72">
        <v>65</v>
      </c>
    </row>
    <row r="73" spans="1:31" ht="15.75" thickBot="1" x14ac:dyDescent="0.3">
      <c r="A73" t="s">
        <v>252</v>
      </c>
      <c r="B73" s="144" t="s">
        <v>692</v>
      </c>
      <c r="C73" s="795" t="s">
        <v>624</v>
      </c>
      <c r="H73" s="148">
        <f t="shared" si="5"/>
        <v>1</v>
      </c>
      <c r="I73" s="320" t="str">
        <f t="shared" si="3"/>
        <v>FEIL</v>
      </c>
      <c r="N73" s="309" t="s">
        <v>181</v>
      </c>
      <c r="O73" t="b">
        <f t="shared" ref="O73:O97" si="6">N73=S73</f>
        <v>0</v>
      </c>
      <c r="S73" s="1127" t="s">
        <v>146</v>
      </c>
      <c r="T73" s="867" t="s">
        <v>843</v>
      </c>
      <c r="U73" s="868"/>
      <c r="V73" s="868"/>
      <c r="W73" s="770"/>
      <c r="AE73">
        <v>66</v>
      </c>
    </row>
    <row r="74" spans="1:31" ht="15.75" thickBot="1" x14ac:dyDescent="0.3">
      <c r="A74" t="s">
        <v>354</v>
      </c>
      <c r="B74" s="144" t="s">
        <v>695</v>
      </c>
      <c r="C74" s="795" t="s">
        <v>625</v>
      </c>
      <c r="D74" s="47"/>
      <c r="E74" s="47"/>
      <c r="F74" s="47"/>
      <c r="H74" s="148">
        <f t="shared" si="5"/>
        <v>1</v>
      </c>
      <c r="I74" s="320" t="str">
        <f t="shared" si="3"/>
        <v>FEIL</v>
      </c>
      <c r="N74" s="309" t="s">
        <v>182</v>
      </c>
      <c r="O74" t="b">
        <f t="shared" si="6"/>
        <v>0</v>
      </c>
      <c r="R74" t="s">
        <v>759</v>
      </c>
      <c r="S74" s="1128"/>
      <c r="T74" s="309" t="s">
        <v>636</v>
      </c>
      <c r="U74" s="780">
        <v>2</v>
      </c>
      <c r="V74" s="789" t="s">
        <v>346</v>
      </c>
      <c r="W74" s="770"/>
      <c r="AE74">
        <v>67</v>
      </c>
    </row>
    <row r="75" spans="1:31" x14ac:dyDescent="0.25">
      <c r="A75" t="s">
        <v>749</v>
      </c>
      <c r="B75" s="146" t="s">
        <v>696</v>
      </c>
      <c r="C75" s="795" t="s">
        <v>626</v>
      </c>
      <c r="D75" s="46">
        <f>Poeng!T169</f>
        <v>2</v>
      </c>
      <c r="E75" s="45"/>
      <c r="F75" s="46">
        <f>Poeng!AB169</f>
        <v>2</v>
      </c>
      <c r="H75" s="148">
        <f t="shared" si="5"/>
        <v>0</v>
      </c>
      <c r="I75" s="320" t="str">
        <f t="shared" ref="I75:I107" si="7">IF(F75=H75,"OK","FEIL")</f>
        <v>FEIL</v>
      </c>
      <c r="N75" s="309" t="s">
        <v>183</v>
      </c>
      <c r="O75" t="b">
        <f t="shared" si="6"/>
        <v>0</v>
      </c>
      <c r="R75" t="s">
        <v>760</v>
      </c>
      <c r="S75" s="1129"/>
      <c r="T75" s="309" t="s">
        <v>637</v>
      </c>
      <c r="U75" s="792">
        <v>1</v>
      </c>
      <c r="V75" s="793" t="s">
        <v>346</v>
      </c>
      <c r="W75" s="770"/>
      <c r="AE75">
        <v>68</v>
      </c>
    </row>
    <row r="76" spans="1:31" x14ac:dyDescent="0.25">
      <c r="A76" s="121" t="s">
        <v>136</v>
      </c>
      <c r="B76" s="818" t="s">
        <v>136</v>
      </c>
      <c r="C76" s="725" t="s">
        <v>128</v>
      </c>
      <c r="D76" s="44">
        <f>Poeng!T171</f>
        <v>2</v>
      </c>
      <c r="E76" s="43"/>
      <c r="F76" s="46">
        <f>Poeng!AB171</f>
        <v>2</v>
      </c>
      <c r="H76" s="831">
        <f t="shared" si="5"/>
        <v>0</v>
      </c>
      <c r="I76" s="320" t="str">
        <f t="shared" si="7"/>
        <v>FEIL</v>
      </c>
      <c r="N76" s="309"/>
      <c r="R76" t="s">
        <v>762</v>
      </c>
      <c r="S76" s="309" t="s">
        <v>147</v>
      </c>
      <c r="T76" s="776" t="s">
        <v>844</v>
      </c>
      <c r="U76" s="792">
        <v>10</v>
      </c>
      <c r="V76" s="793" t="s">
        <v>346</v>
      </c>
      <c r="W76" s="770"/>
      <c r="AE76">
        <v>69</v>
      </c>
    </row>
    <row r="77" spans="1:31" x14ac:dyDescent="0.25">
      <c r="A77" t="s">
        <v>750</v>
      </c>
      <c r="B77" s="144" t="s">
        <v>692</v>
      </c>
      <c r="C77" s="795" t="s">
        <v>627</v>
      </c>
      <c r="D77" s="44">
        <f>Poeng!T175</f>
        <v>3</v>
      </c>
      <c r="E77" s="43"/>
      <c r="F77" s="46">
        <f>Poeng!AB175</f>
        <v>3</v>
      </c>
      <c r="H77" s="148">
        <f t="shared" si="5"/>
        <v>1</v>
      </c>
      <c r="I77" s="320"/>
      <c r="N77" s="306"/>
      <c r="O77" t="b">
        <f t="shared" si="6"/>
        <v>1</v>
      </c>
      <c r="S77" s="306"/>
      <c r="T77" s="306"/>
      <c r="U77" s="307"/>
      <c r="V77" s="783"/>
      <c r="W77" s="770"/>
      <c r="AE77">
        <v>70</v>
      </c>
    </row>
    <row r="78" spans="1:31" x14ac:dyDescent="0.25">
      <c r="A78" t="s">
        <v>751</v>
      </c>
      <c r="B78" s="144" t="s">
        <v>695</v>
      </c>
      <c r="C78" s="795" t="s">
        <v>628</v>
      </c>
      <c r="D78" s="44">
        <f>Poeng!T179</f>
        <v>4</v>
      </c>
      <c r="E78" s="43"/>
      <c r="F78" s="46">
        <f>Poeng!AB179</f>
        <v>4</v>
      </c>
      <c r="H78" s="875">
        <f>H77</f>
        <v>1</v>
      </c>
      <c r="I78" s="320" t="str">
        <f t="shared" si="7"/>
        <v>FEIL</v>
      </c>
      <c r="N78" s="307" t="s">
        <v>379</v>
      </c>
      <c r="O78" t="b">
        <f t="shared" si="6"/>
        <v>0</v>
      </c>
      <c r="S78" s="307" t="s">
        <v>363</v>
      </c>
      <c r="T78" s="306"/>
      <c r="U78" s="307"/>
      <c r="V78" s="783"/>
      <c r="W78" s="770"/>
      <c r="AE78">
        <v>71</v>
      </c>
    </row>
    <row r="79" spans="1:31" x14ac:dyDescent="0.25">
      <c r="B79" s="609" t="s">
        <v>137</v>
      </c>
      <c r="C79" s="608"/>
      <c r="D79" s="44">
        <f>Poeng!T183</f>
        <v>2</v>
      </c>
      <c r="E79" s="43"/>
      <c r="F79" s="46">
        <f>Poeng!AB183</f>
        <v>2</v>
      </c>
      <c r="H79" s="824">
        <f t="shared" si="5"/>
        <v>0</v>
      </c>
      <c r="I79" s="320" t="str">
        <f t="shared" si="7"/>
        <v>FEIL</v>
      </c>
      <c r="N79" s="309" t="s">
        <v>380</v>
      </c>
      <c r="O79" t="b">
        <f t="shared" si="6"/>
        <v>0</v>
      </c>
      <c r="R79" t="s">
        <v>763</v>
      </c>
      <c r="S79" s="309" t="s">
        <v>168</v>
      </c>
      <c r="T79" s="776" t="s">
        <v>364</v>
      </c>
      <c r="U79" s="792">
        <v>5</v>
      </c>
      <c r="V79" s="793" t="s">
        <v>346</v>
      </c>
      <c r="W79" s="770"/>
      <c r="AE79">
        <v>72</v>
      </c>
    </row>
    <row r="80" spans="1:31" x14ac:dyDescent="0.25">
      <c r="A80" s="121" t="s">
        <v>138</v>
      </c>
      <c r="B80" s="727" t="s">
        <v>138</v>
      </c>
      <c r="C80" s="725" t="s">
        <v>129</v>
      </c>
      <c r="D80" s="44">
        <f>Poeng!T187</f>
        <v>1</v>
      </c>
      <c r="E80" s="43"/>
      <c r="F80" s="46">
        <f>Poeng!AB187</f>
        <v>1</v>
      </c>
      <c r="H80" s="831">
        <f t="shared" si="5"/>
        <v>0</v>
      </c>
      <c r="I80" s="320" t="str">
        <f t="shared" si="7"/>
        <v>FEIL</v>
      </c>
      <c r="N80" s="309"/>
      <c r="R80" t="s">
        <v>764</v>
      </c>
      <c r="S80" s="309" t="s">
        <v>169</v>
      </c>
      <c r="T80" s="776" t="s">
        <v>365</v>
      </c>
      <c r="U80" s="792">
        <v>1</v>
      </c>
      <c r="V80" s="793" t="s">
        <v>346</v>
      </c>
      <c r="W80" s="770"/>
      <c r="AE80">
        <v>73</v>
      </c>
    </row>
    <row r="81" spans="1:31" x14ac:dyDescent="0.25">
      <c r="A81" t="s">
        <v>752</v>
      </c>
      <c r="B81" s="144" t="s">
        <v>692</v>
      </c>
      <c r="C81" s="795" t="s">
        <v>629</v>
      </c>
      <c r="D81" s="44">
        <f>Poeng!T189</f>
        <v>2</v>
      </c>
      <c r="E81" s="43"/>
      <c r="F81" s="46">
        <f>Poeng!AB189</f>
        <v>2</v>
      </c>
      <c r="H81" s="148">
        <f t="shared" si="5"/>
        <v>0</v>
      </c>
      <c r="I81" s="320" t="str">
        <f t="shared" si="7"/>
        <v>FEIL</v>
      </c>
      <c r="N81" s="309"/>
      <c r="S81" s="309" t="s">
        <v>170</v>
      </c>
      <c r="T81" s="867" t="s">
        <v>366</v>
      </c>
      <c r="U81" s="868"/>
      <c r="V81" s="868"/>
      <c r="W81" s="770"/>
      <c r="AE81">
        <v>74</v>
      </c>
    </row>
    <row r="82" spans="1:31" ht="15.75" thickBot="1" x14ac:dyDescent="0.3">
      <c r="A82" t="s">
        <v>753</v>
      </c>
      <c r="B82" s="144" t="s">
        <v>695</v>
      </c>
      <c r="C82" s="795" t="s">
        <v>630</v>
      </c>
      <c r="D82" s="44">
        <f>Poeng!T192</f>
        <v>3</v>
      </c>
      <c r="E82" s="63"/>
      <c r="F82" s="46">
        <f>Poeng!AB192</f>
        <v>3</v>
      </c>
      <c r="H82" s="148">
        <f t="shared" si="5"/>
        <v>0</v>
      </c>
      <c r="I82" s="320" t="str">
        <f t="shared" si="7"/>
        <v>FEIL</v>
      </c>
      <c r="N82" s="309" t="s">
        <v>382</v>
      </c>
      <c r="O82" t="b">
        <f t="shared" si="6"/>
        <v>0</v>
      </c>
      <c r="R82" t="s">
        <v>765</v>
      </c>
      <c r="S82" s="309"/>
      <c r="T82" s="309" t="s">
        <v>642</v>
      </c>
      <c r="U82" s="792" t="s">
        <v>234</v>
      </c>
      <c r="V82" s="793" t="s">
        <v>346</v>
      </c>
      <c r="W82" s="770"/>
      <c r="AE82">
        <v>75</v>
      </c>
    </row>
    <row r="83" spans="1:31" ht="15.75" thickBot="1" x14ac:dyDescent="0.3">
      <c r="A83" s="121" t="s">
        <v>139</v>
      </c>
      <c r="B83" s="727" t="s">
        <v>139</v>
      </c>
      <c r="C83" s="725" t="s">
        <v>130</v>
      </c>
      <c r="D83" s="50">
        <f>Poeng!T197</f>
        <v>19</v>
      </c>
      <c r="E83" s="50"/>
      <c r="F83" s="50">
        <f>SUM(F75:F82)</f>
        <v>19</v>
      </c>
      <c r="H83" s="831">
        <f t="shared" si="5"/>
        <v>0</v>
      </c>
      <c r="I83" s="320" t="str">
        <f t="shared" si="7"/>
        <v>FEIL</v>
      </c>
      <c r="N83" s="309" t="s">
        <v>383</v>
      </c>
      <c r="O83" t="b">
        <f t="shared" si="6"/>
        <v>0</v>
      </c>
      <c r="R83" t="s">
        <v>766</v>
      </c>
      <c r="S83" s="309"/>
      <c r="T83" s="309" t="s">
        <v>643</v>
      </c>
      <c r="U83" s="792" t="s">
        <v>234</v>
      </c>
      <c r="V83" s="793" t="s">
        <v>346</v>
      </c>
      <c r="W83" s="770"/>
      <c r="AE83">
        <v>76</v>
      </c>
    </row>
    <row r="84" spans="1:31" ht="15.75" thickBot="1" x14ac:dyDescent="0.3">
      <c r="A84" t="s">
        <v>754</v>
      </c>
      <c r="B84" s="144" t="s">
        <v>692</v>
      </c>
      <c r="C84" s="795" t="s">
        <v>891</v>
      </c>
      <c r="H84" s="148">
        <f t="shared" si="5"/>
        <v>1</v>
      </c>
      <c r="I84" s="320" t="str">
        <f t="shared" si="7"/>
        <v>FEIL</v>
      </c>
      <c r="N84" s="309" t="s">
        <v>384</v>
      </c>
      <c r="O84" t="b">
        <f t="shared" si="6"/>
        <v>0</v>
      </c>
      <c r="R84" t="s">
        <v>767</v>
      </c>
      <c r="S84" s="309"/>
      <c r="T84" s="309" t="s">
        <v>644</v>
      </c>
      <c r="U84" s="792" t="s">
        <v>234</v>
      </c>
      <c r="V84" s="793" t="s">
        <v>346</v>
      </c>
      <c r="W84" s="770"/>
      <c r="AE84">
        <v>77</v>
      </c>
    </row>
    <row r="85" spans="1:31" ht="15.75" thickBot="1" x14ac:dyDescent="0.3">
      <c r="A85" t="s">
        <v>755</v>
      </c>
      <c r="B85" s="144" t="s">
        <v>695</v>
      </c>
      <c r="C85" s="854" t="s">
        <v>915</v>
      </c>
      <c r="D85" s="47"/>
      <c r="E85" s="47"/>
      <c r="F85" s="47"/>
      <c r="H85" s="875">
        <f>IF(SUMIF($R$7:$R$182,A85,$U$7:$U$182)=2,1,SUMIF($R$7:$R$182,A85,$U$7:$U$182))</f>
        <v>1</v>
      </c>
      <c r="I85" s="320" t="str">
        <f t="shared" si="7"/>
        <v>FEIL</v>
      </c>
      <c r="J85" t="s">
        <v>942</v>
      </c>
      <c r="N85" s="309" t="s">
        <v>386</v>
      </c>
      <c r="O85" t="b">
        <f t="shared" si="6"/>
        <v>0</v>
      </c>
      <c r="R85" t="s">
        <v>768</v>
      </c>
      <c r="S85" s="309" t="s">
        <v>171</v>
      </c>
      <c r="T85" s="776" t="s">
        <v>367</v>
      </c>
      <c r="U85" s="792">
        <v>1</v>
      </c>
      <c r="V85" s="793" t="s">
        <v>346</v>
      </c>
      <c r="W85" s="770"/>
      <c r="AE85">
        <v>78</v>
      </c>
    </row>
    <row r="86" spans="1:31" x14ac:dyDescent="0.25">
      <c r="A86" t="s">
        <v>917</v>
      </c>
      <c r="B86" s="144" t="s">
        <v>696</v>
      </c>
      <c r="C86" s="854" t="s">
        <v>916</v>
      </c>
      <c r="D86" s="44">
        <f>Poeng!T200</f>
        <v>3</v>
      </c>
      <c r="E86" s="43"/>
      <c r="F86" s="46">
        <f>Poeng!AB200</f>
        <v>3</v>
      </c>
      <c r="H86" s="875">
        <f>IF(SUMIF($R$7:$R$182,A85,$U$7:$U$182)=2,1,0)</f>
        <v>1</v>
      </c>
      <c r="I86" s="320" t="str">
        <f t="shared" si="7"/>
        <v>FEIL</v>
      </c>
      <c r="J86" t="s">
        <v>942</v>
      </c>
      <c r="N86" s="306"/>
      <c r="O86" t="b">
        <f t="shared" si="6"/>
        <v>1</v>
      </c>
      <c r="S86" s="306"/>
      <c r="T86" s="306"/>
      <c r="U86" s="307"/>
      <c r="V86" s="783"/>
      <c r="W86" s="770"/>
      <c r="AE86">
        <v>79</v>
      </c>
    </row>
    <row r="87" spans="1:31" ht="15" customHeight="1" x14ac:dyDescent="0.25">
      <c r="A87" s="121" t="s">
        <v>140</v>
      </c>
      <c r="B87" s="727" t="s">
        <v>140</v>
      </c>
      <c r="C87" s="725" t="s">
        <v>131</v>
      </c>
      <c r="D87" s="44">
        <f>Poeng!T204</f>
        <v>2</v>
      </c>
      <c r="E87" s="43"/>
      <c r="F87" s="46">
        <f>Poeng!AB204</f>
        <v>2</v>
      </c>
      <c r="H87" s="831">
        <f t="shared" si="5"/>
        <v>0</v>
      </c>
      <c r="I87" s="320" t="str">
        <f t="shared" si="7"/>
        <v>FEIL</v>
      </c>
      <c r="N87" s="306"/>
      <c r="O87" t="b">
        <f t="shared" si="6"/>
        <v>0</v>
      </c>
      <c r="S87" s="307" t="s">
        <v>368</v>
      </c>
      <c r="T87" s="306"/>
      <c r="U87" s="307"/>
      <c r="V87" s="783"/>
      <c r="W87" s="770"/>
      <c r="AE87">
        <v>80</v>
      </c>
    </row>
    <row r="88" spans="1:31" x14ac:dyDescent="0.25">
      <c r="A88" t="s">
        <v>756</v>
      </c>
      <c r="B88" s="144" t="s">
        <v>692</v>
      </c>
      <c r="C88" s="795" t="s">
        <v>633</v>
      </c>
      <c r="D88" s="44">
        <f>Poeng!T207</f>
        <v>0</v>
      </c>
      <c r="E88" s="43"/>
      <c r="F88" s="46">
        <f>Poeng!AB207</f>
        <v>0</v>
      </c>
      <c r="H88" s="148">
        <f t="shared" si="5"/>
        <v>0</v>
      </c>
      <c r="I88" s="320" t="str">
        <f t="shared" si="7"/>
        <v>OK</v>
      </c>
      <c r="N88" s="307" t="s">
        <v>388</v>
      </c>
      <c r="O88" t="b">
        <f t="shared" si="6"/>
        <v>0</v>
      </c>
      <c r="S88" s="309" t="s">
        <v>172</v>
      </c>
      <c r="T88" s="867" t="s">
        <v>845</v>
      </c>
      <c r="U88" s="868"/>
      <c r="V88" s="869"/>
      <c r="W88" s="770"/>
      <c r="AE88">
        <v>81</v>
      </c>
    </row>
    <row r="89" spans="1:31" x14ac:dyDescent="0.25">
      <c r="A89" t="s">
        <v>757</v>
      </c>
      <c r="B89" s="144" t="s">
        <v>695</v>
      </c>
      <c r="C89" s="795" t="s">
        <v>634</v>
      </c>
      <c r="D89" s="44">
        <f>Poeng!T208</f>
        <v>1</v>
      </c>
      <c r="E89" s="43"/>
      <c r="F89" s="46">
        <f>Poeng!AB208</f>
        <v>1</v>
      </c>
      <c r="H89" s="148">
        <f t="shared" si="5"/>
        <v>0</v>
      </c>
      <c r="I89" s="320" t="str">
        <f t="shared" si="7"/>
        <v>FEIL</v>
      </c>
      <c r="N89" s="309" t="s">
        <v>95</v>
      </c>
      <c r="O89" t="b">
        <f t="shared" si="6"/>
        <v>0</v>
      </c>
      <c r="R89" t="s">
        <v>770</v>
      </c>
      <c r="S89" s="309"/>
      <c r="T89" s="309" t="s">
        <v>646</v>
      </c>
      <c r="U89" s="780">
        <v>3</v>
      </c>
      <c r="V89" s="781" t="s">
        <v>346</v>
      </c>
      <c r="W89" s="770"/>
      <c r="AE89">
        <v>82</v>
      </c>
    </row>
    <row r="90" spans="1:31" ht="15.75" thickBot="1" x14ac:dyDescent="0.3">
      <c r="A90" s="121" t="s">
        <v>141</v>
      </c>
      <c r="B90" s="727" t="s">
        <v>141</v>
      </c>
      <c r="C90" s="725" t="s">
        <v>132</v>
      </c>
      <c r="D90" s="44">
        <f>Poeng!T211</f>
        <v>1</v>
      </c>
      <c r="E90" s="43"/>
      <c r="F90" s="46">
        <f>Poeng!AB211</f>
        <v>1</v>
      </c>
      <c r="H90" s="831">
        <f t="shared" si="5"/>
        <v>0</v>
      </c>
      <c r="I90" s="320" t="str">
        <f t="shared" si="7"/>
        <v>FEIL</v>
      </c>
      <c r="N90" s="309" t="s">
        <v>117</v>
      </c>
      <c r="O90" t="b">
        <f t="shared" si="6"/>
        <v>0</v>
      </c>
      <c r="R90" t="s">
        <v>771</v>
      </c>
      <c r="S90" s="309"/>
      <c r="T90" s="309" t="s">
        <v>647</v>
      </c>
      <c r="U90" s="780">
        <v>2</v>
      </c>
      <c r="V90" s="781" t="s">
        <v>346</v>
      </c>
      <c r="W90" s="770"/>
      <c r="AE90">
        <v>83</v>
      </c>
    </row>
    <row r="91" spans="1:31" ht="15.75" thickBot="1" x14ac:dyDescent="0.3">
      <c r="A91" t="s">
        <v>758</v>
      </c>
      <c r="B91" s="146" t="s">
        <v>692</v>
      </c>
      <c r="C91" s="795" t="s">
        <v>635</v>
      </c>
      <c r="D91" s="50">
        <f>Poeng!T214</f>
        <v>7</v>
      </c>
      <c r="E91" s="50"/>
      <c r="F91" s="50">
        <f>SUM(F86:F90)</f>
        <v>7</v>
      </c>
      <c r="H91" s="148">
        <f t="shared" si="5"/>
        <v>0</v>
      </c>
      <c r="I91" s="320" t="str">
        <f t="shared" si="7"/>
        <v>FEIL</v>
      </c>
      <c r="N91" s="309" t="s">
        <v>361</v>
      </c>
      <c r="O91" t="b">
        <f t="shared" si="6"/>
        <v>0</v>
      </c>
      <c r="S91" s="309" t="s">
        <v>477</v>
      </c>
      <c r="T91" s="867" t="s">
        <v>846</v>
      </c>
      <c r="U91" s="868"/>
      <c r="V91" s="869"/>
      <c r="W91" s="770"/>
      <c r="AE91">
        <v>84</v>
      </c>
    </row>
    <row r="92" spans="1:31" ht="15.75" thickBot="1" x14ac:dyDescent="0.3">
      <c r="B92" s="609" t="s">
        <v>142</v>
      </c>
      <c r="C92" s="608"/>
      <c r="H92" s="824">
        <f t="shared" si="5"/>
        <v>0</v>
      </c>
      <c r="I92" s="320" t="str">
        <f t="shared" si="7"/>
        <v>OK</v>
      </c>
      <c r="N92" s="309" t="s">
        <v>362</v>
      </c>
      <c r="O92" t="b">
        <f t="shared" si="6"/>
        <v>0</v>
      </c>
      <c r="R92" t="s">
        <v>773</v>
      </c>
      <c r="S92" s="309"/>
      <c r="T92" s="309" t="s">
        <v>649</v>
      </c>
      <c r="U92" s="780">
        <v>1</v>
      </c>
      <c r="V92" s="781" t="s">
        <v>346</v>
      </c>
      <c r="W92" s="770"/>
      <c r="AE92">
        <v>85</v>
      </c>
    </row>
    <row r="93" spans="1:31" ht="15.75" thickBot="1" x14ac:dyDescent="0.3">
      <c r="B93" s="609" t="s">
        <v>143</v>
      </c>
      <c r="C93" s="608"/>
      <c r="D93" s="47"/>
      <c r="E93" s="47"/>
      <c r="F93" s="47"/>
      <c r="H93" s="824">
        <f t="shared" si="5"/>
        <v>0</v>
      </c>
      <c r="I93" s="320" t="str">
        <f t="shared" si="7"/>
        <v>OK</v>
      </c>
      <c r="N93" s="309" t="s">
        <v>168</v>
      </c>
      <c r="O93" t="b">
        <f t="shared" si="6"/>
        <v>0</v>
      </c>
      <c r="R93" t="s">
        <v>774</v>
      </c>
      <c r="S93" s="309"/>
      <c r="T93" s="309" t="s">
        <v>650</v>
      </c>
      <c r="U93" s="780">
        <v>2</v>
      </c>
      <c r="V93" s="781" t="s">
        <v>346</v>
      </c>
      <c r="W93" s="770"/>
      <c r="AE93">
        <v>86</v>
      </c>
    </row>
    <row r="94" spans="1:31" ht="15.75" thickBot="1" x14ac:dyDescent="0.3">
      <c r="A94" t="s">
        <v>883</v>
      </c>
      <c r="B94" s="174"/>
      <c r="C94" s="50" t="s">
        <v>213</v>
      </c>
      <c r="D94" s="46">
        <f>Poeng!T217</f>
        <v>1</v>
      </c>
      <c r="E94" s="45"/>
      <c r="F94" s="46">
        <f>Poeng!AB217</f>
        <v>1</v>
      </c>
      <c r="H94" s="195">
        <f t="shared" si="5"/>
        <v>0</v>
      </c>
      <c r="I94" s="320" t="str">
        <f t="shared" si="7"/>
        <v>FEIL</v>
      </c>
      <c r="N94" s="309" t="s">
        <v>172</v>
      </c>
      <c r="O94" t="b">
        <f t="shared" si="6"/>
        <v>0</v>
      </c>
      <c r="S94" s="309" t="s">
        <v>173</v>
      </c>
      <c r="T94" s="867" t="s">
        <v>847</v>
      </c>
      <c r="U94" s="868"/>
      <c r="V94" s="869"/>
      <c r="W94" s="770"/>
      <c r="AE94">
        <v>87</v>
      </c>
    </row>
    <row r="95" spans="1:31" ht="15.75" thickBot="1" x14ac:dyDescent="0.3">
      <c r="D95" s="44">
        <f>Poeng!T218</f>
        <v>1</v>
      </c>
      <c r="E95" s="43"/>
      <c r="F95" s="46">
        <f>Poeng!AB218</f>
        <v>1</v>
      </c>
      <c r="H95">
        <f t="shared" si="5"/>
        <v>0</v>
      </c>
      <c r="I95" s="320" t="str">
        <f t="shared" si="7"/>
        <v>FEIL</v>
      </c>
      <c r="N95" s="309" t="s">
        <v>173</v>
      </c>
      <c r="O95" t="b">
        <f t="shared" si="6"/>
        <v>0</v>
      </c>
      <c r="R95" t="s">
        <v>776</v>
      </c>
      <c r="S95" s="309"/>
      <c r="T95" s="309" t="s">
        <v>652</v>
      </c>
      <c r="U95" s="780">
        <v>1</v>
      </c>
      <c r="V95" s="781" t="s">
        <v>346</v>
      </c>
      <c r="W95" s="770"/>
      <c r="AE95">
        <v>88</v>
      </c>
    </row>
    <row r="96" spans="1:31" ht="15.75" thickBot="1" x14ac:dyDescent="0.3">
      <c r="B96" s="127"/>
      <c r="C96" s="47" t="s">
        <v>66</v>
      </c>
      <c r="D96" s="44">
        <f>Poeng!T219</f>
        <v>1</v>
      </c>
      <c r="E96" s="43"/>
      <c r="F96" s="46">
        <f>Poeng!AB219</f>
        <v>1</v>
      </c>
      <c r="H96" s="122">
        <f t="shared" si="5"/>
        <v>0</v>
      </c>
      <c r="I96" s="320" t="str">
        <f t="shared" si="7"/>
        <v>FEIL</v>
      </c>
      <c r="N96" s="309" t="s">
        <v>176</v>
      </c>
      <c r="O96" t="b">
        <f t="shared" si="6"/>
        <v>0</v>
      </c>
      <c r="R96" t="s">
        <v>777</v>
      </c>
      <c r="S96" s="309"/>
      <c r="T96" s="309" t="s">
        <v>653</v>
      </c>
      <c r="U96" s="780">
        <v>2</v>
      </c>
      <c r="V96" s="781" t="s">
        <v>346</v>
      </c>
      <c r="W96" s="770"/>
      <c r="AE96">
        <v>89</v>
      </c>
    </row>
    <row r="97" spans="1:31" x14ac:dyDescent="0.25">
      <c r="A97" s="121" t="s">
        <v>146</v>
      </c>
      <c r="B97" s="726" t="s">
        <v>146</v>
      </c>
      <c r="C97" s="724" t="s">
        <v>460</v>
      </c>
      <c r="D97" s="44">
        <f>Poeng!T220</f>
        <v>1</v>
      </c>
      <c r="E97" s="43"/>
      <c r="F97" s="46">
        <f>Poeng!AB220</f>
        <v>1</v>
      </c>
      <c r="H97" s="131">
        <f t="shared" si="5"/>
        <v>0</v>
      </c>
      <c r="I97" s="320" t="str">
        <f t="shared" si="7"/>
        <v>FEIL</v>
      </c>
      <c r="N97" t="s">
        <v>177</v>
      </c>
      <c r="O97" t="b">
        <f t="shared" si="6"/>
        <v>0</v>
      </c>
      <c r="S97" s="309" t="s">
        <v>174</v>
      </c>
      <c r="T97" s="867" t="s">
        <v>369</v>
      </c>
      <c r="U97" s="868"/>
      <c r="V97" s="869"/>
      <c r="W97" s="770"/>
      <c r="AE97">
        <v>90</v>
      </c>
    </row>
    <row r="98" spans="1:31" x14ac:dyDescent="0.25">
      <c r="A98" t="s">
        <v>759</v>
      </c>
      <c r="B98" s="144" t="s">
        <v>692</v>
      </c>
      <c r="C98" s="795" t="s">
        <v>636</v>
      </c>
      <c r="D98" s="44">
        <f>Poeng!T221</f>
        <v>2</v>
      </c>
      <c r="E98" s="43"/>
      <c r="F98" s="46">
        <f>Poeng!AB221</f>
        <v>2</v>
      </c>
      <c r="H98" s="148">
        <f t="shared" si="5"/>
        <v>2</v>
      </c>
      <c r="I98" s="320" t="str">
        <f t="shared" si="7"/>
        <v>OK</v>
      </c>
      <c r="R98" t="s">
        <v>779</v>
      </c>
      <c r="S98" s="775"/>
      <c r="T98" s="309" t="s">
        <v>655</v>
      </c>
      <c r="U98" s="780">
        <v>1</v>
      </c>
      <c r="V98" s="781" t="s">
        <v>346</v>
      </c>
      <c r="W98" s="770"/>
      <c r="AE98">
        <v>91</v>
      </c>
    </row>
    <row r="99" spans="1:31" x14ac:dyDescent="0.25">
      <c r="A99" t="s">
        <v>760</v>
      </c>
      <c r="B99" s="144" t="s">
        <v>695</v>
      </c>
      <c r="C99" s="795" t="s">
        <v>637</v>
      </c>
      <c r="D99" s="44">
        <f>Poeng!T222</f>
        <v>1</v>
      </c>
      <c r="E99" s="43"/>
      <c r="F99" s="46">
        <f>Poeng!AB222</f>
        <v>1</v>
      </c>
      <c r="H99" s="148">
        <f t="shared" si="5"/>
        <v>1</v>
      </c>
      <c r="I99" s="320" t="str">
        <f t="shared" si="7"/>
        <v>OK</v>
      </c>
      <c r="R99" t="s">
        <v>780</v>
      </c>
      <c r="S99" s="775"/>
      <c r="T99" s="309" t="s">
        <v>656</v>
      </c>
      <c r="U99" s="780">
        <v>1</v>
      </c>
      <c r="V99" s="781" t="s">
        <v>346</v>
      </c>
      <c r="W99" s="770"/>
      <c r="AE99">
        <v>92</v>
      </c>
    </row>
    <row r="100" spans="1:31" x14ac:dyDescent="0.25">
      <c r="A100" s="121" t="s">
        <v>147</v>
      </c>
      <c r="B100" s="727" t="s">
        <v>147</v>
      </c>
      <c r="C100" s="725" t="s">
        <v>461</v>
      </c>
      <c r="D100" s="44">
        <f>Poeng!T223</f>
        <v>1</v>
      </c>
      <c r="E100" s="43"/>
      <c r="F100" s="46">
        <f>Poeng!AB223</f>
        <v>1</v>
      </c>
      <c r="H100" s="831">
        <f t="shared" si="5"/>
        <v>0</v>
      </c>
      <c r="I100" s="320" t="str">
        <f t="shared" si="7"/>
        <v>FEIL</v>
      </c>
      <c r="R100" t="s">
        <v>781</v>
      </c>
      <c r="S100" s="775"/>
      <c r="T100" s="309" t="s">
        <v>657</v>
      </c>
      <c r="U100" s="780">
        <v>2</v>
      </c>
      <c r="V100" s="781" t="s">
        <v>346</v>
      </c>
      <c r="W100" s="770"/>
      <c r="AE100">
        <v>93</v>
      </c>
    </row>
    <row r="101" spans="1:31" x14ac:dyDescent="0.25">
      <c r="B101" s="144" t="s">
        <v>692</v>
      </c>
      <c r="C101" s="795" t="s">
        <v>638</v>
      </c>
      <c r="D101" s="44">
        <f>Poeng!T224</f>
        <v>1</v>
      </c>
      <c r="E101" s="43"/>
      <c r="F101" s="46">
        <f>Poeng!AB224</f>
        <v>1</v>
      </c>
      <c r="H101" s="148">
        <f t="shared" si="5"/>
        <v>0</v>
      </c>
      <c r="I101" s="320" t="str">
        <f t="shared" si="7"/>
        <v>FEIL</v>
      </c>
      <c r="S101" s="309" t="s">
        <v>175</v>
      </c>
      <c r="T101" s="867" t="s">
        <v>659</v>
      </c>
      <c r="U101" s="868"/>
      <c r="V101" s="869"/>
      <c r="W101" s="770"/>
      <c r="AE101">
        <v>94</v>
      </c>
    </row>
    <row r="102" spans="1:31" x14ac:dyDescent="0.25">
      <c r="A102" t="s">
        <v>762</v>
      </c>
      <c r="B102" s="144" t="s">
        <v>695</v>
      </c>
      <c r="C102" s="795" t="s">
        <v>639</v>
      </c>
      <c r="D102" s="44">
        <f>Poeng!T225</f>
        <v>1</v>
      </c>
      <c r="E102" s="43"/>
      <c r="F102" s="46">
        <f>D102-E102</f>
        <v>1</v>
      </c>
      <c r="H102" s="148">
        <f t="shared" si="5"/>
        <v>10</v>
      </c>
      <c r="I102" s="320" t="str">
        <f t="shared" si="7"/>
        <v>FEIL</v>
      </c>
      <c r="R102" t="s">
        <v>782</v>
      </c>
      <c r="S102" s="775"/>
      <c r="T102" s="309" t="s">
        <v>658</v>
      </c>
      <c r="U102" s="780">
        <v>1</v>
      </c>
      <c r="V102" s="781" t="s">
        <v>346</v>
      </c>
      <c r="W102" s="770"/>
      <c r="AE102">
        <v>95</v>
      </c>
    </row>
    <row r="103" spans="1:31" x14ac:dyDescent="0.25">
      <c r="B103" s="609" t="s">
        <v>148</v>
      </c>
      <c r="C103" s="608"/>
      <c r="D103" s="44">
        <f>Poeng!T226</f>
        <v>1</v>
      </c>
      <c r="E103" s="43"/>
      <c r="F103" s="46">
        <f t="shared" ref="F103:F106" si="8">D103-E103</f>
        <v>1</v>
      </c>
      <c r="H103" s="824">
        <f t="shared" si="5"/>
        <v>0</v>
      </c>
      <c r="I103" s="320"/>
      <c r="R103" t="s">
        <v>783</v>
      </c>
      <c r="S103" s="775"/>
      <c r="T103" s="309" t="s">
        <v>659</v>
      </c>
      <c r="U103" s="780">
        <v>1</v>
      </c>
      <c r="V103" s="781" t="s">
        <v>346</v>
      </c>
      <c r="W103" s="770"/>
      <c r="AE103">
        <v>96</v>
      </c>
    </row>
    <row r="104" spans="1:31" x14ac:dyDescent="0.25">
      <c r="B104" s="609" t="s">
        <v>149</v>
      </c>
      <c r="C104" s="608"/>
      <c r="D104" s="44">
        <f>Poeng!T227</f>
        <v>1</v>
      </c>
      <c r="E104" s="43"/>
      <c r="F104" s="46">
        <f t="shared" si="8"/>
        <v>1</v>
      </c>
      <c r="H104" s="824">
        <f t="shared" si="5"/>
        <v>0</v>
      </c>
      <c r="I104" s="320"/>
      <c r="R104" t="s">
        <v>784</v>
      </c>
      <c r="S104" s="775"/>
      <c r="T104" s="309" t="s">
        <v>660</v>
      </c>
      <c r="U104" s="780">
        <v>1</v>
      </c>
      <c r="V104" s="781" t="s">
        <v>346</v>
      </c>
      <c r="W104" s="770"/>
      <c r="AE104">
        <v>97</v>
      </c>
    </row>
    <row r="105" spans="1:31" x14ac:dyDescent="0.25">
      <c r="B105" s="609" t="s">
        <v>150</v>
      </c>
      <c r="C105" s="608"/>
      <c r="D105" s="44">
        <f>Poeng!T228</f>
        <v>1</v>
      </c>
      <c r="E105" s="43"/>
      <c r="F105" s="46">
        <f t="shared" si="8"/>
        <v>1</v>
      </c>
      <c r="H105" s="824">
        <f t="shared" si="5"/>
        <v>0</v>
      </c>
      <c r="I105" s="320"/>
      <c r="S105" s="309" t="s">
        <v>478</v>
      </c>
      <c r="T105" s="867" t="s">
        <v>848</v>
      </c>
      <c r="U105" s="868"/>
      <c r="V105" s="869"/>
      <c r="W105" s="770"/>
      <c r="AE105">
        <v>98</v>
      </c>
    </row>
    <row r="106" spans="1:31" ht="15.75" thickBot="1" x14ac:dyDescent="0.3">
      <c r="B106" s="613" t="s">
        <v>313</v>
      </c>
      <c r="C106" s="614"/>
      <c r="D106" s="44">
        <f>Poeng!T229</f>
        <v>1</v>
      </c>
      <c r="E106" s="43"/>
      <c r="F106" s="46">
        <f t="shared" si="8"/>
        <v>1</v>
      </c>
      <c r="H106" s="824">
        <f t="shared" si="5"/>
        <v>0</v>
      </c>
      <c r="I106" s="320"/>
      <c r="R106" t="s">
        <v>785</v>
      </c>
      <c r="S106" s="775"/>
      <c r="T106" s="309" t="s">
        <v>661</v>
      </c>
      <c r="U106" s="780">
        <v>1</v>
      </c>
      <c r="V106" s="781" t="s">
        <v>346</v>
      </c>
      <c r="W106" s="770"/>
      <c r="AE106">
        <v>99</v>
      </c>
    </row>
    <row r="107" spans="1:31" ht="15.75" thickBot="1" x14ac:dyDescent="0.3">
      <c r="A107" t="s">
        <v>884</v>
      </c>
      <c r="B107" s="174"/>
      <c r="C107" s="50" t="s">
        <v>213</v>
      </c>
      <c r="D107" s="50">
        <f>Poeng!T231</f>
        <v>10</v>
      </c>
      <c r="E107" s="50"/>
      <c r="F107" s="50">
        <f>IF(SUM(F94:F106)&gt;10,10,SUM(F94:F106))</f>
        <v>10</v>
      </c>
      <c r="H107" s="195">
        <f t="shared" si="5"/>
        <v>0</v>
      </c>
      <c r="I107" s="320" t="str">
        <f t="shared" si="7"/>
        <v>FEIL</v>
      </c>
      <c r="R107" t="s">
        <v>786</v>
      </c>
      <c r="S107" s="775"/>
      <c r="T107" s="309" t="s">
        <v>662</v>
      </c>
      <c r="U107" s="780">
        <v>1</v>
      </c>
      <c r="V107" s="781" t="s">
        <v>346</v>
      </c>
      <c r="W107" s="770"/>
      <c r="AE107">
        <v>100</v>
      </c>
    </row>
    <row r="108" spans="1:31" ht="15.75" thickBot="1" x14ac:dyDescent="0.3">
      <c r="H108">
        <f t="shared" si="5"/>
        <v>0</v>
      </c>
      <c r="R108" t="s">
        <v>787</v>
      </c>
      <c r="S108" s="775"/>
      <c r="T108" s="309" t="s">
        <v>849</v>
      </c>
      <c r="U108" s="780">
        <v>1</v>
      </c>
      <c r="V108" s="781" t="s">
        <v>346</v>
      </c>
      <c r="W108" s="770"/>
      <c r="AE108">
        <v>101</v>
      </c>
    </row>
    <row r="109" spans="1:31" ht="15.75" thickBot="1" x14ac:dyDescent="0.3">
      <c r="B109" s="127"/>
      <c r="C109" s="47" t="s">
        <v>58</v>
      </c>
      <c r="H109" s="122">
        <f t="shared" si="5"/>
        <v>0</v>
      </c>
      <c r="S109" s="307" t="s">
        <v>370</v>
      </c>
      <c r="T109" s="306"/>
      <c r="U109" s="307"/>
      <c r="V109" s="783"/>
      <c r="W109" s="770"/>
      <c r="AE109">
        <v>102</v>
      </c>
    </row>
    <row r="110" spans="1:31" ht="15" customHeight="1" x14ac:dyDescent="0.25">
      <c r="A110" s="121" t="s">
        <v>168</v>
      </c>
      <c r="B110" s="726" t="s">
        <v>168</v>
      </c>
      <c r="C110" s="724" t="s">
        <v>151</v>
      </c>
      <c r="H110" s="829">
        <f t="shared" si="5"/>
        <v>0</v>
      </c>
      <c r="S110" s="776" t="s">
        <v>176</v>
      </c>
      <c r="T110" s="779" t="s">
        <v>371</v>
      </c>
      <c r="U110" s="778"/>
      <c r="V110" s="882"/>
      <c r="W110" s="770"/>
      <c r="AE110">
        <v>103</v>
      </c>
    </row>
    <row r="111" spans="1:31" ht="15" customHeight="1" x14ac:dyDescent="0.25">
      <c r="A111" t="s">
        <v>763</v>
      </c>
      <c r="B111" s="144" t="s">
        <v>692</v>
      </c>
      <c r="C111" s="795" t="s">
        <v>640</v>
      </c>
      <c r="H111" s="148">
        <f t="shared" si="5"/>
        <v>5</v>
      </c>
      <c r="R111" t="s">
        <v>788</v>
      </c>
      <c r="S111" s="309"/>
      <c r="T111" s="309" t="s">
        <v>664</v>
      </c>
      <c r="U111" s="780">
        <v>1</v>
      </c>
      <c r="V111" s="781" t="s">
        <v>346</v>
      </c>
      <c r="W111" s="770"/>
      <c r="AE111">
        <v>104</v>
      </c>
    </row>
    <row r="112" spans="1:31" ht="15" customHeight="1" x14ac:dyDescent="0.25">
      <c r="A112" s="121" t="s">
        <v>169</v>
      </c>
      <c r="B112" s="727" t="s">
        <v>169</v>
      </c>
      <c r="C112" s="725" t="s">
        <v>152</v>
      </c>
      <c r="H112" s="831">
        <f t="shared" si="5"/>
        <v>0</v>
      </c>
      <c r="R112" t="s">
        <v>789</v>
      </c>
      <c r="S112" s="309"/>
      <c r="T112" s="309" t="s">
        <v>665</v>
      </c>
      <c r="U112" s="780">
        <v>2</v>
      </c>
      <c r="V112" s="781" t="s">
        <v>346</v>
      </c>
      <c r="W112" s="770"/>
      <c r="AE112">
        <v>105</v>
      </c>
    </row>
    <row r="113" spans="1:31" ht="15" customHeight="1" x14ac:dyDescent="0.25">
      <c r="A113" t="s">
        <v>764</v>
      </c>
      <c r="B113" s="146" t="s">
        <v>692</v>
      </c>
      <c r="C113" s="795" t="s">
        <v>641</v>
      </c>
      <c r="H113" s="148">
        <f t="shared" si="5"/>
        <v>1</v>
      </c>
      <c r="R113" t="s">
        <v>790</v>
      </c>
      <c r="S113" s="309"/>
      <c r="T113" s="309" t="s">
        <v>666</v>
      </c>
      <c r="U113" s="780">
        <v>2</v>
      </c>
      <c r="V113" s="781" t="s">
        <v>346</v>
      </c>
      <c r="W113" s="770"/>
      <c r="AE113">
        <v>106</v>
      </c>
    </row>
    <row r="114" spans="1:31" ht="15" customHeight="1" x14ac:dyDescent="0.25">
      <c r="A114" s="121" t="s">
        <v>170</v>
      </c>
      <c r="B114" s="727" t="s">
        <v>170</v>
      </c>
      <c r="C114" s="725" t="s">
        <v>153</v>
      </c>
      <c r="H114" s="831">
        <f t="shared" si="5"/>
        <v>0</v>
      </c>
      <c r="R114" t="s">
        <v>791</v>
      </c>
      <c r="S114" s="776" t="s">
        <v>372</v>
      </c>
      <c r="T114" s="776" t="s">
        <v>373</v>
      </c>
      <c r="U114" s="780">
        <v>1</v>
      </c>
      <c r="V114" s="781" t="s">
        <v>346</v>
      </c>
      <c r="W114" s="770"/>
      <c r="AE114">
        <v>107</v>
      </c>
    </row>
    <row r="115" spans="1:31" ht="15" customHeight="1" x14ac:dyDescent="0.25">
      <c r="A115" t="s">
        <v>765</v>
      </c>
      <c r="B115" s="144" t="s">
        <v>692</v>
      </c>
      <c r="C115" s="795" t="s">
        <v>642</v>
      </c>
      <c r="H115" s="148">
        <f t="shared" si="5"/>
        <v>0</v>
      </c>
      <c r="R115" t="s">
        <v>792</v>
      </c>
      <c r="S115" s="776" t="s">
        <v>374</v>
      </c>
      <c r="T115" s="776" t="s">
        <v>373</v>
      </c>
      <c r="U115" s="780" t="s">
        <v>234</v>
      </c>
      <c r="V115" s="781" t="s">
        <v>346</v>
      </c>
      <c r="W115" s="770"/>
      <c r="AE115">
        <v>108</v>
      </c>
    </row>
    <row r="116" spans="1:31" ht="15.75" customHeight="1" x14ac:dyDescent="0.25">
      <c r="A116" t="s">
        <v>766</v>
      </c>
      <c r="B116" s="144" t="s">
        <v>695</v>
      </c>
      <c r="C116" s="795" t="s">
        <v>918</v>
      </c>
      <c r="H116" s="148">
        <f t="shared" si="5"/>
        <v>0</v>
      </c>
      <c r="R116" t="s">
        <v>793</v>
      </c>
      <c r="S116" s="776" t="s">
        <v>178</v>
      </c>
      <c r="T116" s="776" t="s">
        <v>375</v>
      </c>
      <c r="U116" s="780" t="s">
        <v>234</v>
      </c>
      <c r="V116" s="781" t="s">
        <v>346</v>
      </c>
      <c r="W116" s="770"/>
      <c r="AE116">
        <v>109</v>
      </c>
    </row>
    <row r="117" spans="1:31" ht="15" customHeight="1" x14ac:dyDescent="0.25">
      <c r="A117" t="s">
        <v>767</v>
      </c>
      <c r="B117" s="146" t="s">
        <v>696</v>
      </c>
      <c r="C117" s="795" t="s">
        <v>644</v>
      </c>
      <c r="H117" s="148">
        <f t="shared" si="5"/>
        <v>0</v>
      </c>
      <c r="S117" s="306"/>
      <c r="T117" s="306"/>
      <c r="U117" s="307"/>
      <c r="V117" s="783"/>
      <c r="W117" s="770"/>
      <c r="AE117">
        <v>110</v>
      </c>
    </row>
    <row r="118" spans="1:31" ht="15" customHeight="1" x14ac:dyDescent="0.25">
      <c r="A118" s="121" t="s">
        <v>171</v>
      </c>
      <c r="B118" s="727" t="s">
        <v>171</v>
      </c>
      <c r="C118" s="725" t="s">
        <v>154</v>
      </c>
      <c r="H118" s="831">
        <f t="shared" si="5"/>
        <v>0</v>
      </c>
      <c r="S118" s="307" t="s">
        <v>376</v>
      </c>
      <c r="T118" s="306"/>
      <c r="U118" s="307"/>
      <c r="V118" s="783"/>
      <c r="W118" s="770"/>
      <c r="AE118">
        <v>111</v>
      </c>
    </row>
    <row r="119" spans="1:31" ht="15" customHeight="1" thickBot="1" x14ac:dyDescent="0.3">
      <c r="A119" t="s">
        <v>768</v>
      </c>
      <c r="B119" s="198" t="s">
        <v>692</v>
      </c>
      <c r="C119" s="795" t="s">
        <v>367</v>
      </c>
      <c r="H119" s="148">
        <f t="shared" si="5"/>
        <v>1</v>
      </c>
      <c r="R119" t="s">
        <v>796</v>
      </c>
      <c r="S119" s="776" t="s">
        <v>179</v>
      </c>
      <c r="T119" s="776" t="s">
        <v>377</v>
      </c>
      <c r="U119" s="780">
        <v>2</v>
      </c>
      <c r="V119" s="781" t="s">
        <v>346</v>
      </c>
      <c r="W119" s="770"/>
      <c r="AE119">
        <v>112</v>
      </c>
    </row>
    <row r="120" spans="1:31" ht="15" customHeight="1" thickBot="1" x14ac:dyDescent="0.3">
      <c r="A120" t="s">
        <v>885</v>
      </c>
      <c r="B120" s="174"/>
      <c r="C120" s="50" t="s">
        <v>213</v>
      </c>
      <c r="H120" s="195">
        <f t="shared" si="5"/>
        <v>0</v>
      </c>
      <c r="S120" s="776" t="s">
        <v>180</v>
      </c>
      <c r="T120" s="867" t="s">
        <v>850</v>
      </c>
      <c r="U120" s="868"/>
      <c r="V120" s="869"/>
      <c r="W120" s="770"/>
      <c r="AE120">
        <v>113</v>
      </c>
    </row>
    <row r="121" spans="1:31" ht="15.75" thickBot="1" x14ac:dyDescent="0.3">
      <c r="H121">
        <f t="shared" si="5"/>
        <v>0</v>
      </c>
      <c r="R121" t="s">
        <v>798</v>
      </c>
      <c r="S121" s="309"/>
      <c r="T121" s="309" t="s">
        <v>672</v>
      </c>
      <c r="U121" s="780">
        <v>1</v>
      </c>
      <c r="V121" s="781" t="s">
        <v>346</v>
      </c>
      <c r="W121" s="770"/>
      <c r="AE121">
        <v>114</v>
      </c>
    </row>
    <row r="122" spans="1:31" ht="15.75" thickBot="1" x14ac:dyDescent="0.3">
      <c r="B122" s="132"/>
      <c r="C122" s="133" t="s">
        <v>67</v>
      </c>
      <c r="H122" s="122">
        <f t="shared" si="5"/>
        <v>0</v>
      </c>
      <c r="R122" t="s">
        <v>799</v>
      </c>
      <c r="S122" s="309"/>
      <c r="T122" s="309" t="s">
        <v>673</v>
      </c>
      <c r="U122" s="780">
        <v>1</v>
      </c>
      <c r="V122" s="781" t="s">
        <v>346</v>
      </c>
      <c r="W122" s="770"/>
      <c r="AE122">
        <v>115</v>
      </c>
    </row>
    <row r="123" spans="1:31" x14ac:dyDescent="0.25">
      <c r="A123" s="121" t="s">
        <v>172</v>
      </c>
      <c r="B123" s="748" t="s">
        <v>172</v>
      </c>
      <c r="C123" s="749" t="s">
        <v>462</v>
      </c>
      <c r="H123" s="829">
        <f t="shared" si="5"/>
        <v>0</v>
      </c>
      <c r="S123" s="776" t="s">
        <v>851</v>
      </c>
      <c r="T123" s="779" t="s">
        <v>852</v>
      </c>
      <c r="U123" s="778"/>
      <c r="V123" s="882"/>
      <c r="W123" s="770"/>
      <c r="AE123">
        <v>116</v>
      </c>
    </row>
    <row r="124" spans="1:31" x14ac:dyDescent="0.25">
      <c r="A124" s="121"/>
      <c r="B124" s="146" t="s">
        <v>692</v>
      </c>
      <c r="C124" s="817" t="s">
        <v>645</v>
      </c>
      <c r="H124" s="148">
        <f t="shared" si="5"/>
        <v>0</v>
      </c>
      <c r="R124" t="s">
        <v>801</v>
      </c>
      <c r="S124" s="309"/>
      <c r="T124" s="309" t="s">
        <v>675</v>
      </c>
      <c r="U124" s="780" t="s">
        <v>234</v>
      </c>
      <c r="V124" s="781" t="s">
        <v>346</v>
      </c>
      <c r="W124" s="770"/>
      <c r="AE124">
        <v>117</v>
      </c>
    </row>
    <row r="125" spans="1:31" x14ac:dyDescent="0.25">
      <c r="A125" t="s">
        <v>770</v>
      </c>
      <c r="B125" s="146" t="s">
        <v>695</v>
      </c>
      <c r="C125" s="795" t="s">
        <v>646</v>
      </c>
      <c r="H125" s="148">
        <f t="shared" si="5"/>
        <v>3</v>
      </c>
      <c r="R125" t="s">
        <v>802</v>
      </c>
      <c r="S125" s="309"/>
      <c r="T125" s="309" t="s">
        <v>676</v>
      </c>
      <c r="U125" s="780" t="s">
        <v>234</v>
      </c>
      <c r="V125" s="781" t="s">
        <v>346</v>
      </c>
      <c r="W125" s="770"/>
      <c r="AE125">
        <v>118</v>
      </c>
    </row>
    <row r="126" spans="1:31" x14ac:dyDescent="0.25">
      <c r="A126" t="s">
        <v>771</v>
      </c>
      <c r="B126" s="146" t="s">
        <v>696</v>
      </c>
      <c r="C126" s="795" t="s">
        <v>647</v>
      </c>
      <c r="H126" s="148">
        <f t="shared" si="5"/>
        <v>2</v>
      </c>
      <c r="S126" s="776" t="s">
        <v>181</v>
      </c>
      <c r="T126" s="867" t="s">
        <v>853</v>
      </c>
      <c r="U126" s="868"/>
      <c r="V126" s="869"/>
      <c r="W126" s="770"/>
      <c r="AE126">
        <v>119</v>
      </c>
    </row>
    <row r="127" spans="1:31" x14ac:dyDescent="0.25">
      <c r="A127" s="121" t="s">
        <v>477</v>
      </c>
      <c r="B127" s="727" t="s">
        <v>477</v>
      </c>
      <c r="C127" s="725" t="s">
        <v>463</v>
      </c>
      <c r="H127" s="831">
        <f t="shared" si="5"/>
        <v>0</v>
      </c>
      <c r="R127" t="s">
        <v>804</v>
      </c>
      <c r="S127" s="309"/>
      <c r="T127" s="309" t="s">
        <v>678</v>
      </c>
      <c r="U127" s="780">
        <v>1</v>
      </c>
      <c r="V127" s="781" t="s">
        <v>346</v>
      </c>
      <c r="W127" s="770"/>
      <c r="AE127">
        <v>120</v>
      </c>
    </row>
    <row r="128" spans="1:31" x14ac:dyDescent="0.25">
      <c r="A128" s="121"/>
      <c r="B128" s="146" t="s">
        <v>692</v>
      </c>
      <c r="C128" s="817" t="s">
        <v>648</v>
      </c>
      <c r="H128" s="148">
        <f t="shared" si="5"/>
        <v>0</v>
      </c>
      <c r="R128" t="s">
        <v>805</v>
      </c>
      <c r="S128" s="309"/>
      <c r="T128" s="309" t="s">
        <v>679</v>
      </c>
      <c r="U128" s="780">
        <v>3</v>
      </c>
      <c r="V128" s="781" t="s">
        <v>346</v>
      </c>
      <c r="W128" s="770"/>
      <c r="AE128">
        <v>121</v>
      </c>
    </row>
    <row r="129" spans="1:31" x14ac:dyDescent="0.25">
      <c r="A129" t="s">
        <v>773</v>
      </c>
      <c r="B129" s="146" t="s">
        <v>695</v>
      </c>
      <c r="C129" s="795" t="s">
        <v>649</v>
      </c>
      <c r="H129" s="148">
        <f t="shared" si="5"/>
        <v>1</v>
      </c>
      <c r="S129" s="776" t="s">
        <v>182</v>
      </c>
      <c r="T129" s="867" t="s">
        <v>378</v>
      </c>
      <c r="U129" s="868"/>
      <c r="V129" s="869"/>
      <c r="W129" s="770"/>
      <c r="AE129">
        <v>122</v>
      </c>
    </row>
    <row r="130" spans="1:31" x14ac:dyDescent="0.25">
      <c r="A130" t="s">
        <v>774</v>
      </c>
      <c r="B130" s="146" t="s">
        <v>696</v>
      </c>
      <c r="C130" s="795" t="s">
        <v>650</v>
      </c>
      <c r="H130" s="148">
        <f t="shared" si="5"/>
        <v>2</v>
      </c>
      <c r="R130" t="s">
        <v>807</v>
      </c>
      <c r="S130" s="309"/>
      <c r="T130" s="309" t="s">
        <v>681</v>
      </c>
      <c r="U130" s="780">
        <v>1</v>
      </c>
      <c r="V130" s="781" t="s">
        <v>346</v>
      </c>
      <c r="W130" s="770"/>
      <c r="AE130">
        <v>123</v>
      </c>
    </row>
    <row r="131" spans="1:31" x14ac:dyDescent="0.25">
      <c r="A131" s="121" t="s">
        <v>173</v>
      </c>
      <c r="B131" s="727" t="s">
        <v>173</v>
      </c>
      <c r="C131" s="725" t="s">
        <v>464</v>
      </c>
      <c r="H131" s="831">
        <f t="shared" si="5"/>
        <v>0</v>
      </c>
      <c r="R131" t="s">
        <v>808</v>
      </c>
      <c r="S131" s="309"/>
      <c r="T131" s="309" t="s">
        <v>682</v>
      </c>
      <c r="U131" s="780">
        <v>1</v>
      </c>
      <c r="V131" s="781" t="s">
        <v>346</v>
      </c>
      <c r="W131" s="770"/>
      <c r="AE131">
        <v>124</v>
      </c>
    </row>
    <row r="132" spans="1:31" x14ac:dyDescent="0.25">
      <c r="B132" s="146" t="s">
        <v>692</v>
      </c>
      <c r="C132" s="817" t="s">
        <v>651</v>
      </c>
      <c r="H132" s="148">
        <f t="shared" si="5"/>
        <v>0</v>
      </c>
      <c r="R132" t="s">
        <v>809</v>
      </c>
      <c r="S132" s="776" t="s">
        <v>183</v>
      </c>
      <c r="T132" s="776" t="s">
        <v>854</v>
      </c>
      <c r="U132" s="780">
        <v>1</v>
      </c>
      <c r="V132" s="781" t="s">
        <v>346</v>
      </c>
      <c r="W132" s="770"/>
      <c r="AE132">
        <v>125</v>
      </c>
    </row>
    <row r="133" spans="1:31" x14ac:dyDescent="0.25">
      <c r="A133" t="s">
        <v>776</v>
      </c>
      <c r="B133" s="146" t="s">
        <v>695</v>
      </c>
      <c r="C133" s="795" t="s">
        <v>652</v>
      </c>
      <c r="H133" s="148">
        <f t="shared" si="5"/>
        <v>1</v>
      </c>
      <c r="R133" t="s">
        <v>811</v>
      </c>
      <c r="S133" s="778" t="s">
        <v>855</v>
      </c>
      <c r="T133" s="778" t="s">
        <v>856</v>
      </c>
      <c r="U133" s="780">
        <v>2</v>
      </c>
      <c r="V133" s="781" t="s">
        <v>346</v>
      </c>
      <c r="W133" s="770"/>
      <c r="AE133">
        <v>126</v>
      </c>
    </row>
    <row r="134" spans="1:31" x14ac:dyDescent="0.25">
      <c r="A134" t="s">
        <v>777</v>
      </c>
      <c r="B134" s="146" t="s">
        <v>696</v>
      </c>
      <c r="C134" s="795" t="s">
        <v>653</v>
      </c>
      <c r="H134" s="148">
        <f t="shared" si="5"/>
        <v>2</v>
      </c>
      <c r="S134" s="778" t="s">
        <v>857</v>
      </c>
      <c r="T134" s="778" t="s">
        <v>858</v>
      </c>
      <c r="U134" s="778"/>
      <c r="V134" s="882"/>
      <c r="W134" s="770"/>
      <c r="AE134">
        <v>127</v>
      </c>
    </row>
    <row r="135" spans="1:31" x14ac:dyDescent="0.25">
      <c r="A135" s="121" t="s">
        <v>174</v>
      </c>
      <c r="B135" s="727" t="s">
        <v>174</v>
      </c>
      <c r="C135" s="725" t="s">
        <v>465</v>
      </c>
      <c r="H135" s="831">
        <f t="shared" si="5"/>
        <v>0</v>
      </c>
      <c r="R135" t="s">
        <v>813</v>
      </c>
      <c r="S135" s="775"/>
      <c r="T135" s="309" t="s">
        <v>687</v>
      </c>
      <c r="U135" s="780">
        <v>1</v>
      </c>
      <c r="V135" s="781" t="s">
        <v>346</v>
      </c>
      <c r="W135" s="770"/>
      <c r="AE135">
        <v>128</v>
      </c>
    </row>
    <row r="136" spans="1:31" x14ac:dyDescent="0.25">
      <c r="B136" s="146" t="s">
        <v>692</v>
      </c>
      <c r="C136" s="817" t="s">
        <v>654</v>
      </c>
      <c r="H136" s="148">
        <f t="shared" ref="H136:H198" si="9">SUMIF($R$7:$R$182,A136,$U$7:$U$182)</f>
        <v>0</v>
      </c>
      <c r="R136" t="s">
        <v>814</v>
      </c>
      <c r="S136" s="775"/>
      <c r="T136" s="309" t="s">
        <v>688</v>
      </c>
      <c r="U136" s="780">
        <v>1</v>
      </c>
      <c r="V136" s="781" t="s">
        <v>346</v>
      </c>
      <c r="W136" s="770"/>
      <c r="AE136">
        <v>129</v>
      </c>
    </row>
    <row r="137" spans="1:31" x14ac:dyDescent="0.25">
      <c r="A137" t="s">
        <v>779</v>
      </c>
      <c r="B137" s="146" t="s">
        <v>695</v>
      </c>
      <c r="C137" s="795" t="s">
        <v>655</v>
      </c>
      <c r="H137" s="148">
        <f t="shared" si="9"/>
        <v>1</v>
      </c>
      <c r="S137" s="775"/>
      <c r="T137" s="775"/>
      <c r="U137" s="794"/>
      <c r="V137" s="783"/>
      <c r="W137" s="770"/>
      <c r="AE137">
        <v>130</v>
      </c>
    </row>
    <row r="138" spans="1:31" x14ac:dyDescent="0.25">
      <c r="A138" t="s">
        <v>780</v>
      </c>
      <c r="B138" s="146" t="s">
        <v>696</v>
      </c>
      <c r="C138" s="795" t="s">
        <v>656</v>
      </c>
      <c r="H138" s="148">
        <f t="shared" si="9"/>
        <v>1</v>
      </c>
      <c r="S138" s="307" t="s">
        <v>379</v>
      </c>
      <c r="T138" s="306"/>
      <c r="U138" s="307"/>
      <c r="V138" s="783"/>
      <c r="W138" s="770"/>
      <c r="AE138">
        <v>131</v>
      </c>
    </row>
    <row r="139" spans="1:31" x14ac:dyDescent="0.25">
      <c r="A139" t="s">
        <v>781</v>
      </c>
      <c r="B139" s="146" t="s">
        <v>694</v>
      </c>
      <c r="C139" s="854" t="s">
        <v>892</v>
      </c>
      <c r="H139" s="875">
        <f>IF(SUMIF($R$7:$R$182,A139,$U$7:$U$182)=2,1,SUMIF($R$7:$R$182,A139,$U$7:$U$182))</f>
        <v>1</v>
      </c>
      <c r="I139" t="s">
        <v>944</v>
      </c>
      <c r="R139" t="s">
        <v>815</v>
      </c>
      <c r="S139" s="776" t="s">
        <v>380</v>
      </c>
      <c r="T139" s="776" t="s">
        <v>381</v>
      </c>
      <c r="U139" s="780">
        <v>3</v>
      </c>
      <c r="V139" s="781" t="s">
        <v>346</v>
      </c>
      <c r="W139" s="770"/>
      <c r="AE139">
        <v>132</v>
      </c>
    </row>
    <row r="140" spans="1:31" x14ac:dyDescent="0.25">
      <c r="A140" t="s">
        <v>894</v>
      </c>
      <c r="B140" s="146" t="s">
        <v>693</v>
      </c>
      <c r="C140" s="854" t="s">
        <v>893</v>
      </c>
      <c r="H140" s="875">
        <f>IF(SUMIF($R$7:$R$182,A139,$U$7:$U$182)=2,1,0)</f>
        <v>1</v>
      </c>
      <c r="I140" t="s">
        <v>944</v>
      </c>
      <c r="R140" t="s">
        <v>818</v>
      </c>
      <c r="S140" s="776" t="s">
        <v>382</v>
      </c>
      <c r="T140" s="776" t="s">
        <v>859</v>
      </c>
      <c r="U140" s="780">
        <v>2</v>
      </c>
      <c r="V140" s="781" t="s">
        <v>346</v>
      </c>
      <c r="W140" s="770"/>
      <c r="AE140">
        <v>133</v>
      </c>
    </row>
    <row r="141" spans="1:31" x14ac:dyDescent="0.25">
      <c r="A141" s="121" t="s">
        <v>175</v>
      </c>
      <c r="B141" s="727" t="s">
        <v>175</v>
      </c>
      <c r="C141" s="725" t="s">
        <v>466</v>
      </c>
      <c r="H141" s="831">
        <f t="shared" si="9"/>
        <v>0</v>
      </c>
      <c r="R141" t="s">
        <v>820</v>
      </c>
      <c r="S141" s="776" t="s">
        <v>384</v>
      </c>
      <c r="T141" s="776" t="s">
        <v>385</v>
      </c>
      <c r="U141" s="780">
        <v>1</v>
      </c>
      <c r="V141" s="781" t="s">
        <v>346</v>
      </c>
      <c r="W141" s="770"/>
      <c r="AE141">
        <v>134</v>
      </c>
    </row>
    <row r="142" spans="1:31" x14ac:dyDescent="0.25">
      <c r="A142" t="s">
        <v>782</v>
      </c>
      <c r="B142" s="146" t="s">
        <v>692</v>
      </c>
      <c r="C142" s="795" t="s">
        <v>658</v>
      </c>
      <c r="H142" s="148">
        <f t="shared" si="9"/>
        <v>1</v>
      </c>
      <c r="R142" t="s">
        <v>822</v>
      </c>
      <c r="S142" s="776" t="s">
        <v>386</v>
      </c>
      <c r="T142" s="776" t="s">
        <v>387</v>
      </c>
      <c r="U142" s="780">
        <v>1</v>
      </c>
      <c r="V142" s="781" t="s">
        <v>346</v>
      </c>
      <c r="W142" s="770"/>
      <c r="AE142">
        <v>135</v>
      </c>
    </row>
    <row r="143" spans="1:31" x14ac:dyDescent="0.25">
      <c r="A143" t="s">
        <v>783</v>
      </c>
      <c r="B143" s="146" t="s">
        <v>695</v>
      </c>
      <c r="C143" s="795" t="s">
        <v>659</v>
      </c>
      <c r="H143" s="148">
        <f t="shared" si="9"/>
        <v>1</v>
      </c>
      <c r="S143" s="306"/>
      <c r="T143" s="306"/>
      <c r="U143" s="307"/>
      <c r="V143" s="783"/>
      <c r="W143" s="770"/>
      <c r="AE143">
        <v>136</v>
      </c>
    </row>
    <row r="144" spans="1:31" x14ac:dyDescent="0.25">
      <c r="A144" t="s">
        <v>784</v>
      </c>
      <c r="B144" s="146" t="s">
        <v>696</v>
      </c>
      <c r="C144" s="795" t="s">
        <v>660</v>
      </c>
      <c r="H144" s="148">
        <f t="shared" si="9"/>
        <v>1</v>
      </c>
      <c r="S144" s="307" t="s">
        <v>388</v>
      </c>
      <c r="T144" s="306"/>
      <c r="U144" s="307"/>
      <c r="V144" s="783"/>
      <c r="W144" s="770"/>
      <c r="AE144">
        <v>137</v>
      </c>
    </row>
    <row r="145" spans="1:31" x14ac:dyDescent="0.25">
      <c r="A145" s="121" t="s">
        <v>478</v>
      </c>
      <c r="B145" s="727" t="s">
        <v>478</v>
      </c>
      <c r="C145" s="725" t="s">
        <v>467</v>
      </c>
      <c r="H145" s="831">
        <f t="shared" si="9"/>
        <v>0</v>
      </c>
      <c r="R145" t="s">
        <v>189</v>
      </c>
      <c r="S145" s="309" t="s">
        <v>547</v>
      </c>
      <c r="T145" s="309" t="s">
        <v>860</v>
      </c>
      <c r="U145" s="780">
        <v>1</v>
      </c>
      <c r="V145" s="781" t="s">
        <v>346</v>
      </c>
      <c r="W145" s="770"/>
      <c r="AE145">
        <v>138</v>
      </c>
    </row>
    <row r="146" spans="1:31" x14ac:dyDescent="0.25">
      <c r="A146" t="s">
        <v>785</v>
      </c>
      <c r="B146" s="146" t="s">
        <v>692</v>
      </c>
      <c r="C146" s="795" t="s">
        <v>661</v>
      </c>
      <c r="H146" s="148">
        <f t="shared" si="9"/>
        <v>1</v>
      </c>
      <c r="R146" t="s">
        <v>190</v>
      </c>
      <c r="S146" s="309" t="s">
        <v>861</v>
      </c>
      <c r="T146" s="309" t="s">
        <v>862</v>
      </c>
      <c r="U146" s="780"/>
      <c r="V146" s="781" t="s">
        <v>346</v>
      </c>
      <c r="W146" s="770"/>
      <c r="AE146">
        <v>139</v>
      </c>
    </row>
    <row r="147" spans="1:31" x14ac:dyDescent="0.25">
      <c r="A147" t="s">
        <v>786</v>
      </c>
      <c r="B147" s="146" t="s">
        <v>695</v>
      </c>
      <c r="C147" s="795" t="s">
        <v>662</v>
      </c>
      <c r="H147" s="148">
        <f t="shared" si="9"/>
        <v>1</v>
      </c>
      <c r="R147" t="s">
        <v>191</v>
      </c>
      <c r="S147" s="309" t="s">
        <v>861</v>
      </c>
      <c r="T147" s="309" t="s">
        <v>863</v>
      </c>
      <c r="U147" s="780">
        <v>1</v>
      </c>
      <c r="V147" s="781" t="s">
        <v>346</v>
      </c>
      <c r="W147" s="770"/>
      <c r="AE147">
        <v>140</v>
      </c>
    </row>
    <row r="148" spans="1:31" ht="15.75" thickBot="1" x14ac:dyDescent="0.3">
      <c r="A148" t="s">
        <v>787</v>
      </c>
      <c r="B148" s="168" t="s">
        <v>696</v>
      </c>
      <c r="C148" s="820" t="s">
        <v>663</v>
      </c>
      <c r="H148" s="148">
        <f t="shared" si="9"/>
        <v>1</v>
      </c>
      <c r="R148" t="s">
        <v>192</v>
      </c>
      <c r="S148" s="309" t="s">
        <v>541</v>
      </c>
      <c r="T148" s="309" t="s">
        <v>864</v>
      </c>
      <c r="U148" s="780">
        <v>1</v>
      </c>
      <c r="V148" s="781" t="s">
        <v>346</v>
      </c>
      <c r="W148" s="770"/>
      <c r="AE148">
        <v>141</v>
      </c>
    </row>
    <row r="149" spans="1:31" ht="15.75" thickBot="1" x14ac:dyDescent="0.3">
      <c r="A149" t="s">
        <v>886</v>
      </c>
      <c r="B149" s="617"/>
      <c r="C149" s="616" t="s">
        <v>213</v>
      </c>
      <c r="H149" s="195">
        <f t="shared" si="9"/>
        <v>0</v>
      </c>
      <c r="R149" t="s">
        <v>193</v>
      </c>
      <c r="S149" s="309" t="s">
        <v>572</v>
      </c>
      <c r="T149" s="309" t="s">
        <v>865</v>
      </c>
      <c r="U149" s="780">
        <v>4</v>
      </c>
      <c r="V149" s="781" t="s">
        <v>346</v>
      </c>
      <c r="W149" s="770"/>
      <c r="AE149">
        <v>142</v>
      </c>
    </row>
    <row r="150" spans="1:31" ht="15.75" thickBot="1" x14ac:dyDescent="0.3">
      <c r="H150">
        <f t="shared" si="9"/>
        <v>0</v>
      </c>
      <c r="R150" t="s">
        <v>194</v>
      </c>
      <c r="S150" s="309" t="s">
        <v>572</v>
      </c>
      <c r="T150" s="309" t="s">
        <v>866</v>
      </c>
      <c r="U150" s="780">
        <v>1</v>
      </c>
      <c r="V150" s="781" t="s">
        <v>346</v>
      </c>
      <c r="W150" s="770"/>
      <c r="AE150">
        <v>143</v>
      </c>
    </row>
    <row r="151" spans="1:31" ht="15.75" thickBot="1" x14ac:dyDescent="0.3">
      <c r="B151" s="127"/>
      <c r="C151" s="47" t="s">
        <v>68</v>
      </c>
      <c r="H151" s="122">
        <f t="shared" si="9"/>
        <v>0</v>
      </c>
      <c r="R151" t="s">
        <v>195</v>
      </c>
      <c r="S151" s="309" t="s">
        <v>867</v>
      </c>
      <c r="T151" s="309" t="s">
        <v>868</v>
      </c>
      <c r="U151" s="780">
        <v>1</v>
      </c>
      <c r="V151" s="781" t="s">
        <v>346</v>
      </c>
      <c r="W151" s="770"/>
      <c r="AE151">
        <v>144</v>
      </c>
    </row>
    <row r="152" spans="1:31" x14ac:dyDescent="0.25">
      <c r="A152" s="121" t="s">
        <v>176</v>
      </c>
      <c r="B152" s="726" t="s">
        <v>176</v>
      </c>
      <c r="C152" s="724" t="s">
        <v>158</v>
      </c>
      <c r="H152" s="829">
        <f t="shared" si="9"/>
        <v>0</v>
      </c>
      <c r="R152" t="s">
        <v>223</v>
      </c>
      <c r="S152" s="309" t="s">
        <v>3</v>
      </c>
      <c r="T152" s="309" t="s">
        <v>869</v>
      </c>
      <c r="U152" s="780">
        <v>1</v>
      </c>
      <c r="V152" s="781" t="s">
        <v>346</v>
      </c>
      <c r="W152" s="770"/>
      <c r="AE152">
        <v>145</v>
      </c>
    </row>
    <row r="153" spans="1:31" x14ac:dyDescent="0.25">
      <c r="A153" t="s">
        <v>788</v>
      </c>
      <c r="B153" s="144" t="s">
        <v>692</v>
      </c>
      <c r="C153" s="795" t="s">
        <v>664</v>
      </c>
      <c r="H153" s="148">
        <f t="shared" si="9"/>
        <v>1</v>
      </c>
      <c r="R153" t="s">
        <v>253</v>
      </c>
      <c r="S153" s="309" t="s">
        <v>550</v>
      </c>
      <c r="T153" s="309" t="s">
        <v>870</v>
      </c>
      <c r="U153" s="780">
        <v>1</v>
      </c>
      <c r="V153" s="781" t="s">
        <v>346</v>
      </c>
      <c r="W153" s="770"/>
      <c r="AE153">
        <v>146</v>
      </c>
    </row>
    <row r="154" spans="1:31" x14ac:dyDescent="0.25">
      <c r="A154" t="s">
        <v>789</v>
      </c>
      <c r="B154" s="144" t="s">
        <v>695</v>
      </c>
      <c r="C154" s="795" t="s">
        <v>665</v>
      </c>
      <c r="H154" s="148">
        <f t="shared" si="9"/>
        <v>2</v>
      </c>
      <c r="R154" t="s">
        <v>473</v>
      </c>
      <c r="S154" s="306" t="s">
        <v>552</v>
      </c>
      <c r="T154" s="309" t="s">
        <v>871</v>
      </c>
      <c r="U154" s="780">
        <v>1</v>
      </c>
      <c r="V154" s="781" t="s">
        <v>346</v>
      </c>
      <c r="W154" s="770"/>
      <c r="AE154">
        <v>147</v>
      </c>
    </row>
    <row r="155" spans="1:31" x14ac:dyDescent="0.25">
      <c r="A155" t="s">
        <v>790</v>
      </c>
      <c r="B155" s="144" t="s">
        <v>696</v>
      </c>
      <c r="C155" s="795" t="s">
        <v>666</v>
      </c>
      <c r="H155" s="148">
        <f t="shared" si="9"/>
        <v>2</v>
      </c>
      <c r="R155" t="s">
        <v>474</v>
      </c>
      <c r="S155" s="306" t="s">
        <v>872</v>
      </c>
      <c r="T155" s="309" t="s">
        <v>873</v>
      </c>
      <c r="U155" s="780">
        <v>1</v>
      </c>
      <c r="V155" s="781" t="s">
        <v>346</v>
      </c>
      <c r="W155" s="770"/>
      <c r="AE155">
        <v>148</v>
      </c>
    </row>
    <row r="156" spans="1:31" x14ac:dyDescent="0.25">
      <c r="B156" s="609" t="s">
        <v>177</v>
      </c>
      <c r="C156" s="610"/>
      <c r="H156" s="824">
        <f t="shared" si="9"/>
        <v>0</v>
      </c>
      <c r="R156" t="s">
        <v>475</v>
      </c>
      <c r="S156" s="306" t="s">
        <v>874</v>
      </c>
      <c r="T156" s="309" t="s">
        <v>875</v>
      </c>
      <c r="U156" s="780">
        <v>1</v>
      </c>
      <c r="V156" s="781" t="s">
        <v>346</v>
      </c>
      <c r="W156" s="770"/>
      <c r="AE156">
        <v>149</v>
      </c>
    </row>
    <row r="157" spans="1:31" x14ac:dyDescent="0.25">
      <c r="A157" s="121" t="s">
        <v>372</v>
      </c>
      <c r="B157" s="727" t="s">
        <v>372</v>
      </c>
      <c r="C157" s="725" t="s">
        <v>794</v>
      </c>
      <c r="H157" s="148">
        <f t="shared" si="9"/>
        <v>0</v>
      </c>
      <c r="R157" t="s">
        <v>476</v>
      </c>
      <c r="S157" s="306" t="s">
        <v>876</v>
      </c>
      <c r="T157" s="309" t="s">
        <v>877</v>
      </c>
      <c r="U157" s="780">
        <v>1</v>
      </c>
      <c r="V157" s="781" t="s">
        <v>346</v>
      </c>
      <c r="W157" s="770"/>
      <c r="AE157">
        <v>150</v>
      </c>
    </row>
    <row r="158" spans="1:31" x14ac:dyDescent="0.25">
      <c r="A158" t="s">
        <v>791</v>
      </c>
      <c r="B158" s="146" t="s">
        <v>692</v>
      </c>
      <c r="C158" s="795" t="s">
        <v>373</v>
      </c>
      <c r="H158" s="148">
        <f>SUMIF($R$7:$R$182,A158,$U$7:$U$182)</f>
        <v>1</v>
      </c>
      <c r="R158" t="s">
        <v>697</v>
      </c>
      <c r="S158" s="306" t="s">
        <v>857</v>
      </c>
      <c r="T158" s="309" t="s">
        <v>878</v>
      </c>
      <c r="U158" s="780">
        <v>1</v>
      </c>
      <c r="V158" s="781" t="s">
        <v>346</v>
      </c>
      <c r="W158" s="770"/>
      <c r="AE158">
        <v>151</v>
      </c>
    </row>
    <row r="159" spans="1:31" x14ac:dyDescent="0.25">
      <c r="A159" s="121" t="s">
        <v>374</v>
      </c>
      <c r="B159" s="727" t="s">
        <v>374</v>
      </c>
      <c r="C159" s="725" t="s">
        <v>795</v>
      </c>
      <c r="H159" s="831">
        <f t="shared" si="9"/>
        <v>0</v>
      </c>
      <c r="V159" s="783"/>
      <c r="W159" s="770"/>
      <c r="Z159">
        <v>2</v>
      </c>
      <c r="AE159">
        <v>152</v>
      </c>
    </row>
    <row r="160" spans="1:31" x14ac:dyDescent="0.25">
      <c r="A160" t="s">
        <v>792</v>
      </c>
      <c r="B160" s="146" t="s">
        <v>692</v>
      </c>
      <c r="C160" s="795" t="s">
        <v>667</v>
      </c>
      <c r="H160" s="148">
        <f t="shared" si="9"/>
        <v>0</v>
      </c>
      <c r="V160" s="783"/>
      <c r="W160" s="770"/>
      <c r="AE160">
        <v>153</v>
      </c>
    </row>
    <row r="161" spans="1:31" x14ac:dyDescent="0.25">
      <c r="A161" s="121" t="s">
        <v>178</v>
      </c>
      <c r="B161" s="727" t="s">
        <v>178</v>
      </c>
      <c r="C161" s="725" t="s">
        <v>669</v>
      </c>
      <c r="H161" s="831">
        <f t="shared" si="9"/>
        <v>0</v>
      </c>
      <c r="V161" s="783"/>
      <c r="W161" s="770"/>
      <c r="AE161">
        <v>154</v>
      </c>
    </row>
    <row r="162" spans="1:31" ht="15.75" thickBot="1" x14ac:dyDescent="0.3">
      <c r="A162" t="s">
        <v>793</v>
      </c>
      <c r="B162" s="198" t="s">
        <v>692</v>
      </c>
      <c r="C162" s="795" t="s">
        <v>668</v>
      </c>
      <c r="H162" s="148">
        <f t="shared" si="9"/>
        <v>0</v>
      </c>
      <c r="V162" s="783"/>
      <c r="W162" s="770"/>
      <c r="AE162">
        <v>155</v>
      </c>
    </row>
    <row r="163" spans="1:31" ht="15.75" thickBot="1" x14ac:dyDescent="0.3">
      <c r="A163" t="s">
        <v>887</v>
      </c>
      <c r="B163" s="174"/>
      <c r="C163" s="50" t="s">
        <v>213</v>
      </c>
      <c r="H163" s="195">
        <f t="shared" si="9"/>
        <v>0</v>
      </c>
      <c r="V163" s="783"/>
      <c r="W163" s="770"/>
      <c r="AE163">
        <v>156</v>
      </c>
    </row>
    <row r="164" spans="1:31" ht="15.75" thickBot="1" x14ac:dyDescent="0.3">
      <c r="H164">
        <f t="shared" si="9"/>
        <v>0</v>
      </c>
      <c r="V164" s="783"/>
      <c r="W164" s="770"/>
      <c r="AE164">
        <v>157</v>
      </c>
    </row>
    <row r="165" spans="1:31" ht="15.75" thickBot="1" x14ac:dyDescent="0.3">
      <c r="B165" s="132"/>
      <c r="C165" s="133" t="s">
        <v>224</v>
      </c>
      <c r="H165" s="122">
        <f t="shared" si="9"/>
        <v>0</v>
      </c>
      <c r="V165" s="783"/>
      <c r="W165" s="770"/>
    </row>
    <row r="166" spans="1:31" x14ac:dyDescent="0.25">
      <c r="A166" s="121" t="s">
        <v>179</v>
      </c>
      <c r="B166" s="748" t="s">
        <v>179</v>
      </c>
      <c r="C166" s="749" t="s">
        <v>159</v>
      </c>
      <c r="H166" s="829">
        <f t="shared" si="9"/>
        <v>0</v>
      </c>
      <c r="V166" s="783"/>
      <c r="W166" s="770"/>
    </row>
    <row r="167" spans="1:31" x14ac:dyDescent="0.25">
      <c r="A167" t="s">
        <v>796</v>
      </c>
      <c r="B167" s="146" t="s">
        <v>692</v>
      </c>
      <c r="C167" s="795" t="s">
        <v>670</v>
      </c>
      <c r="H167" s="148">
        <f t="shared" si="9"/>
        <v>2</v>
      </c>
      <c r="V167" s="783"/>
      <c r="W167" s="770"/>
    </row>
    <row r="168" spans="1:31" x14ac:dyDescent="0.25">
      <c r="A168" s="121" t="s">
        <v>180</v>
      </c>
      <c r="B168" s="727" t="s">
        <v>180</v>
      </c>
      <c r="C168" s="725" t="s">
        <v>468</v>
      </c>
      <c r="H168" s="831">
        <f t="shared" si="9"/>
        <v>0</v>
      </c>
      <c r="V168" s="783"/>
      <c r="W168" s="770"/>
    </row>
    <row r="169" spans="1:31" x14ac:dyDescent="0.25">
      <c r="B169" s="146" t="s">
        <v>692</v>
      </c>
      <c r="C169" s="817" t="s">
        <v>671</v>
      </c>
      <c r="H169" s="148">
        <f t="shared" si="9"/>
        <v>0</v>
      </c>
      <c r="V169" s="783"/>
      <c r="W169" s="770"/>
    </row>
    <row r="170" spans="1:31" x14ac:dyDescent="0.25">
      <c r="A170" t="s">
        <v>798</v>
      </c>
      <c r="B170" s="146" t="s">
        <v>695</v>
      </c>
      <c r="C170" s="795" t="s">
        <v>672</v>
      </c>
      <c r="H170" s="148">
        <f t="shared" si="9"/>
        <v>1</v>
      </c>
      <c r="V170" s="783"/>
      <c r="W170" s="770"/>
    </row>
    <row r="171" spans="1:31" x14ac:dyDescent="0.25">
      <c r="A171" t="s">
        <v>799</v>
      </c>
      <c r="B171" s="146" t="s">
        <v>696</v>
      </c>
      <c r="C171" s="795" t="s">
        <v>673</v>
      </c>
      <c r="H171" s="148">
        <f t="shared" si="9"/>
        <v>1</v>
      </c>
      <c r="V171" s="783"/>
      <c r="W171" s="770"/>
    </row>
    <row r="172" spans="1:31" x14ac:dyDescent="0.25">
      <c r="A172" s="121" t="s">
        <v>479</v>
      </c>
      <c r="B172" s="727" t="s">
        <v>479</v>
      </c>
      <c r="C172" s="725" t="s">
        <v>469</v>
      </c>
      <c r="H172" s="831">
        <f t="shared" si="9"/>
        <v>0</v>
      </c>
      <c r="V172" s="783"/>
      <c r="W172" s="770"/>
    </row>
    <row r="173" spans="1:31" x14ac:dyDescent="0.25">
      <c r="B173" s="146" t="s">
        <v>692</v>
      </c>
      <c r="C173" s="817" t="s">
        <v>674</v>
      </c>
      <c r="H173" s="148">
        <f t="shared" si="9"/>
        <v>0</v>
      </c>
      <c r="V173" s="783"/>
      <c r="W173" s="770"/>
    </row>
    <row r="174" spans="1:31" x14ac:dyDescent="0.25">
      <c r="A174" t="s">
        <v>801</v>
      </c>
      <c r="B174" s="146" t="s">
        <v>695</v>
      </c>
      <c r="C174" s="795" t="s">
        <v>675</v>
      </c>
      <c r="H174" s="148">
        <f t="shared" si="9"/>
        <v>0</v>
      </c>
      <c r="W174" s="770"/>
    </row>
    <row r="175" spans="1:31" x14ac:dyDescent="0.25">
      <c r="A175" t="s">
        <v>802</v>
      </c>
      <c r="B175" s="146" t="s">
        <v>696</v>
      </c>
      <c r="C175" s="795" t="s">
        <v>676</v>
      </c>
      <c r="H175" s="148">
        <f t="shared" si="9"/>
        <v>0</v>
      </c>
      <c r="W175" s="770"/>
    </row>
    <row r="176" spans="1:31" x14ac:dyDescent="0.25">
      <c r="A176" s="121" t="s">
        <v>181</v>
      </c>
      <c r="B176" s="727" t="s">
        <v>181</v>
      </c>
      <c r="C176" s="725" t="s">
        <v>470</v>
      </c>
      <c r="H176" s="831">
        <f t="shared" si="9"/>
        <v>0</v>
      </c>
      <c r="W176" s="770"/>
    </row>
    <row r="177" spans="1:23" x14ac:dyDescent="0.25">
      <c r="B177" s="146" t="s">
        <v>692</v>
      </c>
      <c r="C177" s="817" t="s">
        <v>677</v>
      </c>
      <c r="H177" s="148">
        <f t="shared" si="9"/>
        <v>0</v>
      </c>
      <c r="W177" s="770"/>
    </row>
    <row r="178" spans="1:23" x14ac:dyDescent="0.25">
      <c r="A178" t="s">
        <v>804</v>
      </c>
      <c r="B178" s="146" t="s">
        <v>695</v>
      </c>
      <c r="C178" s="795" t="s">
        <v>678</v>
      </c>
      <c r="H178" s="148">
        <f t="shared" si="9"/>
        <v>1</v>
      </c>
      <c r="W178" s="770"/>
    </row>
    <row r="179" spans="1:23" x14ac:dyDescent="0.25">
      <c r="A179" t="s">
        <v>805</v>
      </c>
      <c r="B179" s="146" t="s">
        <v>696</v>
      </c>
      <c r="C179" s="795" t="s">
        <v>679</v>
      </c>
      <c r="H179" s="148">
        <f t="shared" si="9"/>
        <v>3</v>
      </c>
      <c r="W179" s="770"/>
    </row>
    <row r="180" spans="1:23" x14ac:dyDescent="0.25">
      <c r="A180" s="121" t="s">
        <v>182</v>
      </c>
      <c r="B180" s="727" t="s">
        <v>182</v>
      </c>
      <c r="C180" s="725" t="s">
        <v>471</v>
      </c>
      <c r="H180" s="831">
        <f t="shared" si="9"/>
        <v>0</v>
      </c>
      <c r="W180" s="770"/>
    </row>
    <row r="181" spans="1:23" x14ac:dyDescent="0.25">
      <c r="B181" s="146" t="s">
        <v>692</v>
      </c>
      <c r="C181" s="817" t="s">
        <v>680</v>
      </c>
      <c r="H181" s="148">
        <f t="shared" si="9"/>
        <v>0</v>
      </c>
      <c r="W181" s="770"/>
    </row>
    <row r="182" spans="1:23" x14ac:dyDescent="0.25">
      <c r="A182" t="s">
        <v>807</v>
      </c>
      <c r="B182" s="146" t="s">
        <v>695</v>
      </c>
      <c r="C182" s="795" t="s">
        <v>681</v>
      </c>
      <c r="H182" s="148">
        <f t="shared" si="9"/>
        <v>1</v>
      </c>
      <c r="W182" s="770"/>
    </row>
    <row r="183" spans="1:23" x14ac:dyDescent="0.25">
      <c r="A183" t="s">
        <v>808</v>
      </c>
      <c r="B183" s="146" t="s">
        <v>696</v>
      </c>
      <c r="C183" s="795" t="s">
        <v>682</v>
      </c>
      <c r="H183" s="148">
        <f t="shared" si="9"/>
        <v>1</v>
      </c>
      <c r="W183" s="770"/>
    </row>
    <row r="184" spans="1:23" x14ac:dyDescent="0.25">
      <c r="A184" s="121" t="s">
        <v>183</v>
      </c>
      <c r="B184" s="727" t="s">
        <v>183</v>
      </c>
      <c r="C184" s="725" t="s">
        <v>689</v>
      </c>
      <c r="H184" s="831">
        <f t="shared" si="9"/>
        <v>0</v>
      </c>
      <c r="W184" s="770"/>
    </row>
    <row r="185" spans="1:23" x14ac:dyDescent="0.25">
      <c r="A185" t="s">
        <v>809</v>
      </c>
      <c r="B185" s="146" t="s">
        <v>692</v>
      </c>
      <c r="C185" s="795" t="s">
        <v>683</v>
      </c>
      <c r="H185" s="148">
        <f t="shared" si="9"/>
        <v>1</v>
      </c>
      <c r="W185" s="770"/>
    </row>
    <row r="186" spans="1:23" x14ac:dyDescent="0.25">
      <c r="A186" s="121" t="s">
        <v>480</v>
      </c>
      <c r="B186" s="727" t="s">
        <v>480</v>
      </c>
      <c r="C186" s="725" t="s">
        <v>690</v>
      </c>
      <c r="H186" s="831">
        <f t="shared" si="9"/>
        <v>0</v>
      </c>
      <c r="W186" s="770"/>
    </row>
    <row r="187" spans="1:23" x14ac:dyDescent="0.25">
      <c r="B187" s="146" t="s">
        <v>692</v>
      </c>
      <c r="C187" s="817" t="s">
        <v>684</v>
      </c>
      <c r="H187" s="148">
        <f t="shared" si="9"/>
        <v>0</v>
      </c>
      <c r="W187" s="770"/>
    </row>
    <row r="188" spans="1:23" x14ac:dyDescent="0.25">
      <c r="A188" t="s">
        <v>811</v>
      </c>
      <c r="B188" s="146" t="s">
        <v>695</v>
      </c>
      <c r="C188" s="795" t="s">
        <v>685</v>
      </c>
      <c r="H188" s="148">
        <f t="shared" si="9"/>
        <v>2</v>
      </c>
      <c r="W188" s="770"/>
    </row>
    <row r="189" spans="1:23" x14ac:dyDescent="0.25">
      <c r="A189" s="121" t="s">
        <v>481</v>
      </c>
      <c r="B189" s="727" t="s">
        <v>481</v>
      </c>
      <c r="C189" s="725" t="s">
        <v>691</v>
      </c>
      <c r="H189" s="831">
        <f t="shared" si="9"/>
        <v>0</v>
      </c>
      <c r="W189" s="770"/>
    </row>
    <row r="190" spans="1:23" x14ac:dyDescent="0.25">
      <c r="B190" s="146" t="s">
        <v>692</v>
      </c>
      <c r="C190" s="817" t="s">
        <v>686</v>
      </c>
      <c r="H190" s="148">
        <f t="shared" si="9"/>
        <v>0</v>
      </c>
      <c r="W190" s="770"/>
    </row>
    <row r="191" spans="1:23" x14ac:dyDescent="0.25">
      <c r="A191" t="s">
        <v>813</v>
      </c>
      <c r="B191" s="146" t="s">
        <v>695</v>
      </c>
      <c r="C191" s="795" t="s">
        <v>959</v>
      </c>
      <c r="H191" s="148">
        <f t="shared" si="9"/>
        <v>1</v>
      </c>
      <c r="W191" s="770"/>
    </row>
    <row r="192" spans="1:23" x14ac:dyDescent="0.25">
      <c r="A192" t="s">
        <v>814</v>
      </c>
      <c r="B192" s="167" t="s">
        <v>696</v>
      </c>
      <c r="C192" s="795" t="s">
        <v>687</v>
      </c>
      <c r="H192" s="148">
        <f t="shared" si="9"/>
        <v>1</v>
      </c>
      <c r="W192" s="770"/>
    </row>
    <row r="193" spans="1:23" ht="15.75" thickBot="1" x14ac:dyDescent="0.3">
      <c r="A193" t="s">
        <v>960</v>
      </c>
      <c r="B193" s="168" t="s">
        <v>694</v>
      </c>
      <c r="C193" s="795" t="s">
        <v>688</v>
      </c>
      <c r="H193" s="148">
        <f t="shared" si="9"/>
        <v>0</v>
      </c>
      <c r="W193" s="770"/>
    </row>
    <row r="194" spans="1:23" ht="15.75" thickBot="1" x14ac:dyDescent="0.3">
      <c r="A194" t="s">
        <v>888</v>
      </c>
      <c r="B194" s="617"/>
      <c r="C194" s="616" t="s">
        <v>213</v>
      </c>
      <c r="H194" s="195">
        <f t="shared" si="9"/>
        <v>0</v>
      </c>
      <c r="W194" s="770"/>
    </row>
    <row r="195" spans="1:23" ht="15.75" thickBot="1" x14ac:dyDescent="0.3">
      <c r="H195">
        <f t="shared" si="9"/>
        <v>0</v>
      </c>
      <c r="W195" s="770"/>
    </row>
    <row r="196" spans="1:23" ht="15.75" thickBot="1" x14ac:dyDescent="0.3">
      <c r="B196" s="132"/>
      <c r="C196" s="133" t="s">
        <v>70</v>
      </c>
      <c r="H196" s="122">
        <f t="shared" si="9"/>
        <v>0</v>
      </c>
      <c r="W196" s="770"/>
    </row>
    <row r="197" spans="1:23" x14ac:dyDescent="0.25">
      <c r="A197" s="121" t="s">
        <v>184</v>
      </c>
      <c r="B197" s="748" t="s">
        <v>184</v>
      </c>
      <c r="C197" s="749" t="s">
        <v>163</v>
      </c>
      <c r="H197" s="829">
        <f t="shared" si="9"/>
        <v>0</v>
      </c>
      <c r="W197" s="770"/>
    </row>
    <row r="198" spans="1:23" x14ac:dyDescent="0.25">
      <c r="A198" t="s">
        <v>815</v>
      </c>
      <c r="B198" s="146" t="s">
        <v>692</v>
      </c>
      <c r="C198" s="795" t="s">
        <v>898</v>
      </c>
      <c r="H198" s="878">
        <f t="shared" si="9"/>
        <v>3</v>
      </c>
      <c r="I198" t="s">
        <v>945</v>
      </c>
      <c r="W198" s="770"/>
    </row>
    <row r="199" spans="1:23" x14ac:dyDescent="0.25">
      <c r="A199" t="s">
        <v>817</v>
      </c>
      <c r="B199" s="146" t="s">
        <v>696</v>
      </c>
      <c r="C199" s="795" t="s">
        <v>381</v>
      </c>
      <c r="H199" s="878">
        <f>IF(H198=3,2,0)</f>
        <v>2</v>
      </c>
      <c r="I199" t="s">
        <v>945</v>
      </c>
      <c r="W199" s="770"/>
    </row>
    <row r="200" spans="1:23" x14ac:dyDescent="0.25">
      <c r="A200" t="s">
        <v>896</v>
      </c>
      <c r="B200" s="146" t="s">
        <v>694</v>
      </c>
      <c r="C200" s="795" t="s">
        <v>899</v>
      </c>
      <c r="H200" s="878">
        <f>IF(H198=3,1,0)</f>
        <v>1</v>
      </c>
      <c r="I200" t="s">
        <v>945</v>
      </c>
      <c r="W200" s="770"/>
    </row>
    <row r="201" spans="1:23" x14ac:dyDescent="0.25">
      <c r="A201" s="121" t="s">
        <v>185</v>
      </c>
      <c r="B201" s="727" t="s">
        <v>185</v>
      </c>
      <c r="C201" s="725" t="s">
        <v>472</v>
      </c>
      <c r="H201" s="879">
        <f t="shared" ref="H201:H241" si="10">SUMIF($R$7:$R$182,A201,$U$7:$U$182)</f>
        <v>0</v>
      </c>
      <c r="I201" t="s">
        <v>945</v>
      </c>
      <c r="W201" s="770"/>
    </row>
    <row r="202" spans="1:23" x14ac:dyDescent="0.25">
      <c r="A202" t="s">
        <v>818</v>
      </c>
      <c r="B202" s="146" t="s">
        <v>692</v>
      </c>
      <c r="C202" s="795" t="s">
        <v>900</v>
      </c>
      <c r="H202" s="878">
        <f t="shared" si="10"/>
        <v>2</v>
      </c>
      <c r="I202" t="s">
        <v>945</v>
      </c>
      <c r="W202" s="770"/>
    </row>
    <row r="203" spans="1:23" x14ac:dyDescent="0.25">
      <c r="A203" t="s">
        <v>819</v>
      </c>
      <c r="B203" s="146" t="s">
        <v>695</v>
      </c>
      <c r="C203" s="795" t="s">
        <v>901</v>
      </c>
      <c r="H203" s="878">
        <f>H202</f>
        <v>2</v>
      </c>
      <c r="I203" t="s">
        <v>945</v>
      </c>
      <c r="W203" s="770"/>
    </row>
    <row r="204" spans="1:23" x14ac:dyDescent="0.25">
      <c r="B204" s="609" t="s">
        <v>186</v>
      </c>
      <c r="C204" s="608"/>
      <c r="H204" s="880">
        <f t="shared" si="10"/>
        <v>0</v>
      </c>
      <c r="I204" t="s">
        <v>945</v>
      </c>
      <c r="W204" s="770"/>
    </row>
    <row r="205" spans="1:23" x14ac:dyDescent="0.25">
      <c r="A205" s="121" t="s">
        <v>187</v>
      </c>
      <c r="B205" s="727" t="s">
        <v>187</v>
      </c>
      <c r="C205" s="725" t="s">
        <v>164</v>
      </c>
      <c r="H205" s="879">
        <f t="shared" si="10"/>
        <v>0</v>
      </c>
      <c r="I205" t="s">
        <v>945</v>
      </c>
      <c r="W205" s="770"/>
    </row>
    <row r="206" spans="1:23" x14ac:dyDescent="0.25">
      <c r="A206" t="s">
        <v>820</v>
      </c>
      <c r="B206" s="146" t="s">
        <v>692</v>
      </c>
      <c r="C206" s="795" t="s">
        <v>903</v>
      </c>
      <c r="H206" s="878">
        <f t="shared" si="10"/>
        <v>1</v>
      </c>
      <c r="I206" t="s">
        <v>945</v>
      </c>
      <c r="W206" s="770"/>
    </row>
    <row r="207" spans="1:23" x14ac:dyDescent="0.25">
      <c r="A207" t="s">
        <v>821</v>
      </c>
      <c r="B207" s="146" t="s">
        <v>695</v>
      </c>
      <c r="C207" s="795" t="s">
        <v>904</v>
      </c>
      <c r="H207" s="878">
        <f>H206</f>
        <v>1</v>
      </c>
      <c r="I207" t="s">
        <v>945</v>
      </c>
      <c r="W207" s="770"/>
    </row>
    <row r="208" spans="1:23" x14ac:dyDescent="0.25">
      <c r="A208" s="121" t="s">
        <v>188</v>
      </c>
      <c r="B208" s="727" t="s">
        <v>188</v>
      </c>
      <c r="C208" s="725" t="s">
        <v>907</v>
      </c>
      <c r="H208" s="879">
        <f t="shared" si="10"/>
        <v>0</v>
      </c>
      <c r="I208" t="s">
        <v>945</v>
      </c>
      <c r="W208" s="770"/>
    </row>
    <row r="209" spans="1:23" x14ac:dyDescent="0.25">
      <c r="A209" t="s">
        <v>822</v>
      </c>
      <c r="B209" s="146" t="s">
        <v>692</v>
      </c>
      <c r="C209" s="795" t="s">
        <v>905</v>
      </c>
      <c r="H209" s="878">
        <f t="shared" si="10"/>
        <v>1</v>
      </c>
      <c r="I209" t="s">
        <v>945</v>
      </c>
      <c r="W209" s="770"/>
    </row>
    <row r="210" spans="1:23" ht="15.75" thickBot="1" x14ac:dyDescent="0.3">
      <c r="A210" t="s">
        <v>823</v>
      </c>
      <c r="B210" s="168" t="s">
        <v>695</v>
      </c>
      <c r="C210" s="795" t="s">
        <v>906</v>
      </c>
      <c r="H210" s="878">
        <f>H209</f>
        <v>1</v>
      </c>
      <c r="I210" t="s">
        <v>945</v>
      </c>
      <c r="W210" s="770"/>
    </row>
    <row r="211" spans="1:23" ht="15.75" thickBot="1" x14ac:dyDescent="0.3">
      <c r="A211" t="s">
        <v>889</v>
      </c>
      <c r="B211" s="617"/>
      <c r="C211" s="616" t="s">
        <v>213</v>
      </c>
      <c r="H211" s="195">
        <f t="shared" si="10"/>
        <v>0</v>
      </c>
      <c r="W211" s="770"/>
    </row>
    <row r="212" spans="1:23" ht="15.75" thickBot="1" x14ac:dyDescent="0.3">
      <c r="H212">
        <f t="shared" si="10"/>
        <v>0</v>
      </c>
      <c r="W212" s="770"/>
    </row>
    <row r="213" spans="1:23" ht="15.75" thickBot="1" x14ac:dyDescent="0.3">
      <c r="B213" s="132"/>
      <c r="C213" s="133" t="s">
        <v>225</v>
      </c>
      <c r="H213" s="122">
        <f t="shared" si="10"/>
        <v>0</v>
      </c>
      <c r="W213" s="770"/>
    </row>
    <row r="214" spans="1:23" x14ac:dyDescent="0.25">
      <c r="A214" t="s">
        <v>189</v>
      </c>
      <c r="B214" s="189" t="s">
        <v>189</v>
      </c>
      <c r="C214" s="156" t="s">
        <v>925</v>
      </c>
      <c r="H214" s="184">
        <f t="shared" si="10"/>
        <v>1</v>
      </c>
      <c r="W214" s="770"/>
    </row>
    <row r="215" spans="1:23" x14ac:dyDescent="0.25">
      <c r="A215" t="s">
        <v>190</v>
      </c>
      <c r="B215" s="146" t="s">
        <v>190</v>
      </c>
      <c r="C215" s="43" t="s">
        <v>926</v>
      </c>
      <c r="H215" s="148">
        <f t="shared" si="10"/>
        <v>0</v>
      </c>
      <c r="W215" s="770"/>
    </row>
    <row r="216" spans="1:23" x14ac:dyDescent="0.25">
      <c r="A216" t="s">
        <v>191</v>
      </c>
      <c r="B216" s="146" t="s">
        <v>191</v>
      </c>
      <c r="C216" s="43" t="s">
        <v>927</v>
      </c>
      <c r="H216" s="148">
        <f t="shared" si="10"/>
        <v>1</v>
      </c>
      <c r="W216" s="770"/>
    </row>
    <row r="217" spans="1:23" x14ac:dyDescent="0.25">
      <c r="A217" t="s">
        <v>192</v>
      </c>
      <c r="B217" s="146" t="s">
        <v>192</v>
      </c>
      <c r="C217" s="43" t="s">
        <v>928</v>
      </c>
      <c r="H217" s="148">
        <f t="shared" si="10"/>
        <v>1</v>
      </c>
      <c r="W217" s="770"/>
    </row>
    <row r="218" spans="1:23" x14ac:dyDescent="0.25">
      <c r="A218" t="s">
        <v>193</v>
      </c>
      <c r="B218" s="146" t="s">
        <v>193</v>
      </c>
      <c r="C218" s="43" t="s">
        <v>929</v>
      </c>
      <c r="H218" s="148">
        <f t="shared" si="10"/>
        <v>4</v>
      </c>
      <c r="W218" s="770"/>
    </row>
    <row r="219" spans="1:23" x14ac:dyDescent="0.25">
      <c r="A219" t="s">
        <v>194</v>
      </c>
      <c r="B219" s="146" t="s">
        <v>194</v>
      </c>
      <c r="C219" s="43" t="s">
        <v>930</v>
      </c>
      <c r="H219" s="148">
        <f t="shared" si="10"/>
        <v>1</v>
      </c>
    </row>
    <row r="220" spans="1:23" x14ac:dyDescent="0.25">
      <c r="A220" t="s">
        <v>195</v>
      </c>
      <c r="B220" s="146" t="s">
        <v>195</v>
      </c>
      <c r="C220" s="43" t="s">
        <v>931</v>
      </c>
      <c r="H220" s="148">
        <f t="shared" si="10"/>
        <v>1</v>
      </c>
    </row>
    <row r="221" spans="1:23" x14ac:dyDescent="0.25">
      <c r="A221" t="s">
        <v>223</v>
      </c>
      <c r="B221" s="146" t="s">
        <v>223</v>
      </c>
      <c r="C221" s="43" t="s">
        <v>932</v>
      </c>
      <c r="H221" s="148">
        <f t="shared" si="10"/>
        <v>1</v>
      </c>
    </row>
    <row r="222" spans="1:23" x14ac:dyDescent="0.25">
      <c r="A222" t="s">
        <v>253</v>
      </c>
      <c r="B222" s="146" t="s">
        <v>253</v>
      </c>
      <c r="C222" s="43" t="s">
        <v>933</v>
      </c>
      <c r="H222" s="148">
        <f t="shared" si="10"/>
        <v>1</v>
      </c>
    </row>
    <row r="223" spans="1:23" x14ac:dyDescent="0.25">
      <c r="A223" t="s">
        <v>473</v>
      </c>
      <c r="B223" s="191" t="s">
        <v>473</v>
      </c>
      <c r="C223" s="43" t="s">
        <v>934</v>
      </c>
      <c r="H223" s="148">
        <f t="shared" si="10"/>
        <v>1</v>
      </c>
    </row>
    <row r="224" spans="1:23" x14ac:dyDescent="0.25">
      <c r="A224" t="s">
        <v>474</v>
      </c>
      <c r="B224" s="191" t="s">
        <v>474</v>
      </c>
      <c r="C224" s="43" t="s">
        <v>935</v>
      </c>
      <c r="H224" s="148">
        <f t="shared" si="10"/>
        <v>1</v>
      </c>
    </row>
    <row r="225" spans="1:8" x14ac:dyDescent="0.25">
      <c r="A225" t="s">
        <v>475</v>
      </c>
      <c r="B225" s="191" t="s">
        <v>475</v>
      </c>
      <c r="C225" s="43" t="s">
        <v>936</v>
      </c>
      <c r="H225" s="148">
        <f t="shared" si="10"/>
        <v>1</v>
      </c>
    </row>
    <row r="226" spans="1:8" x14ac:dyDescent="0.25">
      <c r="A226" t="s">
        <v>476</v>
      </c>
      <c r="B226" s="191" t="s">
        <v>476</v>
      </c>
      <c r="C226" s="43" t="s">
        <v>937</v>
      </c>
      <c r="H226" s="148">
        <f t="shared" si="10"/>
        <v>1</v>
      </c>
    </row>
    <row r="227" spans="1:8" ht="15.75" thickBot="1" x14ac:dyDescent="0.3">
      <c r="A227" t="s">
        <v>697</v>
      </c>
      <c r="B227" s="622" t="s">
        <v>697</v>
      </c>
      <c r="C227" s="170" t="s">
        <v>938</v>
      </c>
      <c r="H227" s="746">
        <f t="shared" si="10"/>
        <v>1</v>
      </c>
    </row>
    <row r="228" spans="1:8" ht="15.75" thickBot="1" x14ac:dyDescent="0.3">
      <c r="A228" t="s">
        <v>890</v>
      </c>
      <c r="B228" s="617" t="s">
        <v>213</v>
      </c>
      <c r="C228" s="616"/>
      <c r="H228" s="195">
        <f t="shared" si="10"/>
        <v>0</v>
      </c>
    </row>
    <row r="229" spans="1:8" ht="15.75" thickBot="1" x14ac:dyDescent="0.3">
      <c r="H229">
        <f t="shared" si="10"/>
        <v>0</v>
      </c>
    </row>
    <row r="230" spans="1:8" ht="15.75" thickBot="1" x14ac:dyDescent="0.3">
      <c r="B230" s="132"/>
      <c r="C230" s="133" t="s">
        <v>232</v>
      </c>
      <c r="H230" s="122">
        <f t="shared" si="10"/>
        <v>0</v>
      </c>
    </row>
    <row r="231" spans="1:8" x14ac:dyDescent="0.25">
      <c r="A231" t="s">
        <v>732</v>
      </c>
      <c r="B231" s="634" t="s">
        <v>732</v>
      </c>
      <c r="C231" s="838" t="s">
        <v>607</v>
      </c>
      <c r="H231" s="184">
        <f t="shared" si="10"/>
        <v>0</v>
      </c>
    </row>
    <row r="232" spans="1:8" x14ac:dyDescent="0.25">
      <c r="A232" t="s">
        <v>739</v>
      </c>
      <c r="B232" s="191" t="s">
        <v>739</v>
      </c>
      <c r="C232" s="842" t="s">
        <v>614</v>
      </c>
      <c r="H232" s="148">
        <f t="shared" si="10"/>
        <v>0</v>
      </c>
    </row>
    <row r="233" spans="1:8" x14ac:dyDescent="0.25">
      <c r="A233" t="s">
        <v>769</v>
      </c>
      <c r="B233" s="631" t="s">
        <v>769</v>
      </c>
      <c r="C233" s="836" t="s">
        <v>645</v>
      </c>
      <c r="H233" s="148">
        <f t="shared" si="10"/>
        <v>0</v>
      </c>
    </row>
    <row r="234" spans="1:8" x14ac:dyDescent="0.25">
      <c r="A234" t="s">
        <v>772</v>
      </c>
      <c r="B234" s="631" t="s">
        <v>772</v>
      </c>
      <c r="C234" s="837" t="s">
        <v>648</v>
      </c>
      <c r="H234" s="148">
        <f t="shared" si="10"/>
        <v>0</v>
      </c>
    </row>
    <row r="235" spans="1:8" x14ac:dyDescent="0.25">
      <c r="A235" t="s">
        <v>775</v>
      </c>
      <c r="B235" s="631" t="s">
        <v>775</v>
      </c>
      <c r="C235" s="837" t="s">
        <v>651</v>
      </c>
      <c r="H235" s="148">
        <f t="shared" si="10"/>
        <v>0</v>
      </c>
    </row>
    <row r="236" spans="1:8" x14ac:dyDescent="0.25">
      <c r="A236" t="s">
        <v>778</v>
      </c>
      <c r="B236" s="631" t="s">
        <v>778</v>
      </c>
      <c r="C236" s="837" t="s">
        <v>654</v>
      </c>
      <c r="H236" s="148">
        <f t="shared" si="10"/>
        <v>0</v>
      </c>
    </row>
    <row r="237" spans="1:8" x14ac:dyDescent="0.25">
      <c r="A237" t="s">
        <v>797</v>
      </c>
      <c r="B237" s="631" t="s">
        <v>797</v>
      </c>
      <c r="C237" s="837" t="s">
        <v>671</v>
      </c>
      <c r="H237" s="148">
        <f t="shared" si="10"/>
        <v>0</v>
      </c>
    </row>
    <row r="238" spans="1:8" x14ac:dyDescent="0.25">
      <c r="A238" t="s">
        <v>800</v>
      </c>
      <c r="B238" s="631" t="s">
        <v>800</v>
      </c>
      <c r="C238" s="837" t="s">
        <v>674</v>
      </c>
      <c r="H238" s="148">
        <f t="shared" si="10"/>
        <v>0</v>
      </c>
    </row>
    <row r="239" spans="1:8" x14ac:dyDescent="0.25">
      <c r="A239" t="s">
        <v>803</v>
      </c>
      <c r="B239" s="631" t="s">
        <v>803</v>
      </c>
      <c r="C239" s="837" t="s">
        <v>677</v>
      </c>
      <c r="H239" s="148">
        <f t="shared" si="10"/>
        <v>0</v>
      </c>
    </row>
    <row r="240" spans="1:8" x14ac:dyDescent="0.25">
      <c r="A240" t="s">
        <v>806</v>
      </c>
      <c r="B240" s="631" t="s">
        <v>806</v>
      </c>
      <c r="C240" s="837" t="s">
        <v>680</v>
      </c>
      <c r="H240" s="148">
        <f t="shared" si="10"/>
        <v>0</v>
      </c>
    </row>
    <row r="241" spans="1:8" x14ac:dyDescent="0.25">
      <c r="A241" t="s">
        <v>761</v>
      </c>
      <c r="B241" s="631" t="s">
        <v>761</v>
      </c>
      <c r="C241" s="837" t="s">
        <v>638</v>
      </c>
      <c r="H241" s="148">
        <f t="shared" si="10"/>
        <v>0</v>
      </c>
    </row>
    <row r="242" spans="1:8" x14ac:dyDescent="0.25">
      <c r="A242" t="s">
        <v>810</v>
      </c>
      <c r="B242" s="167" t="s">
        <v>810</v>
      </c>
      <c r="C242" s="837" t="s">
        <v>684</v>
      </c>
      <c r="H242" s="148"/>
    </row>
    <row r="243" spans="1:8" x14ac:dyDescent="0.25">
      <c r="A243" t="s">
        <v>812</v>
      </c>
      <c r="B243" s="167" t="s">
        <v>812</v>
      </c>
      <c r="C243" s="837" t="s">
        <v>686</v>
      </c>
      <c r="H243" s="148"/>
    </row>
    <row r="244" spans="1:8" x14ac:dyDescent="0.25">
      <c r="A244" t="s">
        <v>895</v>
      </c>
      <c r="B244" s="167" t="s">
        <v>895</v>
      </c>
      <c r="C244" s="856" t="s">
        <v>897</v>
      </c>
      <c r="H244" s="148"/>
    </row>
    <row r="245" spans="1:8" x14ac:dyDescent="0.25">
      <c r="B245" s="167"/>
      <c r="C245" s="837"/>
      <c r="H245" s="148"/>
    </row>
    <row r="246" spans="1:8" ht="15.75" thickBot="1" x14ac:dyDescent="0.3">
      <c r="B246" s="168"/>
      <c r="C246" s="170"/>
      <c r="H246" s="148"/>
    </row>
  </sheetData>
  <sheetProtection algorithmName="SHA-512" hashValue="g+u9/2Gt63YleHvakgQVqhTiUJIILcRraa1UaXYwssD1wlHDHVcdnA+TM6iaYtdUxaHkcXB8R5Ik5XhbEVmSBw==" saltValue="JDjAkv9tN/CmN1iIjbmsRA==" spinCount="100000" sheet="1" objects="1" scenarios="1"/>
  <protectedRanges>
    <protectedRange sqref="I2" name="Sortering"/>
  </protectedRanges>
  <mergeCells count="16">
    <mergeCell ref="S6:S11"/>
    <mergeCell ref="S73:S75"/>
    <mergeCell ref="S61:S63"/>
    <mergeCell ref="S64:S66"/>
    <mergeCell ref="N5:O5"/>
    <mergeCell ref="S39:S42"/>
    <mergeCell ref="S44:S46"/>
    <mergeCell ref="S50:S55"/>
    <mergeCell ref="S56:S59"/>
    <mergeCell ref="S67:S69"/>
    <mergeCell ref="S35:S38"/>
    <mergeCell ref="S29:S34"/>
    <mergeCell ref="S12:S14"/>
    <mergeCell ref="S15:S19"/>
    <mergeCell ref="S20:S23"/>
    <mergeCell ref="S24:S27"/>
  </mergeCells>
  <phoneticPr fontId="52" type="noConversion"/>
  <conditionalFormatting sqref="I2">
    <cfRule type="expression" dxfId="208" priority="5">
      <formula>$Z2=2</formula>
    </cfRule>
    <cfRule type="expression" dxfId="207" priority="165">
      <formula>I2&gt;#REF!</formula>
    </cfRule>
  </conditionalFormatting>
  <conditionalFormatting sqref="I7:I36">
    <cfRule type="expression" dxfId="206" priority="3">
      <formula>I7="FEIL"</formula>
    </cfRule>
  </conditionalFormatting>
  <conditionalFormatting sqref="I38:I107">
    <cfRule type="expression" dxfId="205" priority="1">
      <formula>I38="FEIL"</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'Assessment Details'!$O$51:$O$52</xm:f>
          </x14:formula1>
          <xm:sqref>I2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L372"/>
  <sheetViews>
    <sheetView topLeftCell="A210" zoomScale="85" zoomScaleNormal="85" workbookViewId="0">
      <pane xSplit="5" topLeftCell="AR1" activePane="topRight" state="frozen"/>
      <selection activeCell="A142" sqref="A142"/>
      <selection pane="topRight" activeCell="BE258" sqref="BE258"/>
    </sheetView>
  </sheetViews>
  <sheetFormatPr baseColWidth="10" defaultColWidth="9.140625" defaultRowHeight="15" x14ac:dyDescent="0.25"/>
  <cols>
    <col min="1" max="1" width="8.42578125" customWidth="1"/>
    <col min="2" max="3" width="10.7109375" customWidth="1"/>
    <col min="4" max="4" width="8.7109375" customWidth="1"/>
    <col min="5" max="5" width="60.85546875" customWidth="1"/>
    <col min="6" max="14" width="11.28515625" style="662" customWidth="1"/>
    <col min="15" max="15" width="11.5703125" style="662" customWidth="1"/>
    <col min="16" max="18" width="11.28515625" style="662" customWidth="1"/>
    <col min="19" max="19" width="11.5703125" customWidth="1"/>
    <col min="20" max="20" width="15.7109375" customWidth="1"/>
    <col min="21" max="21" width="7" customWidth="1"/>
    <col min="22" max="22" width="5.5703125" customWidth="1"/>
    <col min="23" max="23" width="6.5703125" customWidth="1"/>
    <col min="24" max="24" width="6.85546875" customWidth="1"/>
    <col min="25" max="25" width="9.42578125" customWidth="1"/>
    <col min="26" max="26" width="11.28515625" customWidth="1"/>
    <col min="27" max="27" width="5.7109375" customWidth="1"/>
    <col min="28" max="28" width="14" customWidth="1"/>
    <col min="29" max="29" width="6.85546875" customWidth="1"/>
    <col min="30" max="30" width="14.5703125" customWidth="1"/>
    <col min="31" max="33" width="17.5703125" customWidth="1"/>
    <col min="34" max="34" width="8.42578125" customWidth="1"/>
    <col min="35" max="35" width="14.42578125" customWidth="1"/>
    <col min="36" max="36" width="10.42578125" customWidth="1"/>
    <col min="37" max="37" width="9.5703125" customWidth="1"/>
    <col min="38" max="38" width="9.42578125" customWidth="1"/>
    <col min="39" max="43" width="4.28515625" customWidth="1"/>
    <col min="44" max="44" width="3.7109375" customWidth="1"/>
    <col min="45" max="49" width="4.28515625" customWidth="1"/>
    <col min="50" max="50" width="3.140625" customWidth="1"/>
    <col min="51" max="54" width="4" customWidth="1"/>
    <col min="55" max="55" width="4.28515625" customWidth="1"/>
    <col min="56" max="56" width="10.85546875" customWidth="1"/>
    <col min="57" max="57" width="26.7109375" customWidth="1"/>
    <col min="58" max="58" width="5.85546875" customWidth="1"/>
    <col min="59" max="59" width="6.7109375" customWidth="1"/>
    <col min="60" max="60" width="26.7109375" customWidth="1"/>
    <col min="61" max="61" width="6.5703125" customWidth="1"/>
    <col min="62" max="62" width="6.7109375" customWidth="1"/>
    <col min="63" max="63" width="26.7109375" customWidth="1"/>
    <col min="64" max="64" width="5.7109375" customWidth="1"/>
    <col min="65" max="65" width="9.140625" customWidth="1"/>
    <col min="66" max="66" width="4.42578125" customWidth="1"/>
    <col min="67" max="67" width="10.28515625" customWidth="1"/>
    <col min="68" max="68" width="13.28515625" customWidth="1"/>
    <col min="69" max="69" width="12.7109375" customWidth="1"/>
    <col min="70" max="70" width="10.140625" customWidth="1"/>
    <col min="71" max="71" width="9" customWidth="1"/>
    <col min="72" max="72" width="15.140625" bestFit="1" customWidth="1"/>
    <col min="73" max="73" width="9.140625" customWidth="1"/>
    <col min="74" max="74" width="10.140625" customWidth="1"/>
    <col min="76" max="76" width="30.7109375" bestFit="1" customWidth="1"/>
    <col min="77" max="77" width="14.7109375" bestFit="1" customWidth="1"/>
    <col min="80" max="80" width="20.85546875" bestFit="1" customWidth="1"/>
    <col min="81" max="81" width="11.28515625" bestFit="1" customWidth="1"/>
    <col min="82" max="82" width="8.7109375" bestFit="1" customWidth="1"/>
    <col min="83" max="83" width="12.7109375" bestFit="1" customWidth="1"/>
    <col min="85" max="85" width="14.28515625" bestFit="1" customWidth="1"/>
    <col min="87" max="87" width="12.28515625" customWidth="1"/>
  </cols>
  <sheetData>
    <row r="1" spans="1:90" x14ac:dyDescent="0.25">
      <c r="B1" s="579">
        <v>1</v>
      </c>
      <c r="C1" s="579">
        <v>2</v>
      </c>
      <c r="D1" s="579">
        <v>3</v>
      </c>
      <c r="E1" s="579">
        <v>4</v>
      </c>
      <c r="F1" s="579">
        <v>5</v>
      </c>
      <c r="G1" s="579">
        <v>6</v>
      </c>
      <c r="H1" s="579">
        <v>7</v>
      </c>
      <c r="I1" s="579">
        <v>8</v>
      </c>
      <c r="J1" s="579">
        <v>9</v>
      </c>
      <c r="K1" s="579">
        <v>10</v>
      </c>
      <c r="L1" s="579">
        <v>11</v>
      </c>
      <c r="M1" s="579">
        <v>12</v>
      </c>
      <c r="N1" s="579">
        <v>13</v>
      </c>
      <c r="O1" s="579">
        <v>14</v>
      </c>
      <c r="P1" s="579">
        <v>15</v>
      </c>
      <c r="Q1" s="579">
        <v>16</v>
      </c>
      <c r="R1" s="579">
        <v>17</v>
      </c>
      <c r="S1" s="579">
        <v>18</v>
      </c>
      <c r="T1" s="579">
        <v>19</v>
      </c>
      <c r="U1" s="579">
        <v>20</v>
      </c>
      <c r="V1" s="579">
        <v>21</v>
      </c>
      <c r="W1" s="579">
        <v>22</v>
      </c>
      <c r="X1" s="579">
        <v>23</v>
      </c>
      <c r="Y1" s="579">
        <v>24</v>
      </c>
      <c r="Z1" s="579">
        <v>25</v>
      </c>
      <c r="AA1" s="579">
        <v>26</v>
      </c>
      <c r="AB1" s="579">
        <v>27</v>
      </c>
      <c r="AC1" s="579">
        <v>28</v>
      </c>
      <c r="AD1" s="579">
        <v>29</v>
      </c>
      <c r="AE1" s="579">
        <v>30</v>
      </c>
      <c r="AF1" s="579">
        <v>31</v>
      </c>
      <c r="AG1" s="579">
        <v>32</v>
      </c>
      <c r="AH1" s="579">
        <v>33</v>
      </c>
      <c r="AI1" s="579">
        <v>34</v>
      </c>
      <c r="AJ1" s="579">
        <v>35</v>
      </c>
      <c r="AK1" s="579">
        <v>36</v>
      </c>
      <c r="AL1" s="579">
        <v>37</v>
      </c>
      <c r="AM1" s="579">
        <v>38</v>
      </c>
      <c r="AN1" s="579">
        <v>39</v>
      </c>
      <c r="AO1" s="579">
        <v>40</v>
      </c>
      <c r="AP1" s="579">
        <v>41</v>
      </c>
      <c r="AQ1" s="579">
        <v>42</v>
      </c>
      <c r="AR1" s="579">
        <v>43</v>
      </c>
      <c r="AS1" s="579">
        <v>44</v>
      </c>
      <c r="AT1" s="579">
        <v>45</v>
      </c>
      <c r="AU1" s="579">
        <v>46</v>
      </c>
      <c r="AV1" s="579">
        <v>47</v>
      </c>
      <c r="AW1" s="579">
        <v>48</v>
      </c>
      <c r="AX1" s="579">
        <v>49</v>
      </c>
      <c r="AY1" s="579">
        <v>50</v>
      </c>
      <c r="AZ1" s="579">
        <v>51</v>
      </c>
      <c r="BA1" s="579">
        <v>52</v>
      </c>
      <c r="BB1" s="579">
        <v>53</v>
      </c>
      <c r="BC1" s="579">
        <v>54</v>
      </c>
      <c r="BD1" s="579">
        <v>55</v>
      </c>
      <c r="BE1" s="579">
        <v>56</v>
      </c>
      <c r="BF1" s="579">
        <v>57</v>
      </c>
      <c r="BG1" s="579">
        <v>58</v>
      </c>
      <c r="BH1" s="579">
        <v>59</v>
      </c>
      <c r="BI1" s="579">
        <v>60</v>
      </c>
      <c r="BJ1" s="579">
        <v>61</v>
      </c>
      <c r="BK1" s="579">
        <v>62</v>
      </c>
      <c r="BL1" s="579">
        <v>63</v>
      </c>
      <c r="BM1" s="579">
        <v>64</v>
      </c>
      <c r="BN1" s="579">
        <v>65</v>
      </c>
      <c r="BO1" s="579">
        <v>66</v>
      </c>
      <c r="BP1" s="579">
        <v>67</v>
      </c>
      <c r="BQ1" s="579">
        <v>68</v>
      </c>
      <c r="BR1" s="579">
        <v>69</v>
      </c>
      <c r="BS1" s="579">
        <v>70</v>
      </c>
      <c r="BT1" s="579">
        <v>71</v>
      </c>
    </row>
    <row r="2" spans="1:90" x14ac:dyDescent="0.25">
      <c r="D2">
        <v>1</v>
      </c>
      <c r="E2">
        <v>2</v>
      </c>
      <c r="F2" s="662">
        <v>3</v>
      </c>
      <c r="G2" s="662">
        <v>4</v>
      </c>
      <c r="H2" s="662">
        <v>5</v>
      </c>
      <c r="I2" s="662">
        <v>6</v>
      </c>
      <c r="J2" s="662">
        <v>7</v>
      </c>
      <c r="K2" s="662">
        <v>8</v>
      </c>
      <c r="L2" s="662">
        <v>9</v>
      </c>
      <c r="M2" s="662">
        <v>10</v>
      </c>
      <c r="N2" s="662">
        <v>11</v>
      </c>
      <c r="O2" s="662">
        <v>12</v>
      </c>
      <c r="P2" s="662">
        <v>13</v>
      </c>
      <c r="Q2" s="662">
        <v>14</v>
      </c>
      <c r="R2" s="662">
        <v>15</v>
      </c>
      <c r="S2" s="662">
        <v>16</v>
      </c>
      <c r="T2" s="662">
        <v>17</v>
      </c>
      <c r="U2" s="662">
        <v>18</v>
      </c>
      <c r="V2" s="662">
        <v>19</v>
      </c>
      <c r="W2" s="662">
        <v>20</v>
      </c>
      <c r="X2" s="662">
        <v>21</v>
      </c>
      <c r="Y2" s="662">
        <v>22</v>
      </c>
      <c r="Z2" s="662">
        <v>23</v>
      </c>
      <c r="AA2" s="662">
        <v>24</v>
      </c>
      <c r="AB2" s="662">
        <v>25</v>
      </c>
      <c r="AC2" s="662">
        <v>26</v>
      </c>
      <c r="AD2" s="662">
        <v>27</v>
      </c>
      <c r="AE2" s="662">
        <v>28</v>
      </c>
      <c r="AF2" s="662">
        <v>29</v>
      </c>
      <c r="AG2" s="662">
        <v>30</v>
      </c>
      <c r="AH2" s="662">
        <v>31</v>
      </c>
      <c r="AI2" s="662">
        <v>32</v>
      </c>
      <c r="AJ2" s="662">
        <v>33</v>
      </c>
      <c r="AK2" s="662">
        <v>34</v>
      </c>
      <c r="AL2" s="662">
        <v>35</v>
      </c>
      <c r="AM2" s="662">
        <v>36</v>
      </c>
      <c r="AN2" s="662">
        <v>37</v>
      </c>
      <c r="AO2" s="662">
        <v>38</v>
      </c>
      <c r="AP2" s="662">
        <v>39</v>
      </c>
      <c r="AQ2" s="662">
        <v>40</v>
      </c>
      <c r="AR2" s="662">
        <v>41</v>
      </c>
      <c r="AS2" s="662">
        <v>42</v>
      </c>
      <c r="AT2" s="662">
        <v>43</v>
      </c>
      <c r="AU2" s="662">
        <v>44</v>
      </c>
      <c r="AV2" s="662">
        <v>45</v>
      </c>
      <c r="AW2" s="662">
        <v>46</v>
      </c>
      <c r="AX2" s="662">
        <v>47</v>
      </c>
      <c r="AY2" s="662">
        <v>48</v>
      </c>
      <c r="AZ2" s="662">
        <v>49</v>
      </c>
      <c r="BA2" s="662">
        <v>50</v>
      </c>
      <c r="BB2" s="662">
        <v>51</v>
      </c>
      <c r="BC2" s="662">
        <v>52</v>
      </c>
      <c r="BD2" s="662">
        <v>53</v>
      </c>
      <c r="BE2" s="662">
        <v>54</v>
      </c>
      <c r="BF2" s="662">
        <v>55</v>
      </c>
      <c r="BG2" s="662">
        <v>56</v>
      </c>
      <c r="BH2" s="662">
        <v>57</v>
      </c>
      <c r="BI2" s="662">
        <v>58</v>
      </c>
      <c r="BJ2" s="662">
        <v>59</v>
      </c>
      <c r="BK2" s="662">
        <v>60</v>
      </c>
      <c r="BL2" s="662">
        <v>61</v>
      </c>
    </row>
    <row r="3" spans="1:90" ht="15.75" thickBot="1" x14ac:dyDescent="0.3">
      <c r="A3" s="121" t="s">
        <v>86</v>
      </c>
      <c r="B3" s="121"/>
      <c r="C3" s="121"/>
      <c r="D3" s="121"/>
      <c r="E3" s="121"/>
      <c r="F3" s="663"/>
      <c r="G3" s="663"/>
      <c r="H3" s="663"/>
      <c r="I3" s="663"/>
      <c r="J3" s="663"/>
      <c r="K3" s="663"/>
      <c r="L3" s="663"/>
      <c r="M3" s="663"/>
      <c r="N3" s="663"/>
      <c r="O3" s="663"/>
      <c r="P3" s="663"/>
      <c r="Q3" s="663"/>
      <c r="R3" s="663"/>
      <c r="Y3" t="s">
        <v>34</v>
      </c>
    </row>
    <row r="4" spans="1:90" ht="15.75" thickBot="1" x14ac:dyDescent="0.3">
      <c r="G4" s="662" t="s">
        <v>403</v>
      </c>
      <c r="K4" s="1027" t="s">
        <v>1032</v>
      </c>
      <c r="Y4" s="121" t="str">
        <f>ADPT</f>
        <v>New Construction (fully fitted)</v>
      </c>
      <c r="BX4" s="588" t="s">
        <v>422</v>
      </c>
      <c r="BY4" s="589" t="s">
        <v>408</v>
      </c>
      <c r="CA4" s="585" t="s">
        <v>428</v>
      </c>
      <c r="CB4">
        <v>0</v>
      </c>
      <c r="CC4" t="s">
        <v>12</v>
      </c>
    </row>
    <row r="5" spans="1:90" ht="15.75" thickBot="1" x14ac:dyDescent="0.3">
      <c r="E5" s="122" t="s">
        <v>99</v>
      </c>
      <c r="G5" s="662" t="s">
        <v>404</v>
      </c>
      <c r="H5" s="664"/>
      <c r="K5" s="1029" t="s">
        <v>1033</v>
      </c>
      <c r="R5" s="665"/>
      <c r="Y5" t="str">
        <f>'Assessment Details'!Q12</f>
        <v>New Construction (shell and core)</v>
      </c>
      <c r="AB5" s="302" t="s">
        <v>334</v>
      </c>
      <c r="AC5" s="303" t="str">
        <f>'Manuell filtrering og justering'!I2</f>
        <v>No</v>
      </c>
      <c r="BX5" s="220" t="str">
        <f>'Pre-Assessment Estimator'!AK4</f>
        <v>Nei</v>
      </c>
      <c r="BY5" s="206" t="str">
        <f>'Pre-Assessment Estimator'!AK8</f>
        <v>Ja</v>
      </c>
      <c r="CA5" s="590" t="s">
        <v>430</v>
      </c>
      <c r="CB5">
        <v>1</v>
      </c>
    </row>
    <row r="6" spans="1:90" ht="15.75" thickBot="1" x14ac:dyDescent="0.3">
      <c r="E6" s="124" t="str">
        <f>ADBT0</f>
        <v>Office</v>
      </c>
      <c r="G6" s="662" t="s">
        <v>13</v>
      </c>
      <c r="K6" s="1031" t="s">
        <v>1034</v>
      </c>
      <c r="Y6" t="str">
        <f>ADPT02</f>
        <v>New Construction (shell only)</v>
      </c>
      <c r="BC6" s="125"/>
    </row>
    <row r="7" spans="1:90" ht="15.75" thickBot="1" x14ac:dyDescent="0.3">
      <c r="F7" s="585" t="s">
        <v>879</v>
      </c>
      <c r="K7" s="1033" t="s">
        <v>1035</v>
      </c>
      <c r="AE7" s="1161" t="s">
        <v>81</v>
      </c>
      <c r="AF7" s="1161"/>
      <c r="AG7" s="1161"/>
      <c r="BC7" s="125"/>
    </row>
    <row r="8" spans="1:90" ht="51" customHeight="1" thickBot="1" x14ac:dyDescent="0.3">
      <c r="D8" s="52" t="s">
        <v>98</v>
      </c>
      <c r="E8" s="55" t="s">
        <v>85</v>
      </c>
      <c r="F8" s="1165" t="s">
        <v>537</v>
      </c>
      <c r="G8" s="1166"/>
      <c r="H8" s="1166"/>
      <c r="I8" s="1166"/>
      <c r="J8" s="1166"/>
      <c r="K8" s="1166"/>
      <c r="L8" s="1166"/>
      <c r="M8" s="1166"/>
      <c r="N8" s="1166"/>
      <c r="O8" s="1166"/>
      <c r="P8" s="1166"/>
      <c r="Q8" s="1166"/>
      <c r="R8" s="1166"/>
      <c r="T8" s="51" t="s">
        <v>227</v>
      </c>
      <c r="U8" s="1167" t="s">
        <v>228</v>
      </c>
      <c r="V8" s="1168"/>
      <c r="W8" s="1168"/>
      <c r="X8" s="1168"/>
      <c r="Y8" s="1168"/>
      <c r="Z8" s="1169"/>
      <c r="AA8" s="126" t="s">
        <v>213</v>
      </c>
      <c r="AB8" s="53" t="s">
        <v>14</v>
      </c>
      <c r="AD8" s="804" t="s">
        <v>80</v>
      </c>
      <c r="AE8" s="805" t="s">
        <v>229</v>
      </c>
      <c r="AF8" s="805" t="s">
        <v>230</v>
      </c>
      <c r="AG8" s="805" t="s">
        <v>231</v>
      </c>
      <c r="AI8" s="53" t="s">
        <v>229</v>
      </c>
      <c r="AJ8" s="53" t="s">
        <v>230</v>
      </c>
      <c r="AK8" s="53" t="s">
        <v>231</v>
      </c>
      <c r="AM8" s="1170" t="s">
        <v>236</v>
      </c>
      <c r="AN8" s="1171"/>
      <c r="AO8" s="1171"/>
      <c r="AP8" s="1171"/>
      <c r="AQ8" s="1172"/>
      <c r="AS8" s="1170" t="s">
        <v>8</v>
      </c>
      <c r="AT8" s="1171"/>
      <c r="AU8" s="1171"/>
      <c r="AV8" s="1171"/>
      <c r="AW8" s="1172"/>
      <c r="AY8" s="1170" t="str">
        <f>"Chosen "&amp;E6</f>
        <v>Chosen Office</v>
      </c>
      <c r="AZ8" s="1171"/>
      <c r="BA8" s="1171"/>
      <c r="BB8" s="1171"/>
      <c r="BC8" s="1171"/>
      <c r="BD8" s="1152" t="s">
        <v>229</v>
      </c>
      <c r="BE8" s="1153"/>
      <c r="BF8" s="1153"/>
      <c r="BG8" s="1154" t="s">
        <v>230</v>
      </c>
      <c r="BH8" s="1150"/>
      <c r="BI8" s="1151"/>
      <c r="BJ8" s="1149" t="s">
        <v>231</v>
      </c>
      <c r="BK8" s="1150"/>
      <c r="BL8" s="1151"/>
      <c r="BO8" s="1146" t="s">
        <v>971</v>
      </c>
      <c r="BP8" s="1147"/>
      <c r="BQ8" s="1148"/>
      <c r="BR8" s="560"/>
      <c r="BS8" s="560"/>
      <c r="BT8" s="560"/>
      <c r="BW8" s="215" t="s">
        <v>423</v>
      </c>
      <c r="BX8" s="215"/>
      <c r="BY8" s="215"/>
      <c r="BZ8" s="215"/>
      <c r="CA8" s="215"/>
      <c r="CB8" s="215"/>
      <c r="CC8" s="591" t="s">
        <v>433</v>
      </c>
      <c r="CD8" s="591" t="s">
        <v>435</v>
      </c>
      <c r="CE8" s="215" t="s">
        <v>432</v>
      </c>
      <c r="CF8" s="215"/>
      <c r="CG8" s="215"/>
      <c r="CH8" s="215"/>
      <c r="CI8" s="595" t="s">
        <v>457</v>
      </c>
      <c r="CJ8" s="215"/>
      <c r="CK8" s="215"/>
      <c r="CL8" s="215"/>
    </row>
    <row r="9" spans="1:90" ht="58.5" customHeight="1" thickBot="1" x14ac:dyDescent="0.3">
      <c r="A9">
        <v>1</v>
      </c>
      <c r="D9" s="132"/>
      <c r="E9" s="133" t="s">
        <v>61</v>
      </c>
      <c r="F9" s="1028" t="str">
        <f>ADBT2</f>
        <v>Office</v>
      </c>
      <c r="G9" s="1028" t="str">
        <f>ADBT3</f>
        <v>Retail</v>
      </c>
      <c r="H9" s="1032" t="str">
        <f>ADBT12</f>
        <v>Residential</v>
      </c>
      <c r="I9" s="1028" t="str">
        <f>ADBT1</f>
        <v>Industrial</v>
      </c>
      <c r="J9" s="1030" t="str">
        <f>ADBT13</f>
        <v>Healthcare</v>
      </c>
      <c r="K9" s="1030" t="str">
        <f>ADBT14</f>
        <v>Prison</v>
      </c>
      <c r="L9" s="1030" t="str">
        <f>ADBT15</f>
        <v>Law Court</v>
      </c>
      <c r="M9" s="1034" t="str">
        <f>ADBT16</f>
        <v>Residential institution (long term stay)</v>
      </c>
      <c r="N9" s="796" t="str">
        <f>ADBT17</f>
        <v>Residential institution (short term stay)</v>
      </c>
      <c r="O9" s="796" t="str">
        <f>ADBT18</f>
        <v>Non-residential institution</v>
      </c>
      <c r="P9" s="796" t="str">
        <f>ADBT19</f>
        <v>Assembly and leisure</v>
      </c>
      <c r="Q9" s="1030" t="str">
        <f>ADBT8</f>
        <v>Education</v>
      </c>
      <c r="R9" s="747" t="str">
        <f>ADBT20</f>
        <v>Other</v>
      </c>
      <c r="T9" s="128" t="str">
        <f>$E$6</f>
        <v>Office</v>
      </c>
      <c r="U9" s="129"/>
      <c r="V9" s="130"/>
      <c r="W9" s="130"/>
      <c r="X9" s="962"/>
      <c r="Y9" s="974" t="s">
        <v>411</v>
      </c>
      <c r="Z9" s="972" t="s">
        <v>334</v>
      </c>
      <c r="AA9" s="967" t="s">
        <v>213</v>
      </c>
      <c r="AB9" s="968"/>
      <c r="AI9" s="71"/>
      <c r="AJ9" s="54"/>
      <c r="AK9" s="54"/>
      <c r="AM9" s="132" t="s">
        <v>87</v>
      </c>
      <c r="AN9" s="133" t="s">
        <v>88</v>
      </c>
      <c r="AO9" s="133" t="s">
        <v>89</v>
      </c>
      <c r="AP9" s="133" t="s">
        <v>235</v>
      </c>
      <c r="AQ9" s="134" t="s">
        <v>90</v>
      </c>
      <c r="AS9" s="127" t="s">
        <v>87</v>
      </c>
      <c r="AT9" s="47" t="s">
        <v>88</v>
      </c>
      <c r="AU9" s="47" t="s">
        <v>89</v>
      </c>
      <c r="AV9" s="47" t="s">
        <v>235</v>
      </c>
      <c r="AW9" s="135" t="s">
        <v>90</v>
      </c>
      <c r="AY9" s="127" t="s">
        <v>87</v>
      </c>
      <c r="AZ9" s="47" t="s">
        <v>88</v>
      </c>
      <c r="BA9" s="47" t="s">
        <v>89</v>
      </c>
      <c r="BB9" s="47" t="s">
        <v>235</v>
      </c>
      <c r="BC9" s="136" t="s">
        <v>90</v>
      </c>
      <c r="BD9" s="137" t="s">
        <v>237</v>
      </c>
      <c r="BE9" s="138" t="s">
        <v>50</v>
      </c>
      <c r="BF9" s="138"/>
      <c r="BG9" s="139" t="s">
        <v>237</v>
      </c>
      <c r="BH9" s="140" t="s">
        <v>50</v>
      </c>
      <c r="BI9" s="141"/>
      <c r="BJ9" s="142" t="s">
        <v>237</v>
      </c>
      <c r="BK9" s="140" t="s">
        <v>50</v>
      </c>
      <c r="BL9" s="143"/>
      <c r="BO9" s="591" t="s">
        <v>972</v>
      </c>
      <c r="BP9" s="591" t="s">
        <v>973</v>
      </c>
      <c r="BQ9" s="947" t="s">
        <v>974</v>
      </c>
      <c r="BR9" s="560" t="s">
        <v>975</v>
      </c>
      <c r="BS9" s="560" t="s">
        <v>976</v>
      </c>
      <c r="BT9" s="560" t="s">
        <v>977</v>
      </c>
      <c r="BW9" s="47"/>
      <c r="BX9" s="47" t="str">
        <f>E9</f>
        <v>Management</v>
      </c>
      <c r="BY9" s="47" t="s">
        <v>426</v>
      </c>
      <c r="BZ9" s="47" t="s">
        <v>424</v>
      </c>
      <c r="CA9" s="47" t="s">
        <v>434</v>
      </c>
      <c r="CB9" s="47" t="s">
        <v>431</v>
      </c>
      <c r="CG9" t="s">
        <v>427</v>
      </c>
    </row>
    <row r="10" spans="1:90" x14ac:dyDescent="0.25">
      <c r="A10">
        <v>2</v>
      </c>
      <c r="B10" s="121" t="str">
        <f>D10</f>
        <v>Man 01</v>
      </c>
      <c r="C10" s="121" t="str">
        <f>B10</f>
        <v>Man 01</v>
      </c>
      <c r="D10" s="725" t="s">
        <v>91</v>
      </c>
      <c r="E10" s="725" t="s">
        <v>305</v>
      </c>
      <c r="F10" s="811">
        <f>SUM(F11:F15)</f>
        <v>5</v>
      </c>
      <c r="G10" s="811">
        <f t="shared" ref="G10:R10" si="0">SUM(G11:G15)</f>
        <v>5</v>
      </c>
      <c r="H10" s="811">
        <f t="shared" si="0"/>
        <v>5</v>
      </c>
      <c r="I10" s="811">
        <f t="shared" si="0"/>
        <v>5</v>
      </c>
      <c r="J10" s="811">
        <f t="shared" si="0"/>
        <v>5</v>
      </c>
      <c r="K10" s="811">
        <f t="shared" si="0"/>
        <v>5</v>
      </c>
      <c r="L10" s="811">
        <f t="shared" si="0"/>
        <v>5</v>
      </c>
      <c r="M10" s="811">
        <f t="shared" si="0"/>
        <v>5</v>
      </c>
      <c r="N10" s="811">
        <f t="shared" si="0"/>
        <v>5</v>
      </c>
      <c r="O10" s="811">
        <f t="shared" si="0"/>
        <v>5</v>
      </c>
      <c r="P10" s="811">
        <f t="shared" si="0"/>
        <v>5</v>
      </c>
      <c r="Q10" s="811">
        <f t="shared" ref="Q10" si="1">SUM(Q11:Q15)</f>
        <v>5</v>
      </c>
      <c r="R10" s="811">
        <f t="shared" si="0"/>
        <v>5</v>
      </c>
      <c r="S10" s="579"/>
      <c r="T10" s="797">
        <f t="shared" ref="T10:T36" si="2">HLOOKUP($E$6,$F$9:$R$231,$A10,FALSE)</f>
        <v>5</v>
      </c>
      <c r="U10" s="146"/>
      <c r="V10" s="43"/>
      <c r="W10" s="43"/>
      <c r="X10" s="147">
        <f>'Manuell filtrering og justering'!E7</f>
        <v>0</v>
      </c>
      <c r="Y10" s="148"/>
      <c r="Z10" s="973">
        <f t="shared" ref="Z10" si="3">SUM(Z11:Z15)</f>
        <v>6</v>
      </c>
      <c r="AA10" s="965">
        <f>IF(SUM(U10:Y10)&gt;T10,T10,SUM(U10:Y10))</f>
        <v>0</v>
      </c>
      <c r="AB10" s="969">
        <f>SUM(AB11:AB15)</f>
        <v>5</v>
      </c>
      <c r="AD10" s="799">
        <f t="shared" ref="AD10:AD33" si="4">(Man_Weight/Man_Credits)*AB10</f>
        <v>3.0952380952380953E-2</v>
      </c>
      <c r="AE10" s="799">
        <f>SUM(AE11:AE15)</f>
        <v>0</v>
      </c>
      <c r="AF10" s="799">
        <f>SUM(AF11:AF15)</f>
        <v>0</v>
      </c>
      <c r="AG10" s="799">
        <f>SUM(AG11:AG15)</f>
        <v>0</v>
      </c>
      <c r="AI10" s="800">
        <f t="shared" ref="AI10:AK10" si="5">SUM(AI11:AI15)</f>
        <v>0</v>
      </c>
      <c r="AJ10" s="800">
        <f t="shared" si="5"/>
        <v>0</v>
      </c>
      <c r="AK10" s="800">
        <f t="shared" si="5"/>
        <v>0</v>
      </c>
      <c r="AM10" s="152"/>
      <c r="AN10" s="250"/>
      <c r="AO10" s="250"/>
      <c r="AP10" s="159"/>
      <c r="AQ10" s="164"/>
      <c r="AS10" s="251"/>
      <c r="AT10" s="159"/>
      <c r="AU10" s="159"/>
      <c r="AV10" s="159"/>
      <c r="AW10" s="164"/>
      <c r="AX10" s="125"/>
      <c r="AY10" s="153"/>
      <c r="AZ10" s="154"/>
      <c r="BA10" s="154"/>
      <c r="BB10" s="154"/>
      <c r="BC10" s="155"/>
      <c r="BD10" s="153">
        <f>IF(BC10=0,9,IF(AI10&gt;=BC10,5,IF(AI10&gt;=BB10,4,IF(AI10&gt;=BA10,3,IF(AI10&gt;=AZ10,2,IF(AI10&lt;AY10,0,1))))))</f>
        <v>9</v>
      </c>
      <c r="BE10" s="156" t="str">
        <f t="shared" ref="BE10:BE35" si="6">VLOOKUP(BD10,$BO$284:$BT$290,6,FALSE)</f>
        <v>N/A</v>
      </c>
      <c r="BF10" s="157"/>
      <c r="BG10" s="153">
        <f t="shared" ref="BG10:BG35" si="7">IF(BC10=0,9,IF(AJ10&gt;=BC10,5,IF(AJ10&gt;=BB10,4,IF(AJ10&gt;=BA10,3,IF(AJ10&gt;=AZ10,2,IF(AJ10&lt;AY10,0,1))))))</f>
        <v>9</v>
      </c>
      <c r="BH10" s="156" t="str">
        <f t="shared" ref="BH10:BH35" si="8">VLOOKUP(BG10,$BO$284:$BT$290,6,FALSE)</f>
        <v>N/A</v>
      </c>
      <c r="BI10" s="157"/>
      <c r="BJ10" s="153">
        <f>IF(BC10=0,9,IF(AK10&gt;=BC10,5,IF(AK10&gt;=BB10,4,IF(AK10&gt;=BA10,3,IF(AK10&gt;=AZ10,2,IF(AK10&lt;AY10,0,1))))))</f>
        <v>9</v>
      </c>
      <c r="BK10" s="156" t="str">
        <f t="shared" ref="BK10:BK35" si="9">VLOOKUP(BJ10,$BO$284:$BT$290,6,FALSE)</f>
        <v>N/A</v>
      </c>
      <c r="BL10" s="157"/>
      <c r="BO10" s="43"/>
      <c r="BP10" s="43"/>
      <c r="BQ10" s="43" t="str">
        <f>IF(BO10&lt;&gt;"",BO10,IF(BP10&lt;&gt;"",BP10,""))</f>
        <v/>
      </c>
      <c r="BR10" s="43">
        <f>IF(BQ10="",9,(IF(AI10&gt;=BQ10,5,0)))</f>
        <v>9</v>
      </c>
      <c r="BS10" s="43">
        <f>IF(BQ10="",9,(IF(AJ10&gt;=BQ10,5,0)))</f>
        <v>9</v>
      </c>
      <c r="BT10" s="43">
        <f>IF(BQ10="",9,(IF(AK10&gt;=BQ10,5,0)))</f>
        <v>9</v>
      </c>
      <c r="BW10" s="45" t="str">
        <f>D10</f>
        <v>Man 01</v>
      </c>
      <c r="BX10" s="45" t="str">
        <f>IFERROR(VLOOKUP($E10,'Pre-Assessment Estimator'!$F$11:$AC$226,'Pre-Assessment Estimator'!AC$2,FALSE),"")</f>
        <v>No</v>
      </c>
      <c r="BY10" s="249">
        <f>IFERROR(VLOOKUP($E10,'Pre-Assessment Estimator'!$F$11:$AJ$226,'Pre-Assessment Estimator'!AJ$2,FALSE),"")</f>
        <v>0</v>
      </c>
      <c r="BZ10" s="249">
        <f>IFERROR(VLOOKUP($BX10,$E$293:$H$326,F$291,FALSE),"")</f>
        <v>1</v>
      </c>
      <c r="CA10" s="249">
        <f>IFERROR(VLOOKUP($BX10,$E$293:$H$326,G$291,FALSE),"")</f>
        <v>0</v>
      </c>
      <c r="CB10" s="249"/>
      <c r="CC10" t="str">
        <f>IFERROR(VLOOKUP($BX10,$E$293:$H$326,I$291,FALSE),"")</f>
        <v/>
      </c>
    </row>
    <row r="11" spans="1:90" x14ac:dyDescent="0.25">
      <c r="A11">
        <v>3</v>
      </c>
      <c r="B11" t="str">
        <f t="shared" ref="B11:B15" si="10">$D$10&amp;D11</f>
        <v>Man 01a</v>
      </c>
      <c r="C11" t="str">
        <f>C10</f>
        <v>Man 01</v>
      </c>
      <c r="D11" s="43" t="s">
        <v>692</v>
      </c>
      <c r="E11" s="916" t="s">
        <v>589</v>
      </c>
      <c r="F11" s="668">
        <v>1</v>
      </c>
      <c r="G11" s="668">
        <v>1</v>
      </c>
      <c r="H11" s="668">
        <v>1</v>
      </c>
      <c r="I11" s="668">
        <v>1</v>
      </c>
      <c r="J11" s="668">
        <v>1</v>
      </c>
      <c r="K11" s="668">
        <v>1</v>
      </c>
      <c r="L11" s="668">
        <v>1</v>
      </c>
      <c r="M11" s="668">
        <v>1</v>
      </c>
      <c r="N11" s="668">
        <v>1</v>
      </c>
      <c r="O11" s="668">
        <v>1</v>
      </c>
      <c r="P11" s="668">
        <v>1</v>
      </c>
      <c r="Q11" s="668">
        <v>1</v>
      </c>
      <c r="R11" s="668">
        <v>1</v>
      </c>
      <c r="S11" s="579"/>
      <c r="T11" s="145">
        <f t="shared" si="2"/>
        <v>1</v>
      </c>
      <c r="U11" s="146"/>
      <c r="V11" s="43"/>
      <c r="W11" s="43"/>
      <c r="X11" s="147"/>
      <c r="Y11" s="148"/>
      <c r="Z11" s="958">
        <f>VLOOKUP(B11,'Manuell filtrering og justering'!$A$7:$H$107,'Manuell filtrering og justering'!$H$1,FALSE)</f>
        <v>1</v>
      </c>
      <c r="AA11" s="965">
        <f t="shared" ref="AA11:AA35" si="11">IF(SUM(U11:Y11)&gt;T11,T11,SUM(U11:Y11))</f>
        <v>0</v>
      </c>
      <c r="AB11" s="163">
        <f>IF($AC$5='Manuell filtrering og justering'!$J$2,Z11,(T11-AA11))</f>
        <v>1</v>
      </c>
      <c r="AD11" s="150">
        <f t="shared" si="4"/>
        <v>6.1904761904761907E-3</v>
      </c>
      <c r="AE11" s="150">
        <f>IF(AB11=0,0,(AD11/AB11)*AI11)</f>
        <v>0</v>
      </c>
      <c r="AF11" s="150">
        <f>IF(AB11=0,0,(AD11/AB11)*AJ11)</f>
        <v>0</v>
      </c>
      <c r="AG11" s="150">
        <f>IF(AB11=0,0,(AD11/AB11)*AK11)</f>
        <v>0</v>
      </c>
      <c r="AI11" s="151">
        <f>IF(VLOOKUP(E11,'Pre-Assessment Estimator'!$F$11:$AA$226,'Pre-Assessment Estimator'!$H$2,FALSE)&gt;AB11,AB11,VLOOKUP(E11,'Pre-Assessment Estimator'!$F$11:$AA$226,'Pre-Assessment Estimator'!$H$2,FALSE))</f>
        <v>0</v>
      </c>
      <c r="AJ11" s="151">
        <f>IF(VLOOKUP(E11,'Pre-Assessment Estimator'!$F$11:$AA$226,'Pre-Assessment Estimator'!$O$2,FALSE)&gt;AB11,AB11,VLOOKUP(E11,'Pre-Assessment Estimator'!$F$11:$AA$226,'Pre-Assessment Estimator'!$O$2,FALSE))</f>
        <v>0</v>
      </c>
      <c r="AK11" s="151">
        <f>IF(VLOOKUP(E11,'Pre-Assessment Estimator'!$F$11:$AA$226,'Pre-Assessment Estimator'!$V$2,FALSE)&gt;AB11,AB11,VLOOKUP(E11,'Pre-Assessment Estimator'!$F$11:$AA$226,'Pre-Assessment Estimator'!$V$2,FALSE))</f>
        <v>0</v>
      </c>
      <c r="AM11" s="719"/>
      <c r="AN11" s="720"/>
      <c r="AO11" s="720"/>
      <c r="AP11" s="159">
        <v>1</v>
      </c>
      <c r="AQ11" s="164">
        <v>1</v>
      </c>
      <c r="AS11" s="251"/>
      <c r="AT11" s="159"/>
      <c r="AU11" s="159"/>
      <c r="AV11" s="159">
        <v>1</v>
      </c>
      <c r="AW11" s="164">
        <v>1</v>
      </c>
      <c r="AX11" s="125"/>
      <c r="AY11" s="721"/>
      <c r="AZ11" s="722"/>
      <c r="BA11" s="722"/>
      <c r="BB11" s="161">
        <f>IF($E$6=$H$9,AV11,AP11)</f>
        <v>1</v>
      </c>
      <c r="BC11" s="161">
        <f>IF($E$6=$H$9,AW11,AQ11)</f>
        <v>1</v>
      </c>
      <c r="BD11" s="160">
        <f t="shared" ref="BD11:BD15" si="12">IF(BC11=0,9,IF(AI11&gt;=BC11,5,IF(AI11&gt;=BB11,4,IF(AI11&gt;=BA11,3,IF(AI11&gt;=AZ11,2,IF(AI11&lt;AY11,0,1))))))</f>
        <v>3</v>
      </c>
      <c r="BE11" s="45" t="str">
        <f t="shared" si="6"/>
        <v>Very Good</v>
      </c>
      <c r="BF11" s="163"/>
      <c r="BG11" s="160">
        <f t="shared" ref="BG11:BG15" si="13">IF(BC11=0,9,IF(AJ11&gt;=BC11,5,IF(AJ11&gt;=BB11,4,IF(AJ11&gt;=BA11,3,IF(AJ11&gt;=AZ11,2,IF(AJ11&lt;AY11,0,1))))))</f>
        <v>3</v>
      </c>
      <c r="BH11" s="45" t="str">
        <f t="shared" si="8"/>
        <v>Very Good</v>
      </c>
      <c r="BI11" s="163"/>
      <c r="BJ11" s="160">
        <f t="shared" ref="BJ11:BJ15" si="14">IF(BC11=0,9,IF(AK11&gt;=BC11,5,IF(AK11&gt;=BB11,4,IF(AK11&gt;=BA11,3,IF(AK11&gt;=AZ11,2,IF(AK11&lt;AY11,0,1))))))</f>
        <v>3</v>
      </c>
      <c r="BK11" s="45" t="str">
        <f t="shared" si="9"/>
        <v>Very Good</v>
      </c>
      <c r="BL11" s="723"/>
      <c r="BO11" s="43"/>
      <c r="BP11" s="43"/>
      <c r="BQ11" s="43" t="str">
        <f t="shared" ref="BQ11:BQ74" si="15">IF(BO11&lt;&gt;"",BO11,IF(BP11&lt;&gt;"",BP11,""))</f>
        <v/>
      </c>
      <c r="BR11" s="43">
        <f t="shared" ref="BR11" si="16">IF(BQ11="",9,(IF(AI11&gt;=BQ11,5,0)))</f>
        <v>9</v>
      </c>
      <c r="BS11" s="43">
        <f t="shared" ref="BS11:BS30" si="17">IF(BQ11="",9,(IF(AJ11&gt;=BQ11,5,0)))</f>
        <v>9</v>
      </c>
      <c r="BT11" s="43">
        <f t="shared" ref="BT11:BT30" si="18">IF(BQ11="",9,(IF(AK11&gt;=BQ11,5,0)))</f>
        <v>9</v>
      </c>
      <c r="BW11" s="45"/>
      <c r="BX11" s="45"/>
      <c r="BY11" s="249"/>
      <c r="BZ11" s="249"/>
      <c r="CA11" s="249"/>
      <c r="CB11" s="249"/>
    </row>
    <row r="12" spans="1:90" x14ac:dyDescent="0.25">
      <c r="A12">
        <v>4</v>
      </c>
      <c r="B12" t="str">
        <f t="shared" si="10"/>
        <v>Man 01b</v>
      </c>
      <c r="C12" t="str">
        <f t="shared" ref="C12:C74" si="19">C11</f>
        <v>Man 01</v>
      </c>
      <c r="D12" s="43" t="s">
        <v>695</v>
      </c>
      <c r="E12" s="1035" t="s">
        <v>1036</v>
      </c>
      <c r="F12" s="668">
        <v>1</v>
      </c>
      <c r="G12" s="668">
        <v>1</v>
      </c>
      <c r="H12" s="668">
        <v>1</v>
      </c>
      <c r="I12" s="668">
        <v>1</v>
      </c>
      <c r="J12" s="668">
        <v>1</v>
      </c>
      <c r="K12" s="668">
        <v>1</v>
      </c>
      <c r="L12" s="668">
        <v>1</v>
      </c>
      <c r="M12" s="668">
        <v>1</v>
      </c>
      <c r="N12" s="668">
        <v>1</v>
      </c>
      <c r="O12" s="668">
        <v>1</v>
      </c>
      <c r="P12" s="668">
        <v>1</v>
      </c>
      <c r="Q12" s="668">
        <v>1</v>
      </c>
      <c r="R12" s="668">
        <v>1</v>
      </c>
      <c r="S12" s="579"/>
      <c r="T12" s="145">
        <f t="shared" si="2"/>
        <v>1</v>
      </c>
      <c r="U12" s="146"/>
      <c r="V12" s="43"/>
      <c r="W12" s="43"/>
      <c r="X12" s="147"/>
      <c r="Y12" s="148"/>
      <c r="Z12" s="958">
        <f>VLOOKUP(B12,'Manuell filtrering og justering'!$A$7:$H$107,'Manuell filtrering og justering'!$H$1,FALSE)</f>
        <v>1</v>
      </c>
      <c r="AA12" s="965">
        <f t="shared" si="11"/>
        <v>0</v>
      </c>
      <c r="AB12" s="163">
        <f>IF($AC$5='Manuell filtrering og justering'!$J$2,Z12,(T12-AA12))</f>
        <v>1</v>
      </c>
      <c r="AD12" s="150">
        <f t="shared" si="4"/>
        <v>6.1904761904761907E-3</v>
      </c>
      <c r="AE12" s="150">
        <f>IF(AB12=0,0,(AD12/AB12)*AI12)</f>
        <v>0</v>
      </c>
      <c r="AF12" s="150">
        <f t="shared" ref="AF12:AF33" si="20">IF(AB12=0,0,(AD12/AB12)*AJ12)</f>
        <v>0</v>
      </c>
      <c r="AG12" s="150">
        <f t="shared" ref="AG12:AG33" si="21">IF(AB12=0,0,(AD12/AB12)*AK12)</f>
        <v>0</v>
      </c>
      <c r="AI12" s="151">
        <f>IF(VLOOKUP(E12,'Pre-Assessment Estimator'!$F$11:$AA$226,'Pre-Assessment Estimator'!$H$2,FALSE)&gt;AB12,AB12,VLOOKUP(E12,'Pre-Assessment Estimator'!$F$11:$AA$226,'Pre-Assessment Estimator'!$H$2,FALSE))</f>
        <v>0</v>
      </c>
      <c r="AJ12" s="151">
        <f>IF(VLOOKUP(E12,'Pre-Assessment Estimator'!$F$11:$AA$226,'Pre-Assessment Estimator'!$O$2,FALSE)&gt;AB12,AB12,VLOOKUP(E12,'Pre-Assessment Estimator'!$F$11:$AA$226,'Pre-Assessment Estimator'!$O$2,FALSE))</f>
        <v>0</v>
      </c>
      <c r="AK12" s="151">
        <f>IF(VLOOKUP(E12,'Pre-Assessment Estimator'!$F$11:$AA$226,'Pre-Assessment Estimator'!$V$2,FALSE)&gt;AB12,AB12,VLOOKUP(E12,'Pre-Assessment Estimator'!$F$11:$AA$226,'Pre-Assessment Estimator'!$V$2,FALSE))</f>
        <v>0</v>
      </c>
      <c r="AM12" s="719"/>
      <c r="AN12" s="720"/>
      <c r="AO12" s="720"/>
      <c r="AP12" s="159">
        <v>1</v>
      </c>
      <c r="AQ12" s="164">
        <v>1</v>
      </c>
      <c r="AS12" s="251"/>
      <c r="AT12" s="159"/>
      <c r="AU12" s="159"/>
      <c r="AV12" s="159">
        <v>1</v>
      </c>
      <c r="AW12" s="164">
        <v>1</v>
      </c>
      <c r="AX12" s="125"/>
      <c r="AY12" s="721"/>
      <c r="AZ12" s="722"/>
      <c r="BA12" s="722"/>
      <c r="BB12" s="161">
        <f>IF($E$6=$H$9,AV12,AP12)</f>
        <v>1</v>
      </c>
      <c r="BC12" s="161">
        <f>IF($E$6=$H$9,AW12,AQ12)</f>
        <v>1</v>
      </c>
      <c r="BD12" s="160">
        <f t="shared" si="12"/>
        <v>3</v>
      </c>
      <c r="BE12" s="45" t="str">
        <f t="shared" si="6"/>
        <v>Very Good</v>
      </c>
      <c r="BF12" s="163"/>
      <c r="BG12" s="160">
        <f t="shared" si="13"/>
        <v>3</v>
      </c>
      <c r="BH12" s="45" t="str">
        <f t="shared" si="8"/>
        <v>Very Good</v>
      </c>
      <c r="BI12" s="163"/>
      <c r="BJ12" s="160">
        <f t="shared" si="14"/>
        <v>3</v>
      </c>
      <c r="BK12" s="45" t="str">
        <f t="shared" si="9"/>
        <v>Very Good</v>
      </c>
      <c r="BL12" s="723"/>
      <c r="BO12" s="43">
        <v>1</v>
      </c>
      <c r="BP12" s="43"/>
      <c r="BQ12" s="43">
        <f t="shared" si="15"/>
        <v>1</v>
      </c>
      <c r="BR12" s="43">
        <f>IF(BQ12="",9,(IF(AI12&gt;=BQ12,5,0)))</f>
        <v>0</v>
      </c>
      <c r="BS12" s="43">
        <f t="shared" si="17"/>
        <v>0</v>
      </c>
      <c r="BT12" s="43">
        <f t="shared" si="18"/>
        <v>0</v>
      </c>
      <c r="BW12" s="45"/>
      <c r="BX12" s="45"/>
      <c r="BY12" s="249"/>
      <c r="BZ12" s="249"/>
      <c r="CA12" s="249"/>
      <c r="CB12" s="249"/>
    </row>
    <row r="13" spans="1:90" x14ac:dyDescent="0.25">
      <c r="A13">
        <v>5</v>
      </c>
      <c r="B13" t="str">
        <f t="shared" si="10"/>
        <v>Man 01c</v>
      </c>
      <c r="C13" t="str">
        <f t="shared" si="19"/>
        <v>Man 01</v>
      </c>
      <c r="D13" s="43" t="s">
        <v>696</v>
      </c>
      <c r="E13" s="916" t="s">
        <v>585</v>
      </c>
      <c r="F13" s="668">
        <v>1</v>
      </c>
      <c r="G13" s="668">
        <v>1</v>
      </c>
      <c r="H13" s="668">
        <v>1</v>
      </c>
      <c r="I13" s="668">
        <v>1</v>
      </c>
      <c r="J13" s="668">
        <v>1</v>
      </c>
      <c r="K13" s="668">
        <v>1</v>
      </c>
      <c r="L13" s="668">
        <v>1</v>
      </c>
      <c r="M13" s="668">
        <v>1</v>
      </c>
      <c r="N13" s="668">
        <v>1</v>
      </c>
      <c r="O13" s="668">
        <v>1</v>
      </c>
      <c r="P13" s="668">
        <v>1</v>
      </c>
      <c r="Q13" s="668">
        <v>1</v>
      </c>
      <c r="R13" s="668">
        <v>1</v>
      </c>
      <c r="S13" s="579"/>
      <c r="T13" s="145">
        <f t="shared" si="2"/>
        <v>1</v>
      </c>
      <c r="U13" s="146"/>
      <c r="V13" s="43"/>
      <c r="W13" s="43"/>
      <c r="X13" s="147"/>
      <c r="Y13" s="148"/>
      <c r="Z13" s="958">
        <f>VLOOKUP(B13,'Manuell filtrering og justering'!$A$7:$H$107,'Manuell filtrering og justering'!$H$1,FALSE)</f>
        <v>1</v>
      </c>
      <c r="AA13" s="965">
        <f t="shared" si="11"/>
        <v>0</v>
      </c>
      <c r="AB13" s="163">
        <f>IF($AC$5='Manuell filtrering og justering'!$J$2,Z13,(T13-AA13))</f>
        <v>1</v>
      </c>
      <c r="AD13" s="150">
        <f t="shared" si="4"/>
        <v>6.1904761904761907E-3</v>
      </c>
      <c r="AE13" s="150">
        <f>IF(AB13=0,0,(AD13/AB13)*AI13)</f>
        <v>0</v>
      </c>
      <c r="AF13" s="150">
        <f t="shared" si="20"/>
        <v>0</v>
      </c>
      <c r="AG13" s="150">
        <f t="shared" si="21"/>
        <v>0</v>
      </c>
      <c r="AI13" s="151">
        <f>IF(VLOOKUP(E13,'Pre-Assessment Estimator'!$F$11:$AA$226,'Pre-Assessment Estimator'!$H$2,FALSE)&gt;AB13,AB13,VLOOKUP(E13,'Pre-Assessment Estimator'!$F$11:$AA$226,'Pre-Assessment Estimator'!$H$2,FALSE))</f>
        <v>0</v>
      </c>
      <c r="AJ13" s="151">
        <f>IF(VLOOKUP(E13,'Pre-Assessment Estimator'!$F$11:$AA$226,'Pre-Assessment Estimator'!$O$2,FALSE)&gt;AB13,AB13,VLOOKUP(E13,'Pre-Assessment Estimator'!$F$11:$AA$226,'Pre-Assessment Estimator'!$O$2,FALSE))</f>
        <v>0</v>
      </c>
      <c r="AK13" s="151">
        <f>IF(VLOOKUP(E13,'Pre-Assessment Estimator'!$F$11:$AA$226,'Pre-Assessment Estimator'!$V$2,FALSE)&gt;AB13,AB13,VLOOKUP(E13,'Pre-Assessment Estimator'!$F$11:$AA$226,'Pre-Assessment Estimator'!$V$2,FALSE))</f>
        <v>0</v>
      </c>
      <c r="AM13" s="719"/>
      <c r="AN13" s="720"/>
      <c r="AO13" s="720"/>
      <c r="AP13" s="159"/>
      <c r="AQ13" s="164"/>
      <c r="AS13" s="251"/>
      <c r="AT13" s="159"/>
      <c r="AU13" s="159"/>
      <c r="AV13" s="159"/>
      <c r="AW13" s="164"/>
      <c r="AX13" s="125"/>
      <c r="AY13" s="721"/>
      <c r="AZ13" s="722"/>
      <c r="BA13" s="722"/>
      <c r="BB13" s="722"/>
      <c r="BC13" s="155"/>
      <c r="BD13" s="160">
        <f t="shared" si="12"/>
        <v>9</v>
      </c>
      <c r="BE13" s="45" t="str">
        <f t="shared" si="6"/>
        <v>N/A</v>
      </c>
      <c r="BF13" s="163"/>
      <c r="BG13" s="160">
        <f t="shared" si="13"/>
        <v>9</v>
      </c>
      <c r="BH13" s="45" t="str">
        <f t="shared" si="8"/>
        <v>N/A</v>
      </c>
      <c r="BI13" s="163"/>
      <c r="BJ13" s="160">
        <f t="shared" si="14"/>
        <v>9</v>
      </c>
      <c r="BK13" s="45" t="str">
        <f t="shared" si="9"/>
        <v>N/A</v>
      </c>
      <c r="BL13" s="723"/>
      <c r="BO13" s="43"/>
      <c r="BP13" s="43"/>
      <c r="BQ13" s="43" t="str">
        <f t="shared" si="15"/>
        <v/>
      </c>
      <c r="BR13" s="43">
        <f t="shared" ref="BR13:BR30" si="22">IF(BQ13="",9,(IF(AI13&gt;=BQ13,5,0)))</f>
        <v>9</v>
      </c>
      <c r="BS13" s="43">
        <f t="shared" si="17"/>
        <v>9</v>
      </c>
      <c r="BT13" s="43">
        <f t="shared" si="18"/>
        <v>9</v>
      </c>
      <c r="BW13" s="45"/>
      <c r="BX13" s="45"/>
      <c r="BY13" s="249"/>
      <c r="BZ13" s="249"/>
      <c r="CA13" s="249"/>
      <c r="CB13" s="249"/>
    </row>
    <row r="14" spans="1:90" x14ac:dyDescent="0.25">
      <c r="A14">
        <v>6</v>
      </c>
      <c r="B14" t="str">
        <f t="shared" si="10"/>
        <v>Man 01d</v>
      </c>
      <c r="C14" t="str">
        <f t="shared" si="19"/>
        <v>Man 01</v>
      </c>
      <c r="D14" s="43" t="s">
        <v>694</v>
      </c>
      <c r="E14" s="916" t="s">
        <v>586</v>
      </c>
      <c r="F14" s="668">
        <v>1</v>
      </c>
      <c r="G14" s="668">
        <v>1</v>
      </c>
      <c r="H14" s="668">
        <v>1</v>
      </c>
      <c r="I14" s="668">
        <v>1</v>
      </c>
      <c r="J14" s="668">
        <v>1</v>
      </c>
      <c r="K14" s="668">
        <v>1</v>
      </c>
      <c r="L14" s="668">
        <v>1</v>
      </c>
      <c r="M14" s="668">
        <v>1</v>
      </c>
      <c r="N14" s="668">
        <v>1</v>
      </c>
      <c r="O14" s="668">
        <v>1</v>
      </c>
      <c r="P14" s="668">
        <v>1</v>
      </c>
      <c r="Q14" s="668">
        <v>1</v>
      </c>
      <c r="R14" s="668">
        <v>1</v>
      </c>
      <c r="S14" s="579"/>
      <c r="T14" s="145">
        <f t="shared" si="2"/>
        <v>1</v>
      </c>
      <c r="U14" s="146"/>
      <c r="V14" s="43"/>
      <c r="W14" s="43"/>
      <c r="X14" s="147"/>
      <c r="Y14" s="148"/>
      <c r="Z14" s="958">
        <f>VLOOKUP(B14,'Manuell filtrering og justering'!$A$7:$H$107,'Manuell filtrering og justering'!$H$1,FALSE)</f>
        <v>1</v>
      </c>
      <c r="AA14" s="965">
        <f t="shared" si="11"/>
        <v>0</v>
      </c>
      <c r="AB14" s="163">
        <f>IF($AC$5='Manuell filtrering og justering'!$J$2,Z14,(T14-AA14))</f>
        <v>1</v>
      </c>
      <c r="AD14" s="150">
        <f t="shared" si="4"/>
        <v>6.1904761904761907E-3</v>
      </c>
      <c r="AE14" s="150">
        <f>IF(AB14=0,0,(AD14/AB14)*AI14)</f>
        <v>0</v>
      </c>
      <c r="AF14" s="150">
        <f t="shared" si="20"/>
        <v>0</v>
      </c>
      <c r="AG14" s="150">
        <f t="shared" si="21"/>
        <v>0</v>
      </c>
      <c r="AI14" s="151">
        <f>IF(VLOOKUP(E14,'Pre-Assessment Estimator'!$F$11:$AA$226,'Pre-Assessment Estimator'!$H$2,FALSE)&gt;AB14,AB14,VLOOKUP(E14,'Pre-Assessment Estimator'!$F$11:$AA$226,'Pre-Assessment Estimator'!$H$2,FALSE))</f>
        <v>0</v>
      </c>
      <c r="AJ14" s="151">
        <f>IF(VLOOKUP(E14,'Pre-Assessment Estimator'!$F$11:$AA$226,'Pre-Assessment Estimator'!$O$2,FALSE)&gt;AB14,AB14,VLOOKUP(E14,'Pre-Assessment Estimator'!$F$11:$AA$226,'Pre-Assessment Estimator'!$O$2,FALSE))</f>
        <v>0</v>
      </c>
      <c r="AK14" s="151">
        <f>IF(VLOOKUP(E14,'Pre-Assessment Estimator'!$F$11:$AA$226,'Pre-Assessment Estimator'!$V$2,FALSE)&gt;AB14,AB14,VLOOKUP(E14,'Pre-Assessment Estimator'!$F$11:$AA$226,'Pre-Assessment Estimator'!$V$2,FALSE))</f>
        <v>0</v>
      </c>
      <c r="AM14" s="719"/>
      <c r="AN14" s="720"/>
      <c r="AO14" s="720"/>
      <c r="AP14" s="159"/>
      <c r="AQ14" s="164"/>
      <c r="AS14" s="251"/>
      <c r="AT14" s="159"/>
      <c r="AU14" s="159"/>
      <c r="AV14" s="159"/>
      <c r="AW14" s="164"/>
      <c r="AX14" s="125"/>
      <c r="AY14" s="721"/>
      <c r="AZ14" s="722"/>
      <c r="BA14" s="722"/>
      <c r="BB14" s="722"/>
      <c r="BC14" s="155"/>
      <c r="BD14" s="160">
        <f t="shared" si="12"/>
        <v>9</v>
      </c>
      <c r="BE14" s="45" t="str">
        <f t="shared" si="6"/>
        <v>N/A</v>
      </c>
      <c r="BF14" s="163"/>
      <c r="BG14" s="160">
        <f t="shared" si="13"/>
        <v>9</v>
      </c>
      <c r="BH14" s="45" t="str">
        <f t="shared" si="8"/>
        <v>N/A</v>
      </c>
      <c r="BI14" s="163"/>
      <c r="BJ14" s="160">
        <f t="shared" si="14"/>
        <v>9</v>
      </c>
      <c r="BK14" s="45" t="str">
        <f t="shared" si="9"/>
        <v>N/A</v>
      </c>
      <c r="BL14" s="723"/>
      <c r="BO14" s="43"/>
      <c r="BP14" s="43"/>
      <c r="BQ14" s="43" t="str">
        <f t="shared" si="15"/>
        <v/>
      </c>
      <c r="BR14" s="43">
        <f t="shared" si="22"/>
        <v>9</v>
      </c>
      <c r="BS14" s="43">
        <f t="shared" si="17"/>
        <v>9</v>
      </c>
      <c r="BT14" s="43">
        <f t="shared" si="18"/>
        <v>9</v>
      </c>
      <c r="BW14" s="45"/>
      <c r="BX14" s="45"/>
      <c r="BY14" s="249"/>
      <c r="BZ14" s="249"/>
      <c r="CA14" s="249"/>
      <c r="CB14" s="249"/>
    </row>
    <row r="15" spans="1:90" x14ac:dyDescent="0.25">
      <c r="A15">
        <v>7</v>
      </c>
      <c r="B15" t="str">
        <f t="shared" si="10"/>
        <v>Man 01e</v>
      </c>
      <c r="C15" t="str">
        <f t="shared" si="19"/>
        <v>Man 01</v>
      </c>
      <c r="D15" s="43" t="s">
        <v>693</v>
      </c>
      <c r="E15" s="916" t="s">
        <v>587</v>
      </c>
      <c r="F15" s="668">
        <v>1</v>
      </c>
      <c r="G15" s="668">
        <v>1</v>
      </c>
      <c r="H15" s="668">
        <v>1</v>
      </c>
      <c r="I15" s="668">
        <v>1</v>
      </c>
      <c r="J15" s="668">
        <v>1</v>
      </c>
      <c r="K15" s="668">
        <v>1</v>
      </c>
      <c r="L15" s="668">
        <v>1</v>
      </c>
      <c r="M15" s="668">
        <v>1</v>
      </c>
      <c r="N15" s="668">
        <v>1</v>
      </c>
      <c r="O15" s="668">
        <v>1</v>
      </c>
      <c r="P15" s="668">
        <v>1</v>
      </c>
      <c r="Q15" s="668">
        <v>1</v>
      </c>
      <c r="R15" s="668">
        <v>1</v>
      </c>
      <c r="S15" s="579"/>
      <c r="T15" s="145">
        <f t="shared" si="2"/>
        <v>1</v>
      </c>
      <c r="U15" s="146"/>
      <c r="V15" s="43"/>
      <c r="W15" s="43"/>
      <c r="X15" s="147"/>
      <c r="Y15" s="148"/>
      <c r="Z15" s="958">
        <f>VLOOKUP(B15,'Manuell filtrering og justering'!$A$7:$H$107,'Manuell filtrering og justering'!$H$1,FALSE)</f>
        <v>2</v>
      </c>
      <c r="AA15" s="965">
        <f t="shared" si="11"/>
        <v>0</v>
      </c>
      <c r="AB15" s="163">
        <f>IF($AC$5='Manuell filtrering og justering'!$J$2,Z15,(T15-AA15))</f>
        <v>1</v>
      </c>
      <c r="AD15" s="150">
        <f t="shared" si="4"/>
        <v>6.1904761904761907E-3</v>
      </c>
      <c r="AE15" s="150">
        <f>IF(AB15=0,0,(AD15/AB15)*AI15)</f>
        <v>0</v>
      </c>
      <c r="AF15" s="150">
        <f t="shared" si="20"/>
        <v>0</v>
      </c>
      <c r="AG15" s="150">
        <f t="shared" si="21"/>
        <v>0</v>
      </c>
      <c r="AI15" s="151">
        <f>IF(VLOOKUP(E15,'Pre-Assessment Estimator'!$F$11:$AA$226,'Pre-Assessment Estimator'!$H$2,FALSE)&gt;AB15,AB15,VLOOKUP(E15,'Pre-Assessment Estimator'!$F$11:$AA$226,'Pre-Assessment Estimator'!$H$2,FALSE))</f>
        <v>0</v>
      </c>
      <c r="AJ15" s="151">
        <f>IF(VLOOKUP(E15,'Pre-Assessment Estimator'!$F$11:$AA$226,'Pre-Assessment Estimator'!$O$2,FALSE)&gt;AB15,AB15,VLOOKUP(E15,'Pre-Assessment Estimator'!$F$11:$AA$226,'Pre-Assessment Estimator'!$O$2,FALSE))</f>
        <v>0</v>
      </c>
      <c r="AK15" s="151">
        <f>IF(VLOOKUP(E15,'Pre-Assessment Estimator'!$F$11:$AA$226,'Pre-Assessment Estimator'!$V$2,FALSE)&gt;AB15,AB15,VLOOKUP(E15,'Pre-Assessment Estimator'!$F$11:$AA$226,'Pre-Assessment Estimator'!$V$2,FALSE))</f>
        <v>0</v>
      </c>
      <c r="AM15" s="852"/>
      <c r="AN15" s="853"/>
      <c r="AO15" s="853"/>
      <c r="AP15" s="850"/>
      <c r="AQ15" s="848"/>
      <c r="AR15" s="121"/>
      <c r="AS15" s="849"/>
      <c r="AT15" s="850"/>
      <c r="AU15" s="850"/>
      <c r="AV15" s="850"/>
      <c r="AW15" s="848"/>
      <c r="AX15" s="125"/>
      <c r="AY15" s="721"/>
      <c r="AZ15" s="722"/>
      <c r="BA15" s="722"/>
      <c r="BB15" s="161"/>
      <c r="BC15" s="161"/>
      <c r="BD15" s="160">
        <f t="shared" si="12"/>
        <v>9</v>
      </c>
      <c r="BE15" s="45" t="str">
        <f t="shared" si="6"/>
        <v>N/A</v>
      </c>
      <c r="BF15" s="163"/>
      <c r="BG15" s="160">
        <f t="shared" si="13"/>
        <v>9</v>
      </c>
      <c r="BH15" s="45" t="str">
        <f t="shared" si="8"/>
        <v>N/A</v>
      </c>
      <c r="BI15" s="163"/>
      <c r="BJ15" s="160">
        <f t="shared" si="14"/>
        <v>9</v>
      </c>
      <c r="BK15" s="45" t="str">
        <f t="shared" si="9"/>
        <v>N/A</v>
      </c>
      <c r="BL15" s="723"/>
      <c r="BO15" s="43"/>
      <c r="BP15" s="43"/>
      <c r="BQ15" s="43" t="str">
        <f t="shared" si="15"/>
        <v/>
      </c>
      <c r="BR15" s="43">
        <f t="shared" si="22"/>
        <v>9</v>
      </c>
      <c r="BS15" s="43">
        <f t="shared" si="17"/>
        <v>9</v>
      </c>
      <c r="BT15" s="43">
        <f t="shared" si="18"/>
        <v>9</v>
      </c>
      <c r="BW15" s="45"/>
      <c r="BX15" s="45"/>
      <c r="BY15" s="249"/>
      <c r="BZ15" s="249"/>
      <c r="CA15" s="249"/>
      <c r="CB15" s="249"/>
    </row>
    <row r="16" spans="1:90" x14ac:dyDescent="0.25">
      <c r="A16">
        <v>8</v>
      </c>
      <c r="B16" s="121" t="str">
        <f>D16</f>
        <v>Man 02</v>
      </c>
      <c r="C16" s="121" t="str">
        <f>B16</f>
        <v>Man 02</v>
      </c>
      <c r="D16" s="725" t="s">
        <v>92</v>
      </c>
      <c r="E16" s="725" t="s">
        <v>306</v>
      </c>
      <c r="F16" s="811">
        <f>SUM(F17:F18)</f>
        <v>3</v>
      </c>
      <c r="G16" s="811">
        <f t="shared" ref="G16:R16" si="23">SUM(G17:G18)</f>
        <v>3</v>
      </c>
      <c r="H16" s="811">
        <f t="shared" si="23"/>
        <v>3</v>
      </c>
      <c r="I16" s="811">
        <f t="shared" si="23"/>
        <v>3</v>
      </c>
      <c r="J16" s="811">
        <f t="shared" si="23"/>
        <v>3</v>
      </c>
      <c r="K16" s="811">
        <f t="shared" si="23"/>
        <v>3</v>
      </c>
      <c r="L16" s="811">
        <f t="shared" si="23"/>
        <v>3</v>
      </c>
      <c r="M16" s="811">
        <f t="shared" si="23"/>
        <v>3</v>
      </c>
      <c r="N16" s="811">
        <f t="shared" si="23"/>
        <v>3</v>
      </c>
      <c r="O16" s="811">
        <f t="shared" si="23"/>
        <v>3</v>
      </c>
      <c r="P16" s="811">
        <f t="shared" si="23"/>
        <v>3</v>
      </c>
      <c r="Q16" s="811">
        <f t="shared" ref="Q16" si="24">SUM(Q17:Q18)</f>
        <v>3</v>
      </c>
      <c r="R16" s="811">
        <f t="shared" si="23"/>
        <v>3</v>
      </c>
      <c r="S16" s="579"/>
      <c r="T16" s="797">
        <f t="shared" si="2"/>
        <v>3</v>
      </c>
      <c r="U16" s="146"/>
      <c r="V16" s="43"/>
      <c r="W16" s="43"/>
      <c r="X16" s="147">
        <f>'Manuell filtrering og justering'!E8</f>
        <v>0</v>
      </c>
      <c r="Y16" s="148"/>
      <c r="Z16" s="973">
        <f t="shared" ref="Z16" si="25">SUM(Z17:Z18)</f>
        <v>3</v>
      </c>
      <c r="AA16" s="965">
        <f t="shared" si="11"/>
        <v>0</v>
      </c>
      <c r="AB16" s="969">
        <f t="shared" ref="AB16" si="26">SUM(AB17:AB18)</f>
        <v>3</v>
      </c>
      <c r="AD16" s="799">
        <f t="shared" si="4"/>
        <v>1.8571428571428572E-2</v>
      </c>
      <c r="AE16" s="799">
        <f>SUM(AE17:AE18)</f>
        <v>0</v>
      </c>
      <c r="AF16" s="799">
        <f>SUM(AF17:AF18)</f>
        <v>0</v>
      </c>
      <c r="AG16" s="799">
        <f>SUM(AG17:AG18)</f>
        <v>0</v>
      </c>
      <c r="AI16" s="800">
        <f t="shared" ref="AI16:AK16" si="27">SUM(AI17:AI18)</f>
        <v>0</v>
      </c>
      <c r="AJ16" s="800">
        <f t="shared" si="27"/>
        <v>0</v>
      </c>
      <c r="AK16" s="800">
        <f t="shared" si="27"/>
        <v>0</v>
      </c>
      <c r="AM16" s="849"/>
      <c r="AN16" s="850"/>
      <c r="AO16" s="850"/>
      <c r="AP16" s="850"/>
      <c r="AQ16" s="848"/>
      <c r="AR16" s="121"/>
      <c r="AS16" s="849"/>
      <c r="AT16" s="850"/>
      <c r="AU16" s="850"/>
      <c r="AV16" s="850"/>
      <c r="AW16" s="848"/>
      <c r="AX16" s="125"/>
      <c r="AY16" s="160"/>
      <c r="AZ16" s="161"/>
      <c r="BA16" s="161"/>
      <c r="BB16" s="161"/>
      <c r="BC16" s="162"/>
      <c r="BD16" s="160">
        <f>IF(BC16=0,9,IF(AI16&gt;=BC16,5,IF(AI16&gt;=BB16,4,IF(AI16&gt;=BA16,3,IF(AI16&gt;=AZ16,2,IF(AI16&lt;AY16,0,1))))))</f>
        <v>9</v>
      </c>
      <c r="BE16" s="45" t="str">
        <f t="shared" si="6"/>
        <v>N/A</v>
      </c>
      <c r="BF16" s="163"/>
      <c r="BG16" s="160">
        <f t="shared" si="7"/>
        <v>9</v>
      </c>
      <c r="BH16" s="45" t="str">
        <f t="shared" si="8"/>
        <v>N/A</v>
      </c>
      <c r="BI16" s="163"/>
      <c r="BJ16" s="160">
        <f t="shared" ref="BJ16:BJ164" si="28">IF(BC16=0,9,IF(AK16&gt;=BC16,5,IF(AK16&gt;=BB16,4,IF(AK16&gt;=BA16,3,IF(AK16&gt;=AZ16,2,IF(AK16&lt;AY16,0,1))))))</f>
        <v>9</v>
      </c>
      <c r="BK16" s="45" t="str">
        <f t="shared" si="9"/>
        <v>N/A</v>
      </c>
      <c r="BL16" s="163"/>
      <c r="BO16" s="43"/>
      <c r="BP16" s="43"/>
      <c r="BQ16" s="43" t="str">
        <f t="shared" si="15"/>
        <v/>
      </c>
      <c r="BR16" s="43">
        <f t="shared" si="22"/>
        <v>9</v>
      </c>
      <c r="BS16" s="43">
        <f t="shared" si="17"/>
        <v>9</v>
      </c>
      <c r="BT16" s="43">
        <f t="shared" si="18"/>
        <v>9</v>
      </c>
      <c r="BW16" s="43" t="str">
        <f>D16</f>
        <v>Man 02</v>
      </c>
      <c r="BX16" s="43" t="str">
        <f>IFERROR(VLOOKUP($E16,'Pre-Assessment Estimator'!$F$11:$AC$226,'Pre-Assessment Estimator'!AC$2,FALSE),"")</f>
        <v>No</v>
      </c>
      <c r="BY16" s="248">
        <f>IFERROR(VLOOKUP($E16,'Pre-Assessment Estimator'!$F$11:$AJ$226,'Pre-Assessment Estimator'!AJ$2,FALSE),"")</f>
        <v>0</v>
      </c>
      <c r="BZ16" s="248">
        <f>IFERROR(VLOOKUP($BX16,$E$293:$H$326,F$291,FALSE),"")</f>
        <v>1</v>
      </c>
      <c r="CA16" s="248">
        <f>IFERROR(VLOOKUP($BX16,$E$293:$H$326,G$291,FALSE),"")</f>
        <v>0</v>
      </c>
      <c r="CB16" s="248"/>
      <c r="CC16" t="str">
        <f>IFERROR(VLOOKUP($BX16,$E$293:$H$326,I$291,FALSE),"")</f>
        <v/>
      </c>
    </row>
    <row r="17" spans="1:81" x14ac:dyDescent="0.25">
      <c r="A17">
        <v>9</v>
      </c>
      <c r="B17" t="str">
        <f t="shared" ref="B17:B18" si="29">$D$16&amp;D17</f>
        <v>Man 02a</v>
      </c>
      <c r="C17" t="str">
        <f t="shared" si="19"/>
        <v>Man 02</v>
      </c>
      <c r="D17" s="43" t="s">
        <v>692</v>
      </c>
      <c r="E17" s="916" t="s">
        <v>590</v>
      </c>
      <c r="F17" s="668">
        <v>2</v>
      </c>
      <c r="G17" s="668">
        <v>2</v>
      </c>
      <c r="H17" s="668">
        <v>2</v>
      </c>
      <c r="I17" s="668">
        <v>2</v>
      </c>
      <c r="J17" s="668">
        <v>2</v>
      </c>
      <c r="K17" s="668">
        <v>2</v>
      </c>
      <c r="L17" s="668">
        <v>2</v>
      </c>
      <c r="M17" s="668">
        <v>2</v>
      </c>
      <c r="N17" s="668">
        <v>2</v>
      </c>
      <c r="O17" s="668">
        <v>2</v>
      </c>
      <c r="P17" s="668">
        <v>2</v>
      </c>
      <c r="Q17" s="668">
        <v>2</v>
      </c>
      <c r="R17" s="668">
        <v>2</v>
      </c>
      <c r="S17" s="579"/>
      <c r="T17" s="145">
        <f t="shared" si="2"/>
        <v>2</v>
      </c>
      <c r="U17" s="146"/>
      <c r="V17" s="43"/>
      <c r="W17" s="43"/>
      <c r="X17" s="147"/>
      <c r="Y17" s="148"/>
      <c r="Z17" s="958">
        <f>VLOOKUP(B17,'Manuell filtrering og justering'!$A$7:$H$107,'Manuell filtrering og justering'!$H$1,FALSE)</f>
        <v>2</v>
      </c>
      <c r="AA17" s="965">
        <f t="shared" si="11"/>
        <v>0</v>
      </c>
      <c r="AB17" s="163">
        <f>IF($AC$5='Manuell filtrering og justering'!$J$2,Z17,(T17-AA17))</f>
        <v>2</v>
      </c>
      <c r="AD17" s="150">
        <f t="shared" si="4"/>
        <v>1.2380952380952381E-2</v>
      </c>
      <c r="AE17" s="150">
        <f>IF(AB17=0,0,(AD17/AB17)*AI17)</f>
        <v>0</v>
      </c>
      <c r="AF17" s="150">
        <f t="shared" si="20"/>
        <v>0</v>
      </c>
      <c r="AG17" s="150">
        <f t="shared" si="21"/>
        <v>0</v>
      </c>
      <c r="AI17" s="151">
        <f>IF(VLOOKUP(E17,'Pre-Assessment Estimator'!$F$11:$AA$226,'Pre-Assessment Estimator'!$H$2,FALSE)&gt;AB17,AB17,VLOOKUP(E17,'Pre-Assessment Estimator'!$F$11:$AA$226,'Pre-Assessment Estimator'!$H$2,FALSE))</f>
        <v>0</v>
      </c>
      <c r="AJ17" s="151">
        <f>IF(VLOOKUP(E17,'Pre-Assessment Estimator'!$F$11:$AA$226,'Pre-Assessment Estimator'!$O$2,FALSE)&gt;AB17,AB17,VLOOKUP(E17,'Pre-Assessment Estimator'!$F$11:$AA$226,'Pre-Assessment Estimator'!$O$2,FALSE))</f>
        <v>0</v>
      </c>
      <c r="AK17" s="151">
        <f>IF(VLOOKUP(E17,'Pre-Assessment Estimator'!$F$11:$AA$226,'Pre-Assessment Estimator'!$V$2,FALSE)&gt;AB17,AB17,VLOOKUP(E17,'Pre-Assessment Estimator'!$F$11:$AA$226,'Pre-Assessment Estimator'!$V$2,FALSE))</f>
        <v>0</v>
      </c>
      <c r="AM17" s="849"/>
      <c r="AN17" s="850"/>
      <c r="AO17" s="850"/>
      <c r="AP17" s="850"/>
      <c r="AQ17" s="848"/>
      <c r="AR17" s="121"/>
      <c r="AS17" s="849"/>
      <c r="AT17" s="850"/>
      <c r="AU17" s="850"/>
      <c r="AV17" s="850"/>
      <c r="AW17" s="848"/>
      <c r="AX17" s="125"/>
      <c r="AY17" s="160"/>
      <c r="AZ17" s="161"/>
      <c r="BA17" s="161"/>
      <c r="BB17" s="161"/>
      <c r="BC17" s="162"/>
      <c r="BD17" s="160">
        <f t="shared" ref="BD17:BD34" si="30">IF(BC17=0,9,IF(AI17&gt;=BC17,5,IF(AI17&gt;=BB17,4,IF(AI17&gt;=BA17,3,IF(AI17&gt;=AZ17,2,IF(AI17&lt;AY17,0,1))))))</f>
        <v>9</v>
      </c>
      <c r="BE17" s="45" t="str">
        <f t="shared" si="6"/>
        <v>N/A</v>
      </c>
      <c r="BF17" s="163"/>
      <c r="BG17" s="160">
        <f t="shared" si="7"/>
        <v>9</v>
      </c>
      <c r="BH17" s="45" t="str">
        <f t="shared" si="8"/>
        <v>N/A</v>
      </c>
      <c r="BI17" s="163"/>
      <c r="BJ17" s="160">
        <f t="shared" si="28"/>
        <v>9</v>
      </c>
      <c r="BK17" s="45" t="str">
        <f t="shared" si="9"/>
        <v>N/A</v>
      </c>
      <c r="BL17" s="163"/>
      <c r="BO17" s="43"/>
      <c r="BP17" s="43"/>
      <c r="BQ17" s="43" t="str">
        <f t="shared" si="15"/>
        <v/>
      </c>
      <c r="BR17" s="43">
        <f t="shared" si="22"/>
        <v>9</v>
      </c>
      <c r="BS17" s="43">
        <f t="shared" si="17"/>
        <v>9</v>
      </c>
      <c r="BT17" s="43">
        <f t="shared" si="18"/>
        <v>9</v>
      </c>
      <c r="BW17" s="43"/>
      <c r="BX17" s="43"/>
      <c r="BY17" s="248"/>
      <c r="BZ17" s="248"/>
      <c r="CA17" s="248"/>
      <c r="CB17" s="248"/>
    </row>
    <row r="18" spans="1:81" x14ac:dyDescent="0.25">
      <c r="A18">
        <v>10</v>
      </c>
      <c r="B18" t="str">
        <f t="shared" si="29"/>
        <v>Man 02b</v>
      </c>
      <c r="C18" t="str">
        <f t="shared" si="19"/>
        <v>Man 02</v>
      </c>
      <c r="D18" s="43" t="s">
        <v>695</v>
      </c>
      <c r="E18" s="916" t="s">
        <v>591</v>
      </c>
      <c r="F18" s="668">
        <v>1</v>
      </c>
      <c r="G18" s="668">
        <v>1</v>
      </c>
      <c r="H18" s="668">
        <v>1</v>
      </c>
      <c r="I18" s="668">
        <v>1</v>
      </c>
      <c r="J18" s="668">
        <v>1</v>
      </c>
      <c r="K18" s="668">
        <v>1</v>
      </c>
      <c r="L18" s="668">
        <v>1</v>
      </c>
      <c r="M18" s="668">
        <v>1</v>
      </c>
      <c r="N18" s="668">
        <v>1</v>
      </c>
      <c r="O18" s="668">
        <v>1</v>
      </c>
      <c r="P18" s="668">
        <v>1</v>
      </c>
      <c r="Q18" s="668">
        <v>1</v>
      </c>
      <c r="R18" s="668">
        <v>1</v>
      </c>
      <c r="S18" s="579"/>
      <c r="T18" s="145">
        <f t="shared" si="2"/>
        <v>1</v>
      </c>
      <c r="U18" s="146"/>
      <c r="V18" s="43"/>
      <c r="W18" s="43"/>
      <c r="X18" s="147"/>
      <c r="Y18" s="148"/>
      <c r="Z18" s="958">
        <f>VLOOKUP(B18,'Manuell filtrering og justering'!$A$7:$H$107,'Manuell filtrering og justering'!$H$1,FALSE)</f>
        <v>1</v>
      </c>
      <c r="AA18" s="965">
        <f t="shared" si="11"/>
        <v>0</v>
      </c>
      <c r="AB18" s="163">
        <f>IF($AC$5='Manuell filtrering og justering'!$J$2,Z18,(T18-AA18))</f>
        <v>1</v>
      </c>
      <c r="AD18" s="150">
        <f t="shared" si="4"/>
        <v>6.1904761904761907E-3</v>
      </c>
      <c r="AE18" s="150">
        <f>IF(AB18=0,0,(AD18/AB18)*AI18)</f>
        <v>0</v>
      </c>
      <c r="AF18" s="150">
        <f t="shared" si="20"/>
        <v>0</v>
      </c>
      <c r="AG18" s="150">
        <f t="shared" si="21"/>
        <v>0</v>
      </c>
      <c r="AI18" s="151">
        <f>IF(VLOOKUP(E18,'Pre-Assessment Estimator'!$F$11:$AA$226,'Pre-Assessment Estimator'!$H$2,FALSE)&gt;AB18,AB18,VLOOKUP(E18,'Pre-Assessment Estimator'!$F$11:$AA$226,'Pre-Assessment Estimator'!$H$2,FALSE))</f>
        <v>0</v>
      </c>
      <c r="AJ18" s="151">
        <f>IF(VLOOKUP(E18,'Pre-Assessment Estimator'!$F$11:$AA$226,'Pre-Assessment Estimator'!$O$2,FALSE)&gt;AB18,AB18,VLOOKUP(E18,'Pre-Assessment Estimator'!$F$11:$AA$226,'Pre-Assessment Estimator'!$O$2,FALSE))</f>
        <v>0</v>
      </c>
      <c r="AK18" s="151">
        <f>IF(VLOOKUP(E18,'Pre-Assessment Estimator'!$F$11:$AA$226,'Pre-Assessment Estimator'!$V$2,FALSE)&gt;AB18,AB18,VLOOKUP(E18,'Pre-Assessment Estimator'!$F$11:$AA$226,'Pre-Assessment Estimator'!$V$2,FALSE))</f>
        <v>0</v>
      </c>
      <c r="AM18" s="849"/>
      <c r="AN18" s="850"/>
      <c r="AO18" s="850"/>
      <c r="AP18" s="850"/>
      <c r="AQ18" s="848"/>
      <c r="AR18" s="121"/>
      <c r="AS18" s="849"/>
      <c r="AT18" s="850"/>
      <c r="AU18" s="850"/>
      <c r="AV18" s="850"/>
      <c r="AW18" s="848"/>
      <c r="AX18" s="125"/>
      <c r="AY18" s="160"/>
      <c r="AZ18" s="161"/>
      <c r="BA18" s="161"/>
      <c r="BB18" s="161"/>
      <c r="BC18" s="162"/>
      <c r="BD18" s="160">
        <f t="shared" si="30"/>
        <v>9</v>
      </c>
      <c r="BE18" s="45" t="str">
        <f t="shared" si="6"/>
        <v>N/A</v>
      </c>
      <c r="BF18" s="163"/>
      <c r="BG18" s="160">
        <f t="shared" si="7"/>
        <v>9</v>
      </c>
      <c r="BH18" s="45" t="str">
        <f t="shared" si="8"/>
        <v>N/A</v>
      </c>
      <c r="BI18" s="163"/>
      <c r="BJ18" s="160">
        <f t="shared" si="28"/>
        <v>9</v>
      </c>
      <c r="BK18" s="45" t="str">
        <f t="shared" si="9"/>
        <v>N/A</v>
      </c>
      <c r="BL18" s="163"/>
      <c r="BO18" s="43"/>
      <c r="BP18" s="43"/>
      <c r="BQ18" s="43" t="str">
        <f t="shared" si="15"/>
        <v/>
      </c>
      <c r="BR18" s="43">
        <f t="shared" si="22"/>
        <v>9</v>
      </c>
      <c r="BS18" s="43">
        <f t="shared" si="17"/>
        <v>9</v>
      </c>
      <c r="BT18" s="43">
        <f t="shared" si="18"/>
        <v>9</v>
      </c>
      <c r="BW18" s="43"/>
      <c r="BX18" s="43"/>
      <c r="BY18" s="248"/>
      <c r="BZ18" s="248"/>
      <c r="CA18" s="248"/>
      <c r="CB18" s="248"/>
    </row>
    <row r="19" spans="1:81" x14ac:dyDescent="0.25">
      <c r="A19">
        <v>11</v>
      </c>
      <c r="B19" s="121" t="str">
        <f>D19</f>
        <v>Man 03</v>
      </c>
      <c r="C19" s="121" t="str">
        <f>B19</f>
        <v>Man 03</v>
      </c>
      <c r="D19" s="725" t="s">
        <v>93</v>
      </c>
      <c r="E19" s="725" t="s">
        <v>307</v>
      </c>
      <c r="F19" s="811">
        <f>SUM(F20:F25)</f>
        <v>7</v>
      </c>
      <c r="G19" s="811">
        <f t="shared" ref="G19:R19" si="31">SUM(G20:G25)</f>
        <v>7</v>
      </c>
      <c r="H19" s="811">
        <f t="shared" si="31"/>
        <v>7</v>
      </c>
      <c r="I19" s="811">
        <f t="shared" si="31"/>
        <v>7</v>
      </c>
      <c r="J19" s="811">
        <f t="shared" si="31"/>
        <v>7</v>
      </c>
      <c r="K19" s="811">
        <f t="shared" si="31"/>
        <v>7</v>
      </c>
      <c r="L19" s="811">
        <f t="shared" si="31"/>
        <v>7</v>
      </c>
      <c r="M19" s="811">
        <f t="shared" si="31"/>
        <v>7</v>
      </c>
      <c r="N19" s="811">
        <f t="shared" si="31"/>
        <v>7</v>
      </c>
      <c r="O19" s="811">
        <f t="shared" si="31"/>
        <v>7</v>
      </c>
      <c r="P19" s="811">
        <f t="shared" si="31"/>
        <v>7</v>
      </c>
      <c r="Q19" s="811">
        <f t="shared" ref="Q19" si="32">SUM(Q20:Q25)</f>
        <v>7</v>
      </c>
      <c r="R19" s="811">
        <f t="shared" si="31"/>
        <v>7</v>
      </c>
      <c r="T19" s="797">
        <f t="shared" si="2"/>
        <v>7</v>
      </c>
      <c r="U19" s="146"/>
      <c r="V19" s="43"/>
      <c r="W19" s="43"/>
      <c r="X19" s="147">
        <f>'Manuell filtrering og justering'!E9</f>
        <v>0</v>
      </c>
      <c r="Y19" s="148"/>
      <c r="Z19" s="973">
        <f>SUM(Z20:Z25)</f>
        <v>7</v>
      </c>
      <c r="AA19" s="965">
        <f t="shared" si="11"/>
        <v>0</v>
      </c>
      <c r="AB19" s="969">
        <f>SUM(AB20:AB25)</f>
        <v>7</v>
      </c>
      <c r="AD19" s="799">
        <f t="shared" si="4"/>
        <v>4.3333333333333335E-2</v>
      </c>
      <c r="AE19" s="799">
        <f>SUM(AE20:AE25)</f>
        <v>0</v>
      </c>
      <c r="AF19" s="799">
        <f>SUM(AF20:AF25)</f>
        <v>0</v>
      </c>
      <c r="AG19" s="799">
        <f>SUM(AG20:AG25)</f>
        <v>0</v>
      </c>
      <c r="AI19" s="800">
        <f t="shared" ref="AI19:AK19" si="33">SUM(AI20:AI25)</f>
        <v>0</v>
      </c>
      <c r="AJ19" s="800">
        <f t="shared" si="33"/>
        <v>0</v>
      </c>
      <c r="AK19" s="800">
        <f t="shared" si="33"/>
        <v>0</v>
      </c>
      <c r="AM19" s="849"/>
      <c r="AN19" s="850"/>
      <c r="AO19" s="850"/>
      <c r="AP19" s="850"/>
      <c r="AQ19" s="848"/>
      <c r="AR19" s="121"/>
      <c r="AS19" s="849"/>
      <c r="AT19" s="850"/>
      <c r="AU19" s="850"/>
      <c r="AV19" s="850"/>
      <c r="AW19" s="848"/>
      <c r="AX19" s="125"/>
      <c r="AY19" s="160"/>
      <c r="AZ19" s="161"/>
      <c r="BA19" s="161"/>
      <c r="BB19" s="161"/>
      <c r="BC19" s="162"/>
      <c r="BD19" s="160">
        <f t="shared" si="30"/>
        <v>9</v>
      </c>
      <c r="BE19" s="45" t="str">
        <f t="shared" si="6"/>
        <v>N/A</v>
      </c>
      <c r="BF19" s="163"/>
      <c r="BG19" s="160">
        <f t="shared" si="7"/>
        <v>9</v>
      </c>
      <c r="BH19" s="45" t="str">
        <f t="shared" si="8"/>
        <v>N/A</v>
      </c>
      <c r="BI19" s="163"/>
      <c r="BJ19" s="160">
        <f t="shared" si="28"/>
        <v>9</v>
      </c>
      <c r="BK19" s="45" t="str">
        <f t="shared" si="9"/>
        <v>N/A</v>
      </c>
      <c r="BL19" s="163"/>
      <c r="BO19" s="43"/>
      <c r="BP19" s="43"/>
      <c r="BQ19" s="43" t="str">
        <f t="shared" si="15"/>
        <v/>
      </c>
      <c r="BR19" s="43">
        <f t="shared" si="22"/>
        <v>9</v>
      </c>
      <c r="BS19" s="43">
        <f t="shared" si="17"/>
        <v>9</v>
      </c>
      <c r="BT19" s="43">
        <f t="shared" si="18"/>
        <v>9</v>
      </c>
      <c r="BW19" s="43" t="str">
        <f>D19</f>
        <v>Man 03</v>
      </c>
      <c r="BX19" s="43" t="str">
        <f>IFERROR(VLOOKUP($E19,'Pre-Assessment Estimator'!$F$11:$AC$226,'Pre-Assessment Estimator'!AC$2,FALSE),"")</f>
        <v>N/A</v>
      </c>
      <c r="BY19" s="248">
        <f>IFERROR(VLOOKUP($E19,'Pre-Assessment Estimator'!$F$11:$AJ$226,'Pre-Assessment Estimator'!AJ$2,FALSE),"")</f>
        <v>0</v>
      </c>
      <c r="BZ19" s="248">
        <f>IFERROR(VLOOKUP($BX19,$E$293:$H$326,F$291,FALSE),"")</f>
        <v>1</v>
      </c>
      <c r="CA19" s="248">
        <f>IFERROR(VLOOKUP($BX19,$E$293:$H$326,G$291,FALSE),"")</f>
        <v>0</v>
      </c>
      <c r="CB19" s="248"/>
      <c r="CC19" t="str">
        <f>IFERROR(VLOOKUP($BX19,$E$293:$H$326,I$291,FALSE),"")</f>
        <v/>
      </c>
    </row>
    <row r="20" spans="1:81" x14ac:dyDescent="0.25">
      <c r="A20">
        <v>12</v>
      </c>
      <c r="B20" t="str">
        <f t="shared" ref="B20:B25" si="34">$D$19&amp;D20</f>
        <v>Man 03a</v>
      </c>
      <c r="C20" t="str">
        <f t="shared" si="19"/>
        <v>Man 03</v>
      </c>
      <c r="D20" s="43" t="s">
        <v>692</v>
      </c>
      <c r="E20" s="916" t="s">
        <v>592</v>
      </c>
      <c r="F20" s="668">
        <v>1</v>
      </c>
      <c r="G20" s="668">
        <v>1</v>
      </c>
      <c r="H20" s="668">
        <v>1</v>
      </c>
      <c r="I20" s="668">
        <v>1</v>
      </c>
      <c r="J20" s="668">
        <v>1</v>
      </c>
      <c r="K20" s="668">
        <v>1</v>
      </c>
      <c r="L20" s="668">
        <v>1</v>
      </c>
      <c r="M20" s="668">
        <v>1</v>
      </c>
      <c r="N20" s="668">
        <v>1</v>
      </c>
      <c r="O20" s="668">
        <v>1</v>
      </c>
      <c r="P20" s="668">
        <v>1</v>
      </c>
      <c r="Q20" s="668">
        <v>1</v>
      </c>
      <c r="R20" s="668">
        <v>1</v>
      </c>
      <c r="T20" s="145">
        <f t="shared" si="2"/>
        <v>1</v>
      </c>
      <c r="U20" s="146"/>
      <c r="V20" s="43"/>
      <c r="W20" s="43"/>
      <c r="X20" s="147"/>
      <c r="Y20" s="148"/>
      <c r="Z20" s="958">
        <f>VLOOKUP(B20,'Manuell filtrering og justering'!$A$7:$H$107,'Manuell filtrering og justering'!$H$1,FALSE)</f>
        <v>1</v>
      </c>
      <c r="AA20" s="965">
        <f t="shared" si="11"/>
        <v>0</v>
      </c>
      <c r="AB20" s="163">
        <f>IF($AC$5='Manuell filtrering og justering'!$J$2,Z20,(T20-AA20))</f>
        <v>1</v>
      </c>
      <c r="AD20" s="150">
        <f t="shared" si="4"/>
        <v>6.1904761904761907E-3</v>
      </c>
      <c r="AE20" s="150">
        <f>IF(AB20=0,0,(AD20/AB20)*AI20)</f>
        <v>0</v>
      </c>
      <c r="AF20" s="150">
        <f t="shared" si="20"/>
        <v>0</v>
      </c>
      <c r="AG20" s="150">
        <f t="shared" si="21"/>
        <v>0</v>
      </c>
      <c r="AI20" s="151">
        <f>IF(VLOOKUP(E20,'Pre-Assessment Estimator'!$F$11:$AA$226,'Pre-Assessment Estimator'!$H$2,FALSE)&gt;AB20,AB20,VLOOKUP(E20,'Pre-Assessment Estimator'!$F$11:$AA$226,'Pre-Assessment Estimator'!$H$2,FALSE))</f>
        <v>0</v>
      </c>
      <c r="AJ20" s="151">
        <f>IF(VLOOKUP(E20,'Pre-Assessment Estimator'!$F$11:$AA$226,'Pre-Assessment Estimator'!$O$2,FALSE)&gt;AB20,AB20,VLOOKUP(E20,'Pre-Assessment Estimator'!$F$11:$AA$226,'Pre-Assessment Estimator'!$O$2,FALSE))</f>
        <v>0</v>
      </c>
      <c r="AK20" s="151">
        <f>IF(VLOOKUP(E20,'Pre-Assessment Estimator'!$F$11:$AA$226,'Pre-Assessment Estimator'!$V$2,FALSE)&gt;AB20,AB20,VLOOKUP(E20,'Pre-Assessment Estimator'!$F$11:$AA$226,'Pre-Assessment Estimator'!$V$2,FALSE))</f>
        <v>0</v>
      </c>
      <c r="AM20" s="849"/>
      <c r="AN20" s="850"/>
      <c r="AO20" s="850"/>
      <c r="AP20" s="850"/>
      <c r="AQ20" s="848"/>
      <c r="AR20" s="121"/>
      <c r="AS20" s="849"/>
      <c r="AT20" s="850"/>
      <c r="AU20" s="850"/>
      <c r="AV20" s="850"/>
      <c r="AW20" s="848"/>
      <c r="AX20" s="125"/>
      <c r="AY20" s="160"/>
      <c r="AZ20" s="161"/>
      <c r="BA20" s="161"/>
      <c r="BB20" s="161"/>
      <c r="BC20" s="162"/>
      <c r="BD20" s="160">
        <f t="shared" si="30"/>
        <v>9</v>
      </c>
      <c r="BE20" s="45" t="str">
        <f t="shared" si="6"/>
        <v>N/A</v>
      </c>
      <c r="BF20" s="163"/>
      <c r="BG20" s="160">
        <f t="shared" si="7"/>
        <v>9</v>
      </c>
      <c r="BH20" s="45" t="str">
        <f t="shared" si="8"/>
        <v>N/A</v>
      </c>
      <c r="BI20" s="163"/>
      <c r="BJ20" s="160">
        <f t="shared" si="28"/>
        <v>9</v>
      </c>
      <c r="BK20" s="45" t="str">
        <f t="shared" si="9"/>
        <v>N/A</v>
      </c>
      <c r="BL20" s="163"/>
      <c r="BO20" s="43"/>
      <c r="BP20" s="43"/>
      <c r="BQ20" s="43" t="str">
        <f t="shared" si="15"/>
        <v/>
      </c>
      <c r="BR20" s="43">
        <f t="shared" si="22"/>
        <v>9</v>
      </c>
      <c r="BS20" s="43">
        <f t="shared" si="17"/>
        <v>9</v>
      </c>
      <c r="BT20" s="43">
        <f t="shared" si="18"/>
        <v>9</v>
      </c>
      <c r="BW20" s="43"/>
      <c r="BX20" s="43"/>
      <c r="BY20" s="248"/>
      <c r="BZ20" s="248"/>
      <c r="CA20" s="248"/>
      <c r="CB20" s="248"/>
    </row>
    <row r="21" spans="1:81" x14ac:dyDescent="0.25">
      <c r="A21">
        <v>13</v>
      </c>
      <c r="B21" t="str">
        <f t="shared" si="34"/>
        <v>Man 03b</v>
      </c>
      <c r="C21" t="str">
        <f t="shared" si="19"/>
        <v>Man 03</v>
      </c>
      <c r="D21" s="43" t="s">
        <v>695</v>
      </c>
      <c r="E21" s="916" t="s">
        <v>954</v>
      </c>
      <c r="F21" s="668">
        <v>1</v>
      </c>
      <c r="G21" s="668">
        <v>1</v>
      </c>
      <c r="H21" s="668">
        <v>1</v>
      </c>
      <c r="I21" s="668">
        <v>1</v>
      </c>
      <c r="J21" s="668">
        <v>1</v>
      </c>
      <c r="K21" s="668">
        <v>1</v>
      </c>
      <c r="L21" s="668">
        <v>1</v>
      </c>
      <c r="M21" s="668">
        <v>1</v>
      </c>
      <c r="N21" s="668">
        <v>1</v>
      </c>
      <c r="O21" s="668">
        <v>1</v>
      </c>
      <c r="P21" s="668">
        <v>1</v>
      </c>
      <c r="Q21" s="668">
        <v>1</v>
      </c>
      <c r="R21" s="668">
        <v>1</v>
      </c>
      <c r="T21" s="145">
        <f t="shared" si="2"/>
        <v>1</v>
      </c>
      <c r="U21" s="146"/>
      <c r="V21" s="43"/>
      <c r="W21" s="43"/>
      <c r="X21" s="147"/>
      <c r="Y21" s="148"/>
      <c r="Z21" s="958">
        <f>VLOOKUP(B21,'Manuell filtrering og justering'!$A$7:$H$107,'Manuell filtrering og justering'!$H$1,FALSE)</f>
        <v>1</v>
      </c>
      <c r="AA21" s="965">
        <f t="shared" si="11"/>
        <v>0</v>
      </c>
      <c r="AB21" s="163">
        <f>IF($AC$5='Manuell filtrering og justering'!$J$2,Z21,(T21-AA21))</f>
        <v>1</v>
      </c>
      <c r="AD21" s="150">
        <f t="shared" si="4"/>
        <v>6.1904761904761907E-3</v>
      </c>
      <c r="AE21" s="150">
        <f>IF(AB21=0,0,(AD21/AB21)*AI21)</f>
        <v>0</v>
      </c>
      <c r="AF21" s="150">
        <f t="shared" si="20"/>
        <v>0</v>
      </c>
      <c r="AG21" s="150">
        <f t="shared" si="21"/>
        <v>0</v>
      </c>
      <c r="AI21" s="151">
        <f>IF(VLOOKUP(E21,'Pre-Assessment Estimator'!$F$11:$AA$226,'Pre-Assessment Estimator'!$H$2,FALSE)&gt;AB21,AB21,VLOOKUP(E21,'Pre-Assessment Estimator'!$F$11:$AA$226,'Pre-Assessment Estimator'!$H$2,FALSE))</f>
        <v>0</v>
      </c>
      <c r="AJ21" s="151">
        <f>IF(VLOOKUP(E21,'Pre-Assessment Estimator'!$F$11:$AA$226,'Pre-Assessment Estimator'!$O$2,FALSE)&gt;AB21,AB21,VLOOKUP(E21,'Pre-Assessment Estimator'!$F$11:$AA$226,'Pre-Assessment Estimator'!$O$2,FALSE))</f>
        <v>0</v>
      </c>
      <c r="AK21" s="151">
        <f>IF(VLOOKUP(E21,'Pre-Assessment Estimator'!$F$11:$AA$226,'Pre-Assessment Estimator'!$V$2,FALSE)&gt;AB21,AB21,VLOOKUP(E21,'Pre-Assessment Estimator'!$F$11:$AA$226,'Pre-Assessment Estimator'!$V$2,FALSE))</f>
        <v>0</v>
      </c>
      <c r="AM21" s="849"/>
      <c r="AN21" s="850"/>
      <c r="AO21" s="850"/>
      <c r="AP21" s="850"/>
      <c r="AQ21" s="848"/>
      <c r="AR21" s="121"/>
      <c r="AS21" s="849"/>
      <c r="AT21" s="850"/>
      <c r="AU21" s="850"/>
      <c r="AV21" s="850"/>
      <c r="AW21" s="848"/>
      <c r="AX21" s="125"/>
      <c r="AY21" s="160"/>
      <c r="AZ21" s="161"/>
      <c r="BA21" s="161"/>
      <c r="BB21" s="161"/>
      <c r="BC21" s="162"/>
      <c r="BD21" s="160">
        <f t="shared" si="30"/>
        <v>9</v>
      </c>
      <c r="BE21" s="45" t="str">
        <f t="shared" si="6"/>
        <v>N/A</v>
      </c>
      <c r="BF21" s="163"/>
      <c r="BG21" s="160">
        <f t="shared" si="7"/>
        <v>9</v>
      </c>
      <c r="BH21" s="45" t="str">
        <f t="shared" si="8"/>
        <v>N/A</v>
      </c>
      <c r="BI21" s="163"/>
      <c r="BJ21" s="160">
        <f t="shared" si="28"/>
        <v>9</v>
      </c>
      <c r="BK21" s="45" t="str">
        <f t="shared" si="9"/>
        <v>N/A</v>
      </c>
      <c r="BL21" s="163"/>
      <c r="BO21" s="43"/>
      <c r="BP21" s="43"/>
      <c r="BQ21" s="43" t="str">
        <f t="shared" si="15"/>
        <v/>
      </c>
      <c r="BR21" s="43">
        <f t="shared" si="22"/>
        <v>9</v>
      </c>
      <c r="BS21" s="43">
        <f t="shared" si="17"/>
        <v>9</v>
      </c>
      <c r="BT21" s="43">
        <f t="shared" si="18"/>
        <v>9</v>
      </c>
      <c r="BW21" s="43"/>
      <c r="BX21" s="43"/>
      <c r="BY21" s="248"/>
      <c r="BZ21" s="248"/>
      <c r="CA21" s="248"/>
      <c r="CB21" s="248"/>
    </row>
    <row r="22" spans="1:81" x14ac:dyDescent="0.25">
      <c r="A22">
        <v>14</v>
      </c>
      <c r="B22" t="str">
        <f t="shared" si="34"/>
        <v>Man 03c</v>
      </c>
      <c r="C22" t="str">
        <f t="shared" si="19"/>
        <v>Man 03</v>
      </c>
      <c r="D22" s="43" t="s">
        <v>696</v>
      </c>
      <c r="E22" s="1035" t="s">
        <v>1108</v>
      </c>
      <c r="F22" s="668">
        <v>1</v>
      </c>
      <c r="G22" s="668">
        <v>1</v>
      </c>
      <c r="H22" s="668">
        <v>1</v>
      </c>
      <c r="I22" s="668">
        <v>1</v>
      </c>
      <c r="J22" s="668">
        <v>1</v>
      </c>
      <c r="K22" s="668">
        <v>1</v>
      </c>
      <c r="L22" s="668">
        <v>1</v>
      </c>
      <c r="M22" s="668">
        <v>1</v>
      </c>
      <c r="N22" s="668">
        <v>1</v>
      </c>
      <c r="O22" s="668">
        <v>1</v>
      </c>
      <c r="P22" s="668">
        <v>1</v>
      </c>
      <c r="Q22" s="668">
        <v>1</v>
      </c>
      <c r="R22" s="668">
        <v>1</v>
      </c>
      <c r="T22" s="145">
        <f t="shared" si="2"/>
        <v>1</v>
      </c>
      <c r="U22" s="146"/>
      <c r="V22" s="43"/>
      <c r="W22" s="43"/>
      <c r="X22" s="147"/>
      <c r="Y22" s="148"/>
      <c r="Z22" s="958">
        <f>VLOOKUP(B22,'Manuell filtrering og justering'!$A$7:$H$107,'Manuell filtrering og justering'!$H$1,FALSE)</f>
        <v>1</v>
      </c>
      <c r="AA22" s="965">
        <f t="shared" si="11"/>
        <v>0</v>
      </c>
      <c r="AB22" s="163">
        <f>IF($AC$5='Manuell filtrering og justering'!$J$2,Z22,(T22-AA22))</f>
        <v>1</v>
      </c>
      <c r="AD22" s="150">
        <f t="shared" si="4"/>
        <v>6.1904761904761907E-3</v>
      </c>
      <c r="AE22" s="150">
        <f>IF(AB22=0,0,(AD22/AB22)*AI22)</f>
        <v>0</v>
      </c>
      <c r="AF22" s="150">
        <f t="shared" si="20"/>
        <v>0</v>
      </c>
      <c r="AG22" s="150">
        <f t="shared" si="21"/>
        <v>0</v>
      </c>
      <c r="AI22" s="151">
        <f>IF(VLOOKUP(E22,'Pre-Assessment Estimator'!$F$11:$AA$226,'Pre-Assessment Estimator'!$H$2,FALSE)&gt;AB22,AB22,VLOOKUP(E22,'Pre-Assessment Estimator'!$F$11:$AA$226,'Pre-Assessment Estimator'!$H$2,FALSE))</f>
        <v>0</v>
      </c>
      <c r="AJ22" s="151">
        <f>IF(VLOOKUP(E22,'Pre-Assessment Estimator'!$F$11:$AA$226,'Pre-Assessment Estimator'!$O$2,FALSE)&gt;AB22,AB22,VLOOKUP(E22,'Pre-Assessment Estimator'!$F$11:$AA$226,'Pre-Assessment Estimator'!$O$2,FALSE))</f>
        <v>0</v>
      </c>
      <c r="AK22" s="151">
        <f>IF(VLOOKUP(E22,'Pre-Assessment Estimator'!$F$11:$AA$226,'Pre-Assessment Estimator'!$V$2,FALSE)&gt;AB22,AB22,VLOOKUP(E22,'Pre-Assessment Estimator'!$F$11:$AA$226,'Pre-Assessment Estimator'!$V$2,FALSE))</f>
        <v>0</v>
      </c>
      <c r="AM22" s="849">
        <v>1</v>
      </c>
      <c r="AN22" s="850">
        <v>1</v>
      </c>
      <c r="AO22" s="850">
        <v>1</v>
      </c>
      <c r="AP22" s="850">
        <v>1</v>
      </c>
      <c r="AQ22" s="848">
        <v>1</v>
      </c>
      <c r="AR22" s="121"/>
      <c r="AS22" s="849">
        <v>1</v>
      </c>
      <c r="AT22" s="850">
        <v>1</v>
      </c>
      <c r="AU22" s="850">
        <v>1</v>
      </c>
      <c r="AV22" s="850">
        <v>1</v>
      </c>
      <c r="AW22" s="848">
        <v>1</v>
      </c>
      <c r="AX22" s="125"/>
      <c r="AY22" s="161">
        <f>IF($E$6=$H$9,AS22,AM22)</f>
        <v>1</v>
      </c>
      <c r="AZ22" s="161">
        <f>IF($E$6=$H$9,AT22,AN22)</f>
        <v>1</v>
      </c>
      <c r="BA22" s="161">
        <f>IF($E$6=$H$9,AU22,AO22)</f>
        <v>1</v>
      </c>
      <c r="BB22" s="161">
        <f>IF($E$6=$H$9,AV22,AP22)</f>
        <v>1</v>
      </c>
      <c r="BC22" s="161">
        <f>IF($E$6=$H$9,AW22,AQ22)</f>
        <v>1</v>
      </c>
      <c r="BD22" s="160">
        <f t="shared" si="30"/>
        <v>0</v>
      </c>
      <c r="BE22" s="45" t="str">
        <f t="shared" si="6"/>
        <v>Unclassified</v>
      </c>
      <c r="BF22" s="163"/>
      <c r="BG22" s="160">
        <f t="shared" ref="BG22:BG34" si="35">IF(BC22=0,9,IF(AJ22&gt;=BC22,5,IF(AJ22&gt;=BB22,4,IF(AJ22&gt;=BA22,3,IF(AJ22&gt;=AZ22,2,IF(AJ22&lt;AY22,0,1))))))</f>
        <v>0</v>
      </c>
      <c r="BH22" s="45" t="str">
        <f t="shared" si="8"/>
        <v>Unclassified</v>
      </c>
      <c r="BI22" s="163"/>
      <c r="BJ22" s="160">
        <f t="shared" ref="BJ22:BJ34" si="36">IF(BC22=0,9,IF(AK22&gt;=BC22,5,IF(AK22&gt;=BB22,4,IF(AK22&gt;=BA22,3,IF(AK22&gt;=AZ22,2,IF(AK22&lt;AY22,0,1))))))</f>
        <v>0</v>
      </c>
      <c r="BK22" s="45" t="str">
        <f t="shared" si="9"/>
        <v>Unclassified</v>
      </c>
      <c r="BL22" s="163"/>
      <c r="BO22" s="43"/>
      <c r="BP22" s="43">
        <v>1</v>
      </c>
      <c r="BQ22" s="43">
        <f t="shared" si="15"/>
        <v>1</v>
      </c>
      <c r="BR22" s="43">
        <f t="shared" si="22"/>
        <v>0</v>
      </c>
      <c r="BS22" s="43">
        <f t="shared" si="17"/>
        <v>0</v>
      </c>
      <c r="BT22" s="43">
        <f t="shared" si="18"/>
        <v>0</v>
      </c>
      <c r="BW22" s="43"/>
      <c r="BX22" s="43"/>
      <c r="BY22" s="248"/>
      <c r="BZ22" s="248"/>
      <c r="CA22" s="248"/>
      <c r="CB22" s="248"/>
    </row>
    <row r="23" spans="1:81" x14ac:dyDescent="0.25">
      <c r="A23">
        <v>15</v>
      </c>
      <c r="B23" t="str">
        <f t="shared" si="34"/>
        <v>Man 03d</v>
      </c>
      <c r="C23" t="str">
        <f t="shared" si="19"/>
        <v>Man 03</v>
      </c>
      <c r="D23" s="43" t="s">
        <v>694</v>
      </c>
      <c r="E23" s="1035" t="s">
        <v>1038</v>
      </c>
      <c r="F23" s="668">
        <v>1</v>
      </c>
      <c r="G23" s="668">
        <v>1</v>
      </c>
      <c r="H23" s="668">
        <v>1</v>
      </c>
      <c r="I23" s="668">
        <v>1</v>
      </c>
      <c r="J23" s="668">
        <v>1</v>
      </c>
      <c r="K23" s="668">
        <v>1</v>
      </c>
      <c r="L23" s="668">
        <v>1</v>
      </c>
      <c r="M23" s="668">
        <v>1</v>
      </c>
      <c r="N23" s="668">
        <v>1</v>
      </c>
      <c r="O23" s="668">
        <v>1</v>
      </c>
      <c r="P23" s="668">
        <v>1</v>
      </c>
      <c r="Q23" s="668">
        <v>1</v>
      </c>
      <c r="R23" s="668">
        <v>1</v>
      </c>
      <c r="T23" s="145">
        <f t="shared" si="2"/>
        <v>1</v>
      </c>
      <c r="U23" s="146"/>
      <c r="V23" s="43"/>
      <c r="W23" s="43"/>
      <c r="X23" s="147"/>
      <c r="Y23" s="148"/>
      <c r="Z23" s="958">
        <f>VLOOKUP(B23,'Manuell filtrering og justering'!$A$7:$H$107,'Manuell filtrering og justering'!$H$1,FALSE)</f>
        <v>1</v>
      </c>
      <c r="AA23" s="965">
        <f t="shared" si="11"/>
        <v>0</v>
      </c>
      <c r="AB23" s="163">
        <f>IF($AC$5='Manuell filtrering og justering'!$J$2,Z23,(T23-AA23))</f>
        <v>1</v>
      </c>
      <c r="AD23" s="150">
        <f t="shared" ref="AD23:AD24" si="37">(Man_Weight/Man_Credits)*AB23</f>
        <v>6.1904761904761907E-3</v>
      </c>
      <c r="AE23" s="150">
        <f t="shared" ref="AE23:AE24" si="38">IF(AB23=0,0,(AD23/AB23)*AI23)</f>
        <v>0</v>
      </c>
      <c r="AF23" s="150">
        <f t="shared" ref="AF23:AF24" si="39">IF(AB23=0,0,(AD23/AB23)*AJ23)</f>
        <v>0</v>
      </c>
      <c r="AG23" s="150">
        <f t="shared" ref="AG23:AG24" si="40">IF(AB23=0,0,(AD23/AB23)*AK23)</f>
        <v>0</v>
      </c>
      <c r="AI23" s="151">
        <f>IF(VLOOKUP(E23,'Pre-Assessment Estimator'!$F$11:$AA$226,'Pre-Assessment Estimator'!$H$2,FALSE)&gt;AB23,AB23,VLOOKUP(E23,'Pre-Assessment Estimator'!$F$11:$AA$226,'Pre-Assessment Estimator'!$H$2,FALSE))</f>
        <v>0</v>
      </c>
      <c r="AJ23" s="151">
        <f>IF(VLOOKUP(E23,'Pre-Assessment Estimator'!$F$11:$AA$226,'Pre-Assessment Estimator'!$O$2,FALSE)&gt;AB23,AB23,VLOOKUP(E23,'Pre-Assessment Estimator'!$F$11:$AA$226,'Pre-Assessment Estimator'!$O$2,FALSE))</f>
        <v>0</v>
      </c>
      <c r="AK23" s="151">
        <f>IF(VLOOKUP(E23,'Pre-Assessment Estimator'!$F$11:$AA$226,'Pre-Assessment Estimator'!$V$2,FALSE)&gt;AB23,AB23,VLOOKUP(E23,'Pre-Assessment Estimator'!$F$11:$AA$226,'Pre-Assessment Estimator'!$V$2,FALSE))</f>
        <v>0</v>
      </c>
      <c r="AM23" s="849"/>
      <c r="AN23" s="850"/>
      <c r="AO23" s="850">
        <v>1</v>
      </c>
      <c r="AP23" s="850">
        <v>1</v>
      </c>
      <c r="AQ23" s="848">
        <v>1</v>
      </c>
      <c r="AR23" s="121"/>
      <c r="AS23" s="849"/>
      <c r="AT23" s="850"/>
      <c r="AU23" s="850">
        <v>1</v>
      </c>
      <c r="AV23" s="850">
        <v>1</v>
      </c>
      <c r="AW23" s="848">
        <v>1</v>
      </c>
      <c r="AX23" s="125"/>
      <c r="AY23" s="861"/>
      <c r="AZ23" s="161"/>
      <c r="BA23" s="161">
        <f>IF($E$6=$H$9,AU23,AO23)</f>
        <v>1</v>
      </c>
      <c r="BB23" s="161">
        <f>IF($E$6=$H$9,AV23,AP23)</f>
        <v>1</v>
      </c>
      <c r="BC23" s="161">
        <f>IF($E$6=$H$9,AW23,AQ23)</f>
        <v>1</v>
      </c>
      <c r="BD23" s="160">
        <f t="shared" ref="BD23" si="41">IF(BC23=0,9,IF(AI23&gt;=BC23,5,IF(AI23&gt;=BB23,4,IF(AI23&gt;=BA23,3,IF(AI23&gt;=AZ23,2,IF(AI23&lt;AY23,0,1))))))</f>
        <v>2</v>
      </c>
      <c r="BE23" s="45" t="str">
        <f t="shared" si="6"/>
        <v>Good</v>
      </c>
      <c r="BF23" s="163"/>
      <c r="BG23" s="160">
        <f t="shared" ref="BG23" si="42">IF(BC23=0,9,IF(AJ23&gt;=BC23,5,IF(AJ23&gt;=BB23,4,IF(AJ23&gt;=BA23,3,IF(AJ23&gt;=AZ23,2,IF(AJ23&lt;AY23,0,1))))))</f>
        <v>2</v>
      </c>
      <c r="BH23" s="45" t="str">
        <f t="shared" si="8"/>
        <v>Good</v>
      </c>
      <c r="BI23" s="163"/>
      <c r="BJ23" s="160">
        <f t="shared" ref="BJ23" si="43">IF(BC23=0,9,IF(AK23&gt;=BC23,5,IF(AK23&gt;=BB23,4,IF(AK23&gt;=BA23,3,IF(AK23&gt;=AZ23,2,IF(AK23&lt;AY23,0,1))))))</f>
        <v>2</v>
      </c>
      <c r="BK23" s="45" t="str">
        <f t="shared" si="9"/>
        <v>Good</v>
      </c>
      <c r="BL23" s="163"/>
      <c r="BO23" s="43"/>
      <c r="BP23" s="43">
        <v>1</v>
      </c>
      <c r="BQ23" s="43">
        <f t="shared" si="15"/>
        <v>1</v>
      </c>
      <c r="BR23" s="43">
        <f t="shared" si="22"/>
        <v>0</v>
      </c>
      <c r="BS23" s="43">
        <f t="shared" si="17"/>
        <v>0</v>
      </c>
      <c r="BT23" s="43">
        <f t="shared" si="18"/>
        <v>0</v>
      </c>
      <c r="BW23" s="43"/>
      <c r="BX23" s="43"/>
      <c r="BY23" s="248"/>
      <c r="BZ23" s="248"/>
      <c r="CA23" s="248"/>
      <c r="CB23" s="248"/>
    </row>
    <row r="24" spans="1:81" x14ac:dyDescent="0.25">
      <c r="A24">
        <v>16</v>
      </c>
      <c r="B24" t="str">
        <f t="shared" si="34"/>
        <v>Man 03e</v>
      </c>
      <c r="C24" t="str">
        <f t="shared" si="19"/>
        <v>Man 03</v>
      </c>
      <c r="D24" s="43" t="s">
        <v>693</v>
      </c>
      <c r="E24" s="916" t="s">
        <v>991</v>
      </c>
      <c r="F24" s="668">
        <v>1</v>
      </c>
      <c r="G24" s="668">
        <v>1</v>
      </c>
      <c r="H24" s="668">
        <v>1</v>
      </c>
      <c r="I24" s="668">
        <v>1</v>
      </c>
      <c r="J24" s="668">
        <v>1</v>
      </c>
      <c r="K24" s="668">
        <v>1</v>
      </c>
      <c r="L24" s="668">
        <v>1</v>
      </c>
      <c r="M24" s="668">
        <v>1</v>
      </c>
      <c r="N24" s="668">
        <v>1</v>
      </c>
      <c r="O24" s="668">
        <v>1</v>
      </c>
      <c r="P24" s="668">
        <v>1</v>
      </c>
      <c r="Q24" s="668">
        <v>1</v>
      </c>
      <c r="R24" s="668">
        <v>1</v>
      </c>
      <c r="T24" s="145">
        <f t="shared" si="2"/>
        <v>1</v>
      </c>
      <c r="U24" s="146"/>
      <c r="V24" s="43"/>
      <c r="W24" s="43"/>
      <c r="X24" s="147"/>
      <c r="Y24" s="148"/>
      <c r="Z24" s="958">
        <f>VLOOKUP(B24,'Manuell filtrering og justering'!$A$7:$H$107,'Manuell filtrering og justering'!$H$1,FALSE)</f>
        <v>1</v>
      </c>
      <c r="AA24" s="965">
        <f t="shared" si="11"/>
        <v>0</v>
      </c>
      <c r="AB24" s="163">
        <f>IF($AC$5='Manuell filtrering og justering'!$J$2,Z24,(T24-AA24))</f>
        <v>1</v>
      </c>
      <c r="AD24" s="150">
        <f t="shared" si="37"/>
        <v>6.1904761904761907E-3</v>
      </c>
      <c r="AE24" s="150">
        <f t="shared" si="38"/>
        <v>0</v>
      </c>
      <c r="AF24" s="150">
        <f t="shared" si="39"/>
        <v>0</v>
      </c>
      <c r="AG24" s="150">
        <f t="shared" si="40"/>
        <v>0</v>
      </c>
      <c r="AI24" s="151">
        <f>IF(VLOOKUP(E24,'Pre-Assessment Estimator'!$F$11:$AA$226,'Pre-Assessment Estimator'!$H$2,FALSE)&gt;AB24,AB24,VLOOKUP(E24,'Pre-Assessment Estimator'!$F$11:$AA$226,'Pre-Assessment Estimator'!$H$2,FALSE))</f>
        <v>0</v>
      </c>
      <c r="AJ24" s="151">
        <f>IF(VLOOKUP(E24,'Pre-Assessment Estimator'!$F$11:$AA$226,'Pre-Assessment Estimator'!$O$2,FALSE)&gt;AB24,AB24,VLOOKUP(E24,'Pre-Assessment Estimator'!$F$11:$AA$226,'Pre-Assessment Estimator'!$O$2,FALSE))</f>
        <v>0</v>
      </c>
      <c r="AK24" s="151">
        <f>IF(VLOOKUP(E24,'Pre-Assessment Estimator'!$F$11:$AA$226,'Pre-Assessment Estimator'!$V$2,FALSE)&gt;AB24,AB24,VLOOKUP(E24,'Pre-Assessment Estimator'!$F$11:$AA$226,'Pre-Assessment Estimator'!$V$2,FALSE))</f>
        <v>0</v>
      </c>
      <c r="AM24" s="849"/>
      <c r="AN24" s="850"/>
      <c r="AO24" s="850"/>
      <c r="AP24" s="850"/>
      <c r="AQ24" s="848"/>
      <c r="AR24" s="121"/>
      <c r="AS24" s="849"/>
      <c r="AT24" s="850"/>
      <c r="AU24" s="850"/>
      <c r="AV24" s="850"/>
      <c r="AW24" s="848"/>
      <c r="AX24" s="125"/>
      <c r="AY24" s="861"/>
      <c r="AZ24" s="161"/>
      <c r="BA24" s="161"/>
      <c r="BB24" s="161"/>
      <c r="BC24" s="161"/>
      <c r="BD24" s="851">
        <f>BD25</f>
        <v>3</v>
      </c>
      <c r="BE24" s="45" t="str">
        <f t="shared" si="6"/>
        <v>Very Good</v>
      </c>
      <c r="BF24" s="163"/>
      <c r="BG24" s="851">
        <f>BG25</f>
        <v>3</v>
      </c>
      <c r="BH24" s="45" t="str">
        <f t="shared" si="8"/>
        <v>Very Good</v>
      </c>
      <c r="BI24" s="163"/>
      <c r="BJ24" s="851">
        <f>BJ25</f>
        <v>3</v>
      </c>
      <c r="BK24" s="45" t="str">
        <f t="shared" si="9"/>
        <v>Very Good</v>
      </c>
      <c r="BL24" s="163"/>
      <c r="BO24" s="43"/>
      <c r="BP24" s="43"/>
      <c r="BQ24" s="43" t="str">
        <f t="shared" si="15"/>
        <v/>
      </c>
      <c r="BR24" s="43">
        <f t="shared" si="22"/>
        <v>9</v>
      </c>
      <c r="BS24" s="43">
        <f t="shared" si="17"/>
        <v>9</v>
      </c>
      <c r="BT24" s="43">
        <f t="shared" si="18"/>
        <v>9</v>
      </c>
      <c r="BW24" s="43"/>
      <c r="BX24" s="43"/>
      <c r="BY24" s="248"/>
      <c r="BZ24" s="248"/>
      <c r="CA24" s="248"/>
      <c r="CB24" s="248"/>
    </row>
    <row r="25" spans="1:81" x14ac:dyDescent="0.25">
      <c r="A25">
        <v>17</v>
      </c>
      <c r="B25" t="str">
        <f t="shared" si="34"/>
        <v>Man 03f</v>
      </c>
      <c r="C25" t="str">
        <f t="shared" si="19"/>
        <v>Man 03</v>
      </c>
      <c r="D25" s="43" t="s">
        <v>908</v>
      </c>
      <c r="E25" s="916" t="s">
        <v>992</v>
      </c>
      <c r="F25" s="668">
        <v>2</v>
      </c>
      <c r="G25" s="668">
        <v>2</v>
      </c>
      <c r="H25" s="668">
        <v>2</v>
      </c>
      <c r="I25" s="668">
        <v>2</v>
      </c>
      <c r="J25" s="668">
        <v>2</v>
      </c>
      <c r="K25" s="668">
        <v>2</v>
      </c>
      <c r="L25" s="668">
        <v>2</v>
      </c>
      <c r="M25" s="668">
        <v>2</v>
      </c>
      <c r="N25" s="668">
        <v>2</v>
      </c>
      <c r="O25" s="668">
        <v>2</v>
      </c>
      <c r="P25" s="668">
        <v>2</v>
      </c>
      <c r="Q25" s="668">
        <v>2</v>
      </c>
      <c r="R25" s="668">
        <v>2</v>
      </c>
      <c r="T25" s="145">
        <f t="shared" si="2"/>
        <v>2</v>
      </c>
      <c r="U25" s="146"/>
      <c r="V25" s="43"/>
      <c r="W25" s="43"/>
      <c r="X25" s="147"/>
      <c r="Y25" s="148"/>
      <c r="Z25" s="958">
        <f>VLOOKUP(B25,'Manuell filtrering og justering'!$A$7:$H$107,'Manuell filtrering og justering'!$H$1,FALSE)</f>
        <v>2</v>
      </c>
      <c r="AA25" s="965">
        <f t="shared" si="11"/>
        <v>0</v>
      </c>
      <c r="AB25" s="163">
        <f>IF($AC$5='Manuell filtrering og justering'!$J$2,Z25,(T25-AA25))</f>
        <v>2</v>
      </c>
      <c r="AD25" s="150">
        <f t="shared" si="4"/>
        <v>1.2380952380952381E-2</v>
      </c>
      <c r="AE25" s="150">
        <f>IF(AB25=0,0,(AD25/AB25)*AI25)</f>
        <v>0</v>
      </c>
      <c r="AF25" s="150">
        <f t="shared" si="20"/>
        <v>0</v>
      </c>
      <c r="AG25" s="150">
        <f t="shared" si="21"/>
        <v>0</v>
      </c>
      <c r="AI25" s="151">
        <f>IF(VLOOKUP(E25,'Pre-Assessment Estimator'!$F$11:$AA$226,'Pre-Assessment Estimator'!$H$2,FALSE)&gt;AB25,AB25,VLOOKUP(E25,'Pre-Assessment Estimator'!$F$11:$AA$226,'Pre-Assessment Estimator'!$H$2,FALSE))</f>
        <v>0</v>
      </c>
      <c r="AJ25" s="151">
        <f>IF(VLOOKUP(E25,'Pre-Assessment Estimator'!$F$11:$AA$226,'Pre-Assessment Estimator'!$O$2,FALSE)&gt;AB25,AB25,VLOOKUP(E25,'Pre-Assessment Estimator'!$F$11:$AA$226,'Pre-Assessment Estimator'!$O$2,FALSE))</f>
        <v>0</v>
      </c>
      <c r="AK25" s="151">
        <f>IF(VLOOKUP(E25,'Pre-Assessment Estimator'!$F$11:$AA$226,'Pre-Assessment Estimator'!$V$2,FALSE)&gt;AB25,AB25,VLOOKUP(E25,'Pre-Assessment Estimator'!$F$11:$AA$226,'Pre-Assessment Estimator'!$V$2,FALSE))</f>
        <v>0</v>
      </c>
      <c r="AM25" s="849"/>
      <c r="AN25" s="850"/>
      <c r="AO25" s="850"/>
      <c r="AP25" s="862">
        <v>3</v>
      </c>
      <c r="AQ25" s="863">
        <v>3</v>
      </c>
      <c r="AR25" s="121"/>
      <c r="AS25" s="849"/>
      <c r="AT25" s="850"/>
      <c r="AU25" s="850"/>
      <c r="AV25" s="862">
        <v>3</v>
      </c>
      <c r="AW25" s="863">
        <v>3</v>
      </c>
      <c r="AX25" s="125"/>
      <c r="AY25" s="160"/>
      <c r="AZ25" s="161"/>
      <c r="BA25" s="161"/>
      <c r="BB25" s="161">
        <f>IF($E$6=$H$9,AV25,AP25)</f>
        <v>3</v>
      </c>
      <c r="BC25" s="161">
        <f>IF($E$6=$H$9,AW25,AQ25)</f>
        <v>3</v>
      </c>
      <c r="BD25" s="851">
        <f>IF(BC25=0,9,IF((AI25+AI24)&gt;=BC25,5,IF((AI25+AI24)&gt;=BB25,4,IF((AI25+AI24)&gt;=BA25,3,IF((AI25+AI24)&gt;=AZ25,2,IF((AI25+AI24)&lt;AY25,0,1))))))</f>
        <v>3</v>
      </c>
      <c r="BE25" s="45" t="str">
        <f t="shared" si="6"/>
        <v>Very Good</v>
      </c>
      <c r="BF25" s="163"/>
      <c r="BG25" s="851">
        <f>IF(BC25=0,9,IF((AJ25+AJ24)&gt;=BC25,5,IF((AJ25+AJ24)&gt;=BB25,4,IF((AJ25+AJ24)&gt;=BA25,3,IF((AJ25+AJ24)&gt;=AZ25,2,IF((AJ25+AJ24)&lt;AY25,0,1))))))</f>
        <v>3</v>
      </c>
      <c r="BH25" s="45" t="str">
        <f t="shared" si="8"/>
        <v>Very Good</v>
      </c>
      <c r="BI25" s="163"/>
      <c r="BJ25" s="851">
        <f>IF(BC25=0,9,IF((AK25+AK24)&gt;=BC25,5,IF((AK25+AK24)&gt;=BB25,4,IF((AK25+AK24)&gt;=BA25,3,IF((AK25+AK24)&gt;=AZ25,2,IF((AK25+AK24)&lt;AY25,0,1))))))</f>
        <v>3</v>
      </c>
      <c r="BK25" s="45" t="str">
        <f t="shared" si="9"/>
        <v>Very Good</v>
      </c>
      <c r="BL25" s="163"/>
      <c r="BO25" s="43"/>
      <c r="BP25" s="43"/>
      <c r="BQ25" s="43" t="str">
        <f t="shared" si="15"/>
        <v/>
      </c>
      <c r="BR25" s="43">
        <f t="shared" si="22"/>
        <v>9</v>
      </c>
      <c r="BS25" s="43">
        <f t="shared" si="17"/>
        <v>9</v>
      </c>
      <c r="BT25" s="43">
        <f t="shared" si="18"/>
        <v>9</v>
      </c>
      <c r="BW25" s="43"/>
      <c r="BX25" s="43"/>
      <c r="BY25" s="248"/>
      <c r="BZ25" s="248"/>
      <c r="CA25" s="248"/>
      <c r="CB25" s="248"/>
    </row>
    <row r="26" spans="1:81" x14ac:dyDescent="0.25">
      <c r="A26">
        <v>18</v>
      </c>
      <c r="B26" s="121" t="str">
        <f>D26</f>
        <v>Man 04</v>
      </c>
      <c r="C26" s="121" t="str">
        <f>B26</f>
        <v>Man 04</v>
      </c>
      <c r="D26" s="725" t="s">
        <v>94</v>
      </c>
      <c r="E26" s="725" t="s">
        <v>395</v>
      </c>
      <c r="F26" s="811">
        <f>SUM(F27:F29)</f>
        <v>3</v>
      </c>
      <c r="G26" s="811">
        <f t="shared" ref="G26:R26" si="44">SUM(G27:G29)</f>
        <v>3</v>
      </c>
      <c r="H26" s="811">
        <f t="shared" si="44"/>
        <v>3</v>
      </c>
      <c r="I26" s="811">
        <f t="shared" si="44"/>
        <v>3</v>
      </c>
      <c r="J26" s="811">
        <f t="shared" si="44"/>
        <v>3</v>
      </c>
      <c r="K26" s="811">
        <f t="shared" si="44"/>
        <v>3</v>
      </c>
      <c r="L26" s="811">
        <f t="shared" si="44"/>
        <v>3</v>
      </c>
      <c r="M26" s="811">
        <f t="shared" si="44"/>
        <v>3</v>
      </c>
      <c r="N26" s="811">
        <f t="shared" si="44"/>
        <v>3</v>
      </c>
      <c r="O26" s="811">
        <f t="shared" si="44"/>
        <v>3</v>
      </c>
      <c r="P26" s="811">
        <f t="shared" si="44"/>
        <v>3</v>
      </c>
      <c r="Q26" s="811">
        <f t="shared" ref="Q26" si="45">SUM(Q27:Q29)</f>
        <v>3</v>
      </c>
      <c r="R26" s="811">
        <f t="shared" si="44"/>
        <v>3</v>
      </c>
      <c r="T26" s="797">
        <f t="shared" si="2"/>
        <v>3</v>
      </c>
      <c r="U26" s="146"/>
      <c r="V26" s="43"/>
      <c r="W26" s="43"/>
      <c r="X26" s="147">
        <f>'Manuell filtrering og justering'!E10</f>
        <v>0</v>
      </c>
      <c r="Y26" s="148"/>
      <c r="Z26" s="973">
        <f t="shared" ref="Z26" si="46">SUM(Z27:Z29)</f>
        <v>3</v>
      </c>
      <c r="AA26" s="965">
        <f t="shared" si="11"/>
        <v>0</v>
      </c>
      <c r="AB26" s="969">
        <f>SUM(AB27:AB29)</f>
        <v>3</v>
      </c>
      <c r="AD26" s="799">
        <f t="shared" si="4"/>
        <v>1.8571428571428572E-2</v>
      </c>
      <c r="AE26" s="799">
        <f>SUM(AE27:AE29)</f>
        <v>0</v>
      </c>
      <c r="AF26" s="799">
        <f>SUM(AF27:AF29)</f>
        <v>0</v>
      </c>
      <c r="AG26" s="799">
        <f>SUM(AG27:AG29)</f>
        <v>0</v>
      </c>
      <c r="AI26" s="800">
        <f t="shared" ref="AI26:AK26" si="47">SUM(AI27:AI29)</f>
        <v>0</v>
      </c>
      <c r="AJ26" s="800">
        <f t="shared" si="47"/>
        <v>0</v>
      </c>
      <c r="AK26" s="800">
        <f t="shared" si="47"/>
        <v>0</v>
      </c>
      <c r="AM26" s="251"/>
      <c r="AN26" s="159"/>
      <c r="AO26" s="159"/>
      <c r="AP26" s="159"/>
      <c r="AQ26" s="164"/>
      <c r="AS26" s="251"/>
      <c r="AT26" s="159"/>
      <c r="AU26" s="159"/>
      <c r="AV26" s="159"/>
      <c r="AW26" s="164"/>
      <c r="AX26" s="125"/>
      <c r="AY26" s="160"/>
      <c r="AZ26" s="161"/>
      <c r="BA26" s="161"/>
      <c r="BB26" s="161"/>
      <c r="BC26" s="165"/>
      <c r="BD26" s="160">
        <f t="shared" si="30"/>
        <v>9</v>
      </c>
      <c r="BE26" s="45" t="str">
        <f t="shared" si="6"/>
        <v>N/A</v>
      </c>
      <c r="BF26" s="163"/>
      <c r="BG26" s="160">
        <f t="shared" si="35"/>
        <v>9</v>
      </c>
      <c r="BH26" s="45" t="str">
        <f t="shared" si="8"/>
        <v>N/A</v>
      </c>
      <c r="BI26" s="163"/>
      <c r="BJ26" s="160">
        <f t="shared" si="36"/>
        <v>9</v>
      </c>
      <c r="BK26" s="45" t="str">
        <f t="shared" si="9"/>
        <v>N/A</v>
      </c>
      <c r="BL26" s="163"/>
      <c r="BO26" s="43"/>
      <c r="BP26" s="43"/>
      <c r="BQ26" s="43" t="str">
        <f t="shared" si="15"/>
        <v/>
      </c>
      <c r="BR26" s="43">
        <f t="shared" si="22"/>
        <v>9</v>
      </c>
      <c r="BS26" s="43">
        <f t="shared" si="17"/>
        <v>9</v>
      </c>
      <c r="BT26" s="43">
        <f t="shared" si="18"/>
        <v>9</v>
      </c>
      <c r="BW26" s="43" t="str">
        <f>D26</f>
        <v>Man 04</v>
      </c>
      <c r="BX26" s="43" t="str">
        <f>IFERROR(VLOOKUP($E26,'Pre-Assessment Estimator'!$F$11:$AC$226,'Pre-Assessment Estimator'!AC$2,FALSE),"")</f>
        <v>No</v>
      </c>
      <c r="BY26" s="248">
        <f>IFERROR(VLOOKUP($E26,'Pre-Assessment Estimator'!$F$11:$AJ$226,'Pre-Assessment Estimator'!AJ$2,FALSE),"")</f>
        <v>0</v>
      </c>
      <c r="BZ26" s="248">
        <f>IFERROR(VLOOKUP($BX26,$E$293:$H$326,F$291,FALSE),"")</f>
        <v>1</v>
      </c>
      <c r="CA26" s="248">
        <f>IFERROR(VLOOKUP($BX26,$E$293:$H$326,G$291,FALSE),"")</f>
        <v>0</v>
      </c>
      <c r="CB26" s="248"/>
      <c r="CC26" t="str">
        <f>IFERROR(VLOOKUP($BX26,$E$293:$H$326,I$291,FALSE),"")</f>
        <v/>
      </c>
    </row>
    <row r="27" spans="1:81" x14ac:dyDescent="0.25">
      <c r="A27">
        <v>19</v>
      </c>
      <c r="B27" t="str">
        <f t="shared" ref="B27:B29" si="48">$D$26&amp;D27</f>
        <v>Man 04a</v>
      </c>
      <c r="C27" t="str">
        <f t="shared" si="19"/>
        <v>Man 04</v>
      </c>
      <c r="D27" s="43" t="s">
        <v>692</v>
      </c>
      <c r="E27" s="916" t="s">
        <v>596</v>
      </c>
      <c r="F27" s="668">
        <v>1</v>
      </c>
      <c r="G27" s="668">
        <v>1</v>
      </c>
      <c r="H27" s="668">
        <v>1</v>
      </c>
      <c r="I27" s="668">
        <v>1</v>
      </c>
      <c r="J27" s="668">
        <v>1</v>
      </c>
      <c r="K27" s="668">
        <v>1</v>
      </c>
      <c r="L27" s="668">
        <v>1</v>
      </c>
      <c r="M27" s="668">
        <v>1</v>
      </c>
      <c r="N27" s="668">
        <v>1</v>
      </c>
      <c r="O27" s="668">
        <v>1</v>
      </c>
      <c r="P27" s="668">
        <v>1</v>
      </c>
      <c r="Q27" s="668">
        <v>1</v>
      </c>
      <c r="R27" s="668">
        <v>1</v>
      </c>
      <c r="T27" s="145">
        <f t="shared" si="2"/>
        <v>1</v>
      </c>
      <c r="U27" s="146"/>
      <c r="V27" s="43"/>
      <c r="W27" s="43"/>
      <c r="X27" s="147"/>
      <c r="Y27" s="148"/>
      <c r="Z27" s="958">
        <f>VLOOKUP(B27,'Manuell filtrering og justering'!$A$7:$H$107,'Manuell filtrering og justering'!$H$1,FALSE)</f>
        <v>1</v>
      </c>
      <c r="AA27" s="965">
        <f t="shared" si="11"/>
        <v>0</v>
      </c>
      <c r="AB27" s="163">
        <f>IF($AC$5='Manuell filtrering og justering'!$J$2,Z27,(T27-AA27))</f>
        <v>1</v>
      </c>
      <c r="AD27" s="150">
        <f t="shared" si="4"/>
        <v>6.1904761904761907E-3</v>
      </c>
      <c r="AE27" s="150">
        <f>IF(AB27=0,0,(AD27/AB27)*AI27)</f>
        <v>0</v>
      </c>
      <c r="AF27" s="150">
        <f t="shared" si="20"/>
        <v>0</v>
      </c>
      <c r="AG27" s="150">
        <f t="shared" si="21"/>
        <v>0</v>
      </c>
      <c r="AI27" s="151">
        <f>IF(VLOOKUP(E27,'Pre-Assessment Estimator'!$F$11:$AA$226,'Pre-Assessment Estimator'!$H$2,FALSE)&gt;AB27,AB27,VLOOKUP(E27,'Pre-Assessment Estimator'!$F$11:$AA$226,'Pre-Assessment Estimator'!$H$2,FALSE))</f>
        <v>0</v>
      </c>
      <c r="AJ27" s="151">
        <f>IF(VLOOKUP(E27,'Pre-Assessment Estimator'!$F$11:$AA$226,'Pre-Assessment Estimator'!$O$2,FALSE)&gt;AB27,AB27,VLOOKUP(E27,'Pre-Assessment Estimator'!$F$11:$AA$226,'Pre-Assessment Estimator'!$O$2,FALSE))</f>
        <v>0</v>
      </c>
      <c r="AK27" s="151">
        <f>IF(VLOOKUP(E27,'Pre-Assessment Estimator'!$F$11:$AA$226,'Pre-Assessment Estimator'!$V$2,FALSE)&gt;AB27,AB27,VLOOKUP(E27,'Pre-Assessment Estimator'!$F$11:$AA$226,'Pre-Assessment Estimator'!$V$2,FALSE))</f>
        <v>0</v>
      </c>
      <c r="AM27" s="251">
        <v>1</v>
      </c>
      <c r="AN27" s="159">
        <v>1</v>
      </c>
      <c r="AO27" s="159">
        <v>1</v>
      </c>
      <c r="AP27" s="159">
        <v>1</v>
      </c>
      <c r="AQ27" s="164">
        <v>1</v>
      </c>
      <c r="AS27" s="251">
        <v>1</v>
      </c>
      <c r="AT27" s="159">
        <v>1</v>
      </c>
      <c r="AU27" s="159">
        <v>1</v>
      </c>
      <c r="AV27" s="159">
        <v>1</v>
      </c>
      <c r="AW27" s="164">
        <v>1</v>
      </c>
      <c r="AX27" s="125"/>
      <c r="AY27" s="161">
        <f>IF($E$6=$H$9,AS27,AM27)</f>
        <v>1</v>
      </c>
      <c r="AZ27" s="161">
        <f>IF($E$6=$H$9,AT27,AN27)</f>
        <v>1</v>
      </c>
      <c r="BA27" s="161">
        <f>IF($E$6=$H$9,AU27,AO27)</f>
        <v>1</v>
      </c>
      <c r="BB27" s="161">
        <f>IF($E$6=$H$9,AV27,AP27)</f>
        <v>1</v>
      </c>
      <c r="BC27" s="161">
        <f>IF($E$6=$H$9,AW27,AQ27)</f>
        <v>1</v>
      </c>
      <c r="BD27" s="160">
        <f t="shared" si="30"/>
        <v>0</v>
      </c>
      <c r="BE27" s="45" t="str">
        <f t="shared" si="6"/>
        <v>Unclassified</v>
      </c>
      <c r="BF27" s="163"/>
      <c r="BG27" s="160">
        <f t="shared" si="35"/>
        <v>0</v>
      </c>
      <c r="BH27" s="45" t="str">
        <f t="shared" si="8"/>
        <v>Unclassified</v>
      </c>
      <c r="BI27" s="163"/>
      <c r="BJ27" s="160">
        <f t="shared" si="36"/>
        <v>0</v>
      </c>
      <c r="BK27" s="45" t="str">
        <f t="shared" si="9"/>
        <v>Unclassified</v>
      </c>
      <c r="BL27" s="163"/>
      <c r="BO27" s="43"/>
      <c r="BP27" s="43"/>
      <c r="BQ27" s="43" t="str">
        <f t="shared" si="15"/>
        <v/>
      </c>
      <c r="BR27" s="43">
        <f t="shared" si="22"/>
        <v>9</v>
      </c>
      <c r="BS27" s="43">
        <f t="shared" si="17"/>
        <v>9</v>
      </c>
      <c r="BT27" s="43">
        <f t="shared" si="18"/>
        <v>9</v>
      </c>
      <c r="BW27" s="43"/>
      <c r="BX27" s="43"/>
      <c r="BY27" s="248"/>
      <c r="BZ27" s="248"/>
      <c r="CA27" s="248"/>
      <c r="CB27" s="248"/>
    </row>
    <row r="28" spans="1:81" x14ac:dyDescent="0.25">
      <c r="A28">
        <v>20</v>
      </c>
      <c r="B28" t="str">
        <f t="shared" si="48"/>
        <v>Man 04b</v>
      </c>
      <c r="C28" t="str">
        <f t="shared" si="19"/>
        <v>Man 04</v>
      </c>
      <c r="D28" s="43" t="s">
        <v>695</v>
      </c>
      <c r="E28" s="916" t="s">
        <v>597</v>
      </c>
      <c r="F28" s="668">
        <v>1</v>
      </c>
      <c r="G28" s="668">
        <v>1</v>
      </c>
      <c r="H28" s="668">
        <v>1</v>
      </c>
      <c r="I28" s="668">
        <v>1</v>
      </c>
      <c r="J28" s="668">
        <v>1</v>
      </c>
      <c r="K28" s="668">
        <v>1</v>
      </c>
      <c r="L28" s="668">
        <v>1</v>
      </c>
      <c r="M28" s="668">
        <v>1</v>
      </c>
      <c r="N28" s="668">
        <v>1</v>
      </c>
      <c r="O28" s="668">
        <v>1</v>
      </c>
      <c r="P28" s="668">
        <v>1</v>
      </c>
      <c r="Q28" s="668">
        <v>1</v>
      </c>
      <c r="R28" s="668">
        <v>1</v>
      </c>
      <c r="T28" s="145">
        <f t="shared" si="2"/>
        <v>1</v>
      </c>
      <c r="U28" s="146"/>
      <c r="V28" s="43"/>
      <c r="W28" s="43"/>
      <c r="X28" s="147"/>
      <c r="Y28" s="148">
        <f>IF($Y$4=$Y$6,T28,0)</f>
        <v>0</v>
      </c>
      <c r="Z28" s="958">
        <f>VLOOKUP(B28,'Manuell filtrering og justering'!$A$7:$H$107,'Manuell filtrering og justering'!$H$1,FALSE)</f>
        <v>1</v>
      </c>
      <c r="AA28" s="965">
        <f t="shared" si="11"/>
        <v>0</v>
      </c>
      <c r="AB28" s="163">
        <f>IF($AC$5='Manuell filtrering og justering'!$J$2,Z28,(T28-AA28))</f>
        <v>1</v>
      </c>
      <c r="AD28" s="150">
        <f t="shared" si="4"/>
        <v>6.1904761904761907E-3</v>
      </c>
      <c r="AE28" s="150">
        <f>IF(AB28=0,0,(AD28/AB28)*AI28)</f>
        <v>0</v>
      </c>
      <c r="AF28" s="150">
        <f t="shared" si="20"/>
        <v>0</v>
      </c>
      <c r="AG28" s="150">
        <f t="shared" si="21"/>
        <v>0</v>
      </c>
      <c r="AI28" s="151">
        <f>IF(VLOOKUP(E28,'Pre-Assessment Estimator'!$F$11:$AA$226,'Pre-Assessment Estimator'!$H$2,FALSE)&gt;AB28,AB28,VLOOKUP(E28,'Pre-Assessment Estimator'!$F$11:$AA$226,'Pre-Assessment Estimator'!$H$2,FALSE))</f>
        <v>0</v>
      </c>
      <c r="AJ28" s="151">
        <f>IF(VLOOKUP(E28,'Pre-Assessment Estimator'!$F$11:$AA$226,'Pre-Assessment Estimator'!$O$2,FALSE)&gt;AB28,AB28,VLOOKUP(E28,'Pre-Assessment Estimator'!$F$11:$AA$226,'Pre-Assessment Estimator'!$O$2,FALSE))</f>
        <v>0</v>
      </c>
      <c r="AK28" s="151">
        <f>IF(VLOOKUP(E28,'Pre-Assessment Estimator'!$F$11:$AA$226,'Pre-Assessment Estimator'!$V$2,FALSE)&gt;AB28,AB28,VLOOKUP(E28,'Pre-Assessment Estimator'!$F$11:$AA$226,'Pre-Assessment Estimator'!$V$2,FALSE))</f>
        <v>0</v>
      </c>
      <c r="AM28" s="251"/>
      <c r="AN28" s="159"/>
      <c r="AO28" s="159"/>
      <c r="AP28" s="159"/>
      <c r="AQ28" s="164"/>
      <c r="AS28" s="251"/>
      <c r="AT28" s="159"/>
      <c r="AU28" s="159"/>
      <c r="AV28" s="159"/>
      <c r="AW28" s="164"/>
      <c r="AX28" s="125"/>
      <c r="AY28" s="160"/>
      <c r="AZ28" s="161"/>
      <c r="BA28" s="161"/>
      <c r="BB28" s="161"/>
      <c r="BC28" s="165"/>
      <c r="BD28" s="160">
        <f t="shared" si="30"/>
        <v>9</v>
      </c>
      <c r="BE28" s="45" t="str">
        <f t="shared" si="6"/>
        <v>N/A</v>
      </c>
      <c r="BF28" s="163"/>
      <c r="BG28" s="160">
        <f t="shared" si="35"/>
        <v>9</v>
      </c>
      <c r="BH28" s="45" t="str">
        <f t="shared" si="8"/>
        <v>N/A</v>
      </c>
      <c r="BI28" s="163"/>
      <c r="BJ28" s="160">
        <f t="shared" si="36"/>
        <v>9</v>
      </c>
      <c r="BK28" s="45" t="str">
        <f t="shared" si="9"/>
        <v>N/A</v>
      </c>
      <c r="BL28" s="163"/>
      <c r="BO28" s="43"/>
      <c r="BP28" s="43"/>
      <c r="BQ28" s="43" t="str">
        <f t="shared" si="15"/>
        <v/>
      </c>
      <c r="BR28" s="43">
        <f t="shared" si="22"/>
        <v>9</v>
      </c>
      <c r="BS28" s="43">
        <f t="shared" si="17"/>
        <v>9</v>
      </c>
      <c r="BT28" s="43">
        <f t="shared" si="18"/>
        <v>9</v>
      </c>
      <c r="BW28" s="43"/>
      <c r="BX28" s="43"/>
      <c r="BY28" s="248"/>
      <c r="BZ28" s="248"/>
      <c r="CA28" s="248"/>
      <c r="CB28" s="248"/>
    </row>
    <row r="29" spans="1:81" x14ac:dyDescent="0.25">
      <c r="A29">
        <v>21</v>
      </c>
      <c r="B29" t="str">
        <f t="shared" si="48"/>
        <v>Man 04c</v>
      </c>
      <c r="C29" t="str">
        <f t="shared" si="19"/>
        <v>Man 04</v>
      </c>
      <c r="D29" s="43" t="s">
        <v>696</v>
      </c>
      <c r="E29" s="916" t="s">
        <v>598</v>
      </c>
      <c r="F29" s="668">
        <v>1</v>
      </c>
      <c r="G29" s="668">
        <v>1</v>
      </c>
      <c r="H29" s="668">
        <v>1</v>
      </c>
      <c r="I29" s="668">
        <v>1</v>
      </c>
      <c r="J29" s="668">
        <v>1</v>
      </c>
      <c r="K29" s="668">
        <v>1</v>
      </c>
      <c r="L29" s="668">
        <v>1</v>
      </c>
      <c r="M29" s="668">
        <v>1</v>
      </c>
      <c r="N29" s="668">
        <v>1</v>
      </c>
      <c r="O29" s="668">
        <v>1</v>
      </c>
      <c r="P29" s="668">
        <v>1</v>
      </c>
      <c r="Q29" s="668">
        <v>1</v>
      </c>
      <c r="R29" s="668">
        <v>1</v>
      </c>
      <c r="T29" s="145">
        <f t="shared" si="2"/>
        <v>1</v>
      </c>
      <c r="U29" s="146"/>
      <c r="V29" s="43"/>
      <c r="W29" s="43"/>
      <c r="X29" s="147"/>
      <c r="Y29" s="148"/>
      <c r="Z29" s="958">
        <f>VLOOKUP(B29,'Manuell filtrering og justering'!$A$7:$H$107,'Manuell filtrering og justering'!$H$1,FALSE)</f>
        <v>1</v>
      </c>
      <c r="AA29" s="965">
        <f t="shared" si="11"/>
        <v>0</v>
      </c>
      <c r="AB29" s="163">
        <f>IF($AC$5='Manuell filtrering og justering'!$J$2,Z29,(T29-AA29))</f>
        <v>1</v>
      </c>
      <c r="AD29" s="150">
        <f t="shared" si="4"/>
        <v>6.1904761904761907E-3</v>
      </c>
      <c r="AE29" s="150">
        <f>IF(AB29=0,0,(AD29/AB29)*AI29)</f>
        <v>0</v>
      </c>
      <c r="AF29" s="150">
        <f t="shared" si="20"/>
        <v>0</v>
      </c>
      <c r="AG29" s="150">
        <f t="shared" si="21"/>
        <v>0</v>
      </c>
      <c r="AI29" s="151">
        <f>IF(VLOOKUP(E29,'Pre-Assessment Estimator'!$F$11:$AA$226,'Pre-Assessment Estimator'!$H$2,FALSE)&gt;AB29,AB29,VLOOKUP(E29,'Pre-Assessment Estimator'!$F$11:$AA$226,'Pre-Assessment Estimator'!$H$2,FALSE))</f>
        <v>0</v>
      </c>
      <c r="AJ29" s="151">
        <f>IF(VLOOKUP(E29,'Pre-Assessment Estimator'!$F$11:$AA$226,'Pre-Assessment Estimator'!$O$2,FALSE)&gt;AB29,AB29,VLOOKUP(E29,'Pre-Assessment Estimator'!$F$11:$AA$226,'Pre-Assessment Estimator'!$O$2,FALSE))</f>
        <v>0</v>
      </c>
      <c r="AK29" s="151">
        <f>IF(VLOOKUP(E29,'Pre-Assessment Estimator'!$F$11:$AA$226,'Pre-Assessment Estimator'!$V$2,FALSE)&gt;AB29,AB29,VLOOKUP(E29,'Pre-Assessment Estimator'!$F$11:$AA$226,'Pre-Assessment Estimator'!$V$2,FALSE))</f>
        <v>0</v>
      </c>
      <c r="AM29" s="251"/>
      <c r="AN29" s="159"/>
      <c r="AO29" s="159">
        <v>1</v>
      </c>
      <c r="AP29" s="159">
        <v>1</v>
      </c>
      <c r="AQ29" s="164">
        <v>1</v>
      </c>
      <c r="AS29" s="251"/>
      <c r="AT29" s="159"/>
      <c r="AU29" s="159">
        <v>1</v>
      </c>
      <c r="AV29" s="159">
        <v>1</v>
      </c>
      <c r="AW29" s="164">
        <v>1</v>
      </c>
      <c r="AX29" s="125"/>
      <c r="AY29" s="160"/>
      <c r="AZ29" s="161"/>
      <c r="BA29" s="161">
        <f>IF($E$6=$H$9,AU29,AO29)</f>
        <v>1</v>
      </c>
      <c r="BB29" s="161">
        <f>IF($E$6=$H$9,AV29,AP29)</f>
        <v>1</v>
      </c>
      <c r="BC29" s="161">
        <f>IF($E$6=$H$9,AW29,AQ29)</f>
        <v>1</v>
      </c>
      <c r="BD29" s="160">
        <f t="shared" si="30"/>
        <v>2</v>
      </c>
      <c r="BE29" s="45" t="str">
        <f t="shared" si="6"/>
        <v>Good</v>
      </c>
      <c r="BF29" s="163"/>
      <c r="BG29" s="160">
        <f t="shared" si="35"/>
        <v>2</v>
      </c>
      <c r="BH29" s="45" t="str">
        <f t="shared" si="8"/>
        <v>Good</v>
      </c>
      <c r="BI29" s="163"/>
      <c r="BJ29" s="160">
        <f t="shared" si="36"/>
        <v>2</v>
      </c>
      <c r="BK29" s="45" t="str">
        <f t="shared" si="9"/>
        <v>Good</v>
      </c>
      <c r="BL29" s="163"/>
      <c r="BO29" s="43"/>
      <c r="BP29" s="43"/>
      <c r="BQ29" s="43" t="str">
        <f t="shared" si="15"/>
        <v/>
      </c>
      <c r="BR29" s="43">
        <f t="shared" si="22"/>
        <v>9</v>
      </c>
      <c r="BS29" s="43">
        <f t="shared" si="17"/>
        <v>9</v>
      </c>
      <c r="BT29" s="43">
        <f t="shared" si="18"/>
        <v>9</v>
      </c>
      <c r="BW29" s="43"/>
      <c r="BX29" s="43"/>
      <c r="BY29" s="248"/>
      <c r="BZ29" s="248"/>
      <c r="CA29" s="248"/>
      <c r="CB29" s="248"/>
    </row>
    <row r="30" spans="1:81" x14ac:dyDescent="0.25">
      <c r="A30">
        <v>22</v>
      </c>
      <c r="B30" s="121" t="str">
        <f>D30</f>
        <v>Man 05</v>
      </c>
      <c r="C30" s="121" t="str">
        <f>B30</f>
        <v>Man 05</v>
      </c>
      <c r="D30" s="725" t="s">
        <v>95</v>
      </c>
      <c r="E30" s="725" t="s">
        <v>308</v>
      </c>
      <c r="F30" s="811">
        <f>SUM(F31:F33)</f>
        <v>3</v>
      </c>
      <c r="G30" s="811">
        <f t="shared" ref="G30:R30" si="49">SUM(G31:G33)</f>
        <v>3</v>
      </c>
      <c r="H30" s="811">
        <f t="shared" si="49"/>
        <v>3</v>
      </c>
      <c r="I30" s="811">
        <f t="shared" si="49"/>
        <v>3</v>
      </c>
      <c r="J30" s="811">
        <f t="shared" si="49"/>
        <v>3</v>
      </c>
      <c r="K30" s="811">
        <f t="shared" si="49"/>
        <v>3</v>
      </c>
      <c r="L30" s="811">
        <f t="shared" si="49"/>
        <v>3</v>
      </c>
      <c r="M30" s="811">
        <f t="shared" si="49"/>
        <v>3</v>
      </c>
      <c r="N30" s="811">
        <f t="shared" si="49"/>
        <v>3</v>
      </c>
      <c r="O30" s="811">
        <f t="shared" si="49"/>
        <v>3</v>
      </c>
      <c r="P30" s="811">
        <f t="shared" si="49"/>
        <v>3</v>
      </c>
      <c r="Q30" s="811">
        <f t="shared" ref="Q30" si="50">SUM(Q31:Q33)</f>
        <v>3</v>
      </c>
      <c r="R30" s="811">
        <f t="shared" si="49"/>
        <v>3</v>
      </c>
      <c r="T30" s="797">
        <f t="shared" si="2"/>
        <v>3</v>
      </c>
      <c r="U30" s="146"/>
      <c r="V30" s="43"/>
      <c r="W30" s="43"/>
      <c r="X30" s="147">
        <f>'Manuell filtrering og justering'!E11</f>
        <v>0</v>
      </c>
      <c r="Y30" s="148"/>
      <c r="Z30" s="973">
        <f t="shared" ref="Z30" si="51">SUM(Z31:Z33)</f>
        <v>3</v>
      </c>
      <c r="AA30" s="965">
        <f t="shared" si="11"/>
        <v>0</v>
      </c>
      <c r="AB30" s="969">
        <f>SUM(AB31:AB33)</f>
        <v>3</v>
      </c>
      <c r="AD30" s="799">
        <f t="shared" si="4"/>
        <v>1.8571428571428572E-2</v>
      </c>
      <c r="AE30" s="799">
        <f>SUM(AE31:AE33)</f>
        <v>0</v>
      </c>
      <c r="AF30" s="799">
        <f t="shared" ref="AF30:AG30" si="52">SUM(AF31:AF33)</f>
        <v>0</v>
      </c>
      <c r="AG30" s="799">
        <f t="shared" si="52"/>
        <v>0</v>
      </c>
      <c r="AI30" s="800">
        <f t="shared" ref="AI30:AK30" si="53">SUM(AI31:AI33)</f>
        <v>0</v>
      </c>
      <c r="AJ30" s="800">
        <f t="shared" si="53"/>
        <v>0</v>
      </c>
      <c r="AK30" s="800">
        <f t="shared" si="53"/>
        <v>0</v>
      </c>
      <c r="AM30" s="265"/>
      <c r="AN30" s="266"/>
      <c r="AO30" s="266"/>
      <c r="AP30" s="266"/>
      <c r="AQ30" s="267"/>
      <c r="AS30" s="265"/>
      <c r="AT30" s="266"/>
      <c r="AU30" s="266"/>
      <c r="AV30" s="266"/>
      <c r="AW30" s="267"/>
      <c r="AY30" s="146"/>
      <c r="AZ30" s="43"/>
      <c r="BA30" s="43"/>
      <c r="BB30" s="43"/>
      <c r="BC30" s="147"/>
      <c r="BD30" s="160">
        <f t="shared" si="30"/>
        <v>9</v>
      </c>
      <c r="BE30" s="45" t="str">
        <f t="shared" si="6"/>
        <v>N/A</v>
      </c>
      <c r="BF30" s="163"/>
      <c r="BG30" s="160">
        <f t="shared" si="35"/>
        <v>9</v>
      </c>
      <c r="BH30" s="45" t="str">
        <f t="shared" si="8"/>
        <v>N/A</v>
      </c>
      <c r="BI30" s="163"/>
      <c r="BJ30" s="160">
        <f t="shared" si="36"/>
        <v>9</v>
      </c>
      <c r="BK30" s="45" t="str">
        <f t="shared" si="9"/>
        <v>N/A</v>
      </c>
      <c r="BL30" s="163"/>
      <c r="BO30" s="43"/>
      <c r="BP30" s="43"/>
      <c r="BQ30" s="43" t="str">
        <f t="shared" si="15"/>
        <v/>
      </c>
      <c r="BR30" s="43">
        <f t="shared" si="22"/>
        <v>9</v>
      </c>
      <c r="BS30" s="43">
        <f t="shared" si="17"/>
        <v>9</v>
      </c>
      <c r="BT30" s="43">
        <f t="shared" si="18"/>
        <v>9</v>
      </c>
      <c r="BW30" s="43" t="str">
        <f>D30</f>
        <v>Man 05</v>
      </c>
      <c r="BX30" s="43" t="str">
        <f>IFERROR(VLOOKUP($E30,'Pre-Assessment Estimator'!$F$11:$AC$226,'Pre-Assessment Estimator'!AC$2,FALSE),"")</f>
        <v>No</v>
      </c>
      <c r="BY30" s="248">
        <f>IFERROR(VLOOKUP($E30,'Pre-Assessment Estimator'!$F$11:$AJ$226,'Pre-Assessment Estimator'!AJ$2,FALSE),"")</f>
        <v>0</v>
      </c>
      <c r="BZ30" s="248">
        <f>IFERROR(VLOOKUP($BX30,$E$293:$H$326,F$291,FALSE),"")</f>
        <v>1</v>
      </c>
      <c r="CA30" s="248">
        <f>IFERROR(VLOOKUP($BX30,$E$293:$H$326,G$291,FALSE),"")</f>
        <v>0</v>
      </c>
      <c r="CB30" s="248"/>
      <c r="CC30" t="s">
        <v>429</v>
      </c>
    </row>
    <row r="31" spans="1:81" x14ac:dyDescent="0.25">
      <c r="A31">
        <v>23</v>
      </c>
      <c r="B31" t="str">
        <f t="shared" ref="B31:B33" si="54">$D$30&amp;D31</f>
        <v>Man 05a</v>
      </c>
      <c r="C31" t="str">
        <f t="shared" si="19"/>
        <v>Man 05</v>
      </c>
      <c r="D31" s="43" t="s">
        <v>692</v>
      </c>
      <c r="E31" s="916" t="s">
        <v>599</v>
      </c>
      <c r="F31" s="668">
        <v>1</v>
      </c>
      <c r="G31" s="668">
        <v>1</v>
      </c>
      <c r="H31" s="668">
        <v>1</v>
      </c>
      <c r="I31" s="668">
        <v>1</v>
      </c>
      <c r="J31" s="668">
        <v>1</v>
      </c>
      <c r="K31" s="668">
        <v>1</v>
      </c>
      <c r="L31" s="668">
        <v>1</v>
      </c>
      <c r="M31" s="668">
        <v>1</v>
      </c>
      <c r="N31" s="668">
        <v>1</v>
      </c>
      <c r="O31" s="668">
        <v>1</v>
      </c>
      <c r="P31" s="668">
        <v>1</v>
      </c>
      <c r="Q31" s="668">
        <v>1</v>
      </c>
      <c r="R31" s="668">
        <v>1</v>
      </c>
      <c r="T31" s="145">
        <f t="shared" si="2"/>
        <v>1</v>
      </c>
      <c r="U31" s="146"/>
      <c r="V31" s="43"/>
      <c r="W31" s="43"/>
      <c r="X31" s="147"/>
      <c r="Y31" s="148">
        <f>IF(OR($Y$4=$Y$5,$Y$4=$Y$6),T31,0)</f>
        <v>0</v>
      </c>
      <c r="Z31" s="958">
        <f>VLOOKUP(B31,'Manuell filtrering og justering'!$A$7:$H$107,'Manuell filtrering og justering'!$H$1,FALSE)</f>
        <v>1</v>
      </c>
      <c r="AA31" s="965">
        <f t="shared" si="11"/>
        <v>0</v>
      </c>
      <c r="AB31" s="163">
        <f>IF($AC$5='Manuell filtrering og justering'!$J$2,Z31,(T31-AA31))</f>
        <v>1</v>
      </c>
      <c r="AD31" s="150">
        <f t="shared" si="4"/>
        <v>6.1904761904761907E-3</v>
      </c>
      <c r="AE31" s="150">
        <f>IF(AB31=0,0,(AD31/AB31)*AI31)</f>
        <v>0</v>
      </c>
      <c r="AF31" s="150">
        <f t="shared" si="20"/>
        <v>0</v>
      </c>
      <c r="AG31" s="150">
        <f t="shared" si="21"/>
        <v>0</v>
      </c>
      <c r="AI31" s="151">
        <f>IF(VLOOKUP(E31,'Pre-Assessment Estimator'!$F$11:$AA$226,'Pre-Assessment Estimator'!$H$2,FALSE)&gt;AB31,AB31,VLOOKUP(E31,'Pre-Assessment Estimator'!$F$11:$AA$226,'Pre-Assessment Estimator'!$H$2,FALSE))</f>
        <v>0</v>
      </c>
      <c r="AJ31" s="151">
        <f>IF(VLOOKUP(E31,'Pre-Assessment Estimator'!$F$11:$AA$226,'Pre-Assessment Estimator'!$O$2,FALSE)&gt;AB31,AB31,VLOOKUP(E31,'Pre-Assessment Estimator'!$F$11:$AA$226,'Pre-Assessment Estimator'!$O$2,FALSE))</f>
        <v>0</v>
      </c>
      <c r="AK31" s="151">
        <f>IF(VLOOKUP(E31,'Pre-Assessment Estimator'!$F$11:$AA$226,'Pre-Assessment Estimator'!$V$2,FALSE)&gt;AB31,AB31,VLOOKUP(E31,'Pre-Assessment Estimator'!$F$11:$AA$226,'Pre-Assessment Estimator'!$V$2,FALSE))</f>
        <v>0</v>
      </c>
      <c r="AM31" s="265"/>
      <c r="AN31" s="266"/>
      <c r="AO31" s="266"/>
      <c r="AP31" s="266"/>
      <c r="AQ31" s="267"/>
      <c r="AS31" s="265"/>
      <c r="AT31" s="266"/>
      <c r="AU31" s="266"/>
      <c r="AV31" s="266"/>
      <c r="AW31" s="267"/>
      <c r="AY31" s="146"/>
      <c r="AZ31" s="43"/>
      <c r="BA31" s="43"/>
      <c r="BB31" s="43"/>
      <c r="BC31" s="147"/>
      <c r="BD31" s="160">
        <f t="shared" si="30"/>
        <v>9</v>
      </c>
      <c r="BE31" s="45" t="str">
        <f t="shared" si="6"/>
        <v>N/A</v>
      </c>
      <c r="BF31" s="163"/>
      <c r="BG31" s="160">
        <f t="shared" si="35"/>
        <v>9</v>
      </c>
      <c r="BH31" s="45" t="str">
        <f t="shared" si="8"/>
        <v>N/A</v>
      </c>
      <c r="BI31" s="163"/>
      <c r="BJ31" s="160">
        <f t="shared" si="36"/>
        <v>9</v>
      </c>
      <c r="BK31" s="45" t="str">
        <f t="shared" si="9"/>
        <v>N/A</v>
      </c>
      <c r="BL31" s="163"/>
      <c r="BO31" s="43"/>
      <c r="BP31" s="43"/>
      <c r="BQ31" s="43" t="str">
        <f t="shared" si="15"/>
        <v/>
      </c>
      <c r="BR31" s="43">
        <f t="shared" ref="BR31:BR94" si="55">IF(BQ31="",9,(IF(AI31&gt;=BQ31,5,0)))</f>
        <v>9</v>
      </c>
      <c r="BS31" s="43">
        <f t="shared" ref="BS31:BS94" si="56">IF(BQ31="",9,(IF(AJ31&gt;=BQ31,5,0)))</f>
        <v>9</v>
      </c>
      <c r="BT31" s="43">
        <f t="shared" ref="BT31:BT94" si="57">IF(BQ31="",9,(IF(AK31&gt;=BQ31,5,0)))</f>
        <v>9</v>
      </c>
      <c r="BW31" s="43"/>
      <c r="BX31" s="43"/>
      <c r="BY31" s="248"/>
      <c r="BZ31" s="248"/>
      <c r="CA31" s="248"/>
      <c r="CB31" s="248"/>
    </row>
    <row r="32" spans="1:81" x14ac:dyDescent="0.25">
      <c r="A32">
        <v>24</v>
      </c>
      <c r="B32" t="str">
        <f t="shared" si="54"/>
        <v>Man 05b</v>
      </c>
      <c r="C32" t="str">
        <f t="shared" si="19"/>
        <v>Man 05</v>
      </c>
      <c r="D32" s="43" t="s">
        <v>695</v>
      </c>
      <c r="E32" s="916" t="s">
        <v>600</v>
      </c>
      <c r="F32" s="668">
        <v>1</v>
      </c>
      <c r="G32" s="668">
        <v>1</v>
      </c>
      <c r="H32" s="668">
        <v>1</v>
      </c>
      <c r="I32" s="668">
        <v>1</v>
      </c>
      <c r="J32" s="668">
        <v>1</v>
      </c>
      <c r="K32" s="668">
        <v>1</v>
      </c>
      <c r="L32" s="668">
        <v>1</v>
      </c>
      <c r="M32" s="668">
        <v>1</v>
      </c>
      <c r="N32" s="668">
        <v>1</v>
      </c>
      <c r="O32" s="668">
        <v>1</v>
      </c>
      <c r="P32" s="668">
        <v>1</v>
      </c>
      <c r="Q32" s="668">
        <v>1</v>
      </c>
      <c r="R32" s="668">
        <v>1</v>
      </c>
      <c r="T32" s="145">
        <f t="shared" si="2"/>
        <v>1</v>
      </c>
      <c r="U32" s="146"/>
      <c r="V32" s="43"/>
      <c r="W32" s="43"/>
      <c r="X32" s="147"/>
      <c r="Y32" s="148">
        <f>IF(OR($Y$4=$Y$5,$Y$4=$Y$6),T32,0)</f>
        <v>0</v>
      </c>
      <c r="Z32" s="958">
        <f>VLOOKUP(B32,'Manuell filtrering og justering'!$A$7:$H$107,'Manuell filtrering og justering'!$H$1,FALSE)</f>
        <v>1</v>
      </c>
      <c r="AA32" s="965">
        <f t="shared" si="11"/>
        <v>0</v>
      </c>
      <c r="AB32" s="163">
        <f>IF($AC$5='Manuell filtrering og justering'!$J$2,Z32,(T32-AA32))</f>
        <v>1</v>
      </c>
      <c r="AD32" s="150">
        <f t="shared" si="4"/>
        <v>6.1904761904761907E-3</v>
      </c>
      <c r="AE32" s="150">
        <f>IF(AB32=0,0,(AD32/AB32)*AI32)</f>
        <v>0</v>
      </c>
      <c r="AF32" s="150">
        <f t="shared" si="20"/>
        <v>0</v>
      </c>
      <c r="AG32" s="150">
        <f t="shared" si="21"/>
        <v>0</v>
      </c>
      <c r="AI32" s="151">
        <f>IF(VLOOKUP(E32,'Pre-Assessment Estimator'!$F$11:$AA$226,'Pre-Assessment Estimator'!$H$2,FALSE)&gt;AB32,AB32,VLOOKUP(E32,'Pre-Assessment Estimator'!$F$11:$AA$226,'Pre-Assessment Estimator'!$H$2,FALSE))</f>
        <v>0</v>
      </c>
      <c r="AJ32" s="151">
        <f>IF(VLOOKUP(E32,'Pre-Assessment Estimator'!$F$11:$AA$226,'Pre-Assessment Estimator'!$O$2,FALSE)&gt;AB32,AB32,VLOOKUP(E32,'Pre-Assessment Estimator'!$F$11:$AA$226,'Pre-Assessment Estimator'!$O$2,FALSE))</f>
        <v>0</v>
      </c>
      <c r="AK32" s="151">
        <f>IF(VLOOKUP(E32,'Pre-Assessment Estimator'!$F$11:$AA$226,'Pre-Assessment Estimator'!$V$2,FALSE)&gt;AB32,AB32,VLOOKUP(E32,'Pre-Assessment Estimator'!$F$11:$AA$226,'Pre-Assessment Estimator'!$V$2,FALSE))</f>
        <v>0</v>
      </c>
      <c r="AM32" s="265"/>
      <c r="AN32" s="266"/>
      <c r="AO32" s="266"/>
      <c r="AP32" s="985">
        <f>IF(AND($Y$4&lt;&gt;$Y$3,Y32&gt;0),0,1)</f>
        <v>1</v>
      </c>
      <c r="AQ32" s="986">
        <f>IF(AND($Y$4&lt;&gt;$Y$3,Y32&gt;0),0,1)</f>
        <v>1</v>
      </c>
      <c r="AS32" s="252"/>
      <c r="AT32" s="253"/>
      <c r="AU32" s="253"/>
      <c r="AV32" s="253"/>
      <c r="AW32" s="254"/>
      <c r="AY32" s="146"/>
      <c r="AZ32" s="43"/>
      <c r="BA32" s="43"/>
      <c r="BB32" s="161">
        <f>IF($E$6=$H$9,AV32,AP32)</f>
        <v>1</v>
      </c>
      <c r="BC32" s="161">
        <f>IF($E$6=$H$9,AW32,AQ32)</f>
        <v>1</v>
      </c>
      <c r="BD32" s="160">
        <f t="shared" si="30"/>
        <v>3</v>
      </c>
      <c r="BE32" s="45" t="str">
        <f t="shared" si="6"/>
        <v>Very Good</v>
      </c>
      <c r="BF32" s="163"/>
      <c r="BG32" s="160">
        <f t="shared" si="35"/>
        <v>3</v>
      </c>
      <c r="BH32" s="45" t="str">
        <f t="shared" si="8"/>
        <v>Very Good</v>
      </c>
      <c r="BI32" s="163"/>
      <c r="BJ32" s="160">
        <f t="shared" si="36"/>
        <v>3</v>
      </c>
      <c r="BK32" s="45" t="str">
        <f t="shared" si="9"/>
        <v>Very Good</v>
      </c>
      <c r="BL32" s="163"/>
      <c r="BO32" s="43"/>
      <c r="BP32" s="43"/>
      <c r="BQ32" s="43" t="str">
        <f t="shared" si="15"/>
        <v/>
      </c>
      <c r="BR32" s="43">
        <f t="shared" si="55"/>
        <v>9</v>
      </c>
      <c r="BS32" s="43">
        <f t="shared" si="56"/>
        <v>9</v>
      </c>
      <c r="BT32" s="43">
        <f t="shared" si="57"/>
        <v>9</v>
      </c>
      <c r="BW32" s="43"/>
      <c r="BX32" s="43"/>
      <c r="BY32" s="248"/>
      <c r="BZ32" s="248"/>
      <c r="CA32" s="248"/>
      <c r="CB32" s="248"/>
    </row>
    <row r="33" spans="1:87" x14ac:dyDescent="0.25">
      <c r="A33">
        <v>25</v>
      </c>
      <c r="B33" t="str">
        <f t="shared" si="54"/>
        <v>Man 05c</v>
      </c>
      <c r="C33" t="str">
        <f t="shared" si="19"/>
        <v>Man 05</v>
      </c>
      <c r="D33" s="43" t="s">
        <v>696</v>
      </c>
      <c r="E33" s="916" t="s">
        <v>601</v>
      </c>
      <c r="F33" s="668">
        <v>1</v>
      </c>
      <c r="G33" s="668">
        <v>1</v>
      </c>
      <c r="H33" s="668">
        <v>1</v>
      </c>
      <c r="I33" s="668">
        <v>1</v>
      </c>
      <c r="J33" s="668">
        <v>1</v>
      </c>
      <c r="K33" s="668">
        <v>1</v>
      </c>
      <c r="L33" s="668">
        <v>1</v>
      </c>
      <c r="M33" s="668">
        <v>1</v>
      </c>
      <c r="N33" s="668">
        <v>1</v>
      </c>
      <c r="O33" s="668">
        <v>1</v>
      </c>
      <c r="P33" s="668">
        <v>1</v>
      </c>
      <c r="Q33" s="668">
        <v>1</v>
      </c>
      <c r="R33" s="668">
        <v>1</v>
      </c>
      <c r="T33" s="145">
        <f t="shared" si="2"/>
        <v>1</v>
      </c>
      <c r="U33" s="146"/>
      <c r="V33" s="43"/>
      <c r="W33" s="43"/>
      <c r="X33" s="147"/>
      <c r="Y33" s="148">
        <f>IF(OR($Y$4=$Y$5,$Y$4=$Y$6),T33,0)</f>
        <v>0</v>
      </c>
      <c r="Z33" s="958">
        <f>VLOOKUP(B33,'Manuell filtrering og justering'!$A$7:$H$107,'Manuell filtrering og justering'!$H$1,FALSE)</f>
        <v>1</v>
      </c>
      <c r="AA33" s="965">
        <f t="shared" si="11"/>
        <v>0</v>
      </c>
      <c r="AB33" s="163">
        <f>IF($AC$5='Manuell filtrering og justering'!$J$2,Z33,(T33-AA33))</f>
        <v>1</v>
      </c>
      <c r="AD33" s="150">
        <f t="shared" si="4"/>
        <v>6.1904761904761907E-3</v>
      </c>
      <c r="AE33" s="150">
        <f>IF(AB33=0,0,(AD33/AB33)*AI33)</f>
        <v>0</v>
      </c>
      <c r="AF33" s="150">
        <f t="shared" si="20"/>
        <v>0</v>
      </c>
      <c r="AG33" s="150">
        <f t="shared" si="21"/>
        <v>0</v>
      </c>
      <c r="AI33" s="151">
        <f>IF(VLOOKUP(E33,'Pre-Assessment Estimator'!$F$11:$AA$226,'Pre-Assessment Estimator'!$H$2,FALSE)&gt;AB33,AB33,VLOOKUP(E33,'Pre-Assessment Estimator'!$F$11:$AA$226,'Pre-Assessment Estimator'!$H$2,FALSE))</f>
        <v>0</v>
      </c>
      <c r="AJ33" s="151">
        <f>IF(VLOOKUP(E33,'Pre-Assessment Estimator'!$F$11:$AA$226,'Pre-Assessment Estimator'!$O$2,FALSE)&gt;AB33,AB33,VLOOKUP(E33,'Pre-Assessment Estimator'!$F$11:$AA$226,'Pre-Assessment Estimator'!$O$2,FALSE))</f>
        <v>0</v>
      </c>
      <c r="AK33" s="151">
        <f>IF(VLOOKUP(E33,'Pre-Assessment Estimator'!$F$11:$AA$226,'Pre-Assessment Estimator'!$V$2,FALSE)&gt;AB33,AB33,VLOOKUP(E33,'Pre-Assessment Estimator'!$F$11:$AA$226,'Pre-Assessment Estimator'!$V$2,FALSE))</f>
        <v>0</v>
      </c>
      <c r="AM33" s="265"/>
      <c r="AN33" s="266"/>
      <c r="AO33" s="266"/>
      <c r="AP33" s="266"/>
      <c r="AQ33" s="267"/>
      <c r="AS33" s="265"/>
      <c r="AT33" s="266"/>
      <c r="AU33" s="266"/>
      <c r="AV33" s="266"/>
      <c r="AW33" s="267"/>
      <c r="AY33" s="146"/>
      <c r="AZ33" s="43"/>
      <c r="BA33" s="43"/>
      <c r="BB33" s="43"/>
      <c r="BC33" s="147"/>
      <c r="BD33" s="160">
        <f t="shared" si="30"/>
        <v>9</v>
      </c>
      <c r="BE33" s="45" t="str">
        <f t="shared" si="6"/>
        <v>N/A</v>
      </c>
      <c r="BF33" s="163"/>
      <c r="BG33" s="160">
        <f t="shared" si="35"/>
        <v>9</v>
      </c>
      <c r="BH33" s="45" t="str">
        <f t="shared" si="8"/>
        <v>N/A</v>
      </c>
      <c r="BI33" s="163"/>
      <c r="BJ33" s="160">
        <f t="shared" si="36"/>
        <v>9</v>
      </c>
      <c r="BK33" s="45" t="str">
        <f t="shared" si="9"/>
        <v>N/A</v>
      </c>
      <c r="BL33" s="163"/>
      <c r="BO33" s="43"/>
      <c r="BP33" s="43"/>
      <c r="BQ33" s="43" t="str">
        <f t="shared" si="15"/>
        <v/>
      </c>
      <c r="BR33" s="43">
        <f t="shared" si="55"/>
        <v>9</v>
      </c>
      <c r="BS33" s="43">
        <f t="shared" si="56"/>
        <v>9</v>
      </c>
      <c r="BT33" s="43">
        <f t="shared" si="57"/>
        <v>9</v>
      </c>
      <c r="BW33" s="43"/>
      <c r="BX33" s="43"/>
      <c r="BY33" s="248"/>
      <c r="BZ33" s="248"/>
      <c r="CA33" s="248"/>
      <c r="CB33" s="248"/>
    </row>
    <row r="34" spans="1:87" x14ac:dyDescent="0.25">
      <c r="A34">
        <v>26</v>
      </c>
      <c r="D34" s="608" t="s">
        <v>96</v>
      </c>
      <c r="E34" s="608"/>
      <c r="F34" s="812"/>
      <c r="G34" s="812"/>
      <c r="H34" s="812"/>
      <c r="I34" s="812"/>
      <c r="J34" s="812"/>
      <c r="K34" s="812"/>
      <c r="L34" s="812"/>
      <c r="M34" s="812"/>
      <c r="N34" s="812"/>
      <c r="O34" s="812"/>
      <c r="P34" s="812"/>
      <c r="Q34" s="812"/>
      <c r="R34" s="812"/>
      <c r="T34" s="822">
        <f t="shared" si="2"/>
        <v>0</v>
      </c>
      <c r="U34" s="609"/>
      <c r="V34" s="608"/>
      <c r="W34" s="608"/>
      <c r="X34" s="823">
        <f>'Manuell filtrering og justering'!E12</f>
        <v>0</v>
      </c>
      <c r="Y34" s="824"/>
      <c r="Z34" s="960"/>
      <c r="AA34" s="965">
        <f t="shared" si="11"/>
        <v>0</v>
      </c>
      <c r="AB34" s="970">
        <f>IF($AC$5='Manuell filtrering og justering'!$J$2,Z34,(T34-AA34))</f>
        <v>0</v>
      </c>
      <c r="AD34" s="828"/>
      <c r="AE34" s="828"/>
      <c r="AF34" s="828"/>
      <c r="AG34" s="828"/>
      <c r="AI34" s="623"/>
      <c r="AJ34" s="623"/>
      <c r="AK34" s="623"/>
      <c r="AM34" s="252"/>
      <c r="AN34" s="253"/>
      <c r="AO34" s="253"/>
      <c r="AP34" s="253"/>
      <c r="AQ34" s="254"/>
      <c r="AS34" s="252"/>
      <c r="AT34" s="253"/>
      <c r="AU34" s="253"/>
      <c r="AV34" s="253"/>
      <c r="AW34" s="254"/>
      <c r="AY34" s="146"/>
      <c r="AZ34" s="166"/>
      <c r="BA34" s="43"/>
      <c r="BB34" s="43"/>
      <c r="BC34" s="162"/>
      <c r="BD34" s="160">
        <f t="shared" si="30"/>
        <v>9</v>
      </c>
      <c r="BE34" s="45" t="str">
        <f t="shared" si="6"/>
        <v>N/A</v>
      </c>
      <c r="BF34" s="163"/>
      <c r="BG34" s="160">
        <f t="shared" si="35"/>
        <v>9</v>
      </c>
      <c r="BH34" s="45" t="str">
        <f t="shared" si="8"/>
        <v>N/A</v>
      </c>
      <c r="BI34" s="163"/>
      <c r="BJ34" s="160">
        <f t="shared" si="36"/>
        <v>9</v>
      </c>
      <c r="BK34" s="45" t="str">
        <f t="shared" si="9"/>
        <v>N/A</v>
      </c>
      <c r="BL34" s="163"/>
      <c r="BO34" s="43"/>
      <c r="BP34" s="43"/>
      <c r="BQ34" s="43" t="str">
        <f t="shared" si="15"/>
        <v/>
      </c>
      <c r="BR34" s="43">
        <f t="shared" si="55"/>
        <v>9</v>
      </c>
      <c r="BS34" s="43">
        <f t="shared" si="56"/>
        <v>9</v>
      </c>
      <c r="BT34" s="43">
        <f t="shared" si="57"/>
        <v>9</v>
      </c>
      <c r="BW34" s="43"/>
      <c r="BX34" s="43" t="str">
        <f>IFERROR(VLOOKUP($E34,'Pre-Assessment Estimator'!$F$11:$AC$226,'Pre-Assessment Estimator'!AC$2,FALSE),"")</f>
        <v/>
      </c>
      <c r="BY34" s="43" t="str">
        <f>IFERROR(VLOOKUP($E34,'Pre-Assessment Estimator'!$F$11:$AJ$226,'Pre-Assessment Estimator'!AJ$2,FALSE),"")</f>
        <v/>
      </c>
      <c r="BZ34" s="43" t="str">
        <f t="shared" ref="BZ34:CA38" si="58">IFERROR(VLOOKUP($BX34,$E$293:$H$326,F$291,FALSE),"")</f>
        <v/>
      </c>
      <c r="CA34" s="43" t="str">
        <f t="shared" si="58"/>
        <v/>
      </c>
      <c r="CB34" s="43"/>
      <c r="CC34" t="str">
        <f t="shared" ref="CC34:CC39" si="59">IFERROR(VLOOKUP($BX34,$E$293:$H$326,I$291,FALSE),"")</f>
        <v/>
      </c>
    </row>
    <row r="35" spans="1:87" ht="15.75" thickBot="1" x14ac:dyDescent="0.3">
      <c r="A35">
        <v>27</v>
      </c>
      <c r="D35" s="608" t="s">
        <v>97</v>
      </c>
      <c r="E35" s="608"/>
      <c r="F35" s="812"/>
      <c r="G35" s="812"/>
      <c r="H35" s="812"/>
      <c r="I35" s="812"/>
      <c r="J35" s="812"/>
      <c r="K35" s="812"/>
      <c r="L35" s="812"/>
      <c r="M35" s="812"/>
      <c r="N35" s="812"/>
      <c r="O35" s="812"/>
      <c r="P35" s="812"/>
      <c r="Q35" s="812"/>
      <c r="R35" s="812"/>
      <c r="T35" s="822">
        <f t="shared" si="2"/>
        <v>0</v>
      </c>
      <c r="U35" s="609"/>
      <c r="V35" s="608"/>
      <c r="W35" s="608"/>
      <c r="X35" s="823">
        <f>'Manuell filtrering og justering'!E13</f>
        <v>0</v>
      </c>
      <c r="Y35" s="824"/>
      <c r="Z35" s="960"/>
      <c r="AA35" s="965">
        <f t="shared" si="11"/>
        <v>0</v>
      </c>
      <c r="AB35" s="970">
        <f>IF($AC$5='Manuell filtrering og justering'!$J$2,Z35,(T35-AA35))</f>
        <v>0</v>
      </c>
      <c r="AD35" s="828"/>
      <c r="AE35" s="828"/>
      <c r="AF35" s="828"/>
      <c r="AG35" s="828"/>
      <c r="AI35" s="623"/>
      <c r="AJ35" s="623"/>
      <c r="AK35" s="623"/>
      <c r="AM35" s="255"/>
      <c r="AN35" s="256"/>
      <c r="AO35" s="256"/>
      <c r="AP35" s="256"/>
      <c r="AQ35" s="257"/>
      <c r="AS35" s="255"/>
      <c r="AT35" s="256"/>
      <c r="AU35" s="256"/>
      <c r="AV35" s="256"/>
      <c r="AW35" s="257"/>
      <c r="AY35" s="168"/>
      <c r="AZ35" s="169"/>
      <c r="BA35" s="170"/>
      <c r="BB35" s="170"/>
      <c r="BC35" s="171"/>
      <c r="BD35" s="172">
        <f t="shared" ref="BD35:BD169" si="60">IF(BC35=0,9,IF(AI35&gt;=BC35,5,IF(AI35&gt;=BB35,4,IF(AI35&gt;=BA35,3,IF(AI35&gt;=AZ35,2,IF(AI35&lt;AY35,0,1))))))</f>
        <v>9</v>
      </c>
      <c r="BE35" s="45" t="str">
        <f t="shared" si="6"/>
        <v>N/A</v>
      </c>
      <c r="BF35" s="173"/>
      <c r="BG35" s="172">
        <f t="shared" si="7"/>
        <v>9</v>
      </c>
      <c r="BH35" s="45" t="str">
        <f t="shared" si="8"/>
        <v>N/A</v>
      </c>
      <c r="BI35" s="173"/>
      <c r="BJ35" s="172">
        <f t="shared" si="28"/>
        <v>9</v>
      </c>
      <c r="BK35" s="45" t="str">
        <f t="shared" si="9"/>
        <v>N/A</v>
      </c>
      <c r="BL35" s="173"/>
      <c r="BO35" s="43"/>
      <c r="BP35" s="43"/>
      <c r="BQ35" s="43" t="str">
        <f t="shared" si="15"/>
        <v/>
      </c>
      <c r="BR35" s="43">
        <f t="shared" si="55"/>
        <v>9</v>
      </c>
      <c r="BS35" s="43">
        <f t="shared" si="56"/>
        <v>9</v>
      </c>
      <c r="BT35" s="43">
        <f t="shared" si="57"/>
        <v>9</v>
      </c>
      <c r="BW35" s="48"/>
      <c r="BX35" s="48" t="str">
        <f>IFERROR(VLOOKUP($E35,'Pre-Assessment Estimator'!$F$11:$AC$226,'Pre-Assessment Estimator'!AC$2,FALSE),"")</f>
        <v/>
      </c>
      <c r="BY35" s="48" t="str">
        <f>IFERROR(VLOOKUP($E35,'Pre-Assessment Estimator'!$F$11:$AJ$226,'Pre-Assessment Estimator'!AJ$2,FALSE),"")</f>
        <v/>
      </c>
      <c r="BZ35" s="48" t="str">
        <f t="shared" si="58"/>
        <v/>
      </c>
      <c r="CA35" s="48" t="str">
        <f t="shared" si="58"/>
        <v/>
      </c>
      <c r="CB35" s="48"/>
      <c r="CC35" t="str">
        <f t="shared" si="59"/>
        <v/>
      </c>
    </row>
    <row r="36" spans="1:87" ht="15.75" thickBot="1" x14ac:dyDescent="0.3">
      <c r="A36">
        <v>28</v>
      </c>
      <c r="B36" t="s">
        <v>881</v>
      </c>
      <c r="D36" s="617"/>
      <c r="E36" s="616" t="s">
        <v>213</v>
      </c>
      <c r="F36" s="673">
        <f t="shared" ref="F36:R36" si="61">F10+F16+F19+F26+F30</f>
        <v>21</v>
      </c>
      <c r="G36" s="673">
        <f t="shared" si="61"/>
        <v>21</v>
      </c>
      <c r="H36" s="673">
        <f t="shared" si="61"/>
        <v>21</v>
      </c>
      <c r="I36" s="673">
        <f t="shared" si="61"/>
        <v>21</v>
      </c>
      <c r="J36" s="673">
        <f t="shared" si="61"/>
        <v>21</v>
      </c>
      <c r="K36" s="673">
        <f t="shared" si="61"/>
        <v>21</v>
      </c>
      <c r="L36" s="673">
        <f t="shared" si="61"/>
        <v>21</v>
      </c>
      <c r="M36" s="673">
        <f t="shared" si="61"/>
        <v>21</v>
      </c>
      <c r="N36" s="673">
        <f t="shared" si="61"/>
        <v>21</v>
      </c>
      <c r="O36" s="673">
        <f t="shared" si="61"/>
        <v>21</v>
      </c>
      <c r="P36" s="673">
        <f t="shared" si="61"/>
        <v>21</v>
      </c>
      <c r="Q36" s="673">
        <f t="shared" ref="Q36" si="62">Q10+Q16+Q19+Q26+Q30</f>
        <v>21</v>
      </c>
      <c r="R36" s="673">
        <f t="shared" si="61"/>
        <v>21</v>
      </c>
      <c r="T36" s="175">
        <f t="shared" si="2"/>
        <v>21</v>
      </c>
      <c r="U36" s="176"/>
      <c r="V36" s="177"/>
      <c r="W36" s="177"/>
      <c r="X36" s="178"/>
      <c r="Y36" s="179"/>
      <c r="Z36" s="961"/>
      <c r="AA36" s="966">
        <f>AA10+AA16+AA19+AA26+AA30</f>
        <v>0</v>
      </c>
      <c r="AB36" s="971">
        <f>AB10+AB16+AB19+AB26+AB30</f>
        <v>21</v>
      </c>
      <c r="AD36" s="180">
        <f>AD10+AD16+AD19+AD26+AD30</f>
        <v>0.13</v>
      </c>
      <c r="AE36" s="180">
        <f>AE10+AE16+AE19+AE26+AE30</f>
        <v>0</v>
      </c>
      <c r="AF36" s="180">
        <f>AF10+AF16+AF19+AF26+AF30</f>
        <v>0</v>
      </c>
      <c r="AG36" s="180">
        <f>AG10+AG16+AG19+AG26+AG30</f>
        <v>0</v>
      </c>
      <c r="AI36" s="72">
        <f>AI10+AI16+AI19+AI26+AI30</f>
        <v>0</v>
      </c>
      <c r="AJ36" s="72">
        <f>AJ10+AJ16+AJ19+AJ26+AJ30</f>
        <v>0</v>
      </c>
      <c r="AK36" s="72">
        <f>AK10+AK16+AK19+AK26+AK30</f>
        <v>0</v>
      </c>
      <c r="AM36" s="123"/>
      <c r="AN36" s="123"/>
      <c r="AO36" s="123"/>
      <c r="AP36" s="123"/>
      <c r="AQ36" s="123"/>
      <c r="AS36" s="123"/>
      <c r="AT36" s="123"/>
      <c r="AU36" s="123"/>
      <c r="AV36" s="123"/>
      <c r="AW36" s="123"/>
      <c r="AZ36" s="181"/>
      <c r="BW36" s="50"/>
      <c r="BX36" s="50" t="str">
        <f>IFERROR(VLOOKUP($E36,'Pre-Assessment Estimator'!$F$11:$AC$226,'Pre-Assessment Estimator'!AC$2,FALSE),"")</f>
        <v/>
      </c>
      <c r="BY36" s="50" t="str">
        <f>IFERROR(VLOOKUP($E36,'Pre-Assessment Estimator'!$F$11:$AJ$226,'Pre-Assessment Estimator'!AJ$2,FALSE),"")</f>
        <v/>
      </c>
      <c r="BZ36" s="50" t="str">
        <f t="shared" si="58"/>
        <v/>
      </c>
      <c r="CA36" s="50" t="str">
        <f t="shared" si="58"/>
        <v/>
      </c>
      <c r="CB36" s="50"/>
      <c r="CC36" t="str">
        <f t="shared" si="59"/>
        <v/>
      </c>
    </row>
    <row r="37" spans="1:87" ht="15.75" thickBot="1" x14ac:dyDescent="0.3">
      <c r="A37">
        <v>29</v>
      </c>
      <c r="AI37" s="1"/>
      <c r="AJ37" s="1"/>
      <c r="AK37" s="1"/>
      <c r="AM37" s="123"/>
      <c r="AN37" s="123"/>
      <c r="AO37" s="123"/>
      <c r="AP37" s="123"/>
      <c r="AQ37" s="123"/>
      <c r="AS37" s="123"/>
      <c r="AT37" s="123"/>
      <c r="AU37" s="123"/>
      <c r="AV37" s="123"/>
      <c r="AW37" s="123"/>
      <c r="AZ37" s="181"/>
      <c r="BX37" t="str">
        <f>IFERROR(VLOOKUP($E37,'Pre-Assessment Estimator'!$F$11:$AC$226,'Pre-Assessment Estimator'!AC$2,FALSE),"")</f>
        <v/>
      </c>
      <c r="BY37" t="str">
        <f>IFERROR(VLOOKUP($E37,'Pre-Assessment Estimator'!$F$11:$AJ$226,'Pre-Assessment Estimator'!AJ$2,FALSE),"")</f>
        <v/>
      </c>
      <c r="BZ37" t="str">
        <f t="shared" si="58"/>
        <v/>
      </c>
      <c r="CA37" t="str">
        <f t="shared" si="58"/>
        <v/>
      </c>
      <c r="CC37" t="str">
        <f t="shared" si="59"/>
        <v/>
      </c>
    </row>
    <row r="38" spans="1:87" ht="60.75" thickBot="1" x14ac:dyDescent="0.3">
      <c r="A38">
        <v>30</v>
      </c>
      <c r="D38" s="127"/>
      <c r="E38" s="47" t="s">
        <v>64</v>
      </c>
      <c r="F38" s="1028" t="str">
        <f>$F$9</f>
        <v>Office</v>
      </c>
      <c r="G38" s="1028" t="str">
        <f>$G$9</f>
        <v>Retail</v>
      </c>
      <c r="H38" s="1032" t="str">
        <f>$H$9</f>
        <v>Residential</v>
      </c>
      <c r="I38" s="1028" t="str">
        <f>$I$9</f>
        <v>Industrial</v>
      </c>
      <c r="J38" s="1030" t="str">
        <f>$J$9</f>
        <v>Healthcare</v>
      </c>
      <c r="K38" s="1030" t="str">
        <f>$K$9</f>
        <v>Prison</v>
      </c>
      <c r="L38" s="1030" t="str">
        <f>$L$9</f>
        <v>Law Court</v>
      </c>
      <c r="M38" s="1034" t="str">
        <f>$M$9</f>
        <v>Residential institution (long term stay)</v>
      </c>
      <c r="N38" s="796" t="str">
        <f>$N$9</f>
        <v>Residential institution (short term stay)</v>
      </c>
      <c r="O38" s="796" t="str">
        <f>$O$9</f>
        <v>Non-residential institution</v>
      </c>
      <c r="P38" s="796" t="str">
        <f>$P$9</f>
        <v>Assembly and leisure</v>
      </c>
      <c r="Q38" s="1030" t="str">
        <f>$Q$9</f>
        <v>Education</v>
      </c>
      <c r="R38" s="747" t="str">
        <f>$R$9</f>
        <v>Other</v>
      </c>
      <c r="T38" s="122" t="str">
        <f>$E$6</f>
        <v>Office</v>
      </c>
      <c r="U38" s="182"/>
      <c r="V38" s="183"/>
      <c r="W38" s="578"/>
      <c r="X38" s="963"/>
      <c r="Y38" s="974" t="s">
        <v>411</v>
      </c>
      <c r="Z38" s="972" t="s">
        <v>334</v>
      </c>
      <c r="AA38" s="131" t="s">
        <v>213</v>
      </c>
      <c r="AB38" s="53" t="s">
        <v>14</v>
      </c>
      <c r="AI38" s="36"/>
      <c r="AJ38" s="54"/>
      <c r="AK38" s="54"/>
      <c r="AM38" s="123"/>
      <c r="AN38" s="123"/>
      <c r="AO38" s="123"/>
      <c r="AP38" s="123"/>
      <c r="AQ38" s="123"/>
      <c r="AS38" s="123"/>
      <c r="AT38" s="123"/>
      <c r="AU38" s="123"/>
      <c r="AV38" s="123"/>
      <c r="AW38" s="123"/>
      <c r="AZ38" s="181"/>
      <c r="BO38" s="54"/>
      <c r="BP38" s="54"/>
      <c r="BQ38" s="54"/>
      <c r="BR38" s="54"/>
      <c r="BS38" s="54"/>
      <c r="BT38" s="54"/>
      <c r="BW38" s="47"/>
      <c r="BX38" s="47" t="str">
        <f>E38</f>
        <v>Health &amp; Wellbeing</v>
      </c>
      <c r="BY38" s="47">
        <f>IFERROR(VLOOKUP($E38,'Pre-Assessment Estimator'!$F$11:$AJ$226,'Pre-Assessment Estimator'!AJ$2,FALSE),"")</f>
        <v>0</v>
      </c>
      <c r="BZ38" s="47" t="str">
        <f t="shared" si="58"/>
        <v/>
      </c>
      <c r="CA38" s="47" t="str">
        <f t="shared" si="58"/>
        <v/>
      </c>
      <c r="CB38" s="47"/>
      <c r="CC38" t="str">
        <f t="shared" si="59"/>
        <v/>
      </c>
    </row>
    <row r="39" spans="1:87" x14ac:dyDescent="0.25">
      <c r="A39">
        <v>31</v>
      </c>
      <c r="B39" s="121" t="str">
        <f>D39</f>
        <v>Hea 01</v>
      </c>
      <c r="C39" s="121" t="str">
        <f>B39</f>
        <v>Hea 01</v>
      </c>
      <c r="D39" s="726" t="s">
        <v>116</v>
      </c>
      <c r="E39" s="724" t="s">
        <v>114</v>
      </c>
      <c r="F39" s="811">
        <f t="shared" ref="F39:K39" si="63">SUM(F41:F45)</f>
        <v>7</v>
      </c>
      <c r="G39" s="811">
        <f t="shared" si="63"/>
        <v>7</v>
      </c>
      <c r="H39" s="811">
        <f t="shared" si="63"/>
        <v>5</v>
      </c>
      <c r="I39" s="811">
        <f t="shared" si="63"/>
        <v>7</v>
      </c>
      <c r="J39" s="811">
        <f t="shared" si="63"/>
        <v>7</v>
      </c>
      <c r="K39" s="811">
        <f t="shared" si="63"/>
        <v>7</v>
      </c>
      <c r="L39" s="811">
        <f t="shared" ref="L39:R39" si="64">SUM(L41:L45)</f>
        <v>7</v>
      </c>
      <c r="M39" s="811">
        <f t="shared" si="64"/>
        <v>7</v>
      </c>
      <c r="N39" s="811">
        <f t="shared" si="64"/>
        <v>7</v>
      </c>
      <c r="O39" s="811">
        <f t="shared" si="64"/>
        <v>7</v>
      </c>
      <c r="P39" s="811">
        <f t="shared" si="64"/>
        <v>7</v>
      </c>
      <c r="Q39" s="811">
        <f t="shared" ref="Q39" si="65">SUM(Q41:Q45)</f>
        <v>7</v>
      </c>
      <c r="R39" s="811">
        <f t="shared" si="64"/>
        <v>7</v>
      </c>
      <c r="T39" s="829">
        <f t="shared" ref="T39:T54" si="66">HLOOKUP($E$6,$F$9:$R$231,$A39,FALSE)</f>
        <v>7</v>
      </c>
      <c r="U39" s="191"/>
      <c r="V39" s="61"/>
      <c r="W39" s="61"/>
      <c r="X39" s="908">
        <f>'Manuell filtrering og justering'!E17</f>
        <v>0</v>
      </c>
      <c r="Y39" s="831"/>
      <c r="Z39" s="975">
        <f t="shared" ref="Z39:AB39" si="67">SUM(Z41:Z45)</f>
        <v>7</v>
      </c>
      <c r="AA39" s="831">
        <f t="shared" ref="AA39:AA54" si="68">IF(SUM(U39:Y39)&gt;T39,T39,SUM(U39:Y39))</f>
        <v>0</v>
      </c>
      <c r="AB39" s="883">
        <f t="shared" si="67"/>
        <v>7</v>
      </c>
      <c r="AD39" s="150">
        <f t="shared" ref="AD39:AD65" si="69">(Hea_Weight/Hea_Credits)*AB39</f>
        <v>5.894736842105263E-2</v>
      </c>
      <c r="AE39" s="799">
        <f>SUM(AE41:AE45)</f>
        <v>0</v>
      </c>
      <c r="AF39" s="799">
        <f>SUM(AF41:AF45)</f>
        <v>0</v>
      </c>
      <c r="AG39" s="799">
        <f>SUM(AG41:AG45)</f>
        <v>0</v>
      </c>
      <c r="AI39" s="826">
        <f t="shared" ref="AI39:AK39" si="70">SUM(AI41:AI45)</f>
        <v>0</v>
      </c>
      <c r="AJ39" s="826">
        <f t="shared" si="70"/>
        <v>0</v>
      </c>
      <c r="AK39" s="826">
        <f t="shared" si="70"/>
        <v>0</v>
      </c>
      <c r="AL39" t="s">
        <v>425</v>
      </c>
      <c r="AM39" s="258"/>
      <c r="AN39" s="259"/>
      <c r="AO39" s="259"/>
      <c r="AP39" s="259"/>
      <c r="AQ39" s="260"/>
      <c r="AS39" s="258"/>
      <c r="AT39" s="259"/>
      <c r="AU39" s="259"/>
      <c r="AV39" s="259"/>
      <c r="AW39" s="260"/>
      <c r="AY39" s="189"/>
      <c r="AZ39" s="156"/>
      <c r="BA39" s="156"/>
      <c r="BB39" s="156"/>
      <c r="BC39" s="190"/>
      <c r="BD39" s="153">
        <f t="shared" si="60"/>
        <v>9</v>
      </c>
      <c r="BE39" s="45" t="str">
        <f t="shared" ref="BE39:BE65" si="71">VLOOKUP(BD39,$BO$284:$BT$290,6,FALSE)</f>
        <v>N/A</v>
      </c>
      <c r="BF39" s="157"/>
      <c r="BG39" s="153">
        <f t="shared" ref="BG39:BG65" si="72">IF(BC39=0,9,IF(AJ39&gt;=BC39,5,IF(AJ39&gt;=BB39,4,IF(AJ39&gt;=BA39,3,IF(AJ39&gt;=AZ39,2,IF(AJ39&lt;AY39,0,1))))))</f>
        <v>9</v>
      </c>
      <c r="BH39" s="45" t="str">
        <f t="shared" ref="BH39:BH65" si="73">VLOOKUP(BG39,$BO$284:$BT$290,6,FALSE)</f>
        <v>N/A</v>
      </c>
      <c r="BI39" s="157"/>
      <c r="BJ39" s="153">
        <f t="shared" si="28"/>
        <v>9</v>
      </c>
      <c r="BK39" s="45" t="str">
        <f t="shared" ref="BK39:BK65" si="74">VLOOKUP(BJ39,$BO$284:$BT$290,6,FALSE)</f>
        <v>N/A</v>
      </c>
      <c r="BL39" s="157"/>
      <c r="BO39" s="43"/>
      <c r="BP39" s="43"/>
      <c r="BQ39" s="43" t="str">
        <f t="shared" si="15"/>
        <v/>
      </c>
      <c r="BR39" s="43">
        <f t="shared" si="55"/>
        <v>9</v>
      </c>
      <c r="BS39" s="43">
        <f t="shared" si="56"/>
        <v>9</v>
      </c>
      <c r="BT39" s="43">
        <f t="shared" si="57"/>
        <v>9</v>
      </c>
      <c r="BW39" s="586" t="str">
        <f>D39</f>
        <v>Hea 01</v>
      </c>
      <c r="BX39" s="45" t="str">
        <f>IFERROR(VLOOKUP($E39,'Pre-Assessment Estimator'!$F$11:$AC$226,'Pre-Assessment Estimator'!AC$2,FALSE),"")</f>
        <v>No</v>
      </c>
      <c r="BY39" s="586" t="str">
        <f>IFERROR(VLOOKUP($E39,'Pre-Assessment Estimator'!$F$11:$AJ$226,'Pre-Assessment Estimator'!AJ$2,FALSE),"")</f>
        <v>Ja</v>
      </c>
      <c r="BZ39" s="45">
        <f>IFERROR(VLOOKUP($BX39,$E$293:$H$326,F$291,FALSE),"")</f>
        <v>1</v>
      </c>
      <c r="CA39" s="584" t="s">
        <v>428</v>
      </c>
      <c r="CB39" s="45">
        <f>H298</f>
        <v>2</v>
      </c>
      <c r="CC39" t="str">
        <f t="shared" si="59"/>
        <v/>
      </c>
      <c r="CD39" s="62" t="s">
        <v>403</v>
      </c>
      <c r="CE39" s="43">
        <f t="shared" ref="CE39:CE55" si="75">VLOOKUP(CA39,$CA$4:$CB$5,2,FALSE)</f>
        <v>0</v>
      </c>
      <c r="CG39" s="62">
        <f>IF($BX$5=ais_nei,CE39,IF(CD39=$BY$5,IF(AND(CA39=$CA$4,BX39=$CC$4),0,BZ39),CE39))</f>
        <v>0</v>
      </c>
    </row>
    <row r="40" spans="1:87" x14ac:dyDescent="0.25">
      <c r="A40">
        <v>32</v>
      </c>
      <c r="B40" s="121"/>
      <c r="C40" t="str">
        <f t="shared" si="19"/>
        <v>Hea 01</v>
      </c>
      <c r="D40" s="726" t="s">
        <v>692</v>
      </c>
      <c r="E40" s="817" t="s">
        <v>1048</v>
      </c>
      <c r="F40" s="666"/>
      <c r="G40" s="666"/>
      <c r="H40" s="666"/>
      <c r="I40" s="666"/>
      <c r="J40" s="666"/>
      <c r="K40" s="666"/>
      <c r="L40" s="666"/>
      <c r="M40" s="666"/>
      <c r="N40" s="666"/>
      <c r="O40" s="666"/>
      <c r="P40" s="666"/>
      <c r="Q40" s="666"/>
      <c r="R40" s="666"/>
      <c r="T40" s="184">
        <f t="shared" si="66"/>
        <v>0</v>
      </c>
      <c r="U40" s="146"/>
      <c r="V40" s="43"/>
      <c r="W40" s="43"/>
      <c r="X40" s="147"/>
      <c r="Y40" s="148"/>
      <c r="Z40" s="958"/>
      <c r="AA40" s="148">
        <f t="shared" si="68"/>
        <v>0</v>
      </c>
      <c r="AB40" s="149">
        <f>IF($AC$5='Manuell filtrering og justering'!$J$2,Z40,(T40-AA40))</f>
        <v>0</v>
      </c>
      <c r="AD40" s="150">
        <f t="shared" ref="AD40" si="76">(Hea_Weight/Hea_Credits)*AB40</f>
        <v>0</v>
      </c>
      <c r="AE40" s="150">
        <f t="shared" ref="AE40" si="77">IF(AB40=0,0,(AD40/AB40)*AI40)</f>
        <v>0</v>
      </c>
      <c r="AF40" s="150">
        <f t="shared" ref="AF40" si="78">IF(AB40=0,0,(AD40/AB40)*AJ40)</f>
        <v>0</v>
      </c>
      <c r="AG40" s="150">
        <f t="shared" ref="AG40" si="79">IF(AB40=0,0,(AD40/AB40)*AK40)</f>
        <v>0</v>
      </c>
      <c r="AI40" s="151"/>
      <c r="AJ40" s="151"/>
      <c r="AK40" s="151"/>
      <c r="AM40" s="251"/>
      <c r="AN40" s="159"/>
      <c r="AO40" s="264"/>
      <c r="AP40" s="253"/>
      <c r="AQ40" s="254"/>
      <c r="AS40" s="252"/>
      <c r="AT40" s="253"/>
      <c r="AU40" s="253"/>
      <c r="AV40" s="253"/>
      <c r="AW40" s="254"/>
      <c r="AY40" s="160"/>
      <c r="AZ40" s="161"/>
      <c r="BA40" s="161"/>
      <c r="BB40" s="161"/>
      <c r="BC40" s="155"/>
      <c r="BD40" s="596">
        <f t="shared" ref="BD40" si="80">IF(BC40=0,9,IF((AI40-CG40)&gt;=BC40,5,IF((AI40-CG40)&gt;=BB40,4,IF((AI40-CG40)&gt;=BA40,3,IF((AI40-CG40)&gt;=AZ40,2,IF((AI40-CG40)&lt;AY40,0,1))))))</f>
        <v>9</v>
      </c>
      <c r="BE40" s="45" t="str">
        <f t="shared" si="71"/>
        <v>N/A</v>
      </c>
      <c r="BF40" s="163"/>
      <c r="BG40" s="160">
        <f t="shared" ref="BG40" si="81">IF(BC40=0,9,IF((AJ40-CG40)&gt;=BC40,5,IF((AJ40-CG40)&gt;=BB40,4,IF((AJ40-CG40)&gt;=BA40,3,IF((AJ40-CG40)&gt;=AZ40,2,IF((AJ40-CG40)&lt;AY40,0,1))))))</f>
        <v>9</v>
      </c>
      <c r="BH40" s="45" t="str">
        <f t="shared" si="73"/>
        <v>N/A</v>
      </c>
      <c r="BI40" s="163"/>
      <c r="BJ40" s="160">
        <f t="shared" ref="BJ40" si="82">IF(BC40=0,9,IF((AK40-CG40)&gt;=BC40,5,IF((AK40-CG40)&gt;=BB40,4,IF((AK40-CG40)&gt;=BA40,3,IF((AK40-CG40)&gt;=AZ40,2,IF((AK40-CG40)&lt;AY40,0,1))))))</f>
        <v>9</v>
      </c>
      <c r="BK40" s="45" t="str">
        <f t="shared" si="74"/>
        <v>N/A</v>
      </c>
      <c r="BL40" s="163"/>
      <c r="BO40" s="43"/>
      <c r="BP40" s="43"/>
      <c r="BQ40" s="43" t="str">
        <f t="shared" si="15"/>
        <v/>
      </c>
      <c r="BR40" s="43">
        <f t="shared" si="55"/>
        <v>9</v>
      </c>
      <c r="BS40" s="43">
        <f t="shared" si="56"/>
        <v>9</v>
      </c>
      <c r="BT40" s="43">
        <f t="shared" si="57"/>
        <v>9</v>
      </c>
      <c r="BW40" s="586"/>
      <c r="BX40" s="45"/>
      <c r="BY40" s="586"/>
      <c r="BZ40" s="45"/>
      <c r="CA40" s="584"/>
      <c r="CB40" s="45"/>
      <c r="CD40" s="62"/>
      <c r="CE40" s="43"/>
      <c r="CG40" s="62"/>
    </row>
    <row r="41" spans="1:87" x14ac:dyDescent="0.25">
      <c r="A41">
        <v>33</v>
      </c>
      <c r="B41" t="str">
        <f t="shared" ref="B41:B45" si="83">$D$39&amp;D41</f>
        <v>Hea 01b</v>
      </c>
      <c r="C41" t="str">
        <f t="shared" si="19"/>
        <v>Hea 01</v>
      </c>
      <c r="D41" s="144" t="s">
        <v>695</v>
      </c>
      <c r="E41" s="916" t="s">
        <v>602</v>
      </c>
      <c r="F41" s="816">
        <v>3</v>
      </c>
      <c r="G41" s="816">
        <v>3</v>
      </c>
      <c r="H41" s="816">
        <v>3</v>
      </c>
      <c r="I41" s="816">
        <v>3</v>
      </c>
      <c r="J41" s="816">
        <v>3</v>
      </c>
      <c r="K41" s="816">
        <v>3</v>
      </c>
      <c r="L41" s="816">
        <v>3</v>
      </c>
      <c r="M41" s="816">
        <v>3</v>
      </c>
      <c r="N41" s="816">
        <v>3</v>
      </c>
      <c r="O41" s="816">
        <v>3</v>
      </c>
      <c r="P41" s="816">
        <v>3</v>
      </c>
      <c r="Q41" s="816">
        <v>3</v>
      </c>
      <c r="R41" s="816">
        <v>3</v>
      </c>
      <c r="T41" s="184">
        <f t="shared" si="66"/>
        <v>3</v>
      </c>
      <c r="U41" s="146"/>
      <c r="V41" s="43"/>
      <c r="W41" s="43"/>
      <c r="X41" s="147"/>
      <c r="Y41" s="148"/>
      <c r="Z41" s="958">
        <f>VLOOKUP(B41,'Manuell filtrering og justering'!$A$7:$H$107,'Manuell filtrering og justering'!$H$1,FALSE)</f>
        <v>3</v>
      </c>
      <c r="AA41" s="148">
        <f t="shared" si="68"/>
        <v>0</v>
      </c>
      <c r="AB41" s="149">
        <f>IF($AC$5='Manuell filtrering og justering'!$J$2,Z41,(T41-AA41))</f>
        <v>3</v>
      </c>
      <c r="AD41" s="150">
        <f t="shared" si="69"/>
        <v>2.5263157894736842E-2</v>
      </c>
      <c r="AE41" s="150">
        <f>IF(AB41=0,0,(AD41/AB41)*AI41)</f>
        <v>0</v>
      </c>
      <c r="AF41" s="150">
        <f>IF(AB41=0,0,(AD41/AB41)*AJ41)</f>
        <v>0</v>
      </c>
      <c r="AG41" s="150">
        <f>IF(AB41=0,0,(AD41/AB41)*AK41)</f>
        <v>0</v>
      </c>
      <c r="AI41" s="884">
        <f>IF(AI$234=AD_no,0,IF(VLOOKUP(E41,'Pre-Assessment Estimator'!$F$11:$AA$226,'Pre-Assessment Estimator'!$H$2,FALSE)&gt;AB41,AB41,VLOOKUP(E41,'Pre-Assessment Estimator'!$F$11:$AA$226,'Pre-Assessment Estimator'!$H$2,FALSE)))</f>
        <v>0</v>
      </c>
      <c r="AJ41" s="884">
        <f>IF($AJ$234=AD_no,0,IF(VLOOKUP(E41,'Pre-Assessment Estimator'!$F$11:$AA$226,'Pre-Assessment Estimator'!$O$2,FALSE)&gt;AB41,AB41,VLOOKUP(E41,'Pre-Assessment Estimator'!$F$11:$AA$226,'Pre-Assessment Estimator'!$O$2,FALSE)))</f>
        <v>0</v>
      </c>
      <c r="AK41" s="884">
        <f>IF($AK$234=AD_no,0,IF(VLOOKUP(E41,'Pre-Assessment Estimator'!$F$11:$AA$226,'Pre-Assessment Estimator'!$V$2,FALSE)&gt;AB41,AB41,VLOOKUP(E41,'Pre-Assessment Estimator'!$F$11:$AA$226,'Pre-Assessment Estimator'!$V$2,FALSE)))</f>
        <v>0</v>
      </c>
      <c r="AM41" s="728"/>
      <c r="AN41" s="729"/>
      <c r="AO41" s="729"/>
      <c r="AP41" s="729"/>
      <c r="AQ41" s="730"/>
      <c r="AS41" s="728"/>
      <c r="AT41" s="729"/>
      <c r="AU41" s="729"/>
      <c r="AV41" s="729"/>
      <c r="AW41" s="730"/>
      <c r="AY41" s="144"/>
      <c r="AZ41" s="45"/>
      <c r="BA41" s="45"/>
      <c r="BB41" s="45"/>
      <c r="BC41" s="731"/>
      <c r="BD41" s="596">
        <f t="shared" ref="BD41:BD45" si="84">IF(BC41=0,9,IF((AI41-CG41)&gt;=BC41,5,IF((AI41-CG41)&gt;=BB41,4,IF((AI41-CG41)&gt;=BA41,3,IF((AI41-CG41)&gt;=AZ41,2,IF((AI41-CG41)&lt;AY41,0,1))))))</f>
        <v>9</v>
      </c>
      <c r="BE41" s="45" t="str">
        <f t="shared" si="71"/>
        <v>N/A</v>
      </c>
      <c r="BF41" s="163"/>
      <c r="BG41" s="160">
        <f t="shared" ref="BG41:BG45" si="85">IF(BC41=0,9,IF((AJ41-CG41)&gt;=BC41,5,IF((AJ41-CG41)&gt;=BB41,4,IF((AJ41-CG41)&gt;=BA41,3,IF((AJ41-CG41)&gt;=AZ41,2,IF((AJ41-CG41)&lt;AY41,0,1))))))</f>
        <v>9</v>
      </c>
      <c r="BH41" s="45" t="str">
        <f t="shared" si="73"/>
        <v>N/A</v>
      </c>
      <c r="BI41" s="163"/>
      <c r="BJ41" s="160">
        <f t="shared" ref="BJ41:BJ45" si="86">IF(BC41=0,9,IF((AK41-CG41)&gt;=BC41,5,IF((AK41-CG41)&gt;=BB41,4,IF((AK41-CG41)&gt;=BA41,3,IF((AK41-CG41)&gt;=AZ41,2,IF((AK41-CG41)&lt;AY41,0,1))))))</f>
        <v>9</v>
      </c>
      <c r="BK41" s="45" t="str">
        <f t="shared" si="74"/>
        <v>N/A</v>
      </c>
      <c r="BL41" s="723"/>
      <c r="BO41" s="43"/>
      <c r="BP41" s="43"/>
      <c r="BQ41" s="43" t="str">
        <f t="shared" si="15"/>
        <v/>
      </c>
      <c r="BR41" s="43">
        <f t="shared" si="55"/>
        <v>9</v>
      </c>
      <c r="BS41" s="43">
        <f t="shared" si="56"/>
        <v>9</v>
      </c>
      <c r="BT41" s="43">
        <f t="shared" si="57"/>
        <v>9</v>
      </c>
      <c r="BW41" s="586"/>
      <c r="BX41" s="45"/>
      <c r="BY41" s="586"/>
      <c r="BZ41" s="45"/>
      <c r="CA41" s="584"/>
      <c r="CB41" s="45"/>
      <c r="CD41" s="62"/>
      <c r="CE41" s="43"/>
      <c r="CG41" s="62"/>
    </row>
    <row r="42" spans="1:87" x14ac:dyDescent="0.25">
      <c r="A42">
        <v>34</v>
      </c>
      <c r="B42" t="str">
        <f t="shared" si="83"/>
        <v>Hea 01c</v>
      </c>
      <c r="C42" t="str">
        <f t="shared" si="19"/>
        <v>Hea 01</v>
      </c>
      <c r="D42" s="144" t="s">
        <v>696</v>
      </c>
      <c r="E42" s="916" t="s">
        <v>603</v>
      </c>
      <c r="F42" s="816">
        <v>1</v>
      </c>
      <c r="G42" s="816">
        <v>1</v>
      </c>
      <c r="H42" s="864">
        <v>0</v>
      </c>
      <c r="I42" s="816">
        <v>1</v>
      </c>
      <c r="J42" s="816">
        <v>1</v>
      </c>
      <c r="K42" s="816">
        <v>1</v>
      </c>
      <c r="L42" s="816">
        <v>1</v>
      </c>
      <c r="M42" s="816">
        <v>1</v>
      </c>
      <c r="N42" s="816">
        <v>1</v>
      </c>
      <c r="O42" s="816">
        <v>1</v>
      </c>
      <c r="P42" s="816">
        <v>1</v>
      </c>
      <c r="Q42" s="816">
        <v>1</v>
      </c>
      <c r="R42" s="816">
        <v>1</v>
      </c>
      <c r="T42" s="184">
        <f t="shared" si="66"/>
        <v>1</v>
      </c>
      <c r="U42" s="146"/>
      <c r="V42" s="43"/>
      <c r="W42" s="43"/>
      <c r="X42" s="147"/>
      <c r="Y42" s="148">
        <f>IF(OR($Y$4=$Y$5,$Y$4=$Y$6),T42,0)</f>
        <v>0</v>
      </c>
      <c r="Z42" s="958">
        <f>VLOOKUP(B42,'Manuell filtrering og justering'!$A$7:$H$107,'Manuell filtrering og justering'!$H$1,FALSE)</f>
        <v>1</v>
      </c>
      <c r="AA42" s="148">
        <f t="shared" si="68"/>
        <v>0</v>
      </c>
      <c r="AB42" s="149">
        <f>IF($AC$5='Manuell filtrering og justering'!$J$2,Z42,(T42-AA42))</f>
        <v>1</v>
      </c>
      <c r="AD42" s="150">
        <f t="shared" si="69"/>
        <v>8.4210526315789472E-3</v>
      </c>
      <c r="AE42" s="150">
        <f t="shared" ref="AE42:AE64" si="87">IF(AB42=0,0,(AD42/AB42)*AI42)</f>
        <v>0</v>
      </c>
      <c r="AF42" s="150">
        <f t="shared" ref="AF42:AF64" si="88">IF(AB42=0,0,(AD42/AB42)*AJ42)</f>
        <v>0</v>
      </c>
      <c r="AG42" s="150">
        <f t="shared" ref="AG42:AG64" si="89">IF(AB42=0,0,(AD42/AB42)*AK42)</f>
        <v>0</v>
      </c>
      <c r="AI42" s="884">
        <f>IF(AI$234=AD_no,0,IF(VLOOKUP(E42,'Pre-Assessment Estimator'!$F$11:$AA$226,'Pre-Assessment Estimator'!$H$2,FALSE)&gt;AB42,AB42,VLOOKUP(E42,'Pre-Assessment Estimator'!$F$11:$AA$226,'Pre-Assessment Estimator'!$H$2,FALSE)))</f>
        <v>0</v>
      </c>
      <c r="AJ42" s="884">
        <f>IF($AJ$234=AD_no,0,IF(VLOOKUP(E42,'Pre-Assessment Estimator'!$F$11:$AA$226,'Pre-Assessment Estimator'!$O$2,FALSE)&gt;AB42,AB42,VLOOKUP(E42,'Pre-Assessment Estimator'!$F$11:$AA$226,'Pre-Assessment Estimator'!$O$2,FALSE)))</f>
        <v>0</v>
      </c>
      <c r="AK42" s="884">
        <f>IF($AK$234=AD_no,0,IF(VLOOKUP(E42,'Pre-Assessment Estimator'!$F$11:$AA$226,'Pre-Assessment Estimator'!$V$2,FALSE)&gt;AB42,AB42,VLOOKUP(E42,'Pre-Assessment Estimator'!$F$11:$AA$226,'Pre-Assessment Estimator'!$V$2,FALSE)))</f>
        <v>0</v>
      </c>
      <c r="AM42" s="728"/>
      <c r="AN42" s="729"/>
      <c r="AO42" s="729"/>
      <c r="AP42" s="729"/>
      <c r="AQ42" s="730"/>
      <c r="AS42" s="728"/>
      <c r="AT42" s="729"/>
      <c r="AU42" s="729"/>
      <c r="AV42" s="729"/>
      <c r="AW42" s="730"/>
      <c r="AY42" s="144"/>
      <c r="AZ42" s="45"/>
      <c r="BA42" s="45"/>
      <c r="BB42" s="45"/>
      <c r="BC42" s="731"/>
      <c r="BD42" s="596">
        <f t="shared" si="84"/>
        <v>9</v>
      </c>
      <c r="BE42" s="45" t="str">
        <f t="shared" si="71"/>
        <v>N/A</v>
      </c>
      <c r="BF42" s="163"/>
      <c r="BG42" s="160">
        <f t="shared" si="85"/>
        <v>9</v>
      </c>
      <c r="BH42" s="45" t="str">
        <f t="shared" si="73"/>
        <v>N/A</v>
      </c>
      <c r="BI42" s="163"/>
      <c r="BJ42" s="160">
        <f t="shared" si="86"/>
        <v>9</v>
      </c>
      <c r="BK42" s="45" t="str">
        <f t="shared" si="74"/>
        <v>N/A</v>
      </c>
      <c r="BL42" s="723"/>
      <c r="BO42" s="43"/>
      <c r="BP42" s="43"/>
      <c r="BQ42" s="43" t="str">
        <f t="shared" si="15"/>
        <v/>
      </c>
      <c r="BR42" s="43">
        <f t="shared" si="55"/>
        <v>9</v>
      </c>
      <c r="BS42" s="43">
        <f t="shared" si="56"/>
        <v>9</v>
      </c>
      <c r="BT42" s="43">
        <f t="shared" si="57"/>
        <v>9</v>
      </c>
      <c r="BW42" s="586"/>
      <c r="BX42" s="45"/>
      <c r="BY42" s="586"/>
      <c r="BZ42" s="45"/>
      <c r="CA42" s="584"/>
      <c r="CB42" s="45"/>
      <c r="CD42" s="62"/>
      <c r="CE42" s="43"/>
      <c r="CG42" s="62"/>
    </row>
    <row r="43" spans="1:87" x14ac:dyDescent="0.25">
      <c r="A43">
        <v>35</v>
      </c>
      <c r="B43" t="str">
        <f t="shared" si="83"/>
        <v>Hea 01d</v>
      </c>
      <c r="C43" t="str">
        <f t="shared" si="19"/>
        <v>Hea 01</v>
      </c>
      <c r="D43" s="144" t="s">
        <v>694</v>
      </c>
      <c r="E43" s="916" t="s">
        <v>604</v>
      </c>
      <c r="F43" s="816">
        <v>1</v>
      </c>
      <c r="G43" s="816">
        <v>1</v>
      </c>
      <c r="H43" s="816">
        <v>1</v>
      </c>
      <c r="I43" s="816">
        <v>1</v>
      </c>
      <c r="J43" s="816">
        <v>1</v>
      </c>
      <c r="K43" s="816">
        <v>1</v>
      </c>
      <c r="L43" s="816">
        <v>1</v>
      </c>
      <c r="M43" s="816">
        <v>1</v>
      </c>
      <c r="N43" s="816">
        <v>1</v>
      </c>
      <c r="O43" s="816">
        <v>1</v>
      </c>
      <c r="P43" s="816">
        <v>1</v>
      </c>
      <c r="Q43" s="816">
        <v>1</v>
      </c>
      <c r="R43" s="816">
        <v>1</v>
      </c>
      <c r="T43" s="184">
        <f t="shared" si="66"/>
        <v>1</v>
      </c>
      <c r="U43" s="146"/>
      <c r="V43" s="43"/>
      <c r="W43" s="43"/>
      <c r="X43" s="147"/>
      <c r="Y43" s="148"/>
      <c r="Z43" s="958">
        <f>VLOOKUP(B43,'Manuell filtrering og justering'!$A$7:$H$107,'Manuell filtrering og justering'!$H$1,FALSE)</f>
        <v>1</v>
      </c>
      <c r="AA43" s="148">
        <f t="shared" si="68"/>
        <v>0</v>
      </c>
      <c r="AB43" s="149">
        <f>IF($AC$5='Manuell filtrering og justering'!$J$2,Z43,(T43-AA43))</f>
        <v>1</v>
      </c>
      <c r="AD43" s="150">
        <f t="shared" si="69"/>
        <v>8.4210526315789472E-3</v>
      </c>
      <c r="AE43" s="150">
        <f t="shared" si="87"/>
        <v>0</v>
      </c>
      <c r="AF43" s="150">
        <f t="shared" si="88"/>
        <v>0</v>
      </c>
      <c r="AG43" s="150">
        <f t="shared" si="89"/>
        <v>0</v>
      </c>
      <c r="AI43" s="884">
        <f>IF(AI$234=AD_no,0,IF(VLOOKUP(E43,'Pre-Assessment Estimator'!$F$11:$AA$226,'Pre-Assessment Estimator'!$H$2,FALSE)&gt;AB43,AB43,VLOOKUP(E43,'Pre-Assessment Estimator'!$F$11:$AA$226,'Pre-Assessment Estimator'!$H$2,FALSE)))</f>
        <v>0</v>
      </c>
      <c r="AJ43" s="884">
        <f>IF($AJ$234=AD_no,0,IF(VLOOKUP(E43,'Pre-Assessment Estimator'!$F$11:$AA$226,'Pre-Assessment Estimator'!$O$2,FALSE)&gt;AB43,AB43,VLOOKUP(E43,'Pre-Assessment Estimator'!$F$11:$AA$226,'Pre-Assessment Estimator'!$O$2,FALSE)))</f>
        <v>0</v>
      </c>
      <c r="AK43" s="884">
        <f>IF($AK$234=AD_no,0,IF(VLOOKUP(E43,'Pre-Assessment Estimator'!$F$11:$AA$226,'Pre-Assessment Estimator'!$V$2,FALSE)&gt;AB43,AB43,VLOOKUP(E43,'Pre-Assessment Estimator'!$F$11:$AA$226,'Pre-Assessment Estimator'!$V$2,FALSE)))</f>
        <v>0</v>
      </c>
      <c r="AM43" s="728"/>
      <c r="AN43" s="729"/>
      <c r="AO43" s="729"/>
      <c r="AP43" s="729"/>
      <c r="AQ43" s="730"/>
      <c r="AS43" s="728"/>
      <c r="AT43" s="729"/>
      <c r="AU43" s="729"/>
      <c r="AV43" s="729"/>
      <c r="AW43" s="730"/>
      <c r="AY43" s="144"/>
      <c r="AZ43" s="45"/>
      <c r="BA43" s="45"/>
      <c r="BB43" s="45"/>
      <c r="BC43" s="731"/>
      <c r="BD43" s="596">
        <f t="shared" si="84"/>
        <v>9</v>
      </c>
      <c r="BE43" s="45" t="str">
        <f t="shared" si="71"/>
        <v>N/A</v>
      </c>
      <c r="BF43" s="163"/>
      <c r="BG43" s="160">
        <f t="shared" si="85"/>
        <v>9</v>
      </c>
      <c r="BH43" s="45" t="str">
        <f t="shared" si="73"/>
        <v>N/A</v>
      </c>
      <c r="BI43" s="163"/>
      <c r="BJ43" s="160">
        <f t="shared" si="86"/>
        <v>9</v>
      </c>
      <c r="BK43" s="45" t="str">
        <f t="shared" si="74"/>
        <v>N/A</v>
      </c>
      <c r="BL43" s="723"/>
      <c r="BO43" s="43"/>
      <c r="BP43" s="43"/>
      <c r="BQ43" s="43" t="str">
        <f t="shared" si="15"/>
        <v/>
      </c>
      <c r="BR43" s="43">
        <f t="shared" si="55"/>
        <v>9</v>
      </c>
      <c r="BS43" s="43">
        <f t="shared" si="56"/>
        <v>9</v>
      </c>
      <c r="BT43" s="43">
        <f t="shared" si="57"/>
        <v>9</v>
      </c>
      <c r="BW43" s="586"/>
      <c r="BX43" s="45"/>
      <c r="BY43" s="586"/>
      <c r="BZ43" s="45"/>
      <c r="CA43" s="584"/>
      <c r="CB43" s="45"/>
      <c r="CD43" s="62"/>
      <c r="CE43" s="43"/>
      <c r="CG43" s="62"/>
    </row>
    <row r="44" spans="1:87" x14ac:dyDescent="0.25">
      <c r="A44">
        <v>36</v>
      </c>
      <c r="B44" t="str">
        <f t="shared" si="83"/>
        <v>Hea 01e</v>
      </c>
      <c r="C44" t="str">
        <f t="shared" si="19"/>
        <v>Hea 01</v>
      </c>
      <c r="D44" s="144" t="s">
        <v>693</v>
      </c>
      <c r="E44" s="916" t="s">
        <v>605</v>
      </c>
      <c r="F44" s="816">
        <v>1</v>
      </c>
      <c r="G44" s="816">
        <v>1</v>
      </c>
      <c r="H44" s="816">
        <v>1</v>
      </c>
      <c r="I44" s="816">
        <v>1</v>
      </c>
      <c r="J44" s="816">
        <v>1</v>
      </c>
      <c r="K44" s="816">
        <v>1</v>
      </c>
      <c r="L44" s="816">
        <v>1</v>
      </c>
      <c r="M44" s="816">
        <v>1</v>
      </c>
      <c r="N44" s="816">
        <v>1</v>
      </c>
      <c r="O44" s="816">
        <v>1</v>
      </c>
      <c r="P44" s="816">
        <v>1</v>
      </c>
      <c r="Q44" s="816">
        <v>1</v>
      </c>
      <c r="R44" s="816">
        <v>1</v>
      </c>
      <c r="T44" s="184">
        <f t="shared" si="66"/>
        <v>1</v>
      </c>
      <c r="U44" s="146"/>
      <c r="V44" s="43"/>
      <c r="W44" s="43"/>
      <c r="X44" s="147"/>
      <c r="Y44" s="148"/>
      <c r="Z44" s="958">
        <f>VLOOKUP(B44,'Manuell filtrering og justering'!$A$7:$H$107,'Manuell filtrering og justering'!$H$1,FALSE)</f>
        <v>1</v>
      </c>
      <c r="AA44" s="148">
        <f t="shared" si="68"/>
        <v>0</v>
      </c>
      <c r="AB44" s="149">
        <f>IF($AC$5='Manuell filtrering og justering'!$J$2,Z44,(T44-AA44))</f>
        <v>1</v>
      </c>
      <c r="AD44" s="150">
        <f t="shared" si="69"/>
        <v>8.4210526315789472E-3</v>
      </c>
      <c r="AE44" s="150">
        <f t="shared" si="87"/>
        <v>0</v>
      </c>
      <c r="AF44" s="150">
        <f t="shared" si="88"/>
        <v>0</v>
      </c>
      <c r="AG44" s="150">
        <f t="shared" si="89"/>
        <v>0</v>
      </c>
      <c r="AI44" s="884">
        <f>IF(AI$234=AD_no,0,IF(VLOOKUP(E44,'Pre-Assessment Estimator'!$F$11:$AA$226,'Pre-Assessment Estimator'!$H$2,FALSE)&gt;AB44,AB44,VLOOKUP(E44,'Pre-Assessment Estimator'!$F$11:$AA$226,'Pre-Assessment Estimator'!$H$2,FALSE)))</f>
        <v>0</v>
      </c>
      <c r="AJ44" s="884">
        <f>IF($AJ$234=AD_no,0,IF(VLOOKUP(E44,'Pre-Assessment Estimator'!$F$11:$AA$226,'Pre-Assessment Estimator'!$O$2,FALSE)&gt;AB44,AB44,VLOOKUP(E44,'Pre-Assessment Estimator'!$F$11:$AA$226,'Pre-Assessment Estimator'!$O$2,FALSE)))</f>
        <v>0</v>
      </c>
      <c r="AK44" s="884">
        <f>IF($AK$234=AD_no,0,IF(VLOOKUP(E44,'Pre-Assessment Estimator'!$F$11:$AA$226,'Pre-Assessment Estimator'!$V$2,FALSE)&gt;AB44,AB44,VLOOKUP(E44,'Pre-Assessment Estimator'!$F$11:$AA$226,'Pre-Assessment Estimator'!$V$2,FALSE)))</f>
        <v>0</v>
      </c>
      <c r="AM44" s="728"/>
      <c r="AN44" s="729"/>
      <c r="AO44" s="729"/>
      <c r="AP44" s="729"/>
      <c r="AQ44" s="730"/>
      <c r="AS44" s="728"/>
      <c r="AT44" s="729"/>
      <c r="AU44" s="729"/>
      <c r="AV44" s="729"/>
      <c r="AW44" s="730"/>
      <c r="AY44" s="144"/>
      <c r="AZ44" s="45"/>
      <c r="BA44" s="45"/>
      <c r="BB44" s="45"/>
      <c r="BC44" s="731"/>
      <c r="BD44" s="596">
        <f t="shared" si="84"/>
        <v>9</v>
      </c>
      <c r="BE44" s="45" t="str">
        <f t="shared" si="71"/>
        <v>N/A</v>
      </c>
      <c r="BF44" s="163"/>
      <c r="BG44" s="160">
        <f t="shared" si="85"/>
        <v>9</v>
      </c>
      <c r="BH44" s="45" t="str">
        <f t="shared" si="73"/>
        <v>N/A</v>
      </c>
      <c r="BI44" s="163"/>
      <c r="BJ44" s="160">
        <f t="shared" si="86"/>
        <v>9</v>
      </c>
      <c r="BK44" s="45" t="str">
        <f t="shared" si="74"/>
        <v>N/A</v>
      </c>
      <c r="BL44" s="723"/>
      <c r="BO44" s="43"/>
      <c r="BP44" s="43"/>
      <c r="BQ44" s="43" t="str">
        <f t="shared" si="15"/>
        <v/>
      </c>
      <c r="BR44" s="43">
        <f t="shared" si="55"/>
        <v>9</v>
      </c>
      <c r="BS44" s="43">
        <f t="shared" si="56"/>
        <v>9</v>
      </c>
      <c r="BT44" s="43">
        <f t="shared" si="57"/>
        <v>9</v>
      </c>
      <c r="BW44" s="586"/>
      <c r="BX44" s="45"/>
      <c r="BY44" s="586"/>
      <c r="BZ44" s="45"/>
      <c r="CA44" s="584"/>
      <c r="CB44" s="45"/>
      <c r="CD44" s="62"/>
      <c r="CE44" s="43"/>
      <c r="CG44" s="62"/>
    </row>
    <row r="45" spans="1:87" x14ac:dyDescent="0.25">
      <c r="A45">
        <v>37</v>
      </c>
      <c r="B45" t="str">
        <f t="shared" si="83"/>
        <v>Hea 01f</v>
      </c>
      <c r="C45" t="str">
        <f t="shared" si="19"/>
        <v>Hea 01</v>
      </c>
      <c r="D45" s="144" t="s">
        <v>908</v>
      </c>
      <c r="E45" s="916" t="s">
        <v>606</v>
      </c>
      <c r="F45" s="816">
        <v>1</v>
      </c>
      <c r="G45" s="816">
        <v>1</v>
      </c>
      <c r="H45" s="864">
        <v>0</v>
      </c>
      <c r="I45" s="816">
        <v>1</v>
      </c>
      <c r="J45" s="816">
        <v>1</v>
      </c>
      <c r="K45" s="816">
        <v>1</v>
      </c>
      <c r="L45" s="816">
        <v>1</v>
      </c>
      <c r="M45" s="816">
        <v>1</v>
      </c>
      <c r="N45" s="816">
        <v>1</v>
      </c>
      <c r="O45" s="816">
        <v>1</v>
      </c>
      <c r="P45" s="816">
        <v>1</v>
      </c>
      <c r="Q45" s="816">
        <v>1</v>
      </c>
      <c r="R45" s="816">
        <v>1</v>
      </c>
      <c r="T45" s="184">
        <f t="shared" si="66"/>
        <v>1</v>
      </c>
      <c r="U45" s="146"/>
      <c r="V45" s="43"/>
      <c r="W45" s="43"/>
      <c r="X45" s="147"/>
      <c r="Y45" s="148"/>
      <c r="Z45" s="958">
        <f>VLOOKUP(B45,'Manuell filtrering og justering'!$A$7:$H$107,'Manuell filtrering og justering'!$H$1,FALSE)</f>
        <v>1</v>
      </c>
      <c r="AA45" s="148">
        <f t="shared" si="68"/>
        <v>0</v>
      </c>
      <c r="AB45" s="149">
        <f>IF($AC$5='Manuell filtrering og justering'!$J$2,Z45,(T45-AA45))</f>
        <v>1</v>
      </c>
      <c r="AD45" s="150">
        <f t="shared" si="69"/>
        <v>8.4210526315789472E-3</v>
      </c>
      <c r="AE45" s="150">
        <f t="shared" si="87"/>
        <v>0</v>
      </c>
      <c r="AF45" s="150">
        <f t="shared" si="88"/>
        <v>0</v>
      </c>
      <c r="AG45" s="150">
        <f t="shared" si="89"/>
        <v>0</v>
      </c>
      <c r="AI45" s="884">
        <f>IF(AI$234=AD_no,0,IF(VLOOKUP(E45,'Pre-Assessment Estimator'!$F$11:$AA$226,'Pre-Assessment Estimator'!$H$2,FALSE)&gt;AB45,AB45,VLOOKUP(E45,'Pre-Assessment Estimator'!$F$11:$AA$226,'Pre-Assessment Estimator'!$H$2,FALSE)))</f>
        <v>0</v>
      </c>
      <c r="AJ45" s="884">
        <f>IF($AJ$234=AD_no,0,IF(VLOOKUP(E45,'Pre-Assessment Estimator'!$F$11:$AA$226,'Pre-Assessment Estimator'!$O$2,FALSE)&gt;AB45,AB45,VLOOKUP(E45,'Pre-Assessment Estimator'!$F$11:$AA$226,'Pre-Assessment Estimator'!$O$2,FALSE)))</f>
        <v>0</v>
      </c>
      <c r="AK45" s="884">
        <f>IF($AK$234=AD_no,0,IF(VLOOKUP(E45,'Pre-Assessment Estimator'!$F$11:$AA$226,'Pre-Assessment Estimator'!$V$2,FALSE)&gt;AB45,AB45,VLOOKUP(E45,'Pre-Assessment Estimator'!$F$11:$AA$226,'Pre-Assessment Estimator'!$V$2,FALSE)))</f>
        <v>0</v>
      </c>
      <c r="AM45" s="728"/>
      <c r="AN45" s="729"/>
      <c r="AO45" s="729"/>
      <c r="AP45" s="729"/>
      <c r="AQ45" s="730"/>
      <c r="AS45" s="728"/>
      <c r="AT45" s="729"/>
      <c r="AU45" s="729"/>
      <c r="AV45" s="729"/>
      <c r="AW45" s="730"/>
      <c r="AY45" s="144"/>
      <c r="AZ45" s="45"/>
      <c r="BA45" s="45"/>
      <c r="BB45" s="45"/>
      <c r="BC45" s="731"/>
      <c r="BD45" s="596">
        <f t="shared" si="84"/>
        <v>9</v>
      </c>
      <c r="BE45" s="45" t="str">
        <f t="shared" si="71"/>
        <v>N/A</v>
      </c>
      <c r="BF45" s="163"/>
      <c r="BG45" s="160">
        <f t="shared" si="85"/>
        <v>9</v>
      </c>
      <c r="BH45" s="45" t="str">
        <f t="shared" si="73"/>
        <v>N/A</v>
      </c>
      <c r="BI45" s="163"/>
      <c r="BJ45" s="160">
        <f t="shared" si="86"/>
        <v>9</v>
      </c>
      <c r="BK45" s="45" t="str">
        <f t="shared" si="74"/>
        <v>N/A</v>
      </c>
      <c r="BL45" s="723"/>
      <c r="BO45" s="43"/>
      <c r="BP45" s="43"/>
      <c r="BQ45" s="43" t="str">
        <f t="shared" si="15"/>
        <v/>
      </c>
      <c r="BR45" s="43">
        <f t="shared" si="55"/>
        <v>9</v>
      </c>
      <c r="BS45" s="43">
        <f t="shared" si="56"/>
        <v>9</v>
      </c>
      <c r="BT45" s="43">
        <f t="shared" si="57"/>
        <v>9</v>
      </c>
      <c r="BW45" s="586"/>
      <c r="BX45" s="45"/>
      <c r="BY45" s="586"/>
      <c r="BZ45" s="45"/>
      <c r="CA45" s="584"/>
      <c r="CB45" s="45"/>
      <c r="CD45" s="62"/>
      <c r="CE45" s="43"/>
      <c r="CG45" s="62"/>
    </row>
    <row r="46" spans="1:87" x14ac:dyDescent="0.25">
      <c r="A46">
        <v>38</v>
      </c>
      <c r="B46" s="121" t="str">
        <f>D46</f>
        <v>Hea 02</v>
      </c>
      <c r="C46" s="121" t="str">
        <f>B46</f>
        <v>Hea 02</v>
      </c>
      <c r="D46" s="727" t="s">
        <v>117</v>
      </c>
      <c r="E46" s="725" t="s">
        <v>111</v>
      </c>
      <c r="F46" s="811">
        <f t="shared" ref="F46:R46" si="90">SUM(F47:F50)</f>
        <v>4</v>
      </c>
      <c r="G46" s="811">
        <f t="shared" si="90"/>
        <v>4</v>
      </c>
      <c r="H46" s="811">
        <f t="shared" si="90"/>
        <v>4</v>
      </c>
      <c r="I46" s="811">
        <f t="shared" si="90"/>
        <v>4</v>
      </c>
      <c r="J46" s="811">
        <f t="shared" si="90"/>
        <v>4</v>
      </c>
      <c r="K46" s="811">
        <f t="shared" si="90"/>
        <v>4</v>
      </c>
      <c r="L46" s="811">
        <f t="shared" si="90"/>
        <v>4</v>
      </c>
      <c r="M46" s="811">
        <f t="shared" si="90"/>
        <v>4</v>
      </c>
      <c r="N46" s="811">
        <f t="shared" si="90"/>
        <v>4</v>
      </c>
      <c r="O46" s="811">
        <f t="shared" si="90"/>
        <v>4</v>
      </c>
      <c r="P46" s="811">
        <f t="shared" si="90"/>
        <v>4</v>
      </c>
      <c r="Q46" s="811">
        <f t="shared" ref="Q46" si="91">SUM(Q47:Q50)</f>
        <v>4</v>
      </c>
      <c r="R46" s="811">
        <f t="shared" si="90"/>
        <v>4</v>
      </c>
      <c r="T46" s="829">
        <f t="shared" si="66"/>
        <v>4</v>
      </c>
      <c r="U46" s="191">
        <f>U48+U49+U50</f>
        <v>0</v>
      </c>
      <c r="V46" s="61"/>
      <c r="W46" s="61"/>
      <c r="X46" s="908">
        <f>'Manuell filtrering og justering'!E18</f>
        <v>0</v>
      </c>
      <c r="Y46" s="831"/>
      <c r="Z46" s="975">
        <f t="shared" ref="Z46" si="92">SUM(Z47:Z50)</f>
        <v>4</v>
      </c>
      <c r="AA46" s="831">
        <f t="shared" si="68"/>
        <v>0</v>
      </c>
      <c r="AB46" s="883">
        <f>SUM(AB47:AB50)</f>
        <v>4</v>
      </c>
      <c r="AD46" s="150">
        <f t="shared" si="69"/>
        <v>3.3684210526315789E-2</v>
      </c>
      <c r="AE46" s="799">
        <f>SUM(AE47:AE50)</f>
        <v>0</v>
      </c>
      <c r="AF46" s="799">
        <f t="shared" ref="AF46:AG46" si="93">SUM(AF47:AF50)</f>
        <v>0</v>
      </c>
      <c r="AG46" s="799">
        <f t="shared" si="93"/>
        <v>0</v>
      </c>
      <c r="AI46" s="826">
        <f t="shared" ref="AI46:AK46" si="94">SUM(AI47:AI50)</f>
        <v>0</v>
      </c>
      <c r="AJ46" s="826">
        <f t="shared" si="94"/>
        <v>0</v>
      </c>
      <c r="AK46" s="826">
        <f t="shared" si="94"/>
        <v>0</v>
      </c>
      <c r="AL46" t="s">
        <v>425</v>
      </c>
      <c r="AM46" s="251"/>
      <c r="AN46" s="159"/>
      <c r="AO46" s="264"/>
      <c r="AP46" s="253"/>
      <c r="AQ46" s="254"/>
      <c r="AS46" s="252"/>
      <c r="AT46" s="253"/>
      <c r="AU46" s="253"/>
      <c r="AV46" s="253"/>
      <c r="AW46" s="254"/>
      <c r="AY46" s="160"/>
      <c r="AZ46" s="161"/>
      <c r="BA46" s="161"/>
      <c r="BB46" s="161"/>
      <c r="BC46" s="155"/>
      <c r="BD46" s="596">
        <f>IF(BC46=0,9,IF((AI46-CG46)&gt;=BC46,5,IF((AI46-CG46)&gt;=BB46,4,IF((AI46-CG46)&gt;=BA46,3,IF((AI46-CG46)&gt;=AZ46,2,IF((AI46-CG46)&lt;AY46,0,1))))))</f>
        <v>9</v>
      </c>
      <c r="BE46" s="45" t="str">
        <f t="shared" si="71"/>
        <v>N/A</v>
      </c>
      <c r="BF46" s="163"/>
      <c r="BG46" s="160">
        <f>IF(BC46=0,9,IF((AJ46-CG46)&gt;=BC46,5,IF((AJ46-CG46)&gt;=BB46,4,IF((AJ46-CG46)&gt;=BA46,3,IF((AJ46-CG46)&gt;=AZ46,2,IF((AJ46-CG46)&lt;AY46,0,1))))))</f>
        <v>9</v>
      </c>
      <c r="BH46" s="45" t="str">
        <f t="shared" si="73"/>
        <v>N/A</v>
      </c>
      <c r="BI46" s="163"/>
      <c r="BJ46" s="160">
        <f>IF(BC46=0,9,IF((AK46-CG46)&gt;=BC46,5,IF((AK46-CG46)&gt;=BB46,4,IF((AK46-CG46)&gt;=BA46,3,IF((AK46-CG46)&gt;=AZ46,2,IF((AK46-CG46)&lt;AY46,0,1))))))</f>
        <v>9</v>
      </c>
      <c r="BK46" s="45" t="str">
        <f t="shared" si="74"/>
        <v>N/A</v>
      </c>
      <c r="BL46" s="163"/>
      <c r="BM46" t="s">
        <v>458</v>
      </c>
      <c r="BO46" s="43"/>
      <c r="BP46" s="43"/>
      <c r="BQ46" s="43" t="str">
        <f t="shared" si="15"/>
        <v/>
      </c>
      <c r="BR46" s="43">
        <f t="shared" si="55"/>
        <v>9</v>
      </c>
      <c r="BS46" s="43">
        <f t="shared" si="56"/>
        <v>9</v>
      </c>
      <c r="BT46" s="43">
        <f t="shared" si="57"/>
        <v>9</v>
      </c>
      <c r="BW46" s="43" t="str">
        <f>D46</f>
        <v>Hea 02</v>
      </c>
      <c r="BX46" s="43" t="str">
        <f>IFERROR(VLOOKUP($E46,'Pre-Assessment Estimator'!$F$11:$AC$226,'Pre-Assessment Estimator'!AC$2,FALSE),"")</f>
        <v>O2: VOC (AC 8-9: -1,0 c)</v>
      </c>
      <c r="BY46" s="61" t="str">
        <f>IFERROR(VLOOKUP($E46,'Pre-Assessment Estimator'!$F$11:$AJ$226,'Pre-Assessment Estimator'!AJ$2,FALSE),"")</f>
        <v>Ja</v>
      </c>
      <c r="BZ46" s="43">
        <f>IFERROR(VLOOKUP($BX46,$E$293:$H$326,F$291,FALSE),"")</f>
        <v>-1</v>
      </c>
      <c r="CA46" s="584" t="s">
        <v>428</v>
      </c>
      <c r="CB46" s="43">
        <f>H303</f>
        <v>5</v>
      </c>
      <c r="CC46" t="s">
        <v>429</v>
      </c>
      <c r="CD46" t="s">
        <v>436</v>
      </c>
      <c r="CE46" s="43">
        <f t="shared" si="75"/>
        <v>0</v>
      </c>
      <c r="CG46" s="62">
        <f>IF($BX$5=ais_nei,CE46,IF(AND(CA46=$CA$4,BX46=$CC$4),0,BZ46))</f>
        <v>0</v>
      </c>
      <c r="CI46" t="s">
        <v>403</v>
      </c>
    </row>
    <row r="47" spans="1:87" x14ac:dyDescent="0.25">
      <c r="A47">
        <v>39</v>
      </c>
      <c r="C47" t="str">
        <f t="shared" si="19"/>
        <v>Hea 02</v>
      </c>
      <c r="D47" s="144" t="s">
        <v>692</v>
      </c>
      <c r="E47" s="817" t="s">
        <v>1074</v>
      </c>
      <c r="F47" s="666"/>
      <c r="G47" s="666"/>
      <c r="H47" s="666"/>
      <c r="I47" s="666"/>
      <c r="J47" s="666"/>
      <c r="K47" s="666"/>
      <c r="L47" s="666"/>
      <c r="M47" s="666"/>
      <c r="N47" s="666"/>
      <c r="O47" s="666"/>
      <c r="P47" s="666"/>
      <c r="Q47" s="666"/>
      <c r="R47" s="666"/>
      <c r="T47" s="184">
        <f t="shared" si="66"/>
        <v>0</v>
      </c>
      <c r="U47" s="146"/>
      <c r="V47" s="43"/>
      <c r="W47" s="43"/>
      <c r="X47" s="147"/>
      <c r="Y47" s="148"/>
      <c r="Z47" s="958"/>
      <c r="AA47" s="148">
        <f t="shared" si="68"/>
        <v>0</v>
      </c>
      <c r="AB47" s="149">
        <f>IF($AC$5='Manuell filtrering og justering'!$J$2,Z47,(T47-AA47))</f>
        <v>0</v>
      </c>
      <c r="AD47" s="150">
        <f t="shared" si="69"/>
        <v>0</v>
      </c>
      <c r="AE47" s="150">
        <f t="shared" si="87"/>
        <v>0</v>
      </c>
      <c r="AF47" s="150">
        <f t="shared" si="88"/>
        <v>0</v>
      </c>
      <c r="AG47" s="150">
        <f t="shared" si="89"/>
        <v>0</v>
      </c>
      <c r="AI47" s="151">
        <f>IF(VLOOKUP(E47,'Pre-Assessment Estimator'!$F$11:$AA$226,'Pre-Assessment Estimator'!$H$2,FALSE)&gt;AB47,AB47,VLOOKUP(E47,'Pre-Assessment Estimator'!$F$11:$AA$226,'Pre-Assessment Estimator'!$H$2,FALSE))</f>
        <v>0</v>
      </c>
      <c r="AJ47" s="151">
        <f>IF(VLOOKUP(E47,'Pre-Assessment Estimator'!$F$11:$AA$226,'Pre-Assessment Estimator'!$O$2,FALSE)&gt;AB47,AB47,VLOOKUP(E47,'Pre-Assessment Estimator'!$F$11:$AA$226,'Pre-Assessment Estimator'!$O$2,FALSE))</f>
        <v>0</v>
      </c>
      <c r="AK47" s="151">
        <f>IF(VLOOKUP(E47,'Pre-Assessment Estimator'!$F$11:$AA$226,'Pre-Assessment Estimator'!$V$2,FALSE)&gt;AB47,AB47,VLOOKUP(E47,'Pre-Assessment Estimator'!$F$11:$AA$226,'Pre-Assessment Estimator'!$V$2,FALSE))</f>
        <v>0</v>
      </c>
      <c r="AM47" s="251"/>
      <c r="AN47" s="159"/>
      <c r="AO47" s="264"/>
      <c r="AP47" s="253"/>
      <c r="AQ47" s="254"/>
      <c r="AS47" s="252"/>
      <c r="AT47" s="253"/>
      <c r="AU47" s="253"/>
      <c r="AV47" s="253"/>
      <c r="AW47" s="254"/>
      <c r="AY47" s="160"/>
      <c r="AZ47" s="161"/>
      <c r="BA47" s="161"/>
      <c r="BB47" s="161"/>
      <c r="BC47" s="155"/>
      <c r="BD47" s="596">
        <f t="shared" ref="BD47:BD64" si="95">IF(BC47=0,9,IF((AI47-CG47)&gt;=BC47,5,IF((AI47-CG47)&gt;=BB47,4,IF((AI47-CG47)&gt;=BA47,3,IF((AI47-CG47)&gt;=AZ47,2,IF((AI47-CG47)&lt;AY47,0,1))))))</f>
        <v>9</v>
      </c>
      <c r="BE47" s="45" t="str">
        <f t="shared" si="71"/>
        <v>N/A</v>
      </c>
      <c r="BF47" s="163"/>
      <c r="BG47" s="160">
        <f t="shared" ref="BG47:BG64" si="96">IF(BC47=0,9,IF((AJ47-CG47)&gt;=BC47,5,IF((AJ47-CG47)&gt;=BB47,4,IF((AJ47-CG47)&gt;=BA47,3,IF((AJ47-CG47)&gt;=AZ47,2,IF((AJ47-CG47)&lt;AY47,0,1))))))</f>
        <v>9</v>
      </c>
      <c r="BH47" s="45" t="str">
        <f t="shared" si="73"/>
        <v>N/A</v>
      </c>
      <c r="BI47" s="163"/>
      <c r="BJ47" s="160">
        <f t="shared" ref="BJ47:BJ64" si="97">IF(BC47=0,9,IF((AK47-CG47)&gt;=BC47,5,IF((AK47-CG47)&gt;=BB47,4,IF((AK47-CG47)&gt;=BA47,3,IF((AK47-CG47)&gt;=AZ47,2,IF((AK47-CG47)&lt;AY47,0,1))))))</f>
        <v>9</v>
      </c>
      <c r="BK47" s="45" t="str">
        <f t="shared" si="74"/>
        <v>N/A</v>
      </c>
      <c r="BL47" s="163"/>
      <c r="BO47" s="43"/>
      <c r="BP47" s="43"/>
      <c r="BQ47" s="43" t="str">
        <f t="shared" si="15"/>
        <v/>
      </c>
      <c r="BR47" s="43">
        <f t="shared" si="55"/>
        <v>9</v>
      </c>
      <c r="BS47" s="43">
        <f t="shared" si="56"/>
        <v>9</v>
      </c>
      <c r="BT47" s="43">
        <f t="shared" si="57"/>
        <v>9</v>
      </c>
      <c r="BW47" s="43"/>
      <c r="BX47" s="43"/>
      <c r="BY47" s="61"/>
      <c r="BZ47" s="43"/>
      <c r="CA47" s="585"/>
      <c r="CB47" s="43"/>
      <c r="CE47" s="43"/>
      <c r="CG47" s="62"/>
    </row>
    <row r="48" spans="1:87" x14ac:dyDescent="0.25">
      <c r="A48">
        <v>40</v>
      </c>
      <c r="B48" t="str">
        <f t="shared" ref="B48:B50" si="98">$D$46&amp;D48</f>
        <v>Hea 02b</v>
      </c>
      <c r="C48" t="str">
        <f t="shared" si="19"/>
        <v>Hea 02</v>
      </c>
      <c r="D48" s="144" t="s">
        <v>695</v>
      </c>
      <c r="E48" s="916" t="s">
        <v>608</v>
      </c>
      <c r="F48" s="668">
        <v>1</v>
      </c>
      <c r="G48" s="668">
        <v>1</v>
      </c>
      <c r="H48" s="668">
        <v>1</v>
      </c>
      <c r="I48" s="668">
        <v>1</v>
      </c>
      <c r="J48" s="668">
        <v>1</v>
      </c>
      <c r="K48" s="668">
        <v>1</v>
      </c>
      <c r="L48" s="668">
        <v>1</v>
      </c>
      <c r="M48" s="668">
        <v>1</v>
      </c>
      <c r="N48" s="668">
        <v>1</v>
      </c>
      <c r="O48" s="668">
        <v>1</v>
      </c>
      <c r="P48" s="668">
        <v>1</v>
      </c>
      <c r="Q48" s="668">
        <v>1</v>
      </c>
      <c r="R48" s="668">
        <v>1</v>
      </c>
      <c r="T48" s="184">
        <f t="shared" si="66"/>
        <v>1</v>
      </c>
      <c r="U48" s="191">
        <f>IF(AND(ADBT0=ADBT1,ADIND_option03=AD_no),Poeng!T48,0)</f>
        <v>0</v>
      </c>
      <c r="V48" s="43"/>
      <c r="W48" s="43"/>
      <c r="X48" s="147"/>
      <c r="Y48" s="148"/>
      <c r="Z48" s="958">
        <f>VLOOKUP(B48,'Manuell filtrering og justering'!$A$7:$H$107,'Manuell filtrering og justering'!$H$1,FALSE)</f>
        <v>1</v>
      </c>
      <c r="AA48" s="148">
        <f t="shared" si="68"/>
        <v>0</v>
      </c>
      <c r="AB48" s="149">
        <f>IF($AC$5='Manuell filtrering og justering'!$J$2,Z48,(T48-AA48))</f>
        <v>1</v>
      </c>
      <c r="AD48" s="150">
        <f t="shared" si="69"/>
        <v>8.4210526315789472E-3</v>
      </c>
      <c r="AE48" s="150">
        <f t="shared" si="87"/>
        <v>0</v>
      </c>
      <c r="AF48" s="150">
        <f t="shared" si="88"/>
        <v>0</v>
      </c>
      <c r="AG48" s="150">
        <f t="shared" si="89"/>
        <v>0</v>
      </c>
      <c r="AI48" s="884">
        <f>IF(OR(AI236=AD_no,AI236=0,AI281=0),0,IF(VLOOKUP(E48,'Pre-Assessment Estimator'!$F$11:$AA$226,'Pre-Assessment Estimator'!$H$2,FALSE)&gt;AB48,AB48,VLOOKUP(E48,'Pre-Assessment Estimator'!$F$11:$AA$226,'Pre-Assessment Estimator'!$H$2,FALSE)))</f>
        <v>0</v>
      </c>
      <c r="AJ48" s="884">
        <f>IF(OR(AJ236=AD_no,AJ236=0,AJ281=0),0,IF(VLOOKUP(E48,'Pre-Assessment Estimator'!$F$11:$AA$226,'Pre-Assessment Estimator'!$O$2,FALSE)&gt;AB48,AB48,VLOOKUP(E48,'Pre-Assessment Estimator'!$F$11:$AA$226,'Pre-Assessment Estimator'!$O$2,FALSE)))</f>
        <v>0</v>
      </c>
      <c r="AK48" s="884">
        <f>IF(OR(AK236=AD_no,AK236=0,AK281=0),0,IF(VLOOKUP(E48,'Pre-Assessment Estimator'!$F$11:$AA$226,'Pre-Assessment Estimator'!$V$2,FALSE)&gt;AB48,AB48,VLOOKUP(E48,'Pre-Assessment Estimator'!$F$11:$AA$226,'Pre-Assessment Estimator'!$V$2,FALSE)))</f>
        <v>0</v>
      </c>
      <c r="AM48" s="251"/>
      <c r="AN48" s="159"/>
      <c r="AO48" s="264"/>
      <c r="AP48" s="253"/>
      <c r="AQ48" s="254"/>
      <c r="AS48" s="252"/>
      <c r="AT48" s="253"/>
      <c r="AU48" s="253"/>
      <c r="AV48" s="253"/>
      <c r="AW48" s="254"/>
      <c r="AY48" s="160"/>
      <c r="AZ48" s="161"/>
      <c r="BA48" s="161"/>
      <c r="BB48" s="161"/>
      <c r="BC48" s="155"/>
      <c r="BD48" s="596">
        <f t="shared" si="95"/>
        <v>9</v>
      </c>
      <c r="BE48" s="45" t="str">
        <f t="shared" si="71"/>
        <v>N/A</v>
      </c>
      <c r="BF48" s="163"/>
      <c r="BG48" s="160">
        <f t="shared" si="96"/>
        <v>9</v>
      </c>
      <c r="BH48" s="45" t="str">
        <f t="shared" si="73"/>
        <v>N/A</v>
      </c>
      <c r="BI48" s="163"/>
      <c r="BJ48" s="160">
        <f t="shared" si="97"/>
        <v>9</v>
      </c>
      <c r="BK48" s="45" t="str">
        <f t="shared" si="74"/>
        <v>N/A</v>
      </c>
      <c r="BL48" s="163"/>
      <c r="BO48" s="43"/>
      <c r="BP48" s="43"/>
      <c r="BQ48" s="43" t="str">
        <f t="shared" si="15"/>
        <v/>
      </c>
      <c r="BR48" s="43">
        <f t="shared" si="55"/>
        <v>9</v>
      </c>
      <c r="BS48" s="43">
        <f t="shared" si="56"/>
        <v>9</v>
      </c>
      <c r="BT48" s="43">
        <f t="shared" si="57"/>
        <v>9</v>
      </c>
      <c r="BW48" s="43"/>
      <c r="BX48" s="43"/>
      <c r="BY48" s="61"/>
      <c r="BZ48" s="43"/>
      <c r="CA48" s="585"/>
      <c r="CB48" s="43"/>
      <c r="CE48" s="43"/>
      <c r="CG48" s="62"/>
    </row>
    <row r="49" spans="1:85" x14ac:dyDescent="0.25">
      <c r="A49">
        <v>41</v>
      </c>
      <c r="B49" t="str">
        <f t="shared" si="98"/>
        <v>Hea 02c</v>
      </c>
      <c r="C49" t="str">
        <f t="shared" si="19"/>
        <v>Hea 02</v>
      </c>
      <c r="D49" s="146" t="s">
        <v>696</v>
      </c>
      <c r="E49" s="1035" t="s">
        <v>1039</v>
      </c>
      <c r="F49" s="668">
        <v>2</v>
      </c>
      <c r="G49" s="668">
        <v>2</v>
      </c>
      <c r="H49" s="668">
        <v>2</v>
      </c>
      <c r="I49" s="668">
        <v>2</v>
      </c>
      <c r="J49" s="668">
        <v>2</v>
      </c>
      <c r="K49" s="668">
        <v>2</v>
      </c>
      <c r="L49" s="668">
        <v>2</v>
      </c>
      <c r="M49" s="668">
        <v>2</v>
      </c>
      <c r="N49" s="668">
        <v>2</v>
      </c>
      <c r="O49" s="668">
        <v>2</v>
      </c>
      <c r="P49" s="668">
        <v>2</v>
      </c>
      <c r="Q49" s="668">
        <v>2</v>
      </c>
      <c r="R49" s="668">
        <v>2</v>
      </c>
      <c r="T49" s="184">
        <f t="shared" si="66"/>
        <v>2</v>
      </c>
      <c r="U49" s="191">
        <f>IF(AND(ADBT0=ADBT1,ADIND_option03=AD_no),Poeng!T49,0)</f>
        <v>0</v>
      </c>
      <c r="V49" s="43"/>
      <c r="W49" s="43"/>
      <c r="X49" s="147"/>
      <c r="Y49" s="148">
        <f>IF($Y$4=$Y$6,1,0)</f>
        <v>0</v>
      </c>
      <c r="Z49" s="958">
        <f>VLOOKUP(B49,'Manuell filtrering og justering'!$A$7:$H$107,'Manuell filtrering og justering'!$H$1,FALSE)</f>
        <v>2</v>
      </c>
      <c r="AA49" s="148">
        <f t="shared" si="68"/>
        <v>0</v>
      </c>
      <c r="AB49" s="149">
        <f>IF($AC$5='Manuell filtrering og justering'!$J$2,Z49,(T49-AA49))</f>
        <v>2</v>
      </c>
      <c r="AD49" s="150">
        <f t="shared" si="69"/>
        <v>1.6842105263157894E-2</v>
      </c>
      <c r="AE49" s="150">
        <f t="shared" si="87"/>
        <v>0</v>
      </c>
      <c r="AF49" s="150">
        <f t="shared" si="88"/>
        <v>0</v>
      </c>
      <c r="AG49" s="150">
        <f t="shared" si="89"/>
        <v>0</v>
      </c>
      <c r="AI49" s="884">
        <f>IF(OR(AI236=AD_no,AI236=0,AI281=0),0,IF(VLOOKUP(E49,'Pre-Assessment Estimator'!$F$11:$AA$226,'Pre-Assessment Estimator'!$H$2,FALSE)&gt;AB49,AB49,VLOOKUP(E49,'Pre-Assessment Estimator'!$F$11:$AA$226,'Pre-Assessment Estimator'!$H$2,FALSE)))</f>
        <v>0</v>
      </c>
      <c r="AJ49" s="884">
        <f>IF(OR(AJ236=AD_no,AJ236=0,AJ281=0),0,IF(VLOOKUP(E49,'Pre-Assessment Estimator'!$F$11:$AA$226,'Pre-Assessment Estimator'!$O$2,FALSE)&gt;AB49,AB49,VLOOKUP(E49,'Pre-Assessment Estimator'!$F$11:$AA$226,'Pre-Assessment Estimator'!$O$2,FALSE)))</f>
        <v>0</v>
      </c>
      <c r="AK49" s="884">
        <f>IF(OR(AK236=AD_no,AK236=0,AK281=0),0,IF(VLOOKUP(E49,'Pre-Assessment Estimator'!$F$11:$AA$226,'Pre-Assessment Estimator'!$V$2,FALSE)&gt;AB49,AB49,VLOOKUP(E49,'Pre-Assessment Estimator'!$F$11:$AA$226,'Pre-Assessment Estimator'!$V$2,FALSE)))</f>
        <v>0</v>
      </c>
      <c r="AM49" s="251"/>
      <c r="AN49" s="159"/>
      <c r="AO49" s="985">
        <f>IF(AND(Y4=Y3,AB49=0),0,IF(AND($Y$4&lt;&gt;$Y$3,Y49&gt;0),0,1))</f>
        <v>1</v>
      </c>
      <c r="AP49" s="985">
        <f>IF(AND(Y4=Y3,AB49=0),0,IF(AND($Y$4&lt;&gt;$Y$3,Y49&gt;0),0,2))</f>
        <v>2</v>
      </c>
      <c r="AQ49" s="987">
        <f>IF(AND(Y4=Y3,AB49=0),0,IF(AND($Y$4&lt;&gt;$Y$3,Y49&gt;0),0,2))</f>
        <v>2</v>
      </c>
      <c r="AR49" s="121"/>
      <c r="AS49" s="841"/>
      <c r="AT49" s="839"/>
      <c r="AU49" s="839">
        <v>1</v>
      </c>
      <c r="AV49" s="839">
        <v>2</v>
      </c>
      <c r="AW49" s="840">
        <v>2</v>
      </c>
      <c r="AY49" s="160"/>
      <c r="AZ49" s="161"/>
      <c r="BA49" s="161">
        <f>IF($E$6=$H$9,AU49,AO49)</f>
        <v>1</v>
      </c>
      <c r="BB49" s="161">
        <f>IF($E$6=$H$9,AV49,AP49)</f>
        <v>2</v>
      </c>
      <c r="BC49" s="155">
        <f>IF($E$6=$H$9,AW49,AQ49)</f>
        <v>2</v>
      </c>
      <c r="BD49" s="596">
        <f t="shared" si="95"/>
        <v>2</v>
      </c>
      <c r="BE49" s="45" t="str">
        <f t="shared" si="71"/>
        <v>Good</v>
      </c>
      <c r="BF49" s="163"/>
      <c r="BG49" s="160">
        <f t="shared" si="96"/>
        <v>2</v>
      </c>
      <c r="BH49" s="45" t="str">
        <f t="shared" si="73"/>
        <v>Good</v>
      </c>
      <c r="BI49" s="163"/>
      <c r="BJ49" s="160">
        <f t="shared" si="97"/>
        <v>2</v>
      </c>
      <c r="BK49" s="45" t="str">
        <f t="shared" si="74"/>
        <v>Good</v>
      </c>
      <c r="BL49" s="163"/>
      <c r="BO49" s="43"/>
      <c r="BP49" s="43">
        <v>2</v>
      </c>
      <c r="BQ49" s="43">
        <f t="shared" si="15"/>
        <v>2</v>
      </c>
      <c r="BR49" s="979">
        <f>IF(AB49=0,9,IF(BQ49="",9,(IF(AI49&gt;=BQ49,5,0))))</f>
        <v>0</v>
      </c>
      <c r="BS49" s="979">
        <f>IF(AB49=0,9,IF(BQ49="",9,(IF(AJ49&gt;=BQ49,5,0))))</f>
        <v>0</v>
      </c>
      <c r="BT49" s="979">
        <f>IF(AB49=0,9,IF(BQ49="",9,(IF(AK49&gt;=BQ49,5,0))))</f>
        <v>0</v>
      </c>
      <c r="BW49" s="43"/>
      <c r="BX49" s="43"/>
      <c r="BY49" s="61"/>
      <c r="BZ49" s="43"/>
      <c r="CA49" s="585"/>
      <c r="CB49" s="43"/>
      <c r="CE49" s="43"/>
      <c r="CG49" s="62"/>
    </row>
    <row r="50" spans="1:85" x14ac:dyDescent="0.25">
      <c r="A50">
        <v>42</v>
      </c>
      <c r="B50" t="str">
        <f t="shared" si="98"/>
        <v>Hea 02d</v>
      </c>
      <c r="C50" t="str">
        <f t="shared" si="19"/>
        <v>Hea 02</v>
      </c>
      <c r="D50" s="146" t="s">
        <v>694</v>
      </c>
      <c r="E50" s="916" t="s">
        <v>610</v>
      </c>
      <c r="F50" s="668">
        <v>1</v>
      </c>
      <c r="G50" s="668">
        <v>1</v>
      </c>
      <c r="H50" s="668">
        <v>1</v>
      </c>
      <c r="I50" s="668">
        <v>1</v>
      </c>
      <c r="J50" s="668">
        <v>1</v>
      </c>
      <c r="K50" s="668">
        <v>1</v>
      </c>
      <c r="L50" s="668">
        <v>1</v>
      </c>
      <c r="M50" s="668">
        <v>1</v>
      </c>
      <c r="N50" s="668">
        <v>1</v>
      </c>
      <c r="O50" s="668">
        <v>1</v>
      </c>
      <c r="P50" s="668">
        <v>1</v>
      </c>
      <c r="Q50" s="668">
        <v>1</v>
      </c>
      <c r="R50" s="668">
        <v>1</v>
      </c>
      <c r="T50" s="184">
        <f t="shared" si="66"/>
        <v>1</v>
      </c>
      <c r="U50" s="191">
        <f>IF(AND(ADBT0=ADBT1,ADIND_option03=AD_no),Poeng!T50,0)</f>
        <v>0</v>
      </c>
      <c r="V50" s="43"/>
      <c r="W50" s="43"/>
      <c r="X50" s="147"/>
      <c r="Y50" s="148">
        <f>IF(OR($Y$4=$Y$5,$Y$4=$Y$6),T50,0)</f>
        <v>0</v>
      </c>
      <c r="Z50" s="958">
        <f>VLOOKUP(B50,'Manuell filtrering og justering'!$A$7:$H$107,'Manuell filtrering og justering'!$H$1,FALSE)</f>
        <v>1</v>
      </c>
      <c r="AA50" s="148">
        <f t="shared" si="68"/>
        <v>0</v>
      </c>
      <c r="AB50" s="149">
        <f>IF($AC$5='Manuell filtrering og justering'!$J$2,Z50,(T50-AA50))</f>
        <v>1</v>
      </c>
      <c r="AD50" s="150">
        <f t="shared" si="69"/>
        <v>8.4210526315789472E-3</v>
      </c>
      <c r="AE50" s="150">
        <f t="shared" si="87"/>
        <v>0</v>
      </c>
      <c r="AF50" s="150">
        <f t="shared" si="88"/>
        <v>0</v>
      </c>
      <c r="AG50" s="150">
        <f t="shared" si="89"/>
        <v>0</v>
      </c>
      <c r="AI50" s="884">
        <f>IF(OR(AI236=AD_no,AI236=0,AI281=0),0,IF(VLOOKUP(E50,'Pre-Assessment Estimator'!$F$11:$AA$226,'Pre-Assessment Estimator'!$H$2,FALSE)&gt;AB50,AB50,VLOOKUP(E50,'Pre-Assessment Estimator'!$F$11:$AA$226,'Pre-Assessment Estimator'!$H$2,FALSE)))</f>
        <v>0</v>
      </c>
      <c r="AJ50" s="884">
        <f>IF(OR(AJ236=AD_no,AJ236=0,AJ281=0),0,IF(VLOOKUP(E50,'Pre-Assessment Estimator'!$F$11:$AA$226,'Pre-Assessment Estimator'!$O$2,FALSE)&gt;AB50,AB50,VLOOKUP(E50,'Pre-Assessment Estimator'!$F$11:$AA$226,'Pre-Assessment Estimator'!$O$2,FALSE)))</f>
        <v>0</v>
      </c>
      <c r="AK50" s="884">
        <f>IF(OR(AK236=AD_no,AK236=0,AK281=0),0,IF(VLOOKUP(E50,'Pre-Assessment Estimator'!$F$11:$AA$226,'Pre-Assessment Estimator'!$V$2,FALSE)&gt;AB50,AB50,VLOOKUP(E50,'Pre-Assessment Estimator'!$F$11:$AA$226,'Pre-Assessment Estimator'!$V$2,FALSE)))</f>
        <v>0</v>
      </c>
      <c r="AM50" s="251"/>
      <c r="AN50" s="159"/>
      <c r="AO50" s="264"/>
      <c r="AP50" s="253"/>
      <c r="AQ50" s="254"/>
      <c r="AS50" s="252"/>
      <c r="AT50" s="253"/>
      <c r="AU50" s="253"/>
      <c r="AV50" s="253"/>
      <c r="AW50" s="254"/>
      <c r="AY50" s="160"/>
      <c r="AZ50" s="161"/>
      <c r="BA50" s="161"/>
      <c r="BB50" s="161"/>
      <c r="BC50" s="155"/>
      <c r="BD50" s="596">
        <f t="shared" si="95"/>
        <v>9</v>
      </c>
      <c r="BE50" s="45" t="str">
        <f t="shared" si="71"/>
        <v>N/A</v>
      </c>
      <c r="BF50" s="163"/>
      <c r="BG50" s="160">
        <f t="shared" si="96"/>
        <v>9</v>
      </c>
      <c r="BH50" s="45" t="str">
        <f t="shared" si="73"/>
        <v>N/A</v>
      </c>
      <c r="BI50" s="163"/>
      <c r="BJ50" s="160">
        <f t="shared" si="97"/>
        <v>9</v>
      </c>
      <c r="BK50" s="45" t="str">
        <f t="shared" si="74"/>
        <v>N/A</v>
      </c>
      <c r="BL50" s="163"/>
      <c r="BO50" s="43"/>
      <c r="BP50" s="43"/>
      <c r="BQ50" s="43" t="str">
        <f t="shared" si="15"/>
        <v/>
      </c>
      <c r="BR50" s="43">
        <f t="shared" si="55"/>
        <v>9</v>
      </c>
      <c r="BS50" s="43">
        <f t="shared" si="56"/>
        <v>9</v>
      </c>
      <c r="BT50" s="43">
        <f t="shared" si="57"/>
        <v>9</v>
      </c>
      <c r="BW50" s="43"/>
      <c r="BX50" s="43"/>
      <c r="BY50" s="61"/>
      <c r="BZ50" s="43"/>
      <c r="CA50" s="585"/>
      <c r="CB50" s="43"/>
      <c r="CE50" s="43"/>
      <c r="CG50" s="62"/>
    </row>
    <row r="51" spans="1:85" x14ac:dyDescent="0.25">
      <c r="A51">
        <v>43</v>
      </c>
      <c r="B51" s="121" t="str">
        <f>D51</f>
        <v>Hea 03</v>
      </c>
      <c r="C51" s="121" t="str">
        <f>B51</f>
        <v>Hea 03</v>
      </c>
      <c r="D51" s="727" t="s">
        <v>118</v>
      </c>
      <c r="E51" s="725" t="s">
        <v>112</v>
      </c>
      <c r="F51" s="811">
        <f t="shared" ref="F51:R51" si="99">SUM(F52:F54)</f>
        <v>3</v>
      </c>
      <c r="G51" s="811">
        <f t="shared" si="99"/>
        <v>3</v>
      </c>
      <c r="H51" s="811">
        <f t="shared" si="99"/>
        <v>3</v>
      </c>
      <c r="I51" s="811">
        <f t="shared" si="99"/>
        <v>3</v>
      </c>
      <c r="J51" s="811">
        <f t="shared" si="99"/>
        <v>3</v>
      </c>
      <c r="K51" s="811">
        <f t="shared" si="99"/>
        <v>3</v>
      </c>
      <c r="L51" s="811">
        <f t="shared" si="99"/>
        <v>3</v>
      </c>
      <c r="M51" s="811">
        <f t="shared" si="99"/>
        <v>3</v>
      </c>
      <c r="N51" s="811">
        <f t="shared" si="99"/>
        <v>3</v>
      </c>
      <c r="O51" s="811">
        <f t="shared" si="99"/>
        <v>3</v>
      </c>
      <c r="P51" s="811">
        <f t="shared" si="99"/>
        <v>3</v>
      </c>
      <c r="Q51" s="811">
        <f t="shared" ref="Q51" si="100">SUM(Q52:Q54)</f>
        <v>3</v>
      </c>
      <c r="R51" s="811">
        <f t="shared" si="99"/>
        <v>3</v>
      </c>
      <c r="T51" s="829">
        <f t="shared" si="66"/>
        <v>3</v>
      </c>
      <c r="U51" s="191">
        <f>U52+U53+U54</f>
        <v>0</v>
      </c>
      <c r="V51" s="61"/>
      <c r="W51" s="61"/>
      <c r="X51" s="908">
        <f>'Manuell filtrering og justering'!E19</f>
        <v>0</v>
      </c>
      <c r="Y51" s="831"/>
      <c r="Z51" s="975">
        <f t="shared" ref="Z51" si="101">SUM(Z52:Z54)</f>
        <v>3</v>
      </c>
      <c r="AA51" s="831">
        <f t="shared" si="68"/>
        <v>0</v>
      </c>
      <c r="AB51" s="883">
        <f>SUM(AB52:AB54)</f>
        <v>3</v>
      </c>
      <c r="AD51" s="150">
        <f t="shared" si="69"/>
        <v>2.5263157894736842E-2</v>
      </c>
      <c r="AE51" s="799">
        <f>SUM(AE52:AE54)</f>
        <v>0</v>
      </c>
      <c r="AF51" s="799">
        <f t="shared" ref="AF51:AG51" si="102">SUM(AF52:AF54)</f>
        <v>0</v>
      </c>
      <c r="AG51" s="799">
        <f t="shared" si="102"/>
        <v>0</v>
      </c>
      <c r="AI51" s="826">
        <f t="shared" ref="AI51:AK51" si="103">SUM(AI52:AI54)</f>
        <v>0</v>
      </c>
      <c r="AJ51" s="826">
        <f t="shared" si="103"/>
        <v>0</v>
      </c>
      <c r="AK51" s="826">
        <f t="shared" si="103"/>
        <v>0</v>
      </c>
      <c r="AL51" t="s">
        <v>425</v>
      </c>
      <c r="AM51" s="252"/>
      <c r="AN51" s="253"/>
      <c r="AO51" s="253"/>
      <c r="AP51" s="253"/>
      <c r="AQ51" s="254"/>
      <c r="AS51" s="252"/>
      <c r="AT51" s="253"/>
      <c r="AU51" s="253"/>
      <c r="AV51" s="253"/>
      <c r="AW51" s="254"/>
      <c r="AY51" s="146"/>
      <c r="AZ51" s="43"/>
      <c r="BA51" s="43"/>
      <c r="BB51" s="43"/>
      <c r="BC51" s="147"/>
      <c r="BD51" s="596">
        <f t="shared" si="95"/>
        <v>9</v>
      </c>
      <c r="BE51" s="45" t="str">
        <f t="shared" si="71"/>
        <v>N/A</v>
      </c>
      <c r="BF51" s="163"/>
      <c r="BG51" s="160">
        <f t="shared" si="96"/>
        <v>9</v>
      </c>
      <c r="BH51" s="45" t="str">
        <f t="shared" si="73"/>
        <v>N/A</v>
      </c>
      <c r="BI51" s="163"/>
      <c r="BJ51" s="160">
        <f t="shared" si="97"/>
        <v>9</v>
      </c>
      <c r="BK51" s="45" t="str">
        <f t="shared" si="74"/>
        <v>N/A</v>
      </c>
      <c r="BL51" s="163"/>
      <c r="BO51" s="43"/>
      <c r="BP51" s="43"/>
      <c r="BQ51" s="43" t="str">
        <f t="shared" si="15"/>
        <v/>
      </c>
      <c r="BR51" s="43">
        <f t="shared" si="55"/>
        <v>9</v>
      </c>
      <c r="BS51" s="43">
        <f t="shared" si="56"/>
        <v>9</v>
      </c>
      <c r="BT51" s="43">
        <f t="shared" si="57"/>
        <v>9</v>
      </c>
      <c r="BW51" s="43" t="str">
        <f>D51</f>
        <v>Hea 03</v>
      </c>
      <c r="BX51" s="43" t="str">
        <f>IFERROR(VLOOKUP($E51,'Pre-Assessment Estimator'!$F$11:$AC$226,'Pre-Assessment Estimator'!AC$2,FALSE),"")</f>
        <v>No</v>
      </c>
      <c r="BY51" s="61" t="str">
        <f>IFERROR(VLOOKUP($E51,'Pre-Assessment Estimator'!$F$11:$AJ$226,'Pre-Assessment Estimator'!AJ$2,FALSE),"")</f>
        <v>Ja</v>
      </c>
      <c r="BZ51" s="43">
        <f>IFERROR(VLOOKUP($BX51,$E$293:$H$326,F$291,FALSE),"")</f>
        <v>1</v>
      </c>
      <c r="CA51" s="590" t="s">
        <v>430</v>
      </c>
      <c r="CB51" s="43"/>
      <c r="CC51" t="str">
        <f>IFERROR(VLOOKUP($BX51,$E$293:$H$326,I$291,FALSE),"")</f>
        <v/>
      </c>
      <c r="CD51" t="s">
        <v>436</v>
      </c>
      <c r="CE51" s="43">
        <f t="shared" si="75"/>
        <v>1</v>
      </c>
      <c r="CG51" s="62">
        <f>IF($BX$5=ais_nei,CE51,IF(AND(CA51=$CA$4,BX51=$CC$4),0,BZ51))</f>
        <v>1</v>
      </c>
    </row>
    <row r="52" spans="1:85" x14ac:dyDescent="0.25">
      <c r="A52">
        <v>44</v>
      </c>
      <c r="B52" t="str">
        <f t="shared" ref="B52:B54" si="104">$D$51&amp;D52</f>
        <v>Hea 03a</v>
      </c>
      <c r="C52" t="str">
        <f t="shared" si="19"/>
        <v>Hea 03</v>
      </c>
      <c r="D52" s="144" t="s">
        <v>692</v>
      </c>
      <c r="E52" s="916" t="s">
        <v>611</v>
      </c>
      <c r="F52" s="668">
        <v>1</v>
      </c>
      <c r="G52" s="668">
        <v>1</v>
      </c>
      <c r="H52" s="668">
        <v>1</v>
      </c>
      <c r="I52" s="668">
        <v>1</v>
      </c>
      <c r="J52" s="668">
        <v>1</v>
      </c>
      <c r="K52" s="668">
        <v>1</v>
      </c>
      <c r="L52" s="668">
        <v>1</v>
      </c>
      <c r="M52" s="668">
        <v>1</v>
      </c>
      <c r="N52" s="668">
        <v>1</v>
      </c>
      <c r="O52" s="668">
        <v>1</v>
      </c>
      <c r="P52" s="668">
        <v>1</v>
      </c>
      <c r="Q52" s="668">
        <v>1</v>
      </c>
      <c r="R52" s="668">
        <v>1</v>
      </c>
      <c r="T52" s="184">
        <f t="shared" si="66"/>
        <v>1</v>
      </c>
      <c r="U52" s="191">
        <f>IF(AND(ADBT0=ADBT1,ADIND_option03=AD_no),Poeng!T52,0)</f>
        <v>0</v>
      </c>
      <c r="V52" s="43"/>
      <c r="W52" s="43"/>
      <c r="X52" s="147"/>
      <c r="Y52" s="148">
        <f>IF($Y$4=$Y$6,T52,0)</f>
        <v>0</v>
      </c>
      <c r="Z52" s="958">
        <f>VLOOKUP(B52,'Manuell filtrering og justering'!$A$7:$H$107,'Manuell filtrering og justering'!$H$1,FALSE)</f>
        <v>1</v>
      </c>
      <c r="AA52" s="148">
        <f t="shared" si="68"/>
        <v>0</v>
      </c>
      <c r="AB52" s="149">
        <f>IF($AC$5='Manuell filtrering og justering'!$J$2,Z52,(T52-AA52))</f>
        <v>1</v>
      </c>
      <c r="AD52" s="150">
        <f t="shared" si="69"/>
        <v>8.4210526315789472E-3</v>
      </c>
      <c r="AE52" s="150">
        <f t="shared" si="87"/>
        <v>0</v>
      </c>
      <c r="AF52" s="150">
        <f t="shared" si="88"/>
        <v>0</v>
      </c>
      <c r="AG52" s="150">
        <f t="shared" si="89"/>
        <v>0</v>
      </c>
      <c r="AI52" s="151">
        <f>IF(VLOOKUP(E52,'Pre-Assessment Estimator'!$F$11:$AA$226,'Pre-Assessment Estimator'!$H$2,FALSE)&gt;AB52,AB52,VLOOKUP(E52,'Pre-Assessment Estimator'!$F$11:$AA$226,'Pre-Assessment Estimator'!$H$2,FALSE))</f>
        <v>0</v>
      </c>
      <c r="AJ52" s="151">
        <f>IF(VLOOKUP(E52,'Pre-Assessment Estimator'!$F$11:$AA$226,'Pre-Assessment Estimator'!$O$2,FALSE)&gt;AB52,AB52,VLOOKUP(E52,'Pre-Assessment Estimator'!$F$11:$AA$226,'Pre-Assessment Estimator'!$O$2,FALSE))</f>
        <v>0</v>
      </c>
      <c r="AK52" s="151">
        <f>IF(VLOOKUP(E52,'Pre-Assessment Estimator'!$F$11:$AA$226,'Pre-Assessment Estimator'!$V$2,FALSE)&gt;AB52,AB52,VLOOKUP(E52,'Pre-Assessment Estimator'!$F$11:$AA$226,'Pre-Assessment Estimator'!$V$2,FALSE))</f>
        <v>0</v>
      </c>
      <c r="AM52" s="252"/>
      <c r="AN52" s="253"/>
      <c r="AO52" s="253"/>
      <c r="AP52" s="253"/>
      <c r="AQ52" s="254"/>
      <c r="AS52" s="252"/>
      <c r="AT52" s="253"/>
      <c r="AU52" s="253"/>
      <c r="AV52" s="253"/>
      <c r="AW52" s="254"/>
      <c r="AY52" s="146"/>
      <c r="AZ52" s="43"/>
      <c r="BA52" s="43"/>
      <c r="BB52" s="43"/>
      <c r="BC52" s="147"/>
      <c r="BD52" s="596">
        <f t="shared" si="95"/>
        <v>9</v>
      </c>
      <c r="BE52" s="45" t="str">
        <f t="shared" si="71"/>
        <v>N/A</v>
      </c>
      <c r="BF52" s="163"/>
      <c r="BG52" s="160">
        <f t="shared" si="96"/>
        <v>9</v>
      </c>
      <c r="BH52" s="45" t="str">
        <f t="shared" si="73"/>
        <v>N/A</v>
      </c>
      <c r="BI52" s="163"/>
      <c r="BJ52" s="160">
        <f t="shared" si="97"/>
        <v>9</v>
      </c>
      <c r="BK52" s="45" t="str">
        <f t="shared" si="74"/>
        <v>N/A</v>
      </c>
      <c r="BL52" s="163"/>
      <c r="BO52" s="43"/>
      <c r="BP52" s="43"/>
      <c r="BQ52" s="43" t="str">
        <f t="shared" si="15"/>
        <v/>
      </c>
      <c r="BR52" s="43">
        <f t="shared" si="55"/>
        <v>9</v>
      </c>
      <c r="BS52" s="43">
        <f t="shared" si="56"/>
        <v>9</v>
      </c>
      <c r="BT52" s="43">
        <f t="shared" si="57"/>
        <v>9</v>
      </c>
      <c r="BW52" s="43"/>
      <c r="BX52" s="43"/>
      <c r="BY52" s="61"/>
      <c r="BZ52" s="43"/>
      <c r="CA52" s="590"/>
      <c r="CB52" s="43"/>
      <c r="CE52" s="43"/>
      <c r="CG52" s="62"/>
    </row>
    <row r="53" spans="1:85" x14ac:dyDescent="0.25">
      <c r="A53">
        <v>45</v>
      </c>
      <c r="B53" t="str">
        <f t="shared" si="104"/>
        <v>Hea 03b</v>
      </c>
      <c r="C53" t="str">
        <f t="shared" si="19"/>
        <v>Hea 03</v>
      </c>
      <c r="D53" s="144" t="s">
        <v>695</v>
      </c>
      <c r="E53" s="916" t="s">
        <v>612</v>
      </c>
      <c r="F53" s="668">
        <v>1</v>
      </c>
      <c r="G53" s="668">
        <v>1</v>
      </c>
      <c r="H53" s="668">
        <v>1</v>
      </c>
      <c r="I53" s="668">
        <v>1</v>
      </c>
      <c r="J53" s="668">
        <v>1</v>
      </c>
      <c r="K53" s="668">
        <v>1</v>
      </c>
      <c r="L53" s="668">
        <v>1</v>
      </c>
      <c r="M53" s="668">
        <v>1</v>
      </c>
      <c r="N53" s="668">
        <v>1</v>
      </c>
      <c r="O53" s="668">
        <v>1</v>
      </c>
      <c r="P53" s="668">
        <v>1</v>
      </c>
      <c r="Q53" s="668">
        <v>1</v>
      </c>
      <c r="R53" s="668">
        <v>1</v>
      </c>
      <c r="T53" s="184">
        <f t="shared" si="66"/>
        <v>1</v>
      </c>
      <c r="U53" s="191">
        <f>IF(AND(ADBT0=ADBT1,ADIND_option03=AD_no),Poeng!T53,0)</f>
        <v>0</v>
      </c>
      <c r="V53" s="43"/>
      <c r="W53" s="43"/>
      <c r="X53" s="147"/>
      <c r="Y53" s="148">
        <f>IF($Y$4=$Y$6,T53,0)</f>
        <v>0</v>
      </c>
      <c r="Z53" s="958">
        <f>VLOOKUP(B53,'Manuell filtrering og justering'!$A$7:$H$107,'Manuell filtrering og justering'!$H$1,FALSE)</f>
        <v>1</v>
      </c>
      <c r="AA53" s="148">
        <f t="shared" si="68"/>
        <v>0</v>
      </c>
      <c r="AB53" s="149">
        <f>IF($AC$5='Manuell filtrering og justering'!$J$2,Z53,(T53-AA53))</f>
        <v>1</v>
      </c>
      <c r="AD53" s="150">
        <f t="shared" si="69"/>
        <v>8.4210526315789472E-3</v>
      </c>
      <c r="AE53" s="150">
        <f t="shared" si="87"/>
        <v>0</v>
      </c>
      <c r="AF53" s="150">
        <f t="shared" si="88"/>
        <v>0</v>
      </c>
      <c r="AG53" s="150">
        <f t="shared" si="89"/>
        <v>0</v>
      </c>
      <c r="AI53" s="151">
        <f>IF(VLOOKUP(E53,'Pre-Assessment Estimator'!$F$11:$AA$226,'Pre-Assessment Estimator'!$H$2,FALSE)&gt;AB53,AB53,VLOOKUP(E53,'Pre-Assessment Estimator'!$F$11:$AA$226,'Pre-Assessment Estimator'!$H$2,FALSE))</f>
        <v>0</v>
      </c>
      <c r="AJ53" s="151">
        <f>IF(VLOOKUP(E53,'Pre-Assessment Estimator'!$F$11:$AA$226,'Pre-Assessment Estimator'!$O$2,FALSE)&gt;AB53,AB53,VLOOKUP(E53,'Pre-Assessment Estimator'!$F$11:$AA$226,'Pre-Assessment Estimator'!$O$2,FALSE))</f>
        <v>0</v>
      </c>
      <c r="AK53" s="151">
        <f>IF(VLOOKUP(E53,'Pre-Assessment Estimator'!$F$11:$AA$226,'Pre-Assessment Estimator'!$V$2,FALSE)&gt;AB53,AB53,VLOOKUP(E53,'Pre-Assessment Estimator'!$F$11:$AA$226,'Pre-Assessment Estimator'!$V$2,FALSE))</f>
        <v>0</v>
      </c>
      <c r="AM53" s="252"/>
      <c r="AN53" s="253"/>
      <c r="AO53" s="253"/>
      <c r="AP53" s="253"/>
      <c r="AQ53" s="254"/>
      <c r="AS53" s="252"/>
      <c r="AT53" s="253"/>
      <c r="AU53" s="253"/>
      <c r="AV53" s="253"/>
      <c r="AW53" s="254"/>
      <c r="AY53" s="146"/>
      <c r="AZ53" s="43"/>
      <c r="BA53" s="43"/>
      <c r="BB53" s="43"/>
      <c r="BC53" s="147"/>
      <c r="BD53" s="596">
        <f t="shared" si="95"/>
        <v>9</v>
      </c>
      <c r="BE53" s="45" t="str">
        <f t="shared" si="71"/>
        <v>N/A</v>
      </c>
      <c r="BF53" s="163"/>
      <c r="BG53" s="160">
        <f t="shared" si="96"/>
        <v>9</v>
      </c>
      <c r="BH53" s="45" t="str">
        <f t="shared" si="73"/>
        <v>N/A</v>
      </c>
      <c r="BI53" s="163"/>
      <c r="BJ53" s="160">
        <f t="shared" si="97"/>
        <v>9</v>
      </c>
      <c r="BK53" s="45" t="str">
        <f t="shared" si="74"/>
        <v>N/A</v>
      </c>
      <c r="BL53" s="163"/>
      <c r="BO53" s="43"/>
      <c r="BP53" s="43"/>
      <c r="BQ53" s="43" t="str">
        <f t="shared" si="15"/>
        <v/>
      </c>
      <c r="BR53" s="43">
        <f t="shared" si="55"/>
        <v>9</v>
      </c>
      <c r="BS53" s="43">
        <f t="shared" si="56"/>
        <v>9</v>
      </c>
      <c r="BT53" s="43">
        <f t="shared" si="57"/>
        <v>9</v>
      </c>
      <c r="BW53" s="43"/>
      <c r="BX53" s="43"/>
      <c r="BY53" s="61"/>
      <c r="BZ53" s="43"/>
      <c r="CA53" s="590"/>
      <c r="CB53" s="43"/>
      <c r="CE53" s="43"/>
      <c r="CG53" s="62"/>
    </row>
    <row r="54" spans="1:85" x14ac:dyDescent="0.25">
      <c r="A54">
        <v>46</v>
      </c>
      <c r="B54" t="str">
        <f t="shared" si="104"/>
        <v>Hea 03c</v>
      </c>
      <c r="C54" t="str">
        <f t="shared" si="19"/>
        <v>Hea 03</v>
      </c>
      <c r="D54" s="146" t="s">
        <v>696</v>
      </c>
      <c r="E54" s="916" t="s">
        <v>613</v>
      </c>
      <c r="F54" s="668">
        <v>1</v>
      </c>
      <c r="G54" s="668">
        <v>1</v>
      </c>
      <c r="H54" s="668">
        <v>1</v>
      </c>
      <c r="I54" s="668">
        <v>1</v>
      </c>
      <c r="J54" s="668">
        <v>1</v>
      </c>
      <c r="K54" s="668">
        <v>1</v>
      </c>
      <c r="L54" s="668">
        <v>1</v>
      </c>
      <c r="M54" s="668">
        <v>1</v>
      </c>
      <c r="N54" s="668">
        <v>1</v>
      </c>
      <c r="O54" s="668">
        <v>1</v>
      </c>
      <c r="P54" s="668">
        <v>1</v>
      </c>
      <c r="Q54" s="668">
        <v>1</v>
      </c>
      <c r="R54" s="668">
        <v>1</v>
      </c>
      <c r="T54" s="184">
        <f t="shared" si="66"/>
        <v>1</v>
      </c>
      <c r="U54" s="191">
        <f>IF(AND(ADBT0=ADBT1,ADIND_option03=AD_no),Poeng!T54,0)</f>
        <v>0</v>
      </c>
      <c r="V54" s="43"/>
      <c r="W54" s="43"/>
      <c r="X54" s="147"/>
      <c r="Y54" s="148">
        <f>IF(OR($Y$4=$Y$5,$Y$4=$Y$6),T54,0)</f>
        <v>0</v>
      </c>
      <c r="Z54" s="958">
        <f>VLOOKUP(B54,'Manuell filtrering og justering'!$A$7:$H$107,'Manuell filtrering og justering'!$H$1,FALSE)</f>
        <v>1</v>
      </c>
      <c r="AA54" s="148">
        <f t="shared" si="68"/>
        <v>0</v>
      </c>
      <c r="AB54" s="149">
        <f>IF($AC$5='Manuell filtrering og justering'!$J$2,Z54,(T54-AA54))</f>
        <v>1</v>
      </c>
      <c r="AD54" s="150">
        <f t="shared" si="69"/>
        <v>8.4210526315789472E-3</v>
      </c>
      <c r="AE54" s="150">
        <f t="shared" si="87"/>
        <v>0</v>
      </c>
      <c r="AF54" s="150">
        <f t="shared" si="88"/>
        <v>0</v>
      </c>
      <c r="AG54" s="150">
        <f t="shared" si="89"/>
        <v>0</v>
      </c>
      <c r="AI54" s="151">
        <f>IF(VLOOKUP(E54,'Pre-Assessment Estimator'!$F$11:$AA$226,'Pre-Assessment Estimator'!$H$2,FALSE)&gt;AB54,AB54,VLOOKUP(E54,'Pre-Assessment Estimator'!$F$11:$AA$226,'Pre-Assessment Estimator'!$H$2,FALSE))</f>
        <v>0</v>
      </c>
      <c r="AJ54" s="151">
        <f>IF(VLOOKUP(E54,'Pre-Assessment Estimator'!$F$11:$AA$226,'Pre-Assessment Estimator'!$O$2,FALSE)&gt;AB54,AB54,VLOOKUP(E54,'Pre-Assessment Estimator'!$F$11:$AA$226,'Pre-Assessment Estimator'!$O$2,FALSE))</f>
        <v>0</v>
      </c>
      <c r="AK54" s="151">
        <f>IF(VLOOKUP(E54,'Pre-Assessment Estimator'!$F$11:$AA$226,'Pre-Assessment Estimator'!$V$2,FALSE)&gt;AB54,AB54,VLOOKUP(E54,'Pre-Assessment Estimator'!$F$11:$AA$226,'Pre-Assessment Estimator'!$V$2,FALSE))</f>
        <v>0</v>
      </c>
      <c r="AM54" s="252"/>
      <c r="AN54" s="253"/>
      <c r="AO54" s="253"/>
      <c r="AP54" s="253"/>
      <c r="AQ54" s="254"/>
      <c r="AS54" s="252"/>
      <c r="AT54" s="253"/>
      <c r="AU54" s="253"/>
      <c r="AV54" s="253"/>
      <c r="AW54" s="254"/>
      <c r="AY54" s="146"/>
      <c r="AZ54" s="43"/>
      <c r="BA54" s="43"/>
      <c r="BB54" s="43"/>
      <c r="BC54" s="147"/>
      <c r="BD54" s="596">
        <f t="shared" si="95"/>
        <v>9</v>
      </c>
      <c r="BE54" s="45" t="str">
        <f t="shared" si="71"/>
        <v>N/A</v>
      </c>
      <c r="BF54" s="163"/>
      <c r="BG54" s="160">
        <f t="shared" si="96"/>
        <v>9</v>
      </c>
      <c r="BH54" s="45" t="str">
        <f t="shared" si="73"/>
        <v>N/A</v>
      </c>
      <c r="BI54" s="163"/>
      <c r="BJ54" s="160">
        <f t="shared" si="97"/>
        <v>9</v>
      </c>
      <c r="BK54" s="45" t="str">
        <f t="shared" si="74"/>
        <v>N/A</v>
      </c>
      <c r="BL54" s="163"/>
      <c r="BO54" s="43"/>
      <c r="BP54" s="43"/>
      <c r="BQ54" s="43" t="str">
        <f t="shared" si="15"/>
        <v/>
      </c>
      <c r="BR54" s="43">
        <f t="shared" si="55"/>
        <v>9</v>
      </c>
      <c r="BS54" s="43">
        <f t="shared" si="56"/>
        <v>9</v>
      </c>
      <c r="BT54" s="43">
        <f t="shared" si="57"/>
        <v>9</v>
      </c>
      <c r="BW54" s="43"/>
      <c r="BX54" s="43"/>
      <c r="BY54" s="61"/>
      <c r="BZ54" s="43"/>
      <c r="CA54" s="590"/>
      <c r="CB54" s="43"/>
      <c r="CE54" s="43"/>
      <c r="CG54" s="62"/>
    </row>
    <row r="55" spans="1:85" x14ac:dyDescent="0.25">
      <c r="A55">
        <v>47</v>
      </c>
      <c r="D55" s="609" t="s">
        <v>119</v>
      </c>
      <c r="E55" s="610"/>
      <c r="F55" s="813"/>
      <c r="G55" s="813"/>
      <c r="H55" s="813"/>
      <c r="I55" s="813"/>
      <c r="J55" s="813"/>
      <c r="K55" s="813"/>
      <c r="L55" s="813"/>
      <c r="M55" s="813"/>
      <c r="N55" s="813"/>
      <c r="O55" s="813"/>
      <c r="P55" s="813"/>
      <c r="Q55" s="813"/>
      <c r="R55" s="813"/>
      <c r="T55" s="830"/>
      <c r="U55" s="609"/>
      <c r="V55" s="608"/>
      <c r="W55" s="608"/>
      <c r="X55" s="823"/>
      <c r="Y55" s="824"/>
      <c r="Z55" s="958"/>
      <c r="AA55" s="824"/>
      <c r="AB55" s="825"/>
      <c r="AD55" s="150">
        <f t="shared" si="69"/>
        <v>0</v>
      </c>
      <c r="AE55" s="828"/>
      <c r="AF55" s="828"/>
      <c r="AG55" s="828"/>
      <c r="AI55" s="623"/>
      <c r="AJ55" s="623"/>
      <c r="AK55" s="623"/>
      <c r="AL55" t="s">
        <v>425</v>
      </c>
      <c r="AM55" s="252"/>
      <c r="AN55" s="253"/>
      <c r="AO55" s="253"/>
      <c r="AP55" s="253"/>
      <c r="AQ55" s="254"/>
      <c r="AS55" s="252"/>
      <c r="AT55" s="253"/>
      <c r="AU55" s="253"/>
      <c r="AV55" s="253"/>
      <c r="AW55" s="254"/>
      <c r="AY55" s="146"/>
      <c r="AZ55" s="43"/>
      <c r="BA55" s="43"/>
      <c r="BB55" s="43"/>
      <c r="BC55" s="147"/>
      <c r="BD55" s="596">
        <f t="shared" si="95"/>
        <v>9</v>
      </c>
      <c r="BE55" s="45" t="str">
        <f t="shared" si="71"/>
        <v>N/A</v>
      </c>
      <c r="BF55" s="163"/>
      <c r="BG55" s="160">
        <f t="shared" si="96"/>
        <v>9</v>
      </c>
      <c r="BH55" s="45" t="str">
        <f t="shared" si="73"/>
        <v>N/A</v>
      </c>
      <c r="BI55" s="163"/>
      <c r="BJ55" s="160">
        <f t="shared" si="97"/>
        <v>9</v>
      </c>
      <c r="BK55" s="45" t="str">
        <f t="shared" si="74"/>
        <v>N/A</v>
      </c>
      <c r="BL55" s="163"/>
      <c r="BO55" s="43"/>
      <c r="BP55" s="43"/>
      <c r="BQ55" s="43" t="str">
        <f t="shared" si="15"/>
        <v/>
      </c>
      <c r="BR55" s="43">
        <f t="shared" si="55"/>
        <v>9</v>
      </c>
      <c r="BS55" s="43">
        <f t="shared" si="56"/>
        <v>9</v>
      </c>
      <c r="BT55" s="43">
        <f t="shared" si="57"/>
        <v>9</v>
      </c>
      <c r="BW55" s="43" t="str">
        <f>D55</f>
        <v>Hea 04</v>
      </c>
      <c r="BX55" s="43" t="str">
        <f>IFERROR(VLOOKUP($E55,'Pre-Assessment Estimator'!$F$11:$AC$226,'Pre-Assessment Estimator'!AC$2,FALSE),"")</f>
        <v/>
      </c>
      <c r="BY55" s="61" t="str">
        <f>IFERROR(VLOOKUP($E55,'Pre-Assessment Estimator'!$F$11:$AJ$226,'Pre-Assessment Estimator'!AJ$2,FALSE),"")</f>
        <v/>
      </c>
      <c r="BZ55" s="43" t="str">
        <f>IFERROR(VLOOKUP($BX55,$E$293:$H$326,F$291,FALSE),"")</f>
        <v/>
      </c>
      <c r="CA55" s="590" t="s">
        <v>430</v>
      </c>
      <c r="CB55" s="43"/>
      <c r="CC55" t="str">
        <f>IFERROR(VLOOKUP($BX55,$E$293:$H$326,I$291,FALSE),"")</f>
        <v/>
      </c>
      <c r="CD55" t="s">
        <v>436</v>
      </c>
      <c r="CE55" s="43">
        <f t="shared" si="75"/>
        <v>1</v>
      </c>
      <c r="CG55" s="62">
        <f>IF($BX$5=ais_nei,CE55,IF(AND(CA55=$CA$4,BX55=$CC$4),0,BZ55))</f>
        <v>1</v>
      </c>
    </row>
    <row r="56" spans="1:85" x14ac:dyDescent="0.25">
      <c r="A56">
        <v>48</v>
      </c>
      <c r="B56" s="121" t="str">
        <f>D56</f>
        <v>Hea 05</v>
      </c>
      <c r="C56" s="121" t="str">
        <f>B56</f>
        <v>Hea 05</v>
      </c>
      <c r="D56" s="727" t="s">
        <v>120</v>
      </c>
      <c r="E56" s="725" t="s">
        <v>126</v>
      </c>
      <c r="F56" s="811">
        <f t="shared" ref="F56:R56" si="105">SUM(F57:F58)</f>
        <v>3</v>
      </c>
      <c r="G56" s="811">
        <f t="shared" si="105"/>
        <v>3</v>
      </c>
      <c r="H56" s="811">
        <f t="shared" si="105"/>
        <v>4</v>
      </c>
      <c r="I56" s="811">
        <f t="shared" si="105"/>
        <v>3</v>
      </c>
      <c r="J56" s="811">
        <f t="shared" si="105"/>
        <v>3</v>
      </c>
      <c r="K56" s="811">
        <f t="shared" si="105"/>
        <v>3</v>
      </c>
      <c r="L56" s="811">
        <f t="shared" si="105"/>
        <v>3</v>
      </c>
      <c r="M56" s="811">
        <f t="shared" si="105"/>
        <v>4</v>
      </c>
      <c r="N56" s="811">
        <f t="shared" si="105"/>
        <v>4</v>
      </c>
      <c r="O56" s="811">
        <f t="shared" si="105"/>
        <v>3</v>
      </c>
      <c r="P56" s="811">
        <f t="shared" si="105"/>
        <v>3</v>
      </c>
      <c r="Q56" s="811">
        <f t="shared" ref="Q56" si="106">SUM(Q57:Q58)</f>
        <v>3</v>
      </c>
      <c r="R56" s="811">
        <f t="shared" si="105"/>
        <v>3</v>
      </c>
      <c r="S56" s="579" t="s">
        <v>573</v>
      </c>
      <c r="T56" s="829">
        <f t="shared" ref="T56:T61" si="107">HLOOKUP($E$6,$F$9:$R$231,$A56,FALSE)</f>
        <v>3</v>
      </c>
      <c r="U56" s="191"/>
      <c r="V56" s="61"/>
      <c r="W56" s="61"/>
      <c r="X56" s="908">
        <f>'Manuell filtrering og justering'!E21</f>
        <v>0</v>
      </c>
      <c r="Y56" s="831"/>
      <c r="Z56" s="975">
        <f t="shared" ref="Z56" si="108">SUM(Z57:Z58)</f>
        <v>3</v>
      </c>
      <c r="AA56" s="831">
        <f t="shared" ref="AA56:AA61" si="109">IF(SUM(U56:Y56)&gt;T56,T56,SUM(U56:Y56))</f>
        <v>0</v>
      </c>
      <c r="AB56" s="883">
        <f t="shared" ref="AB56" si="110">SUM(AB57:AB58)</f>
        <v>3</v>
      </c>
      <c r="AD56" s="150">
        <f t="shared" si="69"/>
        <v>2.5263157894736842E-2</v>
      </c>
      <c r="AE56" s="799">
        <f>SUM(AE57:AE58)</f>
        <v>0</v>
      </c>
      <c r="AF56" s="799">
        <f t="shared" ref="AF56:AG56" si="111">SUM(AF57:AF58)</f>
        <v>0</v>
      </c>
      <c r="AG56" s="799">
        <f t="shared" si="111"/>
        <v>0</v>
      </c>
      <c r="AI56" s="826">
        <f t="shared" ref="AI56:AK56" si="112">SUM(AI57:AI58)</f>
        <v>0</v>
      </c>
      <c r="AJ56" s="826">
        <f t="shared" si="112"/>
        <v>0</v>
      </c>
      <c r="AK56" s="826">
        <f t="shared" si="112"/>
        <v>0</v>
      </c>
      <c r="AM56" s="252"/>
      <c r="AN56" s="253"/>
      <c r="AO56" s="253"/>
      <c r="AP56" s="253"/>
      <c r="AQ56" s="254"/>
      <c r="AS56" s="252"/>
      <c r="AT56" s="253"/>
      <c r="AU56" s="253"/>
      <c r="AV56" s="253"/>
      <c r="AW56" s="254"/>
      <c r="AY56" s="146"/>
      <c r="AZ56" s="43"/>
      <c r="BA56" s="43"/>
      <c r="BB56" s="43"/>
      <c r="BC56" s="147"/>
      <c r="BD56" s="596">
        <f t="shared" si="95"/>
        <v>9</v>
      </c>
      <c r="BE56" s="45" t="str">
        <f t="shared" si="71"/>
        <v>N/A</v>
      </c>
      <c r="BF56" s="163"/>
      <c r="BG56" s="160">
        <f t="shared" si="96"/>
        <v>9</v>
      </c>
      <c r="BH56" s="45" t="str">
        <f t="shared" si="73"/>
        <v>N/A</v>
      </c>
      <c r="BI56" s="163"/>
      <c r="BJ56" s="160">
        <f t="shared" si="97"/>
        <v>9</v>
      </c>
      <c r="BK56" s="45" t="str">
        <f t="shared" si="74"/>
        <v>N/A</v>
      </c>
      <c r="BL56" s="163"/>
      <c r="BO56" s="43"/>
      <c r="BP56" s="43"/>
      <c r="BQ56" s="43" t="str">
        <f t="shared" si="15"/>
        <v/>
      </c>
      <c r="BR56" s="43">
        <f t="shared" si="55"/>
        <v>9</v>
      </c>
      <c r="BS56" s="43">
        <f t="shared" si="56"/>
        <v>9</v>
      </c>
      <c r="BT56" s="43">
        <f t="shared" si="57"/>
        <v>9</v>
      </c>
      <c r="BW56" s="43" t="str">
        <f>D56</f>
        <v>Hea 05</v>
      </c>
      <c r="BX56" s="43" t="str">
        <f>IFERROR(VLOOKUP($E56,'Pre-Assessment Estimator'!$F$11:$AC$226,'Pre-Assessment Estimator'!AC$2,FALSE),"")</f>
        <v>No</v>
      </c>
      <c r="BY56" s="43">
        <f>IFERROR(VLOOKUP($E56,'Pre-Assessment Estimator'!$F$11:$AJ$226,'Pre-Assessment Estimator'!AJ$2,FALSE),"")</f>
        <v>0</v>
      </c>
      <c r="BZ56" s="43">
        <f>IFERROR(VLOOKUP($BX56,$E$293:$H$326,F$291,FALSE),"")</f>
        <v>1</v>
      </c>
      <c r="CA56" s="43">
        <f>IFERROR(VLOOKUP($BX56,$E$293:$H$326,G$291,FALSE),"")</f>
        <v>0</v>
      </c>
      <c r="CB56" s="43"/>
      <c r="CC56" t="str">
        <f>IFERROR(VLOOKUP($BX56,$E$293:$H$326,I$291,FALSE),"")</f>
        <v/>
      </c>
    </row>
    <row r="57" spans="1:85" x14ac:dyDescent="0.25">
      <c r="A57">
        <v>49</v>
      </c>
      <c r="C57" t="str">
        <f t="shared" si="19"/>
        <v>Hea 05</v>
      </c>
      <c r="D57" s="144" t="s">
        <v>692</v>
      </c>
      <c r="E57" s="817" t="s">
        <v>614</v>
      </c>
      <c r="F57" s="666"/>
      <c r="G57" s="666"/>
      <c r="H57" s="666"/>
      <c r="I57" s="666"/>
      <c r="J57" s="666"/>
      <c r="K57" s="666"/>
      <c r="L57" s="666"/>
      <c r="M57" s="666"/>
      <c r="N57" s="666"/>
      <c r="O57" s="666"/>
      <c r="P57" s="666"/>
      <c r="Q57" s="666"/>
      <c r="R57" s="666"/>
      <c r="S57" s="579"/>
      <c r="T57" s="184">
        <f t="shared" si="107"/>
        <v>0</v>
      </c>
      <c r="U57" s="146"/>
      <c r="V57" s="43"/>
      <c r="W57" s="43"/>
      <c r="X57" s="147"/>
      <c r="Y57" s="148"/>
      <c r="Z57" s="958"/>
      <c r="AA57" s="148">
        <f t="shared" si="109"/>
        <v>0</v>
      </c>
      <c r="AB57" s="149">
        <f>IF($AC$5='Manuell filtrering og justering'!$J$2,Z57,(T57-AA57))</f>
        <v>0</v>
      </c>
      <c r="AD57" s="150">
        <f t="shared" si="69"/>
        <v>0</v>
      </c>
      <c r="AE57" s="150">
        <f t="shared" si="87"/>
        <v>0</v>
      </c>
      <c r="AF57" s="150">
        <f t="shared" si="88"/>
        <v>0</v>
      </c>
      <c r="AG57" s="150">
        <f t="shared" si="89"/>
        <v>0</v>
      </c>
      <c r="AI57" s="151">
        <f>IF(VLOOKUP(E57,'Pre-Assessment Estimator'!$F$11:$AA$226,'Pre-Assessment Estimator'!$H$2,FALSE)&gt;AB57,AB57,VLOOKUP(E57,'Pre-Assessment Estimator'!$F$11:$AA$226,'Pre-Assessment Estimator'!$H$2,FALSE))</f>
        <v>0</v>
      </c>
      <c r="AJ57" s="151">
        <f>IF(VLOOKUP(E57,'Pre-Assessment Estimator'!$F$11:$AA$226,'Pre-Assessment Estimator'!$O$2,FALSE)&gt;AB57,AB57,VLOOKUP(E57,'Pre-Assessment Estimator'!$F$11:$AA$226,'Pre-Assessment Estimator'!$O$2,FALSE))</f>
        <v>0</v>
      </c>
      <c r="AK57" s="151">
        <f>IF(VLOOKUP(E57,'Pre-Assessment Estimator'!$F$11:$AA$226,'Pre-Assessment Estimator'!$V$2,FALSE)&gt;AB57,AB57,VLOOKUP(E57,'Pre-Assessment Estimator'!$F$11:$AA$226,'Pre-Assessment Estimator'!$V$2,FALSE))</f>
        <v>0</v>
      </c>
      <c r="AM57" s="252"/>
      <c r="AN57" s="253"/>
      <c r="AO57" s="253"/>
      <c r="AP57" s="253"/>
      <c r="AQ57" s="254"/>
      <c r="AS57" s="252"/>
      <c r="AT57" s="253"/>
      <c r="AU57" s="253"/>
      <c r="AV57" s="253"/>
      <c r="AW57" s="254"/>
      <c r="AY57" s="146"/>
      <c r="AZ57" s="43"/>
      <c r="BA57" s="43"/>
      <c r="BB57" s="43"/>
      <c r="BC57" s="147"/>
      <c r="BD57" s="596">
        <f t="shared" si="95"/>
        <v>9</v>
      </c>
      <c r="BE57" s="45" t="str">
        <f t="shared" si="71"/>
        <v>N/A</v>
      </c>
      <c r="BF57" s="163"/>
      <c r="BG57" s="160">
        <f t="shared" si="96"/>
        <v>9</v>
      </c>
      <c r="BH57" s="45" t="str">
        <f t="shared" si="73"/>
        <v>N/A</v>
      </c>
      <c r="BI57" s="163"/>
      <c r="BJ57" s="160">
        <f t="shared" si="97"/>
        <v>9</v>
      </c>
      <c r="BK57" s="45" t="str">
        <f t="shared" si="74"/>
        <v>N/A</v>
      </c>
      <c r="BL57" s="163"/>
      <c r="BO57" s="43"/>
      <c r="BP57" s="43"/>
      <c r="BQ57" s="43" t="str">
        <f t="shared" si="15"/>
        <v/>
      </c>
      <c r="BR57" s="43">
        <f t="shared" si="55"/>
        <v>9</v>
      </c>
      <c r="BS57" s="43">
        <f t="shared" si="56"/>
        <v>9</v>
      </c>
      <c r="BT57" s="43">
        <f t="shared" si="57"/>
        <v>9</v>
      </c>
      <c r="BW57" s="43"/>
      <c r="BX57" s="43"/>
      <c r="BY57" s="43"/>
      <c r="BZ57" s="43"/>
      <c r="CA57" s="43"/>
      <c r="CB57" s="43"/>
    </row>
    <row r="58" spans="1:85" x14ac:dyDescent="0.25">
      <c r="A58">
        <v>50</v>
      </c>
      <c r="B58" t="str">
        <f t="shared" ref="B58" si="113">$D$56&amp;D58</f>
        <v>Hea 05b</v>
      </c>
      <c r="C58" t="str">
        <f t="shared" si="19"/>
        <v>Hea 05</v>
      </c>
      <c r="D58" s="144" t="s">
        <v>695</v>
      </c>
      <c r="E58" s="916" t="s">
        <v>615</v>
      </c>
      <c r="F58" s="668">
        <v>3</v>
      </c>
      <c r="G58" s="668">
        <v>3</v>
      </c>
      <c r="H58" s="864">
        <v>4</v>
      </c>
      <c r="I58" s="668">
        <v>3</v>
      </c>
      <c r="J58" s="668">
        <v>3</v>
      </c>
      <c r="K58" s="668">
        <v>3</v>
      </c>
      <c r="L58" s="668">
        <v>3</v>
      </c>
      <c r="M58" s="864">
        <v>4</v>
      </c>
      <c r="N58" s="864">
        <v>4</v>
      </c>
      <c r="O58" s="668">
        <v>3</v>
      </c>
      <c r="P58" s="668">
        <v>3</v>
      </c>
      <c r="Q58" s="668">
        <v>3</v>
      </c>
      <c r="R58" s="668">
        <v>3</v>
      </c>
      <c r="S58" s="579"/>
      <c r="T58" s="184">
        <f t="shared" si="107"/>
        <v>3</v>
      </c>
      <c r="U58" s="146"/>
      <c r="V58" s="43"/>
      <c r="W58" s="43"/>
      <c r="X58" s="147"/>
      <c r="Y58" s="148">
        <f>IF($Y$4=$Y$6,T58,0)</f>
        <v>0</v>
      </c>
      <c r="Z58" s="958">
        <f>VLOOKUP(B58,'Manuell filtrering og justering'!$A$7:$H$107,'Manuell filtrering og justering'!$H$1,FALSE)</f>
        <v>3</v>
      </c>
      <c r="AA58" s="148">
        <f t="shared" si="109"/>
        <v>0</v>
      </c>
      <c r="AB58" s="149">
        <f>IF($AC$5='Manuell filtrering og justering'!$J$2,Z58,(T58-AA58))</f>
        <v>3</v>
      </c>
      <c r="AD58" s="150">
        <f t="shared" si="69"/>
        <v>2.5263157894736842E-2</v>
      </c>
      <c r="AE58" s="150">
        <f t="shared" si="87"/>
        <v>0</v>
      </c>
      <c r="AF58" s="150">
        <f t="shared" si="88"/>
        <v>0</v>
      </c>
      <c r="AG58" s="150">
        <f t="shared" si="89"/>
        <v>0</v>
      </c>
      <c r="AI58" s="884">
        <f>IF(AI237=AD_no,0,IF(VLOOKUP(E58,'Pre-Assessment Estimator'!$F$11:$AA$226,'Pre-Assessment Estimator'!$H$2,FALSE)&gt;AB58,AB58,VLOOKUP(E58,'Pre-Assessment Estimator'!$F$11:$AA$226,'Pre-Assessment Estimator'!$H$2,FALSE)))</f>
        <v>0</v>
      </c>
      <c r="AJ58" s="884">
        <f>IF(AJ237=AD_no,0,IF(VLOOKUP(E58,'Pre-Assessment Estimator'!$F$11:$AA$226,'Pre-Assessment Estimator'!$O$2,FALSE)&gt;AB58,AB58,VLOOKUP(E58,'Pre-Assessment Estimator'!$F$11:$AA$226,'Pre-Assessment Estimator'!$O$2,FALSE)))</f>
        <v>0</v>
      </c>
      <c r="AK58" s="884">
        <f>IF(AK237=AD_no,0,IF(VLOOKUP(E58,'Pre-Assessment Estimator'!$F$11:$AA$226,'Pre-Assessment Estimator'!$V$2,FALSE)&gt;AB58,AB58,VLOOKUP(E58,'Pre-Assessment Estimator'!$F$11:$AA$226,'Pre-Assessment Estimator'!$V$2,FALSE)))</f>
        <v>0</v>
      </c>
      <c r="AM58" s="252"/>
      <c r="AN58" s="253"/>
      <c r="AO58" s="253"/>
      <c r="AP58" s="253"/>
      <c r="AQ58" s="254"/>
      <c r="AS58" s="252"/>
      <c r="AT58" s="253"/>
      <c r="AU58" s="253"/>
      <c r="AV58" s="253"/>
      <c r="AW58" s="254"/>
      <c r="AY58" s="146"/>
      <c r="AZ58" s="43"/>
      <c r="BA58" s="43"/>
      <c r="BB58" s="43"/>
      <c r="BC58" s="147"/>
      <c r="BD58" s="596">
        <f t="shared" si="95"/>
        <v>9</v>
      </c>
      <c r="BE58" s="45" t="str">
        <f t="shared" si="71"/>
        <v>N/A</v>
      </c>
      <c r="BF58" s="163"/>
      <c r="BG58" s="160">
        <f t="shared" si="96"/>
        <v>9</v>
      </c>
      <c r="BH58" s="45" t="str">
        <f t="shared" si="73"/>
        <v>N/A</v>
      </c>
      <c r="BI58" s="163"/>
      <c r="BJ58" s="160">
        <f t="shared" si="97"/>
        <v>9</v>
      </c>
      <c r="BK58" s="45" t="str">
        <f t="shared" si="74"/>
        <v>N/A</v>
      </c>
      <c r="BL58" s="163"/>
      <c r="BO58" s="43"/>
      <c r="BP58" s="43"/>
      <c r="BQ58" s="43" t="str">
        <f t="shared" si="15"/>
        <v/>
      </c>
      <c r="BR58" s="43">
        <f t="shared" si="55"/>
        <v>9</v>
      </c>
      <c r="BS58" s="43">
        <f t="shared" si="56"/>
        <v>9</v>
      </c>
      <c r="BT58" s="43">
        <f t="shared" si="57"/>
        <v>9</v>
      </c>
      <c r="BW58" s="43"/>
      <c r="BX58" s="43"/>
      <c r="BY58" s="43"/>
      <c r="BZ58" s="43"/>
      <c r="CA58" s="43"/>
      <c r="CB58" s="43"/>
    </row>
    <row r="59" spans="1:85" x14ac:dyDescent="0.25">
      <c r="A59">
        <v>51</v>
      </c>
      <c r="B59" s="121" t="str">
        <f>D59</f>
        <v>Hea 06</v>
      </c>
      <c r="C59" s="121" t="str">
        <f>B59</f>
        <v>Hea 06</v>
      </c>
      <c r="D59" s="727" t="s">
        <v>121</v>
      </c>
      <c r="E59" s="725" t="s">
        <v>113</v>
      </c>
      <c r="F59" s="811">
        <f t="shared" ref="F59:R59" si="114">SUM(F60:F61)</f>
        <v>2</v>
      </c>
      <c r="G59" s="811">
        <f t="shared" si="114"/>
        <v>2</v>
      </c>
      <c r="H59" s="811">
        <f t="shared" si="114"/>
        <v>3</v>
      </c>
      <c r="I59" s="811">
        <f t="shared" si="114"/>
        <v>2</v>
      </c>
      <c r="J59" s="811">
        <f t="shared" si="114"/>
        <v>2</v>
      </c>
      <c r="K59" s="811">
        <f t="shared" si="114"/>
        <v>2</v>
      </c>
      <c r="L59" s="811">
        <f t="shared" si="114"/>
        <v>2</v>
      </c>
      <c r="M59" s="811">
        <f t="shared" si="114"/>
        <v>3</v>
      </c>
      <c r="N59" s="811">
        <f t="shared" si="114"/>
        <v>2</v>
      </c>
      <c r="O59" s="811">
        <f t="shared" si="114"/>
        <v>2</v>
      </c>
      <c r="P59" s="811">
        <f t="shared" si="114"/>
        <v>2</v>
      </c>
      <c r="Q59" s="811">
        <f t="shared" ref="Q59" si="115">SUM(Q60:Q61)</f>
        <v>2</v>
      </c>
      <c r="R59" s="811">
        <f t="shared" si="114"/>
        <v>2</v>
      </c>
      <c r="S59" s="827" t="s">
        <v>574</v>
      </c>
      <c r="T59" s="829">
        <f t="shared" si="107"/>
        <v>2</v>
      </c>
      <c r="U59" s="191"/>
      <c r="V59" s="61"/>
      <c r="W59" s="61"/>
      <c r="X59" s="908">
        <f>'Manuell filtrering og justering'!E22</f>
        <v>0</v>
      </c>
      <c r="Y59" s="831"/>
      <c r="Z59" s="975">
        <f t="shared" ref="Z59" si="116">SUM(Z60:Z61)</f>
        <v>3</v>
      </c>
      <c r="AA59" s="831">
        <f t="shared" si="109"/>
        <v>0</v>
      </c>
      <c r="AB59" s="883">
        <f t="shared" ref="AB59" si="117">SUM(AB60:AB61)</f>
        <v>2</v>
      </c>
      <c r="AD59" s="150">
        <f t="shared" si="69"/>
        <v>1.6842105263157894E-2</v>
      </c>
      <c r="AE59" s="799">
        <f>SUM(AE60:AE61)</f>
        <v>0</v>
      </c>
      <c r="AF59" s="799">
        <f t="shared" ref="AF59:AG59" si="118">SUM(AF60:AF62)</f>
        <v>0</v>
      </c>
      <c r="AG59" s="799">
        <f t="shared" si="118"/>
        <v>0</v>
      </c>
      <c r="AI59" s="826">
        <f t="shared" ref="AI59:AK59" si="119">SUM(AI60:AI61)</f>
        <v>0</v>
      </c>
      <c r="AJ59" s="826">
        <f t="shared" si="119"/>
        <v>0</v>
      </c>
      <c r="AK59" s="826">
        <f t="shared" si="119"/>
        <v>0</v>
      </c>
      <c r="AM59" s="252"/>
      <c r="AN59" s="253"/>
      <c r="AO59" s="253"/>
      <c r="AP59" s="253"/>
      <c r="AQ59" s="254"/>
      <c r="AS59" s="252"/>
      <c r="AT59" s="253"/>
      <c r="AU59" s="253"/>
      <c r="AV59" s="253"/>
      <c r="AW59" s="254"/>
      <c r="AY59" s="146"/>
      <c r="AZ59" s="43"/>
      <c r="BA59" s="43"/>
      <c r="BB59" s="43"/>
      <c r="BC59" s="147"/>
      <c r="BD59" s="596">
        <f t="shared" si="95"/>
        <v>9</v>
      </c>
      <c r="BE59" s="45" t="str">
        <f t="shared" si="71"/>
        <v>N/A</v>
      </c>
      <c r="BF59" s="163"/>
      <c r="BG59" s="160">
        <f t="shared" si="96"/>
        <v>9</v>
      </c>
      <c r="BH59" s="45" t="str">
        <f t="shared" si="73"/>
        <v>N/A</v>
      </c>
      <c r="BI59" s="163"/>
      <c r="BJ59" s="160">
        <f t="shared" si="97"/>
        <v>9</v>
      </c>
      <c r="BK59" s="45" t="str">
        <f t="shared" si="74"/>
        <v>N/A</v>
      </c>
      <c r="BL59" s="163"/>
      <c r="BO59" s="43"/>
      <c r="BP59" s="43"/>
      <c r="BQ59" s="43" t="str">
        <f t="shared" si="15"/>
        <v/>
      </c>
      <c r="BR59" s="43">
        <f t="shared" si="55"/>
        <v>9</v>
      </c>
      <c r="BS59" s="43">
        <f t="shared" si="56"/>
        <v>9</v>
      </c>
      <c r="BT59" s="43">
        <f t="shared" si="57"/>
        <v>9</v>
      </c>
      <c r="BW59" s="43" t="str">
        <f>D59</f>
        <v>Hea 06</v>
      </c>
      <c r="BX59" s="43" t="str">
        <f>IFERROR(VLOOKUP($E59,'Pre-Assessment Estimator'!$F$11:$AC$226,'Pre-Assessment Estimator'!AC$2,FALSE),"")</f>
        <v>N/A</v>
      </c>
      <c r="BY59" s="43">
        <f>IFERROR(VLOOKUP($E59,'Pre-Assessment Estimator'!$F$11:$AJ$226,'Pre-Assessment Estimator'!AJ$2,FALSE),"")</f>
        <v>0</v>
      </c>
      <c r="BZ59" s="43">
        <f>IFERROR(VLOOKUP($BX59,$E$293:$H$326,F$291,FALSE),"")</f>
        <v>1</v>
      </c>
      <c r="CA59" s="43">
        <f>IFERROR(VLOOKUP($BX59,$E$293:$H$326,G$291,FALSE),"")</f>
        <v>0</v>
      </c>
      <c r="CB59" s="43"/>
      <c r="CC59" t="str">
        <f>IFERROR(VLOOKUP($BX59,$E$293:$H$326,I$291,FALSE),"")</f>
        <v/>
      </c>
    </row>
    <row r="60" spans="1:85" x14ac:dyDescent="0.25">
      <c r="A60">
        <v>52</v>
      </c>
      <c r="B60" t="str">
        <f t="shared" ref="B60:B61" si="120">$D$59&amp;D60</f>
        <v>Hea 06a</v>
      </c>
      <c r="C60" t="str">
        <f t="shared" si="19"/>
        <v>Hea 06</v>
      </c>
      <c r="D60" s="144" t="s">
        <v>692</v>
      </c>
      <c r="E60" s="916" t="s">
        <v>616</v>
      </c>
      <c r="F60" s="668">
        <v>1</v>
      </c>
      <c r="G60" s="668">
        <v>1</v>
      </c>
      <c r="H60" s="864">
        <v>2</v>
      </c>
      <c r="I60" s="668">
        <v>1</v>
      </c>
      <c r="J60" s="668">
        <v>1</v>
      </c>
      <c r="K60" s="668">
        <v>1</v>
      </c>
      <c r="L60" s="668">
        <v>1</v>
      </c>
      <c r="M60" s="864">
        <v>2</v>
      </c>
      <c r="N60" s="668">
        <v>1</v>
      </c>
      <c r="O60" s="668">
        <v>1</v>
      </c>
      <c r="P60" s="668">
        <v>1</v>
      </c>
      <c r="Q60" s="668">
        <v>1</v>
      </c>
      <c r="R60" s="668">
        <v>1</v>
      </c>
      <c r="S60" s="693"/>
      <c r="T60" s="184">
        <f t="shared" si="107"/>
        <v>1</v>
      </c>
      <c r="U60" s="146">
        <f>IF(AND(T60=2,ADBT0=ADBT16,'Assessment Details'!F6&lt;&gt;'Assessment Details'!Z7),1,0)</f>
        <v>0</v>
      </c>
      <c r="V60" s="43"/>
      <c r="W60" s="43"/>
      <c r="X60" s="147"/>
      <c r="Y60" s="148">
        <f>IF($Y$4=$Y$6,T60,0)</f>
        <v>0</v>
      </c>
      <c r="Z60" s="958">
        <f>VLOOKUP(B60,'Manuell filtrering og justering'!$A$7:$H$107,'Manuell filtrering og justering'!$H$1,FALSE)</f>
        <v>2</v>
      </c>
      <c r="AA60" s="148">
        <f t="shared" si="109"/>
        <v>0</v>
      </c>
      <c r="AB60" s="149">
        <f>IF($AC$5='Manuell filtrering og justering'!$J$2,Z60,(T60-AA60))</f>
        <v>1</v>
      </c>
      <c r="AD60" s="150">
        <f t="shared" si="69"/>
        <v>8.4210526315789472E-3</v>
      </c>
      <c r="AE60" s="150">
        <f t="shared" si="87"/>
        <v>0</v>
      </c>
      <c r="AF60" s="150">
        <f t="shared" si="88"/>
        <v>0</v>
      </c>
      <c r="AG60" s="150">
        <f t="shared" si="89"/>
        <v>0</v>
      </c>
      <c r="AI60" s="151">
        <f>IF(VLOOKUP(E60,'Pre-Assessment Estimator'!$F$11:$AA$226,'Pre-Assessment Estimator'!$H$2,FALSE)&gt;AB60,AB60,VLOOKUP(E60,'Pre-Assessment Estimator'!$F$11:$AA$226,'Pre-Assessment Estimator'!$H$2,FALSE))</f>
        <v>0</v>
      </c>
      <c r="AJ60" s="151">
        <f>IF(VLOOKUP(E60,'Pre-Assessment Estimator'!$F$11:$AA$226,'Pre-Assessment Estimator'!$O$2,FALSE)&gt;AB60,AB60,VLOOKUP(E60,'Pre-Assessment Estimator'!$F$11:$AA$226,'Pre-Assessment Estimator'!$O$2,FALSE))</f>
        <v>0</v>
      </c>
      <c r="AK60" s="151">
        <f>IF(VLOOKUP(E60,'Pre-Assessment Estimator'!$F$11:$AA$226,'Pre-Assessment Estimator'!$V$2,FALSE)&gt;AB60,AB60,VLOOKUP(E60,'Pre-Assessment Estimator'!$F$11:$AA$226,'Pre-Assessment Estimator'!$V$2,FALSE))</f>
        <v>0</v>
      </c>
      <c r="AM60" s="252"/>
      <c r="AN60" s="253"/>
      <c r="AO60" s="253"/>
      <c r="AP60" s="253"/>
      <c r="AQ60" s="254"/>
      <c r="AS60" s="252"/>
      <c r="AT60" s="253"/>
      <c r="AU60" s="253"/>
      <c r="AV60" s="253"/>
      <c r="AW60" s="254"/>
      <c r="AY60" s="146"/>
      <c r="AZ60" s="43"/>
      <c r="BA60" s="43"/>
      <c r="BB60" s="43"/>
      <c r="BC60" s="147"/>
      <c r="BD60" s="596">
        <f t="shared" si="95"/>
        <v>9</v>
      </c>
      <c r="BE60" s="45" t="str">
        <f t="shared" si="71"/>
        <v>N/A</v>
      </c>
      <c r="BF60" s="163"/>
      <c r="BG60" s="160">
        <f t="shared" si="96"/>
        <v>9</v>
      </c>
      <c r="BH60" s="45" t="str">
        <f t="shared" si="73"/>
        <v>N/A</v>
      </c>
      <c r="BI60" s="163"/>
      <c r="BJ60" s="160">
        <f t="shared" si="97"/>
        <v>9</v>
      </c>
      <c r="BK60" s="45" t="str">
        <f t="shared" si="74"/>
        <v>N/A</v>
      </c>
      <c r="BL60" s="163"/>
      <c r="BO60" s="43"/>
      <c r="BP60" s="43"/>
      <c r="BQ60" s="43" t="str">
        <f t="shared" si="15"/>
        <v/>
      </c>
      <c r="BR60" s="43">
        <f t="shared" si="55"/>
        <v>9</v>
      </c>
      <c r="BS60" s="43">
        <f t="shared" si="56"/>
        <v>9</v>
      </c>
      <c r="BT60" s="43">
        <f t="shared" si="57"/>
        <v>9</v>
      </c>
      <c r="BW60" s="43"/>
      <c r="BX60" s="43"/>
      <c r="BY60" s="43"/>
      <c r="BZ60" s="43"/>
      <c r="CA60" s="43"/>
      <c r="CB60" s="43"/>
    </row>
    <row r="61" spans="1:85" x14ac:dyDescent="0.25">
      <c r="A61">
        <v>53</v>
      </c>
      <c r="B61" t="str">
        <f t="shared" si="120"/>
        <v>Hea 06b</v>
      </c>
      <c r="C61" t="str">
        <f t="shared" si="19"/>
        <v>Hea 06</v>
      </c>
      <c r="D61" s="144" t="s">
        <v>695</v>
      </c>
      <c r="E61" s="916" t="s">
        <v>617</v>
      </c>
      <c r="F61" s="668">
        <v>1</v>
      </c>
      <c r="G61" s="668">
        <v>1</v>
      </c>
      <c r="H61" s="668">
        <v>1</v>
      </c>
      <c r="I61" s="668">
        <v>1</v>
      </c>
      <c r="J61" s="668">
        <v>1</v>
      </c>
      <c r="K61" s="668">
        <v>1</v>
      </c>
      <c r="L61" s="668">
        <v>1</v>
      </c>
      <c r="M61" s="668">
        <v>1</v>
      </c>
      <c r="N61" s="668">
        <v>1</v>
      </c>
      <c r="O61" s="668">
        <v>1</v>
      </c>
      <c r="P61" s="668">
        <v>1</v>
      </c>
      <c r="Q61" s="668">
        <v>1</v>
      </c>
      <c r="R61" s="668">
        <v>1</v>
      </c>
      <c r="S61" s="693"/>
      <c r="T61" s="184">
        <f t="shared" si="107"/>
        <v>1</v>
      </c>
      <c r="U61" s="146"/>
      <c r="V61" s="43"/>
      <c r="W61" s="43"/>
      <c r="X61" s="147"/>
      <c r="Y61" s="148">
        <f>IF(OR($Y$4=$Y$5,$Y$4=$Y$6),T61,0)</f>
        <v>0</v>
      </c>
      <c r="Z61" s="958">
        <f>VLOOKUP(B61,'Manuell filtrering og justering'!$A$7:$H$107,'Manuell filtrering og justering'!$H$1,FALSE)</f>
        <v>1</v>
      </c>
      <c r="AA61" s="148">
        <f t="shared" si="109"/>
        <v>0</v>
      </c>
      <c r="AB61" s="149">
        <f>IF($AC$5='Manuell filtrering og justering'!$J$2,Z61,(T61-AA61))</f>
        <v>1</v>
      </c>
      <c r="AD61" s="150">
        <f t="shared" si="69"/>
        <v>8.4210526315789472E-3</v>
      </c>
      <c r="AE61" s="150">
        <f t="shared" si="87"/>
        <v>0</v>
      </c>
      <c r="AF61" s="150">
        <f t="shared" si="88"/>
        <v>0</v>
      </c>
      <c r="AG61" s="150">
        <f t="shared" si="89"/>
        <v>0</v>
      </c>
      <c r="AI61" s="151">
        <f>IF(VLOOKUP(E61,'Pre-Assessment Estimator'!$F$11:$AA$226,'Pre-Assessment Estimator'!$H$2,FALSE)&gt;AB61,AB61,VLOOKUP(E61,'Pre-Assessment Estimator'!$F$11:$AA$226,'Pre-Assessment Estimator'!$H$2,FALSE))</f>
        <v>0</v>
      </c>
      <c r="AJ61" s="151">
        <f>IF(VLOOKUP(E61,'Pre-Assessment Estimator'!$F$11:$AA$226,'Pre-Assessment Estimator'!$O$2,FALSE)&gt;AB61,AB61,VLOOKUP(E61,'Pre-Assessment Estimator'!$F$11:$AA$226,'Pre-Assessment Estimator'!$O$2,FALSE))</f>
        <v>0</v>
      </c>
      <c r="AK61" s="151">
        <f>IF(VLOOKUP(E61,'Pre-Assessment Estimator'!$F$11:$AA$226,'Pre-Assessment Estimator'!$V$2,FALSE)&gt;AB61,AB61,VLOOKUP(E61,'Pre-Assessment Estimator'!$F$11:$AA$226,'Pre-Assessment Estimator'!$V$2,FALSE))</f>
        <v>0</v>
      </c>
      <c r="AM61" s="252"/>
      <c r="AN61" s="253"/>
      <c r="AO61" s="253"/>
      <c r="AP61" s="253"/>
      <c r="AQ61" s="254"/>
      <c r="AS61" s="252"/>
      <c r="AT61" s="253"/>
      <c r="AU61" s="253"/>
      <c r="AV61" s="253"/>
      <c r="AW61" s="254"/>
      <c r="AY61" s="146"/>
      <c r="AZ61" s="43"/>
      <c r="BA61" s="43"/>
      <c r="BB61" s="43"/>
      <c r="BC61" s="147"/>
      <c r="BD61" s="596">
        <f t="shared" si="95"/>
        <v>9</v>
      </c>
      <c r="BE61" s="45" t="str">
        <f t="shared" si="71"/>
        <v>N/A</v>
      </c>
      <c r="BF61" s="163"/>
      <c r="BG61" s="160">
        <f t="shared" si="96"/>
        <v>9</v>
      </c>
      <c r="BH61" s="45" t="str">
        <f t="shared" si="73"/>
        <v>N/A</v>
      </c>
      <c r="BI61" s="163"/>
      <c r="BJ61" s="160">
        <f t="shared" si="97"/>
        <v>9</v>
      </c>
      <c r="BK61" s="45" t="str">
        <f t="shared" si="74"/>
        <v>N/A</v>
      </c>
      <c r="BL61" s="163"/>
      <c r="BO61" s="43"/>
      <c r="BP61" s="43"/>
      <c r="BQ61" s="43" t="str">
        <f t="shared" si="15"/>
        <v/>
      </c>
      <c r="BR61" s="43">
        <f t="shared" si="55"/>
        <v>9</v>
      </c>
      <c r="BS61" s="43">
        <f t="shared" si="56"/>
        <v>9</v>
      </c>
      <c r="BT61" s="43">
        <f t="shared" si="57"/>
        <v>9</v>
      </c>
      <c r="BW61" s="43"/>
      <c r="BX61" s="43"/>
      <c r="BY61" s="43"/>
      <c r="BZ61" s="43"/>
      <c r="CA61" s="43"/>
      <c r="CB61" s="43"/>
    </row>
    <row r="62" spans="1:85" x14ac:dyDescent="0.25">
      <c r="A62">
        <v>54</v>
      </c>
      <c r="D62" s="609" t="s">
        <v>122</v>
      </c>
      <c r="E62" s="608"/>
      <c r="F62" s="813"/>
      <c r="G62" s="813"/>
      <c r="H62" s="813"/>
      <c r="I62" s="813"/>
      <c r="J62" s="813"/>
      <c r="K62" s="813"/>
      <c r="L62" s="813"/>
      <c r="M62" s="813"/>
      <c r="N62" s="813"/>
      <c r="O62" s="813"/>
      <c r="P62" s="813"/>
      <c r="Q62" s="813"/>
      <c r="R62" s="813"/>
      <c r="T62" s="830"/>
      <c r="U62" s="609"/>
      <c r="V62" s="608"/>
      <c r="W62" s="608"/>
      <c r="X62" s="823"/>
      <c r="Y62" s="824"/>
      <c r="Z62" s="958"/>
      <c r="AA62" s="824"/>
      <c r="AB62" s="825"/>
      <c r="AD62" s="150">
        <f t="shared" si="69"/>
        <v>0</v>
      </c>
      <c r="AE62" s="828"/>
      <c r="AF62" s="828"/>
      <c r="AG62" s="828"/>
      <c r="AI62" s="623"/>
      <c r="AJ62" s="623"/>
      <c r="AK62" s="623"/>
      <c r="AM62" s="252"/>
      <c r="AN62" s="253"/>
      <c r="AO62" s="253"/>
      <c r="AP62" s="253"/>
      <c r="AQ62" s="254"/>
      <c r="AS62" s="252"/>
      <c r="AT62" s="253"/>
      <c r="AU62" s="253"/>
      <c r="AV62" s="253"/>
      <c r="AW62" s="254"/>
      <c r="AY62" s="146"/>
      <c r="AZ62" s="43"/>
      <c r="BA62" s="43"/>
      <c r="BB62" s="43"/>
      <c r="BC62" s="147"/>
      <c r="BD62" s="596">
        <f t="shared" si="95"/>
        <v>9</v>
      </c>
      <c r="BE62" s="45" t="str">
        <f t="shared" si="71"/>
        <v>N/A</v>
      </c>
      <c r="BF62" s="163"/>
      <c r="BG62" s="160">
        <f t="shared" si="96"/>
        <v>9</v>
      </c>
      <c r="BH62" s="45" t="str">
        <f t="shared" si="73"/>
        <v>N/A</v>
      </c>
      <c r="BI62" s="163"/>
      <c r="BJ62" s="160">
        <f t="shared" si="97"/>
        <v>9</v>
      </c>
      <c r="BK62" s="45" t="str">
        <f t="shared" si="74"/>
        <v>N/A</v>
      </c>
      <c r="BL62" s="163"/>
      <c r="BO62" s="43"/>
      <c r="BP62" s="43"/>
      <c r="BQ62" s="43" t="str">
        <f t="shared" si="15"/>
        <v/>
      </c>
      <c r="BR62" s="43">
        <f t="shared" si="55"/>
        <v>9</v>
      </c>
      <c r="BS62" s="43">
        <f t="shared" si="56"/>
        <v>9</v>
      </c>
      <c r="BT62" s="43">
        <f t="shared" si="57"/>
        <v>9</v>
      </c>
      <c r="BW62" s="43" t="str">
        <f>D62</f>
        <v>Hea 07</v>
      </c>
      <c r="BX62" s="43" t="str">
        <f>IFERROR(VLOOKUP($E62,'Pre-Assessment Estimator'!$F$11:$AC$226,'Pre-Assessment Estimator'!AC$2,FALSE),"")</f>
        <v/>
      </c>
      <c r="BY62" s="43" t="str">
        <f>IFERROR(VLOOKUP($E62,'Pre-Assessment Estimator'!$F$11:$AJ$226,'Pre-Assessment Estimator'!AJ$2,FALSE),"")</f>
        <v/>
      </c>
      <c r="BZ62" s="43" t="str">
        <f>IFERROR(VLOOKUP($BX62,$E$293:$H$326,F$291,FALSE),"")</f>
        <v/>
      </c>
      <c r="CA62" s="43" t="str">
        <f>IFERROR(VLOOKUP($BX62,$E$293:$H$326,G$291,FALSE),"")</f>
        <v/>
      </c>
      <c r="CB62" s="43"/>
      <c r="CC62" t="str">
        <f>IFERROR(VLOOKUP($BX62,$E$293:$H$326,I$291,FALSE),"")</f>
        <v/>
      </c>
    </row>
    <row r="63" spans="1:85" x14ac:dyDescent="0.25">
      <c r="A63">
        <v>55</v>
      </c>
      <c r="B63" s="121" t="str">
        <f>D63</f>
        <v>Hea 08</v>
      </c>
      <c r="C63" s="121" t="str">
        <f>B63</f>
        <v>Hea 08</v>
      </c>
      <c r="D63" s="727" t="s">
        <v>123</v>
      </c>
      <c r="E63" s="725" t="s">
        <v>115</v>
      </c>
      <c r="F63" s="811">
        <f t="shared" ref="F63:R63" si="121">SUM(F64:F65)</f>
        <v>0</v>
      </c>
      <c r="G63" s="811">
        <f t="shared" si="121"/>
        <v>0</v>
      </c>
      <c r="H63" s="811">
        <f t="shared" si="121"/>
        <v>1</v>
      </c>
      <c r="I63" s="811">
        <f t="shared" si="121"/>
        <v>0</v>
      </c>
      <c r="J63" s="811">
        <f t="shared" si="121"/>
        <v>0</v>
      </c>
      <c r="K63" s="811">
        <f t="shared" si="121"/>
        <v>0</v>
      </c>
      <c r="L63" s="811">
        <f t="shared" si="121"/>
        <v>0</v>
      </c>
      <c r="M63" s="811">
        <f t="shared" si="121"/>
        <v>0</v>
      </c>
      <c r="N63" s="811">
        <f t="shared" si="121"/>
        <v>0</v>
      </c>
      <c r="O63" s="811">
        <f t="shared" si="121"/>
        <v>0</v>
      </c>
      <c r="P63" s="811">
        <f t="shared" si="121"/>
        <v>0</v>
      </c>
      <c r="Q63" s="811">
        <f t="shared" ref="Q63" si="122">SUM(Q64:Q65)</f>
        <v>0</v>
      </c>
      <c r="R63" s="811">
        <f t="shared" si="121"/>
        <v>0</v>
      </c>
      <c r="T63" s="829">
        <f>HLOOKUP($E$6,$F$9:$R$231,$A63,FALSE)</f>
        <v>0</v>
      </c>
      <c r="U63" s="191"/>
      <c r="V63" s="61"/>
      <c r="W63" s="61"/>
      <c r="X63" s="908">
        <f>'Manuell filtrering og justering'!E24</f>
        <v>0</v>
      </c>
      <c r="Y63" s="831"/>
      <c r="Z63" s="975">
        <f t="shared" ref="Z63" si="123">SUM(Z64:Z65)</f>
        <v>0</v>
      </c>
      <c r="AA63" s="831">
        <f>IF(SUM(U63:Y63)&gt;T63,T63,SUM(U63:Y63))</f>
        <v>0</v>
      </c>
      <c r="AB63" s="883">
        <f>SUM(AB64)</f>
        <v>0</v>
      </c>
      <c r="AD63" s="150">
        <f t="shared" si="69"/>
        <v>0</v>
      </c>
      <c r="AE63" s="799">
        <f>SUM(AE64)</f>
        <v>0</v>
      </c>
      <c r="AF63" s="799">
        <f t="shared" ref="AF63:AG63" si="124">SUM(AF64)</f>
        <v>0</v>
      </c>
      <c r="AG63" s="799">
        <f t="shared" si="124"/>
        <v>0</v>
      </c>
      <c r="AI63" s="826">
        <f t="shared" ref="AI63:AK63" si="125">SUM(AI64:AI65)</f>
        <v>0</v>
      </c>
      <c r="AJ63" s="826">
        <f t="shared" si="125"/>
        <v>0</v>
      </c>
      <c r="AK63" s="826">
        <f t="shared" si="125"/>
        <v>0</v>
      </c>
      <c r="AM63" s="251"/>
      <c r="AN63" s="159"/>
      <c r="AO63" s="159"/>
      <c r="AP63" s="159"/>
      <c r="AQ63" s="164"/>
      <c r="AS63" s="251"/>
      <c r="AT63" s="159"/>
      <c r="AU63" s="159"/>
      <c r="AV63" s="159"/>
      <c r="AW63" s="254"/>
      <c r="AY63" s="160"/>
      <c r="AZ63" s="161"/>
      <c r="BA63" s="161"/>
      <c r="BB63" s="161"/>
      <c r="BC63" s="165"/>
      <c r="BD63" s="596">
        <f t="shared" si="95"/>
        <v>9</v>
      </c>
      <c r="BE63" s="45" t="str">
        <f t="shared" si="71"/>
        <v>N/A</v>
      </c>
      <c r="BF63" s="163"/>
      <c r="BG63" s="160">
        <f t="shared" si="96"/>
        <v>9</v>
      </c>
      <c r="BH63" s="45" t="str">
        <f t="shared" si="73"/>
        <v>N/A</v>
      </c>
      <c r="BI63" s="163"/>
      <c r="BJ63" s="160">
        <f t="shared" si="97"/>
        <v>9</v>
      </c>
      <c r="BK63" s="45" t="str">
        <f t="shared" si="74"/>
        <v>N/A</v>
      </c>
      <c r="BL63" s="163"/>
      <c r="BO63" s="842"/>
      <c r="BP63" s="43"/>
      <c r="BQ63" s="43" t="str">
        <f t="shared" si="15"/>
        <v/>
      </c>
      <c r="BR63" s="43">
        <f t="shared" si="55"/>
        <v>9</v>
      </c>
      <c r="BS63" s="43">
        <f t="shared" si="56"/>
        <v>9</v>
      </c>
      <c r="BT63" s="43">
        <f t="shared" si="57"/>
        <v>9</v>
      </c>
      <c r="BW63" s="43" t="str">
        <f>D63</f>
        <v>Hea 08</v>
      </c>
      <c r="BX63" s="43" t="str">
        <f>IFERROR(VLOOKUP($E63,'Pre-Assessment Estimator'!$F$11:$AC$226,'Pre-Assessment Estimator'!AC$2,FALSE),"")</f>
        <v>N/A</v>
      </c>
      <c r="BY63" s="43">
        <f>IFERROR(VLOOKUP($E63,'Pre-Assessment Estimator'!$F$11:$AJ$226,'Pre-Assessment Estimator'!AJ$2,FALSE),"")</f>
        <v>0</v>
      </c>
      <c r="BZ63" s="43">
        <f>IFERROR(VLOOKUP($BX63,$E$293:$H$326,F$291,FALSE),"")</f>
        <v>1</v>
      </c>
      <c r="CA63" s="43">
        <f>IFERROR(VLOOKUP($BX63,$E$293:$H$326,G$291,FALSE),"")</f>
        <v>0</v>
      </c>
      <c r="CB63" s="43"/>
      <c r="CC63" t="str">
        <f>IFERROR(VLOOKUP($BX63,$E$293:$H$326,I$291,FALSE),"")</f>
        <v/>
      </c>
    </row>
    <row r="64" spans="1:85" x14ac:dyDescent="0.25">
      <c r="A64">
        <v>56</v>
      </c>
      <c r="B64" t="str">
        <f>$D$63&amp;D64</f>
        <v>Hea 08a</v>
      </c>
      <c r="C64" t="str">
        <f t="shared" si="19"/>
        <v>Hea 08</v>
      </c>
      <c r="D64" s="167" t="s">
        <v>692</v>
      </c>
      <c r="E64" s="916" t="s">
        <v>618</v>
      </c>
      <c r="F64" s="670">
        <v>0</v>
      </c>
      <c r="G64" s="670">
        <v>0</v>
      </c>
      <c r="H64" s="670">
        <v>1</v>
      </c>
      <c r="I64" s="670">
        <v>0</v>
      </c>
      <c r="J64" s="670">
        <v>0</v>
      </c>
      <c r="K64" s="670">
        <v>0</v>
      </c>
      <c r="L64" s="670">
        <v>0</v>
      </c>
      <c r="M64" s="670">
        <v>0</v>
      </c>
      <c r="N64" s="670">
        <v>0</v>
      </c>
      <c r="O64" s="670">
        <v>0</v>
      </c>
      <c r="P64" s="670">
        <v>0</v>
      </c>
      <c r="Q64" s="670">
        <v>0</v>
      </c>
      <c r="R64" s="670">
        <v>0</v>
      </c>
      <c r="T64" s="184">
        <f>HLOOKUP($E$6,$F$9:$R$231,$A64,FALSE)</f>
        <v>0</v>
      </c>
      <c r="U64" s="146"/>
      <c r="V64" s="43"/>
      <c r="W64" s="43"/>
      <c r="X64" s="147"/>
      <c r="Y64" s="148"/>
      <c r="Z64" s="958">
        <f>VLOOKUP(B64,'Manuell filtrering og justering'!$A$7:$H$107,'Manuell filtrering og justering'!$H$1,FALSE)</f>
        <v>0</v>
      </c>
      <c r="AA64" s="148">
        <f>IF(SUM(U64:Y64)&gt;T64,T64,SUM(U64:Y64))</f>
        <v>0</v>
      </c>
      <c r="AB64" s="149">
        <f>IF($AC$5='Manuell filtrering og justering'!$J$2,Z64,(T64-AA64))</f>
        <v>0</v>
      </c>
      <c r="AD64" s="150">
        <f t="shared" si="69"/>
        <v>0</v>
      </c>
      <c r="AE64" s="150">
        <f t="shared" si="87"/>
        <v>0</v>
      </c>
      <c r="AF64" s="150">
        <f t="shared" si="88"/>
        <v>0</v>
      </c>
      <c r="AG64" s="150">
        <f t="shared" si="89"/>
        <v>0</v>
      </c>
      <c r="AI64" s="151">
        <f>IF(VLOOKUP(E64,'Pre-Assessment Estimator'!$F$11:$AA$226,'Pre-Assessment Estimator'!$H$2,FALSE)&gt;AB64,AB64,VLOOKUP(E64,'Pre-Assessment Estimator'!$F$11:$AA$226,'Pre-Assessment Estimator'!$H$2,FALSE))</f>
        <v>0</v>
      </c>
      <c r="AJ64" s="151">
        <f>IF(VLOOKUP(E64,'Pre-Assessment Estimator'!$F$11:$AA$226,'Pre-Assessment Estimator'!$O$2,FALSE)&gt;AB64,AB64,VLOOKUP(E64,'Pre-Assessment Estimator'!$F$11:$AA$226,'Pre-Assessment Estimator'!$O$2,FALSE))</f>
        <v>0</v>
      </c>
      <c r="AK64" s="151">
        <f>IF(VLOOKUP(E64,'Pre-Assessment Estimator'!$F$11:$AA$226,'Pre-Assessment Estimator'!$V$2,FALSE)&gt;AB64,AB64,VLOOKUP(E64,'Pre-Assessment Estimator'!$F$11:$AA$226,'Pre-Assessment Estimator'!$V$2,FALSE))</f>
        <v>0</v>
      </c>
      <c r="AM64" s="732"/>
      <c r="AN64" s="733"/>
      <c r="AO64" s="733"/>
      <c r="AP64" s="733"/>
      <c r="AQ64" s="734"/>
      <c r="AS64" s="732"/>
      <c r="AT64" s="733"/>
      <c r="AU64" s="733"/>
      <c r="AV64" s="733"/>
      <c r="AW64" s="735"/>
      <c r="AY64" s="736"/>
      <c r="AZ64" s="737"/>
      <c r="BA64" s="737"/>
      <c r="BB64" s="737"/>
      <c r="BC64" s="738"/>
      <c r="BD64" s="596">
        <f t="shared" si="95"/>
        <v>9</v>
      </c>
      <c r="BE64" s="45" t="str">
        <f t="shared" si="71"/>
        <v>N/A</v>
      </c>
      <c r="BF64" s="163"/>
      <c r="BG64" s="160">
        <f t="shared" si="96"/>
        <v>9</v>
      </c>
      <c r="BH64" s="45" t="str">
        <f t="shared" si="73"/>
        <v>N/A</v>
      </c>
      <c r="BI64" s="163"/>
      <c r="BJ64" s="160">
        <f t="shared" si="97"/>
        <v>9</v>
      </c>
      <c r="BK64" s="45" t="str">
        <f t="shared" si="74"/>
        <v>N/A</v>
      </c>
      <c r="BL64" s="739"/>
      <c r="BO64" s="842"/>
      <c r="BP64" s="43"/>
      <c r="BQ64" s="43" t="str">
        <f t="shared" si="15"/>
        <v/>
      </c>
      <c r="BR64" s="43">
        <f t="shared" si="55"/>
        <v>9</v>
      </c>
      <c r="BS64" s="43">
        <f t="shared" si="56"/>
        <v>9</v>
      </c>
      <c r="BT64" s="43">
        <f t="shared" si="57"/>
        <v>9</v>
      </c>
      <c r="BW64" s="48"/>
      <c r="BX64" s="48"/>
      <c r="BY64" s="48"/>
      <c r="BZ64" s="48"/>
      <c r="CA64" s="48"/>
      <c r="CB64" s="48"/>
    </row>
    <row r="65" spans="1:87" ht="15.75" thickBot="1" x14ac:dyDescent="0.3">
      <c r="A65">
        <v>57</v>
      </c>
      <c r="D65" s="611" t="s">
        <v>124</v>
      </c>
      <c r="E65" s="612"/>
      <c r="F65" s="814"/>
      <c r="G65" s="814"/>
      <c r="H65" s="814"/>
      <c r="I65" s="814"/>
      <c r="J65" s="814"/>
      <c r="K65" s="814"/>
      <c r="L65" s="814"/>
      <c r="M65" s="814"/>
      <c r="N65" s="814"/>
      <c r="O65" s="814"/>
      <c r="P65" s="814"/>
      <c r="Q65" s="814"/>
      <c r="R65" s="814"/>
      <c r="T65" s="830"/>
      <c r="U65" s="609"/>
      <c r="V65" s="608"/>
      <c r="W65" s="608"/>
      <c r="X65" s="823"/>
      <c r="Y65" s="977"/>
      <c r="Z65" s="958"/>
      <c r="AA65" s="824"/>
      <c r="AB65" s="825"/>
      <c r="AD65" s="150">
        <f t="shared" si="69"/>
        <v>0</v>
      </c>
      <c r="AE65" s="828"/>
      <c r="AF65" s="828"/>
      <c r="AG65" s="828"/>
      <c r="AI65" s="623"/>
      <c r="AJ65" s="623"/>
      <c r="AK65" s="623"/>
      <c r="AM65" s="261"/>
      <c r="AN65" s="262"/>
      <c r="AO65" s="262"/>
      <c r="AP65" s="262"/>
      <c r="AQ65" s="263"/>
      <c r="AS65" s="261"/>
      <c r="AT65" s="262"/>
      <c r="AU65" s="262"/>
      <c r="AV65" s="262"/>
      <c r="AW65" s="263"/>
      <c r="AY65" s="172"/>
      <c r="AZ65" s="193"/>
      <c r="BA65" s="193"/>
      <c r="BB65" s="193"/>
      <c r="BC65" s="194"/>
      <c r="BD65" s="172">
        <f t="shared" si="60"/>
        <v>9</v>
      </c>
      <c r="BE65" s="45" t="str">
        <f t="shared" si="71"/>
        <v>N/A</v>
      </c>
      <c r="BF65" s="173"/>
      <c r="BG65" s="172">
        <f t="shared" si="72"/>
        <v>9</v>
      </c>
      <c r="BH65" s="45" t="str">
        <f t="shared" si="73"/>
        <v>N/A</v>
      </c>
      <c r="BI65" s="173"/>
      <c r="BJ65" s="172">
        <f t="shared" si="28"/>
        <v>9</v>
      </c>
      <c r="BK65" s="45" t="str">
        <f t="shared" si="74"/>
        <v>N/A</v>
      </c>
      <c r="BL65" s="173"/>
      <c r="BO65" s="43"/>
      <c r="BP65" s="43"/>
      <c r="BQ65" s="43" t="str">
        <f t="shared" si="15"/>
        <v/>
      </c>
      <c r="BR65" s="43">
        <f t="shared" si="55"/>
        <v>9</v>
      </c>
      <c r="BS65" s="43">
        <f t="shared" si="56"/>
        <v>9</v>
      </c>
      <c r="BT65" s="43">
        <f t="shared" si="57"/>
        <v>9</v>
      </c>
      <c r="BW65" s="48" t="str">
        <f>D65</f>
        <v>Hea 09</v>
      </c>
      <c r="BX65" s="48" t="str">
        <f>IFERROR(VLOOKUP($E65,'Pre-Assessment Estimator'!$F$11:$AC$226,'Pre-Assessment Estimator'!AC$2,FALSE),"")</f>
        <v/>
      </c>
      <c r="BY65" s="48" t="str">
        <f>IFERROR(VLOOKUP($E65,'Pre-Assessment Estimator'!$F$11:$AJ$226,'Pre-Assessment Estimator'!AJ$2,FALSE),"")</f>
        <v/>
      </c>
      <c r="BZ65" s="48" t="str">
        <f t="shared" ref="BZ65:CA69" si="126">IFERROR(VLOOKUP($BX65,$E$293:$H$326,F$291,FALSE),"")</f>
        <v/>
      </c>
      <c r="CA65" s="48" t="str">
        <f t="shared" si="126"/>
        <v/>
      </c>
      <c r="CB65" s="48"/>
      <c r="CC65" t="str">
        <f>IFERROR(VLOOKUP($BX65,$E$293:$H$326,I$291,FALSE),"")</f>
        <v/>
      </c>
    </row>
    <row r="66" spans="1:87" ht="15.75" thickBot="1" x14ac:dyDescent="0.3">
      <c r="A66">
        <v>58</v>
      </c>
      <c r="B66" t="s">
        <v>882</v>
      </c>
      <c r="D66" s="174"/>
      <c r="E66" s="50" t="s">
        <v>213</v>
      </c>
      <c r="F66" s="672">
        <f>F39+F46+F51+F56+F59+F63</f>
        <v>19</v>
      </c>
      <c r="G66" s="672">
        <f t="shared" ref="G66:R66" si="127">G39+G46+G51+G56+G59+G63</f>
        <v>19</v>
      </c>
      <c r="H66" s="672">
        <f t="shared" si="127"/>
        <v>20</v>
      </c>
      <c r="I66" s="672">
        <f t="shared" si="127"/>
        <v>19</v>
      </c>
      <c r="J66" s="672">
        <f t="shared" si="127"/>
        <v>19</v>
      </c>
      <c r="K66" s="672">
        <f t="shared" si="127"/>
        <v>19</v>
      </c>
      <c r="L66" s="672">
        <f t="shared" si="127"/>
        <v>19</v>
      </c>
      <c r="M66" s="672">
        <f t="shared" si="127"/>
        <v>21</v>
      </c>
      <c r="N66" s="672">
        <f t="shared" si="127"/>
        <v>20</v>
      </c>
      <c r="O66" s="672">
        <f t="shared" si="127"/>
        <v>19</v>
      </c>
      <c r="P66" s="672">
        <f t="shared" si="127"/>
        <v>19</v>
      </c>
      <c r="Q66" s="672">
        <f t="shared" ref="Q66" si="128">Q39+Q46+Q51+Q56+Q59+Q63</f>
        <v>19</v>
      </c>
      <c r="R66" s="672">
        <f t="shared" si="127"/>
        <v>19</v>
      </c>
      <c r="T66" s="195">
        <f>HLOOKUP($E$6,$F$9:$R$231,$A66,FALSE)</f>
        <v>19</v>
      </c>
      <c r="U66" s="176"/>
      <c r="V66" s="177"/>
      <c r="W66" s="177"/>
      <c r="X66" s="177"/>
      <c r="Y66" s="976"/>
      <c r="Z66" s="178"/>
      <c r="AA66" s="672">
        <f t="shared" ref="AA66:AG66" si="129">AA39+AA46+AA51+AA56+AA59+AA63</f>
        <v>0</v>
      </c>
      <c r="AB66" s="672">
        <f t="shared" si="129"/>
        <v>19</v>
      </c>
      <c r="AD66" s="180">
        <f t="shared" si="129"/>
        <v>0.16000000000000003</v>
      </c>
      <c r="AE66" s="180">
        <f t="shared" si="129"/>
        <v>0</v>
      </c>
      <c r="AF66" s="180">
        <f t="shared" si="129"/>
        <v>0</v>
      </c>
      <c r="AG66" s="180">
        <f t="shared" si="129"/>
        <v>0</v>
      </c>
      <c r="AI66" s="72">
        <f t="shared" ref="AI66:AK66" si="130">AI39+AI46+AI51+AI56+AI59+AI63</f>
        <v>0</v>
      </c>
      <c r="AJ66" s="72">
        <f t="shared" si="130"/>
        <v>0</v>
      </c>
      <c r="AK66" s="72">
        <f t="shared" si="130"/>
        <v>0</v>
      </c>
      <c r="AM66" s="123"/>
      <c r="AN66" s="123"/>
      <c r="AO66" s="123"/>
      <c r="AP66" s="123"/>
      <c r="AQ66" s="123"/>
      <c r="AS66" s="123"/>
      <c r="AT66" s="123"/>
      <c r="AU66" s="123"/>
      <c r="AV66" s="123"/>
      <c r="AW66" s="123"/>
      <c r="AZ66" s="181"/>
      <c r="BW66" s="50"/>
      <c r="BX66" s="50" t="str">
        <f>IFERROR(VLOOKUP($E66,'Pre-Assessment Estimator'!$F$11:$AC$226,'Pre-Assessment Estimator'!AC$2,FALSE),"")</f>
        <v/>
      </c>
      <c r="BY66" s="50" t="str">
        <f>IFERROR(VLOOKUP($E66,'Pre-Assessment Estimator'!$F$11:$AJ$226,'Pre-Assessment Estimator'!AJ$2,FALSE),"")</f>
        <v/>
      </c>
      <c r="BZ66" s="50" t="str">
        <f t="shared" si="126"/>
        <v/>
      </c>
      <c r="CA66" s="50" t="str">
        <f t="shared" si="126"/>
        <v/>
      </c>
      <c r="CB66" s="50"/>
      <c r="CC66" t="str">
        <f>IFERROR(VLOOKUP($BX66,$E$293:$H$326,I$291,FALSE),"")</f>
        <v/>
      </c>
    </row>
    <row r="67" spans="1:87" ht="15.75" thickBot="1" x14ac:dyDescent="0.3">
      <c r="A67">
        <v>59</v>
      </c>
      <c r="AI67" s="1"/>
      <c r="AJ67" s="1"/>
      <c r="AK67" s="1"/>
      <c r="AM67" s="123"/>
      <c r="AN67" s="123"/>
      <c r="AO67" s="123"/>
      <c r="AP67" s="123"/>
      <c r="AQ67" s="123"/>
      <c r="AS67" s="123"/>
      <c r="AT67" s="123"/>
      <c r="AU67" s="123"/>
      <c r="AV67" s="123"/>
      <c r="AW67" s="123"/>
      <c r="BX67" t="str">
        <f>IFERROR(VLOOKUP($E67,'Pre-Assessment Estimator'!$F$11:$AC$226,'Pre-Assessment Estimator'!AC$2,FALSE),"")</f>
        <v/>
      </c>
      <c r="BY67" t="str">
        <f>IFERROR(VLOOKUP($E67,'Pre-Assessment Estimator'!$F$11:$AJ$226,'Pre-Assessment Estimator'!AJ$2,FALSE),"")</f>
        <v/>
      </c>
      <c r="BZ67" t="str">
        <f t="shared" si="126"/>
        <v/>
      </c>
      <c r="CA67" t="str">
        <f t="shared" si="126"/>
        <v/>
      </c>
      <c r="CC67" t="str">
        <f>IFERROR(VLOOKUP($BX67,$E$293:$H$326,I$291,FALSE),"")</f>
        <v/>
      </c>
    </row>
    <row r="68" spans="1:87" ht="60.75" thickBot="1" x14ac:dyDescent="0.3">
      <c r="A68">
        <v>60</v>
      </c>
      <c r="D68" s="127"/>
      <c r="E68" s="47" t="s">
        <v>65</v>
      </c>
      <c r="F68" s="1028" t="str">
        <f>$F$9</f>
        <v>Office</v>
      </c>
      <c r="G68" s="1028" t="str">
        <f>$G$9</f>
        <v>Retail</v>
      </c>
      <c r="H68" s="1032" t="str">
        <f>$H$9</f>
        <v>Residential</v>
      </c>
      <c r="I68" s="1028" t="str">
        <f>$I$9</f>
        <v>Industrial</v>
      </c>
      <c r="J68" s="1030" t="str">
        <f>$J$9</f>
        <v>Healthcare</v>
      </c>
      <c r="K68" s="1030" t="str">
        <f>$K$9</f>
        <v>Prison</v>
      </c>
      <c r="L68" s="1030" t="str">
        <f>$L$9</f>
        <v>Law Court</v>
      </c>
      <c r="M68" s="1034" t="str">
        <f>$M$9</f>
        <v>Residential institution (long term stay)</v>
      </c>
      <c r="N68" s="796" t="str">
        <f>$N$9</f>
        <v>Residential institution (short term stay)</v>
      </c>
      <c r="O68" s="796" t="str">
        <f>$O$9</f>
        <v>Non-residential institution</v>
      </c>
      <c r="P68" s="796" t="str">
        <f>$P$9</f>
        <v>Assembly and leisure</v>
      </c>
      <c r="Q68" s="1030" t="str">
        <f>$Q$9</f>
        <v>Education</v>
      </c>
      <c r="R68" s="747" t="str">
        <f>$R$9</f>
        <v>Other</v>
      </c>
      <c r="T68" s="122" t="str">
        <f>$E$6</f>
        <v>Office</v>
      </c>
      <c r="U68" s="182"/>
      <c r="V68" s="183"/>
      <c r="W68" s="183"/>
      <c r="X68" s="183"/>
      <c r="Y68" s="964" t="s">
        <v>411</v>
      </c>
      <c r="Z68" s="304" t="s">
        <v>334</v>
      </c>
      <c r="AA68" s="131" t="s">
        <v>213</v>
      </c>
      <c r="AB68" s="53" t="s">
        <v>14</v>
      </c>
      <c r="AI68" s="36"/>
      <c r="AJ68" s="54"/>
      <c r="AK68" s="54"/>
      <c r="AM68" s="123"/>
      <c r="AN68" s="123"/>
      <c r="AO68" s="123"/>
      <c r="AP68" s="123"/>
      <c r="AQ68" s="123"/>
      <c r="AS68" s="123"/>
      <c r="AT68" s="123"/>
      <c r="AU68" s="123"/>
      <c r="AV68" s="123"/>
      <c r="AW68" s="123"/>
      <c r="BO68" s="54"/>
      <c r="BP68" s="54"/>
      <c r="BQ68" s="54"/>
      <c r="BR68" s="54"/>
      <c r="BS68" s="54"/>
      <c r="BT68" s="54"/>
      <c r="BW68" s="47"/>
      <c r="BX68" s="47" t="str">
        <f>E68</f>
        <v>Energy</v>
      </c>
      <c r="BY68" s="47">
        <f>IFERROR(VLOOKUP($E68,'Pre-Assessment Estimator'!$F$11:$AJ$226,'Pre-Assessment Estimator'!AJ$2,FALSE),"")</f>
        <v>0</v>
      </c>
      <c r="BZ68" s="47" t="str">
        <f t="shared" si="126"/>
        <v/>
      </c>
      <c r="CA68" s="47" t="str">
        <f t="shared" si="126"/>
        <v/>
      </c>
      <c r="CB68" s="47"/>
      <c r="CC68" t="str">
        <f>IFERROR(VLOOKUP($BX68,$E$293:$H$326,I$291,FALSE),"")</f>
        <v/>
      </c>
    </row>
    <row r="69" spans="1:87" x14ac:dyDescent="0.25">
      <c r="A69">
        <v>61</v>
      </c>
      <c r="B69" s="121" t="str">
        <f>D69</f>
        <v>Ene 01</v>
      </c>
      <c r="C69" s="121" t="str">
        <f>B69</f>
        <v>Ene 01</v>
      </c>
      <c r="D69" s="726" t="s">
        <v>134</v>
      </c>
      <c r="E69" s="724" t="s">
        <v>127</v>
      </c>
      <c r="F69" s="811">
        <f t="shared" ref="F69:R69" si="131">SUM(F70:F74)</f>
        <v>12</v>
      </c>
      <c r="G69" s="811">
        <f t="shared" si="131"/>
        <v>12</v>
      </c>
      <c r="H69" s="811">
        <f t="shared" si="131"/>
        <v>12</v>
      </c>
      <c r="I69" s="811">
        <f t="shared" si="131"/>
        <v>12</v>
      </c>
      <c r="J69" s="811">
        <f t="shared" si="131"/>
        <v>12</v>
      </c>
      <c r="K69" s="811">
        <f t="shared" si="131"/>
        <v>12</v>
      </c>
      <c r="L69" s="811">
        <f t="shared" si="131"/>
        <v>12</v>
      </c>
      <c r="M69" s="811">
        <f t="shared" si="131"/>
        <v>12</v>
      </c>
      <c r="N69" s="811">
        <f t="shared" si="131"/>
        <v>12</v>
      </c>
      <c r="O69" s="811">
        <f t="shared" si="131"/>
        <v>12</v>
      </c>
      <c r="P69" s="811">
        <f t="shared" si="131"/>
        <v>12</v>
      </c>
      <c r="Q69" s="811">
        <f t="shared" ref="Q69" si="132">SUM(Q70:Q74)</f>
        <v>12</v>
      </c>
      <c r="R69" s="811">
        <f t="shared" si="131"/>
        <v>12</v>
      </c>
      <c r="T69" s="131">
        <f t="shared" ref="T69:T81" si="133">HLOOKUP($E$6,$F$9:$R$231,$A69,FALSE)</f>
        <v>12</v>
      </c>
      <c r="U69" s="191"/>
      <c r="V69" s="61"/>
      <c r="W69" s="61"/>
      <c r="X69" s="61">
        <f>'Manuell filtrering og justering'!E29</f>
        <v>0</v>
      </c>
      <c r="Y69" s="61"/>
      <c r="Z69" s="826">
        <f t="shared" ref="Z69:AB69" si="134">SUM(Z70:Z74)</f>
        <v>24</v>
      </c>
      <c r="AA69" s="831">
        <f t="shared" ref="AA69:AA79" si="135">IF(SUM(U69:Y69)&gt;T69,T69,SUM(U69:Y69))</f>
        <v>0</v>
      </c>
      <c r="AB69" s="883">
        <f t="shared" si="134"/>
        <v>12</v>
      </c>
      <c r="AD69" s="150">
        <f t="shared" ref="AD69:AD96" si="136">(Ene_Weight/Ene_Credits)*AB69</f>
        <v>6.2222222222222234E-2</v>
      </c>
      <c r="AE69" s="799">
        <f>SUM(AE70:AE74)</f>
        <v>0</v>
      </c>
      <c r="AF69" s="799">
        <f t="shared" ref="AF69:AG69" si="137">SUM(AF70:AF74)</f>
        <v>0</v>
      </c>
      <c r="AG69" s="799">
        <f t="shared" si="137"/>
        <v>0</v>
      </c>
      <c r="AI69" s="826">
        <f t="shared" ref="AI69:AK69" si="138">SUM(AI70:AI74)</f>
        <v>0</v>
      </c>
      <c r="AJ69" s="826">
        <f t="shared" si="138"/>
        <v>0</v>
      </c>
      <c r="AK69" s="826">
        <f t="shared" si="138"/>
        <v>0</v>
      </c>
      <c r="AM69" s="152"/>
      <c r="AN69" s="250"/>
      <c r="AO69" s="250"/>
      <c r="AP69" s="259"/>
      <c r="AQ69" s="260"/>
      <c r="AS69" s="258"/>
      <c r="AT69" s="259"/>
      <c r="AU69" s="259"/>
      <c r="AV69" s="259"/>
      <c r="AW69" s="260"/>
      <c r="AY69" s="153"/>
      <c r="AZ69" s="154"/>
      <c r="BA69" s="154"/>
      <c r="BB69" s="154"/>
      <c r="BC69" s="197"/>
      <c r="BD69" s="153">
        <f t="shared" si="60"/>
        <v>9</v>
      </c>
      <c r="BE69" s="45" t="str">
        <f t="shared" ref="BE69:BE96" si="139">VLOOKUP(BD69,$BO$284:$BT$290,6,FALSE)</f>
        <v>N/A</v>
      </c>
      <c r="BF69" s="157"/>
      <c r="BG69" s="153">
        <f t="shared" ref="BG69:BG96" si="140">IF(BC69=0,9,IF(AJ69&gt;=BC69,5,IF(AJ69&gt;=BB69,4,IF(AJ69&gt;=BA69,3,IF(AJ69&gt;=AZ69,2,IF(AJ69&lt;AY69,0,1))))))</f>
        <v>9</v>
      </c>
      <c r="BH69" s="45" t="str">
        <f t="shared" ref="BH69:BH96" si="141">VLOOKUP(BG69,$BO$284:$BT$290,6,FALSE)</f>
        <v>N/A</v>
      </c>
      <c r="BI69" s="157"/>
      <c r="BJ69" s="153">
        <f t="shared" si="28"/>
        <v>9</v>
      </c>
      <c r="BK69" s="45" t="str">
        <f t="shared" ref="BK69:BK96" si="142">VLOOKUP(BJ69,$BO$284:$BT$290,6,FALSE)</f>
        <v>N/A</v>
      </c>
      <c r="BL69" s="157"/>
      <c r="BO69" s="43"/>
      <c r="BP69" s="43"/>
      <c r="BQ69" s="43" t="str">
        <f t="shared" si="15"/>
        <v/>
      </c>
      <c r="BR69" s="43">
        <f t="shared" si="55"/>
        <v>9</v>
      </c>
      <c r="BS69" s="43">
        <f t="shared" si="56"/>
        <v>9</v>
      </c>
      <c r="BT69" s="43">
        <f t="shared" si="57"/>
        <v>9</v>
      </c>
      <c r="BW69" s="45" t="str">
        <f>D69</f>
        <v>Ene 01</v>
      </c>
      <c r="BX69" s="45" t="str">
        <f>IFERROR(VLOOKUP($E69,'Pre-Assessment Estimator'!$F$11:$AC$226,'Pre-Assessment Estimator'!AC$2,FALSE),"")</f>
        <v>No</v>
      </c>
      <c r="BY69" s="45">
        <f>IFERROR(VLOOKUP($E69,'Pre-Assessment Estimator'!$F$11:$AJ$226,'Pre-Assessment Estimator'!AJ$2,FALSE),"")</f>
        <v>0</v>
      </c>
      <c r="BZ69" s="45">
        <f t="shared" si="126"/>
        <v>1</v>
      </c>
      <c r="CA69" s="45">
        <f t="shared" si="126"/>
        <v>0</v>
      </c>
      <c r="CB69" s="45"/>
      <c r="CC69" t="str">
        <f>IFERROR(VLOOKUP($BX69,$E$293:$H$326,I$291,FALSE),"")</f>
        <v/>
      </c>
    </row>
    <row r="70" spans="1:87" x14ac:dyDescent="0.25">
      <c r="A70">
        <v>62</v>
      </c>
      <c r="B70" t="str">
        <f t="shared" ref="B70:B74" si="143">$D$69&amp;D70</f>
        <v>Ene 01a</v>
      </c>
      <c r="C70" t="str">
        <f t="shared" si="19"/>
        <v>Ene 01</v>
      </c>
      <c r="D70" s="144" t="s">
        <v>692</v>
      </c>
      <c r="E70" s="795" t="s">
        <v>619</v>
      </c>
      <c r="F70" s="668">
        <v>2</v>
      </c>
      <c r="G70" s="668">
        <v>2</v>
      </c>
      <c r="H70" s="668">
        <v>2</v>
      </c>
      <c r="I70" s="668">
        <v>2</v>
      </c>
      <c r="J70" s="668">
        <v>2</v>
      </c>
      <c r="K70" s="668">
        <v>2</v>
      </c>
      <c r="L70" s="668">
        <v>2</v>
      </c>
      <c r="M70" s="668">
        <v>2</v>
      </c>
      <c r="N70" s="668">
        <v>2</v>
      </c>
      <c r="O70" s="668">
        <v>2</v>
      </c>
      <c r="P70" s="668">
        <v>2</v>
      </c>
      <c r="Q70" s="668">
        <v>2</v>
      </c>
      <c r="R70" s="668">
        <v>2</v>
      </c>
      <c r="T70" s="148">
        <f t="shared" si="133"/>
        <v>2</v>
      </c>
      <c r="U70" s="146"/>
      <c r="V70" s="43"/>
      <c r="W70" s="43"/>
      <c r="X70" s="43"/>
      <c r="Y70" s="147"/>
      <c r="Z70" s="147">
        <f>VLOOKUP(B70,'Manuell filtrering og justering'!$A$7:$H$107,'Manuell filtrering og justering'!$H$1,FALSE)</f>
        <v>0</v>
      </c>
      <c r="AA70" s="148">
        <f t="shared" si="135"/>
        <v>0</v>
      </c>
      <c r="AB70" s="149">
        <f>IF($AC$5='Manuell filtrering og justering'!$J$2,Z70,(T70-AA70))</f>
        <v>2</v>
      </c>
      <c r="AD70" s="150">
        <f t="shared" si="136"/>
        <v>1.0370370370370372E-2</v>
      </c>
      <c r="AE70" s="150">
        <f t="shared" ref="AE70:AE96" si="144">IF(AB70=0,0,(AD70/AB70)*AI70)</f>
        <v>0</v>
      </c>
      <c r="AF70" s="150">
        <f t="shared" ref="AF70:AF96" si="145">IF(AB70=0,0,(AD70/AB70)*AJ70)</f>
        <v>0</v>
      </c>
      <c r="AG70" s="150">
        <f t="shared" ref="AG70:AG96" si="146">IF(AB70=0,0,(AD70/AB70)*AK70)</f>
        <v>0</v>
      </c>
      <c r="AI70" s="884">
        <f>IF(OR($AB$52=0,AND($AB$52&gt;0,AI52=$AB$52)),IF(VLOOKUP(E70,'Pre-Assessment Estimator'!$F$11:$AA$226,'Pre-Assessment Estimator'!$H$2,FALSE)&gt;AB70,AB70,VLOOKUP(E70,'Pre-Assessment Estimator'!$F$11:$AA$226,'Pre-Assessment Estimator'!$H$2,FALSE)),0)</f>
        <v>0</v>
      </c>
      <c r="AJ70" s="884">
        <f>IF(OR($AB$52=0,AND($AB$52&gt;0,AJ52=$AB$52)),IF(VLOOKUP(E70,'Pre-Assessment Estimator'!$F$11:$AA$226,'Pre-Assessment Estimator'!$O$2,FALSE)&gt;AB70,AB70,VLOOKUP(E70,'Pre-Assessment Estimator'!$F$11:$AA$226,'Pre-Assessment Estimator'!$O$2,FALSE)),0)</f>
        <v>0</v>
      </c>
      <c r="AK70" s="884">
        <f>IF(OR($AB$52=0,AND($AB$52&gt;0,AK52=$AB$52)),IF(VLOOKUP(E70,'Pre-Assessment Estimator'!$F$11:$AA$226,'Pre-Assessment Estimator'!$V$2,FALSE)&gt;AB70,AB70,VLOOKUP(E70,'Pre-Assessment Estimator'!$F$11:$AA$226,'Pre-Assessment Estimator'!$V$2,FALSE)),0)</f>
        <v>0</v>
      </c>
      <c r="AM70" s="719"/>
      <c r="AN70" s="720"/>
      <c r="AO70" s="720"/>
      <c r="AP70" s="729"/>
      <c r="AQ70" s="730"/>
      <c r="AS70" s="728"/>
      <c r="AT70" s="729"/>
      <c r="AU70" s="729"/>
      <c r="AV70" s="729"/>
      <c r="AW70" s="730"/>
      <c r="AY70" s="721"/>
      <c r="AZ70" s="722"/>
      <c r="BA70" s="722"/>
      <c r="BB70" s="722"/>
      <c r="BC70" s="740"/>
      <c r="BD70" s="160">
        <f t="shared" ref="BD70:BD74" si="147">IF(BC70=0,9,IF((AI70-CG70)&gt;=BC70,5,IF((AI70-CG70)&gt;=BB70,4,IF((AI70-CG70)&gt;=BA70,3,IF((AI70-CG70)&gt;=AZ70,2,IF((AI70-CG70)&lt;AY70,0,1))))))</f>
        <v>9</v>
      </c>
      <c r="BE70" s="45" t="str">
        <f t="shared" si="139"/>
        <v>N/A</v>
      </c>
      <c r="BF70" s="163"/>
      <c r="BG70" s="160">
        <f t="shared" ref="BG70:BG74" si="148">IF(BC70=0,9,IF((AJ70-CG70)&gt;=BC70,5,IF((AJ70-CG70)&gt;=BB70,4,IF((AJ70-CG70)&gt;=BA70,3,IF((AJ70-CG70)&gt;=AZ70,2,IF((AJ70-CG70)&lt;AY70,0,1))))))</f>
        <v>9</v>
      </c>
      <c r="BH70" s="45" t="str">
        <f t="shared" si="141"/>
        <v>N/A</v>
      </c>
      <c r="BI70" s="163"/>
      <c r="BJ70" s="160">
        <f t="shared" ref="BJ70:BJ74" si="149">IF(BC70=0,9,IF((AK70-CG70)&gt;=BC70,5,IF((AK70-CG70)&gt;=BB70,4,IF((AK70-CG70)&gt;=BA70,3,IF((AK70-CG70)&gt;=AZ70,2,IF((AK70-CG70)&lt;AY70,0,1))))))</f>
        <v>9</v>
      </c>
      <c r="BK70" s="45" t="str">
        <f t="shared" si="142"/>
        <v>N/A</v>
      </c>
      <c r="BL70" s="723"/>
      <c r="BO70" s="43"/>
      <c r="BP70" s="43"/>
      <c r="BQ70" s="43" t="str">
        <f t="shared" si="15"/>
        <v/>
      </c>
      <c r="BR70" s="43">
        <f t="shared" si="55"/>
        <v>9</v>
      </c>
      <c r="BS70" s="43">
        <f t="shared" si="56"/>
        <v>9</v>
      </c>
      <c r="BT70" s="43">
        <f t="shared" si="57"/>
        <v>9</v>
      </c>
      <c r="BW70" s="45"/>
      <c r="BX70" s="45"/>
      <c r="BY70" s="45"/>
      <c r="BZ70" s="45"/>
      <c r="CA70" s="45"/>
      <c r="CB70" s="45"/>
    </row>
    <row r="71" spans="1:87" x14ac:dyDescent="0.25">
      <c r="A71">
        <v>63</v>
      </c>
      <c r="B71" t="str">
        <f t="shared" si="143"/>
        <v>Ene 01b</v>
      </c>
      <c r="C71" t="str">
        <f t="shared" si="19"/>
        <v>Ene 01</v>
      </c>
      <c r="D71" s="144" t="s">
        <v>695</v>
      </c>
      <c r="E71" s="916" t="s">
        <v>620</v>
      </c>
      <c r="F71" s="668">
        <v>1</v>
      </c>
      <c r="G71" s="668">
        <v>1</v>
      </c>
      <c r="H71" s="668">
        <v>1</v>
      </c>
      <c r="I71" s="668">
        <v>1</v>
      </c>
      <c r="J71" s="668">
        <v>1</v>
      </c>
      <c r="K71" s="668">
        <v>1</v>
      </c>
      <c r="L71" s="668">
        <v>1</v>
      </c>
      <c r="M71" s="668">
        <v>1</v>
      </c>
      <c r="N71" s="668">
        <v>1</v>
      </c>
      <c r="O71" s="668">
        <v>1</v>
      </c>
      <c r="P71" s="668">
        <v>1</v>
      </c>
      <c r="Q71" s="668">
        <v>1</v>
      </c>
      <c r="R71" s="668">
        <v>1</v>
      </c>
      <c r="T71" s="148">
        <f t="shared" si="133"/>
        <v>1</v>
      </c>
      <c r="U71" s="146"/>
      <c r="V71" s="43"/>
      <c r="W71" s="43"/>
      <c r="X71" s="43"/>
      <c r="Y71" s="147"/>
      <c r="Z71" s="147">
        <f>VLOOKUP(B71,'Manuell filtrering og justering'!$A$7:$H$107,'Manuell filtrering og justering'!$H$1,FALSE)</f>
        <v>1</v>
      </c>
      <c r="AA71" s="148">
        <f t="shared" si="135"/>
        <v>0</v>
      </c>
      <c r="AB71" s="149">
        <f>IF($AC$5='Manuell filtrering og justering'!$J$2,Z71,(T71-AA71))</f>
        <v>1</v>
      </c>
      <c r="AD71" s="150">
        <f t="shared" si="136"/>
        <v>5.1851851851851859E-3</v>
      </c>
      <c r="AE71" s="150">
        <f t="shared" si="144"/>
        <v>0</v>
      </c>
      <c r="AF71" s="150">
        <f t="shared" si="145"/>
        <v>0</v>
      </c>
      <c r="AG71" s="150">
        <f t="shared" si="146"/>
        <v>0</v>
      </c>
      <c r="AI71" s="151">
        <f>IF(VLOOKUP(E71,'Pre-Assessment Estimator'!$F$11:$AA$226,'Pre-Assessment Estimator'!$H$2,FALSE)&gt;AB71,AB71,VLOOKUP(E71,'Pre-Assessment Estimator'!$F$11:$AA$226,'Pre-Assessment Estimator'!$H$2,FALSE))</f>
        <v>0</v>
      </c>
      <c r="AJ71" s="151">
        <f>IF(VLOOKUP(E71,'Pre-Assessment Estimator'!$F$11:$AA$226,'Pre-Assessment Estimator'!$O$2,FALSE)&gt;AB71,AB71,VLOOKUP(E71,'Pre-Assessment Estimator'!$F$11:$AA$226,'Pre-Assessment Estimator'!$O$2,FALSE))</f>
        <v>0</v>
      </c>
      <c r="AK71" s="151">
        <f>IF(VLOOKUP(E71,'Pre-Assessment Estimator'!$F$11:$AA$226,'Pre-Assessment Estimator'!$V$2,FALSE)&gt;AB71,AB71,VLOOKUP(E71,'Pre-Assessment Estimator'!$F$11:$AA$226,'Pre-Assessment Estimator'!$V$2,FALSE))</f>
        <v>0</v>
      </c>
      <c r="AM71" s="719"/>
      <c r="AN71" s="720"/>
      <c r="AO71" s="720"/>
      <c r="AP71" s="729"/>
      <c r="AQ71" s="730"/>
      <c r="AS71" s="728"/>
      <c r="AT71" s="729"/>
      <c r="AU71" s="729"/>
      <c r="AV71" s="729"/>
      <c r="AW71" s="730"/>
      <c r="AY71" s="721"/>
      <c r="AZ71" s="722"/>
      <c r="BA71" s="722"/>
      <c r="BB71" s="722"/>
      <c r="BC71" s="740"/>
      <c r="BD71" s="160">
        <f t="shared" si="147"/>
        <v>9</v>
      </c>
      <c r="BE71" s="45" t="str">
        <f t="shared" si="139"/>
        <v>N/A</v>
      </c>
      <c r="BF71" s="163"/>
      <c r="BG71" s="160">
        <f t="shared" si="148"/>
        <v>9</v>
      </c>
      <c r="BH71" s="45" t="str">
        <f t="shared" si="141"/>
        <v>N/A</v>
      </c>
      <c r="BI71" s="163"/>
      <c r="BJ71" s="160">
        <f t="shared" si="149"/>
        <v>9</v>
      </c>
      <c r="BK71" s="45" t="str">
        <f t="shared" si="142"/>
        <v>N/A</v>
      </c>
      <c r="BL71" s="723"/>
      <c r="BO71" s="43"/>
      <c r="BP71" s="43"/>
      <c r="BQ71" s="43" t="str">
        <f t="shared" si="15"/>
        <v/>
      </c>
      <c r="BR71" s="43">
        <f t="shared" si="55"/>
        <v>9</v>
      </c>
      <c r="BS71" s="43">
        <f t="shared" si="56"/>
        <v>9</v>
      </c>
      <c r="BT71" s="43">
        <f t="shared" si="57"/>
        <v>9</v>
      </c>
      <c r="BW71" s="45"/>
      <c r="BX71" s="45"/>
      <c r="BY71" s="45"/>
      <c r="BZ71" s="45"/>
      <c r="CA71" s="45"/>
      <c r="CB71" s="45"/>
    </row>
    <row r="72" spans="1:87" x14ac:dyDescent="0.25">
      <c r="A72">
        <v>64</v>
      </c>
      <c r="B72" t="str">
        <f t="shared" si="143"/>
        <v>Ene 01c</v>
      </c>
      <c r="C72" t="str">
        <f t="shared" si="19"/>
        <v>Ene 01</v>
      </c>
      <c r="D72" s="144" t="s">
        <v>696</v>
      </c>
      <c r="E72" s="916" t="s">
        <v>621</v>
      </c>
      <c r="F72" s="668">
        <v>4</v>
      </c>
      <c r="G72" s="668">
        <v>4</v>
      </c>
      <c r="H72" s="668">
        <v>4</v>
      </c>
      <c r="I72" s="668">
        <v>4</v>
      </c>
      <c r="J72" s="668">
        <v>4</v>
      </c>
      <c r="K72" s="668">
        <v>4</v>
      </c>
      <c r="L72" s="668">
        <v>4</v>
      </c>
      <c r="M72" s="668">
        <v>4</v>
      </c>
      <c r="N72" s="668">
        <v>4</v>
      </c>
      <c r="O72" s="668">
        <v>4</v>
      </c>
      <c r="P72" s="668">
        <v>4</v>
      </c>
      <c r="Q72" s="668">
        <v>4</v>
      </c>
      <c r="R72" s="668">
        <v>4</v>
      </c>
      <c r="T72" s="148">
        <f t="shared" si="133"/>
        <v>4</v>
      </c>
      <c r="U72" s="146"/>
      <c r="V72" s="43"/>
      <c r="W72" s="43"/>
      <c r="X72" s="43"/>
      <c r="Y72" s="147"/>
      <c r="Z72" s="147">
        <f>VLOOKUP(B72,'Manuell filtrering og justering'!$A$7:$H$107,'Manuell filtrering og justering'!$H$1,FALSE)</f>
        <v>22</v>
      </c>
      <c r="AA72" s="148">
        <f t="shared" si="135"/>
        <v>0</v>
      </c>
      <c r="AB72" s="149">
        <f>IF($AC$5='Manuell filtrering og justering'!$J$2,Z72,(T72-AA72))</f>
        <v>4</v>
      </c>
      <c r="AD72" s="150">
        <f t="shared" si="136"/>
        <v>2.0740740740740744E-2</v>
      </c>
      <c r="AE72" s="150">
        <f t="shared" si="144"/>
        <v>0</v>
      </c>
      <c r="AF72" s="150">
        <f t="shared" si="145"/>
        <v>0</v>
      </c>
      <c r="AG72" s="150">
        <f t="shared" si="146"/>
        <v>0</v>
      </c>
      <c r="AI72" s="151">
        <f>IF(VLOOKUP(E72,'Pre-Assessment Estimator'!$F$11:$AA$226,'Pre-Assessment Estimator'!$H$2,FALSE)&gt;AB72,AB72,VLOOKUP(E72,'Pre-Assessment Estimator'!$F$11:$AA$226,'Pre-Assessment Estimator'!$H$2,FALSE))</f>
        <v>0</v>
      </c>
      <c r="AJ72" s="151">
        <f>IF(VLOOKUP(E72,'Pre-Assessment Estimator'!$F$11:$AA$226,'Pre-Assessment Estimator'!$O$2,FALSE)&gt;AB72,AB72,VLOOKUP(E72,'Pre-Assessment Estimator'!$F$11:$AA$226,'Pre-Assessment Estimator'!$O$2,FALSE))</f>
        <v>0</v>
      </c>
      <c r="AK72" s="151">
        <f>IF(VLOOKUP(E72,'Pre-Assessment Estimator'!$F$11:$AA$226,'Pre-Assessment Estimator'!$V$2,FALSE)&gt;AB72,AB72,VLOOKUP(E72,'Pre-Assessment Estimator'!$F$11:$AA$226,'Pre-Assessment Estimator'!$V$2,FALSE))</f>
        <v>0</v>
      </c>
      <c r="AM72" s="719"/>
      <c r="AN72" s="720"/>
      <c r="AO72" s="720"/>
      <c r="AP72" s="729">
        <v>1</v>
      </c>
      <c r="AQ72" s="730">
        <v>1</v>
      </c>
      <c r="AS72" s="728"/>
      <c r="AT72" s="729"/>
      <c r="AU72" s="729"/>
      <c r="AV72" s="729">
        <v>1</v>
      </c>
      <c r="AW72" s="730">
        <v>1</v>
      </c>
      <c r="AY72" s="721"/>
      <c r="AZ72" s="722"/>
      <c r="BA72" s="722"/>
      <c r="BB72" s="161">
        <f t="shared" ref="BB72" si="150">IF($E$6=$H$9,AV72,AP72)</f>
        <v>1</v>
      </c>
      <c r="BC72" s="165">
        <f>IF($E$6=$H$9,AW72,AQ72)</f>
        <v>1</v>
      </c>
      <c r="BD72" s="160">
        <f t="shared" si="147"/>
        <v>3</v>
      </c>
      <c r="BE72" s="45" t="str">
        <f t="shared" si="139"/>
        <v>Very Good</v>
      </c>
      <c r="BF72" s="163"/>
      <c r="BG72" s="160">
        <f t="shared" si="148"/>
        <v>3</v>
      </c>
      <c r="BH72" s="45" t="str">
        <f t="shared" si="141"/>
        <v>Very Good</v>
      </c>
      <c r="BI72" s="163"/>
      <c r="BJ72" s="160">
        <f t="shared" si="149"/>
        <v>3</v>
      </c>
      <c r="BK72" s="45" t="str">
        <f t="shared" si="142"/>
        <v>Very Good</v>
      </c>
      <c r="BL72" s="723"/>
      <c r="BO72" s="43"/>
      <c r="BP72" s="43"/>
      <c r="BQ72" s="43" t="str">
        <f t="shared" si="15"/>
        <v/>
      </c>
      <c r="BR72" s="43">
        <f t="shared" si="55"/>
        <v>9</v>
      </c>
      <c r="BS72" s="43">
        <f t="shared" si="56"/>
        <v>9</v>
      </c>
      <c r="BT72" s="43">
        <f t="shared" si="57"/>
        <v>9</v>
      </c>
      <c r="BW72" s="45"/>
      <c r="BX72" s="45"/>
      <c r="BY72" s="45"/>
      <c r="BZ72" s="45"/>
      <c r="CA72" s="45"/>
      <c r="CB72" s="45"/>
    </row>
    <row r="73" spans="1:87" x14ac:dyDescent="0.25">
      <c r="A73">
        <v>65</v>
      </c>
      <c r="B73" t="str">
        <f t="shared" si="143"/>
        <v>Ene 01d</v>
      </c>
      <c r="C73" t="str">
        <f t="shared" si="19"/>
        <v>Ene 01</v>
      </c>
      <c r="D73" s="144" t="s">
        <v>694</v>
      </c>
      <c r="E73" s="1035" t="s">
        <v>1136</v>
      </c>
      <c r="F73" s="668">
        <v>1</v>
      </c>
      <c r="G73" s="668">
        <v>1</v>
      </c>
      <c r="H73" s="668">
        <v>1</v>
      </c>
      <c r="I73" s="668">
        <v>1</v>
      </c>
      <c r="J73" s="668">
        <v>1</v>
      </c>
      <c r="K73" s="668">
        <v>1</v>
      </c>
      <c r="L73" s="668">
        <v>1</v>
      </c>
      <c r="M73" s="668">
        <v>1</v>
      </c>
      <c r="N73" s="668">
        <v>1</v>
      </c>
      <c r="O73" s="668">
        <v>1</v>
      </c>
      <c r="P73" s="668">
        <v>1</v>
      </c>
      <c r="Q73" s="668">
        <v>1</v>
      </c>
      <c r="R73" s="668">
        <v>1</v>
      </c>
      <c r="T73" s="148">
        <f t="shared" si="133"/>
        <v>1</v>
      </c>
      <c r="U73" s="146"/>
      <c r="V73" s="43"/>
      <c r="W73" s="43"/>
      <c r="X73" s="43"/>
      <c r="Y73" s="147"/>
      <c r="Z73" s="147">
        <f>VLOOKUP(B73,'Manuell filtrering og justering'!$A$7:$H$107,'Manuell filtrering og justering'!$H$1,FALSE)</f>
        <v>1</v>
      </c>
      <c r="AA73" s="148">
        <f t="shared" si="135"/>
        <v>0</v>
      </c>
      <c r="AB73" s="149">
        <f>IF($AC$5='Manuell filtrering og justering'!$J$2,Z73,(T73-AA73))</f>
        <v>1</v>
      </c>
      <c r="AD73" s="150">
        <f t="shared" si="136"/>
        <v>5.1851851851851859E-3</v>
      </c>
      <c r="AE73" s="150">
        <f t="shared" si="144"/>
        <v>0</v>
      </c>
      <c r="AF73" s="150">
        <f t="shared" si="145"/>
        <v>0</v>
      </c>
      <c r="AG73" s="150">
        <f t="shared" si="146"/>
        <v>0</v>
      </c>
      <c r="AI73" s="151">
        <f>IF(VLOOKUP(E73,'Pre-Assessment Estimator'!$F$11:$AA$226,'Pre-Assessment Estimator'!$H$2,FALSE)&gt;AB73,AB73,VLOOKUP(E73,'Pre-Assessment Estimator'!$F$11:$AA$226,'Pre-Assessment Estimator'!$H$2,FALSE))</f>
        <v>0</v>
      </c>
      <c r="AJ73" s="151">
        <f>IF(VLOOKUP(E73,'Pre-Assessment Estimator'!$F$11:$AA$226,'Pre-Assessment Estimator'!$O$2,FALSE)&gt;AB73,AB73,VLOOKUP(E73,'Pre-Assessment Estimator'!$F$11:$AA$226,'Pre-Assessment Estimator'!$O$2,FALSE))</f>
        <v>0</v>
      </c>
      <c r="AK73" s="151">
        <f>IF(VLOOKUP(E73,'Pre-Assessment Estimator'!$F$11:$AA$226,'Pre-Assessment Estimator'!$V$2,FALSE)&gt;AB73,AB73,VLOOKUP(E73,'Pre-Assessment Estimator'!$F$11:$AA$226,'Pre-Assessment Estimator'!$V$2,FALSE))</f>
        <v>0</v>
      </c>
      <c r="AM73" s="719"/>
      <c r="AN73" s="720"/>
      <c r="AO73" s="720"/>
      <c r="AP73" s="729">
        <v>1</v>
      </c>
      <c r="AQ73" s="730">
        <v>1</v>
      </c>
      <c r="AS73" s="728"/>
      <c r="AT73" s="729"/>
      <c r="AU73" s="729"/>
      <c r="AV73" s="729">
        <v>1</v>
      </c>
      <c r="AW73" s="730">
        <v>1</v>
      </c>
      <c r="AY73" s="721"/>
      <c r="AZ73" s="722"/>
      <c r="BA73" s="722"/>
      <c r="BB73" s="161">
        <f t="shared" ref="BB73" si="151">IF($E$6=$H$9,AV73,AP73)</f>
        <v>1</v>
      </c>
      <c r="BC73" s="165">
        <f>IF($E$6=$H$9,AW73,AQ73)</f>
        <v>1</v>
      </c>
      <c r="BD73" s="160">
        <f t="shared" si="147"/>
        <v>3</v>
      </c>
      <c r="BE73" s="45" t="str">
        <f t="shared" si="139"/>
        <v>Very Good</v>
      </c>
      <c r="BF73" s="163"/>
      <c r="BG73" s="160">
        <f t="shared" si="148"/>
        <v>3</v>
      </c>
      <c r="BH73" s="45" t="str">
        <f t="shared" si="141"/>
        <v>Very Good</v>
      </c>
      <c r="BI73" s="163"/>
      <c r="BJ73" s="160">
        <f t="shared" si="149"/>
        <v>3</v>
      </c>
      <c r="BK73" s="45" t="str">
        <f t="shared" si="142"/>
        <v>Very Good</v>
      </c>
      <c r="BL73" s="723"/>
      <c r="BO73" s="43">
        <v>1</v>
      </c>
      <c r="BP73" s="43"/>
      <c r="BQ73" s="43">
        <f t="shared" si="15"/>
        <v>1</v>
      </c>
      <c r="BR73" s="43">
        <f t="shared" si="55"/>
        <v>0</v>
      </c>
      <c r="BS73" s="43">
        <f t="shared" si="56"/>
        <v>0</v>
      </c>
      <c r="BT73" s="43">
        <f t="shared" si="57"/>
        <v>0</v>
      </c>
      <c r="BW73" s="45"/>
      <c r="BX73" s="45"/>
      <c r="BY73" s="45"/>
      <c r="BZ73" s="45"/>
      <c r="CA73" s="45"/>
      <c r="CB73" s="45"/>
    </row>
    <row r="74" spans="1:87" x14ac:dyDescent="0.25">
      <c r="A74">
        <v>66</v>
      </c>
      <c r="B74" t="str">
        <f t="shared" si="143"/>
        <v>Ene 01e</v>
      </c>
      <c r="C74" t="str">
        <f t="shared" si="19"/>
        <v>Ene 01</v>
      </c>
      <c r="D74" s="144" t="s">
        <v>693</v>
      </c>
      <c r="E74" s="916" t="s">
        <v>623</v>
      </c>
      <c r="F74" s="668">
        <v>4</v>
      </c>
      <c r="G74" s="668">
        <v>4</v>
      </c>
      <c r="H74" s="668">
        <v>4</v>
      </c>
      <c r="I74" s="668">
        <v>4</v>
      </c>
      <c r="J74" s="668">
        <v>4</v>
      </c>
      <c r="K74" s="668">
        <v>4</v>
      </c>
      <c r="L74" s="668">
        <v>4</v>
      </c>
      <c r="M74" s="668">
        <v>4</v>
      </c>
      <c r="N74" s="668">
        <v>4</v>
      </c>
      <c r="O74" s="668">
        <v>4</v>
      </c>
      <c r="P74" s="668">
        <v>4</v>
      </c>
      <c r="Q74" s="668">
        <v>4</v>
      </c>
      <c r="R74" s="668">
        <v>4</v>
      </c>
      <c r="T74" s="148">
        <f t="shared" si="133"/>
        <v>4</v>
      </c>
      <c r="U74" s="146"/>
      <c r="V74" s="43"/>
      <c r="W74" s="43"/>
      <c r="X74" s="43"/>
      <c r="Y74" s="148">
        <f>IF($Y$4=$Y$6,T74,0)</f>
        <v>0</v>
      </c>
      <c r="Z74" s="147">
        <f>VLOOKUP(B74,'Manuell filtrering og justering'!$A$7:$H$107,'Manuell filtrering og justering'!$H$1,FALSE)</f>
        <v>0</v>
      </c>
      <c r="AA74" s="148">
        <f t="shared" si="135"/>
        <v>0</v>
      </c>
      <c r="AB74" s="149">
        <f>IF($AC$5='Manuell filtrering og justering'!$J$2,Z74,(T74-AA74))</f>
        <v>4</v>
      </c>
      <c r="AD74" s="150">
        <f t="shared" si="136"/>
        <v>2.0740740740740744E-2</v>
      </c>
      <c r="AE74" s="150">
        <f t="shared" si="144"/>
        <v>0</v>
      </c>
      <c r="AF74" s="150">
        <f t="shared" si="145"/>
        <v>0</v>
      </c>
      <c r="AG74" s="150">
        <f t="shared" si="146"/>
        <v>0</v>
      </c>
      <c r="AI74" s="151">
        <f>IF(VLOOKUP(E74,'Pre-Assessment Estimator'!$F$11:$AA$226,'Pre-Assessment Estimator'!$H$2,FALSE)&gt;AB74,AB74,VLOOKUP(E74,'Pre-Assessment Estimator'!$F$11:$AA$226,'Pre-Assessment Estimator'!$H$2,FALSE))</f>
        <v>0</v>
      </c>
      <c r="AJ74" s="151">
        <f>IF(VLOOKUP(E74,'Pre-Assessment Estimator'!$F$11:$AA$226,'Pre-Assessment Estimator'!$O$2,FALSE)&gt;AB74,AB74,VLOOKUP(E74,'Pre-Assessment Estimator'!$F$11:$AA$226,'Pre-Assessment Estimator'!$O$2,FALSE))</f>
        <v>0</v>
      </c>
      <c r="AK74" s="151">
        <f>IF(VLOOKUP(E74,'Pre-Assessment Estimator'!$F$11:$AA$226,'Pre-Assessment Estimator'!$V$2,FALSE)&gt;AB74,AB74,VLOOKUP(E74,'Pre-Assessment Estimator'!$F$11:$AA$226,'Pre-Assessment Estimator'!$V$2,FALSE))</f>
        <v>0</v>
      </c>
      <c r="AM74" s="719"/>
      <c r="AN74" s="720"/>
      <c r="AO74" s="720"/>
      <c r="AP74" s="729"/>
      <c r="AQ74" s="730"/>
      <c r="AS74" s="728"/>
      <c r="AT74" s="729"/>
      <c r="AU74" s="729"/>
      <c r="AV74" s="729"/>
      <c r="AW74" s="730"/>
      <c r="AY74" s="721"/>
      <c r="AZ74" s="722"/>
      <c r="BA74" s="722"/>
      <c r="BB74" s="722"/>
      <c r="BC74" s="740"/>
      <c r="BD74" s="160">
        <f t="shared" si="147"/>
        <v>9</v>
      </c>
      <c r="BE74" s="45" t="str">
        <f t="shared" si="139"/>
        <v>N/A</v>
      </c>
      <c r="BF74" s="163"/>
      <c r="BG74" s="160">
        <f t="shared" si="148"/>
        <v>9</v>
      </c>
      <c r="BH74" s="45" t="str">
        <f t="shared" si="141"/>
        <v>N/A</v>
      </c>
      <c r="BI74" s="163"/>
      <c r="BJ74" s="160">
        <f t="shared" si="149"/>
        <v>9</v>
      </c>
      <c r="BK74" s="45" t="str">
        <f t="shared" si="142"/>
        <v>N/A</v>
      </c>
      <c r="BL74" s="723"/>
      <c r="BO74" s="43"/>
      <c r="BP74" s="43"/>
      <c r="BQ74" s="43" t="str">
        <f t="shared" si="15"/>
        <v/>
      </c>
      <c r="BR74" s="43">
        <f t="shared" si="55"/>
        <v>9</v>
      </c>
      <c r="BS74" s="43">
        <f t="shared" si="56"/>
        <v>9</v>
      </c>
      <c r="BT74" s="43">
        <f t="shared" si="57"/>
        <v>9</v>
      </c>
      <c r="BW74" s="45"/>
      <c r="BX74" s="45"/>
      <c r="BY74" s="45"/>
      <c r="BZ74" s="45"/>
      <c r="CA74" s="45"/>
      <c r="CB74" s="45"/>
    </row>
    <row r="75" spans="1:87" x14ac:dyDescent="0.25">
      <c r="A75">
        <v>67</v>
      </c>
      <c r="B75" s="121" t="str">
        <f>D75</f>
        <v>Ene 02</v>
      </c>
      <c r="C75" s="121" t="str">
        <f>B75</f>
        <v>Ene 02</v>
      </c>
      <c r="D75" s="727" t="s">
        <v>135</v>
      </c>
      <c r="E75" s="725" t="s">
        <v>133</v>
      </c>
      <c r="F75" s="811">
        <f t="shared" ref="F75:R75" si="152">SUM(F76:F78)</f>
        <v>2</v>
      </c>
      <c r="G75" s="811">
        <f t="shared" si="152"/>
        <v>2</v>
      </c>
      <c r="H75" s="811">
        <f t="shared" si="152"/>
        <v>2</v>
      </c>
      <c r="I75" s="811">
        <f t="shared" si="152"/>
        <v>2</v>
      </c>
      <c r="J75" s="811">
        <f t="shared" si="152"/>
        <v>2</v>
      </c>
      <c r="K75" s="811">
        <f t="shared" si="152"/>
        <v>2</v>
      </c>
      <c r="L75" s="811">
        <f t="shared" si="152"/>
        <v>2</v>
      </c>
      <c r="M75" s="811">
        <f t="shared" si="152"/>
        <v>2</v>
      </c>
      <c r="N75" s="811">
        <f t="shared" si="152"/>
        <v>2</v>
      </c>
      <c r="O75" s="811">
        <f t="shared" si="152"/>
        <v>2</v>
      </c>
      <c r="P75" s="811">
        <f t="shared" si="152"/>
        <v>2</v>
      </c>
      <c r="Q75" s="811">
        <f t="shared" ref="Q75" si="153">SUM(Q76:Q78)</f>
        <v>2</v>
      </c>
      <c r="R75" s="811">
        <f t="shared" si="152"/>
        <v>2</v>
      </c>
      <c r="T75" s="831">
        <f t="shared" si="133"/>
        <v>2</v>
      </c>
      <c r="U75" s="191">
        <f>U77</f>
        <v>0</v>
      </c>
      <c r="V75" s="61"/>
      <c r="W75" s="61"/>
      <c r="X75" s="61">
        <f>'Manuell filtrering og justering'!E30</f>
        <v>0</v>
      </c>
      <c r="Y75" s="61"/>
      <c r="Z75" s="826">
        <f t="shared" ref="Z75" si="154">SUM(Z76:Z78)</f>
        <v>2</v>
      </c>
      <c r="AA75" s="831">
        <f t="shared" si="135"/>
        <v>0</v>
      </c>
      <c r="AB75" s="883">
        <f>SUM(AB76:AB78)</f>
        <v>2</v>
      </c>
      <c r="AD75" s="150">
        <f t="shared" si="136"/>
        <v>1.0370370370370372E-2</v>
      </c>
      <c r="AE75" s="799">
        <f>SUM(AE76:AE78)</f>
        <v>0</v>
      </c>
      <c r="AF75" s="799">
        <f t="shared" ref="AF75:AG75" si="155">SUM(AF76:AF78)</f>
        <v>0</v>
      </c>
      <c r="AG75" s="799">
        <f t="shared" si="155"/>
        <v>0</v>
      </c>
      <c r="AI75" s="826">
        <f t="shared" ref="AI75:AK75" si="156">SUM(AI76:AI78)</f>
        <v>0</v>
      </c>
      <c r="AJ75" s="826">
        <f t="shared" si="156"/>
        <v>0</v>
      </c>
      <c r="AK75" s="826">
        <f t="shared" si="156"/>
        <v>0</v>
      </c>
      <c r="AL75" t="s">
        <v>425</v>
      </c>
      <c r="AM75" s="251"/>
      <c r="AN75" s="159"/>
      <c r="AO75" s="159"/>
      <c r="AP75" s="159"/>
      <c r="AQ75" s="164"/>
      <c r="AS75" s="251"/>
      <c r="AT75" s="159"/>
      <c r="AU75" s="159"/>
      <c r="AV75" s="159"/>
      <c r="AW75" s="164"/>
      <c r="AY75" s="160"/>
      <c r="AZ75" s="161"/>
      <c r="BA75" s="161"/>
      <c r="BB75" s="161"/>
      <c r="BC75" s="165"/>
      <c r="BD75" s="160">
        <f>IF(BC75=0,9,IF((AI75-CG75)&gt;=BC75,5,IF((AI75-CG75)&gt;=BB75,4,IF((AI75-CG75)&gt;=BA75,3,IF((AI75-CG75)&gt;=AZ75,2,IF((AI75-CG75)&lt;AY75,0,1))))))</f>
        <v>9</v>
      </c>
      <c r="BE75" s="45" t="str">
        <f t="shared" si="139"/>
        <v>N/A</v>
      </c>
      <c r="BF75" s="163"/>
      <c r="BG75" s="160">
        <f>IF(BC75=0,9,IF((AJ75-CG75)&gt;=BC75,5,IF((AJ75-CG75)&gt;=BB75,4,IF((AJ75-CG75)&gt;=BA75,3,IF((AJ75-CG75)&gt;=AZ75,2,IF((AJ75-CG75)&lt;AY75,0,1))))))</f>
        <v>9</v>
      </c>
      <c r="BH75" s="45" t="str">
        <f t="shared" si="141"/>
        <v>N/A</v>
      </c>
      <c r="BI75" s="163"/>
      <c r="BJ75" s="160">
        <f>IF(BC75=0,9,IF((AK75-CG75)&gt;=BC75,5,IF((AK75-CG75)&gt;=BB75,4,IF((AK75-CG75)&gt;=BA75,3,IF((AK75-CG75)&gt;=AZ75,2,IF((AK75-CG75)&lt;AY75,0,1))))))</f>
        <v>9</v>
      </c>
      <c r="BK75" s="45" t="str">
        <f t="shared" si="142"/>
        <v>N/A</v>
      </c>
      <c r="BL75" s="163"/>
      <c r="BO75" s="43"/>
      <c r="BP75" s="43"/>
      <c r="BQ75" s="43" t="str">
        <f t="shared" ref="BQ75:BQ138" si="157">IF(BO75&lt;&gt;"",BO75,IF(BP75&lt;&gt;"",BP75,""))</f>
        <v/>
      </c>
      <c r="BR75" s="43">
        <f t="shared" si="55"/>
        <v>9</v>
      </c>
      <c r="BS75" s="43">
        <f t="shared" si="56"/>
        <v>9</v>
      </c>
      <c r="BT75" s="43">
        <f t="shared" si="57"/>
        <v>9</v>
      </c>
      <c r="BW75" s="43" t="str">
        <f>D75</f>
        <v>Ene 02</v>
      </c>
      <c r="BX75" s="43" t="str">
        <f>IFERROR(VLOOKUP($E75,'Pre-Assessment Estimator'!$F$11:$AC$226,'Pre-Assessment Estimator'!AC$2,FALSE),"")</f>
        <v>O2: Sub-met. (AC 4-7: -1,0 c)</v>
      </c>
      <c r="BY75" s="61" t="str">
        <f>IFERROR(VLOOKUP($E75,'Pre-Assessment Estimator'!$F$11:$AJ$226,'Pre-Assessment Estimator'!AJ$2,FALSE),"")</f>
        <v>Ja</v>
      </c>
      <c r="BZ75" s="43">
        <f>IFERROR(VLOOKUP($BX75,$E$293:$H$326,F$291,FALSE),"")</f>
        <v>-1</v>
      </c>
      <c r="CA75" s="584" t="s">
        <v>428</v>
      </c>
      <c r="CB75" s="43">
        <f>H308</f>
        <v>1</v>
      </c>
      <c r="CC75" t="str">
        <f>IFERROR(VLOOKUP($BX75,$E$293:$H$326,I$291,FALSE),"")</f>
        <v/>
      </c>
      <c r="CD75" s="62" t="s">
        <v>403</v>
      </c>
      <c r="CE75" s="43">
        <f>VLOOKUP(CA75,$CA$4:$CB$5,2,FALSE)</f>
        <v>0</v>
      </c>
      <c r="CG75" s="62">
        <f>IF($BX$5=ais_nei,CE75,IF(CD75=$BY$5,IF(AND(CA75=$CA$4,BX75=$CC$4),0,BZ75),CE75))</f>
        <v>0</v>
      </c>
      <c r="CI75" t="s">
        <v>403</v>
      </c>
    </row>
    <row r="76" spans="1:87" x14ac:dyDescent="0.25">
      <c r="A76">
        <v>68</v>
      </c>
      <c r="B76" t="str">
        <f t="shared" ref="B76:B78" si="158">$D$75&amp;D76</f>
        <v>Ene 02a</v>
      </c>
      <c r="C76" t="str">
        <f t="shared" ref="C76:C139" si="159">C75</f>
        <v>Ene 02</v>
      </c>
      <c r="D76" s="144" t="s">
        <v>692</v>
      </c>
      <c r="E76" s="930" t="s">
        <v>624</v>
      </c>
      <c r="F76" s="668">
        <v>1</v>
      </c>
      <c r="G76" s="668">
        <v>1</v>
      </c>
      <c r="H76" s="864">
        <v>0</v>
      </c>
      <c r="I76" s="668">
        <v>1</v>
      </c>
      <c r="J76" s="668">
        <v>1</v>
      </c>
      <c r="K76" s="668">
        <v>1</v>
      </c>
      <c r="L76" s="668">
        <v>1</v>
      </c>
      <c r="M76" s="668">
        <v>1</v>
      </c>
      <c r="N76" s="668">
        <v>1</v>
      </c>
      <c r="O76" s="668">
        <v>1</v>
      </c>
      <c r="P76" s="668">
        <v>1</v>
      </c>
      <c r="Q76" s="668">
        <v>1</v>
      </c>
      <c r="R76" s="668">
        <v>1</v>
      </c>
      <c r="T76" s="148">
        <f t="shared" si="133"/>
        <v>1</v>
      </c>
      <c r="U76" s="146"/>
      <c r="V76" s="43"/>
      <c r="W76" s="43"/>
      <c r="X76" s="43"/>
      <c r="Y76" s="148">
        <f>IF($Y$4=$Y$6,T76,0)</f>
        <v>0</v>
      </c>
      <c r="Z76" s="147">
        <f>VLOOKUP(B76,'Manuell filtrering og justering'!$A$7:$H$107,'Manuell filtrering og justering'!$H$1,FALSE)</f>
        <v>1</v>
      </c>
      <c r="AA76" s="148">
        <f t="shared" si="135"/>
        <v>0</v>
      </c>
      <c r="AB76" s="149">
        <f>IF($AC$5='Manuell filtrering og justering'!$J$2,Z76,(T76-AA76))</f>
        <v>1</v>
      </c>
      <c r="AD76" s="150">
        <f t="shared" si="136"/>
        <v>5.1851851851851859E-3</v>
      </c>
      <c r="AE76" s="150">
        <f t="shared" si="144"/>
        <v>0</v>
      </c>
      <c r="AF76" s="150">
        <f t="shared" si="145"/>
        <v>0</v>
      </c>
      <c r="AG76" s="150">
        <f t="shared" si="146"/>
        <v>0</v>
      </c>
      <c r="AI76" s="151">
        <f>IF(VLOOKUP(E76,'Pre-Assessment Estimator'!$F$11:$AA$226,'Pre-Assessment Estimator'!$H$2,FALSE)&gt;AB76,AB76,VLOOKUP(E76,'Pre-Assessment Estimator'!$F$11:$AA$226,'Pre-Assessment Estimator'!$H$2,FALSE))</f>
        <v>0</v>
      </c>
      <c r="AJ76" s="151">
        <f>IF(VLOOKUP(E76,'Pre-Assessment Estimator'!$F$11:$AA$226,'Pre-Assessment Estimator'!$O$2,FALSE)&gt;AB76,AB76,VLOOKUP(E76,'Pre-Assessment Estimator'!$F$11:$AA$226,'Pre-Assessment Estimator'!$O$2,FALSE))</f>
        <v>0</v>
      </c>
      <c r="AK76" s="151">
        <f>IF(VLOOKUP(E76,'Pre-Assessment Estimator'!$F$11:$AA$226,'Pre-Assessment Estimator'!$V$2,FALSE)&gt;AB76,AB76,VLOOKUP(E76,'Pre-Assessment Estimator'!$F$11:$AA$226,'Pre-Assessment Estimator'!$V$2,FALSE))</f>
        <v>0</v>
      </c>
      <c r="AM76" s="251"/>
      <c r="AN76" s="159"/>
      <c r="AO76" s="159"/>
      <c r="AP76" s="159"/>
      <c r="AQ76" s="164"/>
      <c r="AS76" s="251"/>
      <c r="AT76" s="159"/>
      <c r="AU76" s="159"/>
      <c r="AV76" s="159"/>
      <c r="AW76" s="164"/>
      <c r="AY76" s="160"/>
      <c r="AZ76" s="161"/>
      <c r="BA76" s="161"/>
      <c r="BB76" s="161"/>
      <c r="BC76" s="165"/>
      <c r="BD76" s="160">
        <f t="shared" ref="BD76:BD95" si="160">IF(BC76=0,9,IF((AI76-CG76)&gt;=BC76,5,IF((AI76-CG76)&gt;=BB76,4,IF((AI76-CG76)&gt;=BA76,3,IF((AI76-CG76)&gt;=AZ76,2,IF((AI76-CG76)&lt;AY76,0,1))))))</f>
        <v>9</v>
      </c>
      <c r="BE76" s="45" t="str">
        <f t="shared" si="139"/>
        <v>N/A</v>
      </c>
      <c r="BF76" s="163"/>
      <c r="BG76" s="160">
        <f t="shared" ref="BG76:BG95" si="161">IF(BC76=0,9,IF((AJ76-CG76)&gt;=BC76,5,IF((AJ76-CG76)&gt;=BB76,4,IF((AJ76-CG76)&gt;=BA76,3,IF((AJ76-CG76)&gt;=AZ76,2,IF((AJ76-CG76)&lt;AY76,0,1))))))</f>
        <v>9</v>
      </c>
      <c r="BH76" s="45" t="str">
        <f t="shared" si="141"/>
        <v>N/A</v>
      </c>
      <c r="BI76" s="163"/>
      <c r="BJ76" s="160">
        <f t="shared" ref="BJ76:BJ95" si="162">IF(BC76=0,9,IF((AK76-CG76)&gt;=BC76,5,IF((AK76-CG76)&gt;=BB76,4,IF((AK76-CG76)&gt;=BA76,3,IF((AK76-CG76)&gt;=AZ76,2,IF((AK76-CG76)&lt;AY76,0,1))))))</f>
        <v>9</v>
      </c>
      <c r="BK76" s="45" t="str">
        <f t="shared" si="142"/>
        <v>N/A</v>
      </c>
      <c r="BL76" s="163"/>
      <c r="BO76" s="43"/>
      <c r="BP76" s="43"/>
      <c r="BQ76" s="43" t="str">
        <f t="shared" si="157"/>
        <v/>
      </c>
      <c r="BR76" s="43">
        <f t="shared" si="55"/>
        <v>9</v>
      </c>
      <c r="BS76" s="43">
        <f t="shared" si="56"/>
        <v>9</v>
      </c>
      <c r="BT76" s="43">
        <f t="shared" si="57"/>
        <v>9</v>
      </c>
      <c r="BW76" s="43"/>
      <c r="BX76" s="43"/>
      <c r="BY76" s="61"/>
      <c r="BZ76" s="43"/>
      <c r="CA76" s="585"/>
      <c r="CB76" s="43"/>
      <c r="CD76" s="62"/>
      <c r="CE76" s="43"/>
      <c r="CG76" s="62"/>
    </row>
    <row r="77" spans="1:87" x14ac:dyDescent="0.25">
      <c r="A77">
        <v>69</v>
      </c>
      <c r="B77" t="str">
        <f t="shared" si="158"/>
        <v>Ene 02b</v>
      </c>
      <c r="C77" t="str">
        <f t="shared" si="159"/>
        <v>Ene 02</v>
      </c>
      <c r="D77" s="144" t="s">
        <v>695</v>
      </c>
      <c r="E77" s="930" t="s">
        <v>625</v>
      </c>
      <c r="F77" s="668">
        <v>1</v>
      </c>
      <c r="G77" s="668">
        <v>1</v>
      </c>
      <c r="H77" s="864">
        <v>0</v>
      </c>
      <c r="I77" s="668">
        <v>1</v>
      </c>
      <c r="J77" s="668">
        <v>1</v>
      </c>
      <c r="K77" s="668">
        <v>1</v>
      </c>
      <c r="L77" s="668">
        <v>1</v>
      </c>
      <c r="M77" s="668">
        <v>1</v>
      </c>
      <c r="N77" s="668">
        <v>1</v>
      </c>
      <c r="O77" s="668">
        <v>1</v>
      </c>
      <c r="P77" s="668">
        <v>1</v>
      </c>
      <c r="Q77" s="668">
        <v>1</v>
      </c>
      <c r="R77" s="668">
        <v>1</v>
      </c>
      <c r="T77" s="148">
        <f t="shared" si="133"/>
        <v>1</v>
      </c>
      <c r="U77" s="191">
        <f>IF(AND('Assessment Details'!I28=1,'Assessment Details'!F28=AD_no),Poeng!T77,0)</f>
        <v>0</v>
      </c>
      <c r="V77" s="43"/>
      <c r="W77" s="43"/>
      <c r="X77" s="43"/>
      <c r="Y77" s="148">
        <f>IF($Y$4=$Y$6,T77,0)</f>
        <v>0</v>
      </c>
      <c r="Z77" s="147">
        <f>VLOOKUP(B77,'Manuell filtrering og justering'!$A$7:$H$107,'Manuell filtrering og justering'!$H$1,FALSE)</f>
        <v>1</v>
      </c>
      <c r="AA77" s="148">
        <f t="shared" si="135"/>
        <v>0</v>
      </c>
      <c r="AB77" s="149">
        <f>IF($AC$5='Manuell filtrering og justering'!$J$2,Z77,(T77-AA77))</f>
        <v>1</v>
      </c>
      <c r="AD77" s="150">
        <f t="shared" si="136"/>
        <v>5.1851851851851859E-3</v>
      </c>
      <c r="AE77" s="150">
        <f t="shared" si="144"/>
        <v>0</v>
      </c>
      <c r="AF77" s="150">
        <f t="shared" si="145"/>
        <v>0</v>
      </c>
      <c r="AG77" s="150">
        <f t="shared" si="146"/>
        <v>0</v>
      </c>
      <c r="AI77" s="151">
        <f>IF(VLOOKUP(E77,'Pre-Assessment Estimator'!$F$11:$AA$226,'Pre-Assessment Estimator'!$H$2,FALSE)&gt;AB77,AB77,VLOOKUP(E77,'Pre-Assessment Estimator'!$F$11:$AA$226,'Pre-Assessment Estimator'!$H$2,FALSE))</f>
        <v>0</v>
      </c>
      <c r="AJ77" s="151">
        <f>IF(VLOOKUP(E77,'Pre-Assessment Estimator'!$F$11:$AA$226,'Pre-Assessment Estimator'!$O$2,FALSE)&gt;AB77,AB77,VLOOKUP(E77,'Pre-Assessment Estimator'!$F$11:$AA$226,'Pre-Assessment Estimator'!$O$2,FALSE))</f>
        <v>0</v>
      </c>
      <c r="AK77" s="151">
        <f>IF(VLOOKUP(E77,'Pre-Assessment Estimator'!$F$11:$AA$226,'Pre-Assessment Estimator'!$V$2,FALSE)&gt;AB77,AB77,VLOOKUP(E77,'Pre-Assessment Estimator'!$F$11:$AA$226,'Pre-Assessment Estimator'!$V$2,FALSE))</f>
        <v>0</v>
      </c>
      <c r="AM77" s="251"/>
      <c r="AN77" s="159"/>
      <c r="AO77" s="159"/>
      <c r="AP77" s="159"/>
      <c r="AQ77" s="164"/>
      <c r="AS77" s="251"/>
      <c r="AT77" s="159"/>
      <c r="AU77" s="159"/>
      <c r="AV77" s="159"/>
      <c r="AW77" s="164"/>
      <c r="AY77" s="160"/>
      <c r="AZ77" s="161"/>
      <c r="BA77" s="161"/>
      <c r="BB77" s="161"/>
      <c r="BC77" s="165"/>
      <c r="BD77" s="160">
        <f t="shared" si="160"/>
        <v>9</v>
      </c>
      <c r="BE77" s="45" t="str">
        <f t="shared" si="139"/>
        <v>N/A</v>
      </c>
      <c r="BF77" s="163"/>
      <c r="BG77" s="160">
        <f t="shared" si="161"/>
        <v>9</v>
      </c>
      <c r="BH77" s="45" t="str">
        <f t="shared" si="141"/>
        <v>N/A</v>
      </c>
      <c r="BI77" s="163"/>
      <c r="BJ77" s="160">
        <f t="shared" si="162"/>
        <v>9</v>
      </c>
      <c r="BK77" s="45" t="str">
        <f t="shared" si="142"/>
        <v>N/A</v>
      </c>
      <c r="BL77" s="163"/>
      <c r="BO77" s="43"/>
      <c r="BP77" s="43"/>
      <c r="BQ77" s="43" t="str">
        <f t="shared" si="157"/>
        <v/>
      </c>
      <c r="BR77" s="43">
        <f t="shared" si="55"/>
        <v>9</v>
      </c>
      <c r="BS77" s="43">
        <f t="shared" si="56"/>
        <v>9</v>
      </c>
      <c r="BT77" s="43">
        <f t="shared" si="57"/>
        <v>9</v>
      </c>
      <c r="BW77" s="43"/>
      <c r="BX77" s="43"/>
      <c r="BY77" s="61"/>
      <c r="BZ77" s="43"/>
      <c r="CA77" s="585"/>
      <c r="CB77" s="43"/>
      <c r="CD77" s="62"/>
      <c r="CE77" s="43"/>
      <c r="CG77" s="62"/>
    </row>
    <row r="78" spans="1:87" ht="15.75" thickBot="1" x14ac:dyDescent="0.3">
      <c r="A78">
        <v>70</v>
      </c>
      <c r="B78" t="str">
        <f t="shared" si="158"/>
        <v>Ene 02c</v>
      </c>
      <c r="C78" t="str">
        <f t="shared" si="159"/>
        <v>Ene 02</v>
      </c>
      <c r="D78" s="146" t="s">
        <v>696</v>
      </c>
      <c r="E78" s="930" t="s">
        <v>626</v>
      </c>
      <c r="F78" s="668">
        <v>0</v>
      </c>
      <c r="G78" s="668">
        <v>0</v>
      </c>
      <c r="H78" s="864">
        <v>2</v>
      </c>
      <c r="I78" s="668">
        <v>0</v>
      </c>
      <c r="J78" s="668">
        <v>0</v>
      </c>
      <c r="K78" s="668">
        <v>0</v>
      </c>
      <c r="L78" s="668">
        <v>0</v>
      </c>
      <c r="M78" s="668">
        <v>0</v>
      </c>
      <c r="N78" s="668">
        <v>0</v>
      </c>
      <c r="O78" s="668">
        <v>0</v>
      </c>
      <c r="P78" s="668">
        <v>0</v>
      </c>
      <c r="Q78" s="668">
        <v>0</v>
      </c>
      <c r="R78" s="668">
        <v>0</v>
      </c>
      <c r="T78" s="148">
        <f t="shared" si="133"/>
        <v>0</v>
      </c>
      <c r="U78" s="146"/>
      <c r="V78" s="43"/>
      <c r="W78" s="48"/>
      <c r="X78" s="43"/>
      <c r="Y78" s="148">
        <f>IF($Y$4=$Y$6,T78,0)</f>
        <v>0</v>
      </c>
      <c r="Z78" s="147">
        <f>VLOOKUP(B78,'Manuell filtrering og justering'!$A$7:$H$107,'Manuell filtrering og justering'!$H$1,FALSE)</f>
        <v>0</v>
      </c>
      <c r="AA78" s="148">
        <f t="shared" si="135"/>
        <v>0</v>
      </c>
      <c r="AB78" s="149">
        <f>IF($AC$5='Manuell filtrering og justering'!$J$2,Z78,(T78-AA78))</f>
        <v>0</v>
      </c>
      <c r="AD78" s="150">
        <f t="shared" si="136"/>
        <v>0</v>
      </c>
      <c r="AE78" s="150">
        <f t="shared" si="144"/>
        <v>0</v>
      </c>
      <c r="AF78" s="150">
        <f t="shared" si="145"/>
        <v>0</v>
      </c>
      <c r="AG78" s="150">
        <f t="shared" si="146"/>
        <v>0</v>
      </c>
      <c r="AI78" s="151">
        <f>IF(VLOOKUP(E78,'Pre-Assessment Estimator'!$F$11:$AA$226,'Pre-Assessment Estimator'!$H$2,FALSE)&gt;AB78,AB78,VLOOKUP(E78,'Pre-Assessment Estimator'!$F$11:$AA$226,'Pre-Assessment Estimator'!$H$2,FALSE))</f>
        <v>0</v>
      </c>
      <c r="AJ78" s="151">
        <f>IF(VLOOKUP(E78,'Pre-Assessment Estimator'!$F$11:$AA$226,'Pre-Assessment Estimator'!$O$2,FALSE)&gt;AB78,AB78,VLOOKUP(E78,'Pre-Assessment Estimator'!$F$11:$AA$226,'Pre-Assessment Estimator'!$O$2,FALSE))</f>
        <v>0</v>
      </c>
      <c r="AK78" s="151">
        <f>IF(VLOOKUP(E78,'Pre-Assessment Estimator'!$F$11:$AA$226,'Pre-Assessment Estimator'!$V$2,FALSE)&gt;AB78,AB78,VLOOKUP(E78,'Pre-Assessment Estimator'!$F$11:$AA$226,'Pre-Assessment Estimator'!$V$2,FALSE))</f>
        <v>0</v>
      </c>
      <c r="AM78" s="251"/>
      <c r="AN78" s="159"/>
      <c r="AO78" s="159"/>
      <c r="AP78" s="159"/>
      <c r="AQ78" s="164"/>
      <c r="AS78" s="251"/>
      <c r="AT78" s="159"/>
      <c r="AU78" s="159"/>
      <c r="AV78" s="159"/>
      <c r="AW78" s="164"/>
      <c r="AY78" s="160"/>
      <c r="AZ78" s="161"/>
      <c r="BA78" s="161"/>
      <c r="BB78" s="161"/>
      <c r="BC78" s="165"/>
      <c r="BD78" s="160">
        <f t="shared" si="160"/>
        <v>9</v>
      </c>
      <c r="BE78" s="45" t="str">
        <f t="shared" si="139"/>
        <v>N/A</v>
      </c>
      <c r="BF78" s="163"/>
      <c r="BG78" s="160">
        <f t="shared" si="161"/>
        <v>9</v>
      </c>
      <c r="BH78" s="45" t="str">
        <f t="shared" si="141"/>
        <v>N/A</v>
      </c>
      <c r="BI78" s="163"/>
      <c r="BJ78" s="160">
        <f t="shared" si="162"/>
        <v>9</v>
      </c>
      <c r="BK78" s="45" t="str">
        <f t="shared" si="142"/>
        <v>N/A</v>
      </c>
      <c r="BL78" s="163"/>
      <c r="BO78" s="43"/>
      <c r="BP78" s="43"/>
      <c r="BQ78" s="43" t="str">
        <f t="shared" si="157"/>
        <v/>
      </c>
      <c r="BR78" s="43">
        <f t="shared" si="55"/>
        <v>9</v>
      </c>
      <c r="BS78" s="43">
        <f t="shared" si="56"/>
        <v>9</v>
      </c>
      <c r="BT78" s="43">
        <f t="shared" si="57"/>
        <v>9</v>
      </c>
      <c r="BW78" s="43"/>
      <c r="BX78" s="43"/>
      <c r="BY78" s="61"/>
      <c r="BZ78" s="43"/>
      <c r="CA78" s="585"/>
      <c r="CB78" s="43"/>
      <c r="CD78" s="62"/>
      <c r="CE78" s="43"/>
      <c r="CG78" s="62"/>
    </row>
    <row r="79" spans="1:87" x14ac:dyDescent="0.25">
      <c r="A79">
        <v>71</v>
      </c>
      <c r="B79" s="121" t="str">
        <f>D79</f>
        <v>Ene 03</v>
      </c>
      <c r="C79" s="121" t="str">
        <f>B79</f>
        <v>Ene 03</v>
      </c>
      <c r="D79" s="818" t="s">
        <v>136</v>
      </c>
      <c r="E79" s="725" t="s">
        <v>128</v>
      </c>
      <c r="F79" s="821">
        <v>1</v>
      </c>
      <c r="G79" s="821">
        <v>1</v>
      </c>
      <c r="H79" s="821">
        <v>1</v>
      </c>
      <c r="I79" s="821">
        <v>1</v>
      </c>
      <c r="J79" s="821">
        <v>1</v>
      </c>
      <c r="K79" s="821">
        <v>1</v>
      </c>
      <c r="L79" s="821">
        <v>1</v>
      </c>
      <c r="M79" s="821">
        <v>1</v>
      </c>
      <c r="N79" s="821">
        <v>1</v>
      </c>
      <c r="O79" s="821">
        <v>1</v>
      </c>
      <c r="P79" s="821">
        <v>1</v>
      </c>
      <c r="Q79" s="821">
        <v>1</v>
      </c>
      <c r="R79" s="821">
        <v>1</v>
      </c>
      <c r="T79" s="831">
        <f t="shared" si="133"/>
        <v>1</v>
      </c>
      <c r="U79" s="191"/>
      <c r="V79" s="908"/>
      <c r="W79" s="131" t="s">
        <v>953</v>
      </c>
      <c r="X79" s="909">
        <f>'Manuell filtrering og justering'!E31</f>
        <v>0</v>
      </c>
      <c r="Y79" s="959"/>
      <c r="Z79" s="845">
        <f>IF((Z80+Z81)&gt;0,1,0)</f>
        <v>1</v>
      </c>
      <c r="AA79" s="831">
        <f t="shared" si="135"/>
        <v>0</v>
      </c>
      <c r="AB79" s="883">
        <f>SUM(AB80:AB81)</f>
        <v>1</v>
      </c>
      <c r="AD79" s="150">
        <f t="shared" si="136"/>
        <v>5.1851851851851859E-3</v>
      </c>
      <c r="AE79" s="799">
        <f>IF(SUM(AE80:AE81)&gt;Ene03_05,Ene03_05,SUM(AE80:AE81))</f>
        <v>0</v>
      </c>
      <c r="AF79" s="799">
        <f>IF(SUM(AF80:AF81)&gt;Ene03_05,Ene03_05,SUM(AF80:AF81))</f>
        <v>0</v>
      </c>
      <c r="AG79" s="799">
        <f>IF(SUM(AG80:AG81)&gt;Ene03_05,Ene03_05,SUM(AG80:AG81))</f>
        <v>0</v>
      </c>
      <c r="AI79" s="826">
        <f>IF(SUM(AI80:AI81)&gt;Ene03_credits,Ene03_credits,SUM(AI80:AI81))</f>
        <v>0</v>
      </c>
      <c r="AJ79" s="826">
        <f>IF(SUM(AJ80:AJ81)&gt;Ene03_credits,Ene03_credits,SUM(AJ80:AJ81))</f>
        <v>0</v>
      </c>
      <c r="AK79" s="826">
        <f>IF(SUM(AK80:AK81)&gt;Ene03_credits,Ene03_credits,SUM(AK80:AK81))</f>
        <v>0</v>
      </c>
      <c r="AL79" t="s">
        <v>425</v>
      </c>
      <c r="AM79" s="252"/>
      <c r="AN79" s="253"/>
      <c r="AO79" s="253"/>
      <c r="AP79" s="253"/>
      <c r="AQ79" s="254"/>
      <c r="AS79" s="252"/>
      <c r="AT79" s="253"/>
      <c r="AU79" s="253"/>
      <c r="AV79" s="253"/>
      <c r="AW79" s="254"/>
      <c r="AY79" s="146"/>
      <c r="AZ79" s="43"/>
      <c r="BA79" s="43"/>
      <c r="BB79" s="43"/>
      <c r="BC79" s="147"/>
      <c r="BD79" s="160">
        <f t="shared" si="160"/>
        <v>9</v>
      </c>
      <c r="BE79" s="45" t="str">
        <f t="shared" si="139"/>
        <v>N/A</v>
      </c>
      <c r="BF79" s="163"/>
      <c r="BG79" s="160">
        <f t="shared" si="161"/>
        <v>9</v>
      </c>
      <c r="BH79" s="45" t="str">
        <f t="shared" si="141"/>
        <v>N/A</v>
      </c>
      <c r="BI79" s="163"/>
      <c r="BJ79" s="160">
        <f t="shared" si="162"/>
        <v>9</v>
      </c>
      <c r="BK79" s="45" t="str">
        <f t="shared" si="142"/>
        <v>N/A</v>
      </c>
      <c r="BL79" s="163"/>
      <c r="BM79" t="s">
        <v>458</v>
      </c>
      <c r="BO79" s="43"/>
      <c r="BP79" s="43"/>
      <c r="BQ79" s="43" t="str">
        <f t="shared" si="157"/>
        <v/>
      </c>
      <c r="BR79" s="43">
        <f t="shared" si="55"/>
        <v>9</v>
      </c>
      <c r="BS79" s="43">
        <f t="shared" si="56"/>
        <v>9</v>
      </c>
      <c r="BT79" s="43">
        <f t="shared" si="57"/>
        <v>9</v>
      </c>
      <c r="BW79" s="43" t="str">
        <f>D79</f>
        <v>Ene 03</v>
      </c>
      <c r="BX79" s="43" t="str">
        <f>IFERROR(VLOOKUP($E79,'Pre-Assessment Estimator'!$F$11:$AC$226,'Pre-Assessment Estimator'!AC$2,FALSE),"")</f>
        <v>No</v>
      </c>
      <c r="BY79" s="61" t="str">
        <f>IFERROR(VLOOKUP($E79,'Pre-Assessment Estimator'!$F$11:$AJ$226,'Pre-Assessment Estimator'!AJ$2,FALSE),"")</f>
        <v>Ja</v>
      </c>
      <c r="BZ79" s="43">
        <f>IFERROR(VLOOKUP($BX79,$E$293:$H$326,F$291,FALSE),"")</f>
        <v>1</v>
      </c>
      <c r="CA79" s="590" t="s">
        <v>430</v>
      </c>
      <c r="CB79" s="43"/>
      <c r="CC79" t="str">
        <f>IFERROR(VLOOKUP($BX79,$E$293:$H$326,I$291,FALSE),"")</f>
        <v/>
      </c>
      <c r="CD79" t="s">
        <v>436</v>
      </c>
      <c r="CE79" s="43">
        <f>VLOOKUP(CA79,$CA$4:$CB$5,2,FALSE)</f>
        <v>1</v>
      </c>
      <c r="CG79" s="62">
        <f>IF($BX$5=ais_nei,CE79,IF(AND(CA79=$CA$4,BX79=$CC$4),0,BZ79))</f>
        <v>1</v>
      </c>
    </row>
    <row r="80" spans="1:87" x14ac:dyDescent="0.25">
      <c r="A80">
        <v>72</v>
      </c>
      <c r="B80" t="str">
        <f t="shared" ref="B80:B81" si="163">$D$79&amp;D80</f>
        <v>Ene 03a</v>
      </c>
      <c r="C80" t="str">
        <f t="shared" si="159"/>
        <v>Ene 03</v>
      </c>
      <c r="D80" s="144" t="s">
        <v>692</v>
      </c>
      <c r="E80" s="930" t="s">
        <v>627</v>
      </c>
      <c r="F80" s="668">
        <v>1</v>
      </c>
      <c r="G80" s="668">
        <v>1</v>
      </c>
      <c r="H80" s="668">
        <v>1</v>
      </c>
      <c r="I80" s="668">
        <v>1</v>
      </c>
      <c r="J80" s="668">
        <v>1</v>
      </c>
      <c r="K80" s="668">
        <v>1</v>
      </c>
      <c r="L80" s="668">
        <v>1</v>
      </c>
      <c r="M80" s="668">
        <v>1</v>
      </c>
      <c r="N80" s="668">
        <v>1</v>
      </c>
      <c r="O80" s="668">
        <v>1</v>
      </c>
      <c r="P80" s="668">
        <v>1</v>
      </c>
      <c r="Q80" s="668">
        <v>1</v>
      </c>
      <c r="R80" s="668">
        <v>1</v>
      </c>
      <c r="T80" s="148">
        <f t="shared" si="133"/>
        <v>1</v>
      </c>
      <c r="U80" s="191">
        <f>IF('Assessment Details'!F18=AD_Yes,Poeng!T80,0)</f>
        <v>0</v>
      </c>
      <c r="V80" s="147"/>
      <c r="W80" s="148">
        <f>IF('Assessment Details'!F18=AD_Yes,Poeng!Z80,0)</f>
        <v>0</v>
      </c>
      <c r="X80" s="204"/>
      <c r="Y80" s="958"/>
      <c r="Z80" s="147">
        <f>VLOOKUP(B80,'Manuell filtrering og justering'!$A$7:$H$107,'Manuell filtrering og justering'!$H$1,FALSE)</f>
        <v>1</v>
      </c>
      <c r="AA80" s="148">
        <f>IF(SUM(U80:V80)&gt;T80,T80,SUM(U80:V80))</f>
        <v>0</v>
      </c>
      <c r="AB80" s="876">
        <f>IF($AC$5='Manuell filtrering og justering'!$J$2,Z80-W80,(T80-AA80))</f>
        <v>1</v>
      </c>
      <c r="AD80" s="150">
        <f t="shared" si="136"/>
        <v>5.1851851851851859E-3</v>
      </c>
      <c r="AE80" s="150">
        <f t="shared" si="144"/>
        <v>0</v>
      </c>
      <c r="AF80" s="150">
        <f t="shared" si="145"/>
        <v>0</v>
      </c>
      <c r="AG80" s="150">
        <f t="shared" si="146"/>
        <v>0</v>
      </c>
      <c r="AI80" s="151">
        <f>IF(VLOOKUP(E80,'Pre-Assessment Estimator'!$F$11:$AA$226,'Pre-Assessment Estimator'!$H$2,FALSE)&gt;AB80,AB80,VLOOKUP(E80,'Pre-Assessment Estimator'!$F$11:$AA$226,'Pre-Assessment Estimator'!$H$2,FALSE))</f>
        <v>0</v>
      </c>
      <c r="AJ80" s="151">
        <f>IF(VLOOKUP(E80,'Pre-Assessment Estimator'!$F$11:$AA$226,'Pre-Assessment Estimator'!$O$2,FALSE)&gt;AB80,AB80,VLOOKUP(E80,'Pre-Assessment Estimator'!$F$11:$AA$226,'Pre-Assessment Estimator'!$O$2,FALSE))</f>
        <v>0</v>
      </c>
      <c r="AK80" s="151">
        <f>IF(VLOOKUP(E80,'Pre-Assessment Estimator'!$F$11:$AA$226,'Pre-Assessment Estimator'!$V$2,FALSE)&gt;AB80,AB80,VLOOKUP(E80,'Pre-Assessment Estimator'!$F$11:$AA$226,'Pre-Assessment Estimator'!$V$2,FALSE))</f>
        <v>0</v>
      </c>
      <c r="AM80" s="252"/>
      <c r="AN80" s="253"/>
      <c r="AO80" s="253"/>
      <c r="AP80" s="253"/>
      <c r="AQ80" s="254"/>
      <c r="AS80" s="252"/>
      <c r="AT80" s="253"/>
      <c r="AU80" s="253"/>
      <c r="AV80" s="253"/>
      <c r="AW80" s="254"/>
      <c r="AY80" s="146"/>
      <c r="AZ80" s="43"/>
      <c r="BA80" s="43"/>
      <c r="BB80" s="43"/>
      <c r="BC80" s="147"/>
      <c r="BD80" s="160">
        <f t="shared" si="160"/>
        <v>9</v>
      </c>
      <c r="BE80" s="45" t="str">
        <f t="shared" si="139"/>
        <v>N/A</v>
      </c>
      <c r="BF80" s="163"/>
      <c r="BG80" s="160">
        <f t="shared" si="161"/>
        <v>9</v>
      </c>
      <c r="BH80" s="45" t="str">
        <f t="shared" si="141"/>
        <v>N/A</v>
      </c>
      <c r="BI80" s="163"/>
      <c r="BJ80" s="160">
        <f t="shared" si="162"/>
        <v>9</v>
      </c>
      <c r="BK80" s="45" t="str">
        <f t="shared" si="142"/>
        <v>N/A</v>
      </c>
      <c r="BL80" s="163"/>
      <c r="BO80" s="43"/>
      <c r="BP80" s="43"/>
      <c r="BQ80" s="43" t="str">
        <f t="shared" si="157"/>
        <v/>
      </c>
      <c r="BR80" s="43">
        <f t="shared" si="55"/>
        <v>9</v>
      </c>
      <c r="BS80" s="43">
        <f t="shared" si="56"/>
        <v>9</v>
      </c>
      <c r="BT80" s="43">
        <f t="shared" si="57"/>
        <v>9</v>
      </c>
      <c r="BW80" s="43"/>
      <c r="BX80" s="43"/>
      <c r="BY80" s="61"/>
      <c r="BZ80" s="43"/>
      <c r="CA80" s="590"/>
      <c r="CB80" s="43"/>
      <c r="CG80" s="62"/>
    </row>
    <row r="81" spans="1:85" ht="15.75" thickBot="1" x14ac:dyDescent="0.3">
      <c r="A81">
        <v>73</v>
      </c>
      <c r="B81" t="str">
        <f t="shared" si="163"/>
        <v>Ene 03b</v>
      </c>
      <c r="C81" t="str">
        <f t="shared" si="159"/>
        <v>Ene 03</v>
      </c>
      <c r="D81" s="144" t="s">
        <v>695</v>
      </c>
      <c r="E81" s="930" t="s">
        <v>628</v>
      </c>
      <c r="F81" s="668">
        <v>1</v>
      </c>
      <c r="G81" s="668">
        <v>1</v>
      </c>
      <c r="H81" s="668">
        <v>1</v>
      </c>
      <c r="I81" s="668">
        <v>1</v>
      </c>
      <c r="J81" s="668">
        <v>1</v>
      </c>
      <c r="K81" s="668">
        <v>1</v>
      </c>
      <c r="L81" s="668">
        <v>1</v>
      </c>
      <c r="M81" s="668">
        <v>1</v>
      </c>
      <c r="N81" s="668">
        <v>1</v>
      </c>
      <c r="O81" s="668">
        <v>1</v>
      </c>
      <c r="P81" s="668">
        <v>1</v>
      </c>
      <c r="Q81" s="668">
        <v>1</v>
      </c>
      <c r="R81" s="668">
        <v>1</v>
      </c>
      <c r="T81" s="148">
        <f t="shared" si="133"/>
        <v>1</v>
      </c>
      <c r="U81" s="191">
        <f>IF(U80=0,1,0)</f>
        <v>1</v>
      </c>
      <c r="V81" s="147"/>
      <c r="W81" s="206">
        <f>IF(W80=0,1,0)</f>
        <v>1</v>
      </c>
      <c r="X81" s="204"/>
      <c r="Y81" s="958"/>
      <c r="Z81" s="147">
        <f>VLOOKUP(B81,'Manuell filtrering og justering'!$A$7:$H$107,'Manuell filtrering og justering'!$H$1,FALSE)</f>
        <v>1</v>
      </c>
      <c r="AA81" s="148">
        <f>IF(SUM(U81:V81)&gt;T81,T81,SUM(U81:V81))</f>
        <v>1</v>
      </c>
      <c r="AB81" s="876">
        <f>IF($AC$5='Manuell filtrering og justering'!$J$2,Z81-W81,(T81-AA81))</f>
        <v>0</v>
      </c>
      <c r="AD81" s="150">
        <f t="shared" si="136"/>
        <v>0</v>
      </c>
      <c r="AE81" s="150">
        <f t="shared" si="144"/>
        <v>0</v>
      </c>
      <c r="AF81" s="150">
        <f t="shared" si="145"/>
        <v>0</v>
      </c>
      <c r="AG81" s="150">
        <f t="shared" si="146"/>
        <v>0</v>
      </c>
      <c r="AI81" s="151">
        <f>IF(VLOOKUP(E81,'Pre-Assessment Estimator'!$F$11:$AA$226,'Pre-Assessment Estimator'!$H$2,FALSE)&gt;AB81,AB81,VLOOKUP(E81,'Pre-Assessment Estimator'!$F$11:$AA$226,'Pre-Assessment Estimator'!$H$2,FALSE))</f>
        <v>0</v>
      </c>
      <c r="AJ81" s="151">
        <f>IF(VLOOKUP(E81,'Pre-Assessment Estimator'!$F$11:$AA$226,'Pre-Assessment Estimator'!$O$2,FALSE)&gt;AB81,AB81,VLOOKUP(E81,'Pre-Assessment Estimator'!$F$11:$AA$226,'Pre-Assessment Estimator'!$O$2,FALSE))</f>
        <v>0</v>
      </c>
      <c r="AK81" s="151">
        <f>IF(VLOOKUP(E81,'Pre-Assessment Estimator'!$F$11:$AA$226,'Pre-Assessment Estimator'!$V$2,FALSE)&gt;AB81,AB81,VLOOKUP(E81,'Pre-Assessment Estimator'!$F$11:$AA$226,'Pre-Assessment Estimator'!$V$2,FALSE))</f>
        <v>0</v>
      </c>
      <c r="AM81" s="252"/>
      <c r="AN81" s="253"/>
      <c r="AO81" s="253"/>
      <c r="AP81" s="253"/>
      <c r="AQ81" s="254"/>
      <c r="AS81" s="252"/>
      <c r="AT81" s="253"/>
      <c r="AU81" s="253"/>
      <c r="AV81" s="253"/>
      <c r="AW81" s="254"/>
      <c r="AY81" s="146"/>
      <c r="AZ81" s="43"/>
      <c r="BA81" s="43"/>
      <c r="BB81" s="43"/>
      <c r="BC81" s="147"/>
      <c r="BD81" s="160">
        <f t="shared" si="160"/>
        <v>9</v>
      </c>
      <c r="BE81" s="45" t="str">
        <f t="shared" si="139"/>
        <v>N/A</v>
      </c>
      <c r="BF81" s="163"/>
      <c r="BG81" s="160">
        <f t="shared" si="161"/>
        <v>9</v>
      </c>
      <c r="BH81" s="45" t="str">
        <f t="shared" si="141"/>
        <v>N/A</v>
      </c>
      <c r="BI81" s="163"/>
      <c r="BJ81" s="160">
        <f t="shared" si="162"/>
        <v>9</v>
      </c>
      <c r="BK81" s="45" t="str">
        <f t="shared" si="142"/>
        <v>N/A</v>
      </c>
      <c r="BL81" s="163"/>
      <c r="BO81" s="43"/>
      <c r="BP81" s="43"/>
      <c r="BQ81" s="43" t="str">
        <f t="shared" si="157"/>
        <v/>
      </c>
      <c r="BR81" s="43">
        <f t="shared" si="55"/>
        <v>9</v>
      </c>
      <c r="BS81" s="43">
        <f t="shared" si="56"/>
        <v>9</v>
      </c>
      <c r="BT81" s="43">
        <f t="shared" si="57"/>
        <v>9</v>
      </c>
      <c r="BW81" s="43"/>
      <c r="BX81" s="43"/>
      <c r="BY81" s="61"/>
      <c r="BZ81" s="43"/>
      <c r="CA81" s="590"/>
      <c r="CB81" s="43"/>
      <c r="CG81" s="62"/>
    </row>
    <row r="82" spans="1:85" x14ac:dyDescent="0.25">
      <c r="A82">
        <v>74</v>
      </c>
      <c r="D82" s="609" t="s">
        <v>137</v>
      </c>
      <c r="E82" s="608"/>
      <c r="F82" s="812"/>
      <c r="G82" s="812"/>
      <c r="H82" s="812"/>
      <c r="I82" s="812"/>
      <c r="J82" s="812"/>
      <c r="K82" s="812"/>
      <c r="L82" s="812"/>
      <c r="M82" s="812"/>
      <c r="N82" s="812"/>
      <c r="O82" s="812"/>
      <c r="P82" s="812"/>
      <c r="Q82" s="812"/>
      <c r="R82" s="812"/>
      <c r="T82" s="824"/>
      <c r="U82" s="609"/>
      <c r="V82" s="608"/>
      <c r="W82" s="321"/>
      <c r="X82" s="608"/>
      <c r="Y82" s="823"/>
      <c r="Z82" s="147"/>
      <c r="AA82" s="824"/>
      <c r="AB82" s="825"/>
      <c r="AD82" s="150">
        <f t="shared" si="136"/>
        <v>0</v>
      </c>
      <c r="AE82" s="828"/>
      <c r="AF82" s="828"/>
      <c r="AG82" s="828"/>
      <c r="AI82" s="623"/>
      <c r="AJ82" s="623"/>
      <c r="AK82" s="623"/>
      <c r="AM82" s="251"/>
      <c r="AN82" s="159"/>
      <c r="AO82" s="159"/>
      <c r="AP82" s="159"/>
      <c r="AQ82" s="164"/>
      <c r="AS82" s="251"/>
      <c r="AT82" s="159"/>
      <c r="AU82" s="159"/>
      <c r="AV82" s="159"/>
      <c r="AW82" s="164"/>
      <c r="AY82" s="160"/>
      <c r="AZ82" s="161"/>
      <c r="BA82" s="161"/>
      <c r="BB82" s="161"/>
      <c r="BC82" s="165"/>
      <c r="BD82" s="160">
        <f t="shared" si="160"/>
        <v>9</v>
      </c>
      <c r="BE82" s="45" t="str">
        <f t="shared" si="139"/>
        <v>N/A</v>
      </c>
      <c r="BF82" s="163"/>
      <c r="BG82" s="160">
        <f t="shared" si="161"/>
        <v>9</v>
      </c>
      <c r="BH82" s="45" t="str">
        <f t="shared" si="141"/>
        <v>N/A</v>
      </c>
      <c r="BI82" s="163"/>
      <c r="BJ82" s="160">
        <f t="shared" si="162"/>
        <v>9</v>
      </c>
      <c r="BK82" s="45" t="str">
        <f t="shared" si="142"/>
        <v>N/A</v>
      </c>
      <c r="BL82" s="163"/>
      <c r="BO82" s="43"/>
      <c r="BP82" s="43"/>
      <c r="BQ82" s="43" t="str">
        <f t="shared" si="157"/>
        <v/>
      </c>
      <c r="BR82" s="43">
        <f t="shared" si="55"/>
        <v>9</v>
      </c>
      <c r="BS82" s="43">
        <f t="shared" si="56"/>
        <v>9</v>
      </c>
      <c r="BT82" s="43">
        <f t="shared" si="57"/>
        <v>9</v>
      </c>
      <c r="BW82" s="43" t="str">
        <f>D82</f>
        <v>Ene 04</v>
      </c>
      <c r="BX82" s="43" t="str">
        <f>IFERROR(VLOOKUP($E82,'Pre-Assessment Estimator'!$F$11:$AC$226,'Pre-Assessment Estimator'!AC$2,FALSE),"")</f>
        <v/>
      </c>
      <c r="BY82" s="43" t="str">
        <f>IFERROR(VLOOKUP($E82,'Pre-Assessment Estimator'!$F$11:$AJ$226,'Pre-Assessment Estimator'!AJ$2,FALSE),"")</f>
        <v/>
      </c>
      <c r="BZ82" s="43" t="str">
        <f>IFERROR(VLOOKUP($BX82,$E$293:$H$326,F$291,FALSE),"")</f>
        <v/>
      </c>
      <c r="CA82" s="43" t="str">
        <f>IFERROR(VLOOKUP($BX82,$E$293:$H$326,G$291,FALSE),"")</f>
        <v/>
      </c>
      <c r="CB82" s="43"/>
      <c r="CC82" t="str">
        <f>IFERROR(VLOOKUP($BX82,$E$293:$H$326,I$291,FALSE),"")</f>
        <v/>
      </c>
    </row>
    <row r="83" spans="1:85" x14ac:dyDescent="0.25">
      <c r="A83">
        <v>75</v>
      </c>
      <c r="B83" s="121" t="str">
        <f>D83</f>
        <v>Ene 05</v>
      </c>
      <c r="C83" s="121" t="str">
        <f>B83</f>
        <v>Ene 05</v>
      </c>
      <c r="D83" s="727" t="s">
        <v>138</v>
      </c>
      <c r="E83" s="725" t="s">
        <v>129</v>
      </c>
      <c r="F83" s="811">
        <f t="shared" ref="F83:R83" si="164">SUM(F84:F85)</f>
        <v>2</v>
      </c>
      <c r="G83" s="811">
        <f t="shared" si="164"/>
        <v>2</v>
      </c>
      <c r="H83" s="811">
        <f t="shared" si="164"/>
        <v>0</v>
      </c>
      <c r="I83" s="811">
        <f t="shared" si="164"/>
        <v>2</v>
      </c>
      <c r="J83" s="811">
        <f t="shared" si="164"/>
        <v>2</v>
      </c>
      <c r="K83" s="811">
        <f t="shared" si="164"/>
        <v>2</v>
      </c>
      <c r="L83" s="811">
        <f t="shared" si="164"/>
        <v>2</v>
      </c>
      <c r="M83" s="811">
        <f t="shared" si="164"/>
        <v>2</v>
      </c>
      <c r="N83" s="811">
        <f t="shared" si="164"/>
        <v>2</v>
      </c>
      <c r="O83" s="811">
        <f t="shared" si="164"/>
        <v>2</v>
      </c>
      <c r="P83" s="811">
        <f t="shared" si="164"/>
        <v>2</v>
      </c>
      <c r="Q83" s="811">
        <f t="shared" ref="Q83" si="165">SUM(Q84:Q85)</f>
        <v>2</v>
      </c>
      <c r="R83" s="811">
        <f t="shared" si="164"/>
        <v>2</v>
      </c>
      <c r="T83" s="831">
        <f t="shared" ref="T83:T94" si="166">HLOOKUP($E$6,$F$9:$R$231,$A83,FALSE)</f>
        <v>2</v>
      </c>
      <c r="U83" s="191">
        <f>U84+U85</f>
        <v>0</v>
      </c>
      <c r="V83" s="61"/>
      <c r="W83" s="61"/>
      <c r="X83" s="61">
        <f>'Manuell filtrering og justering'!E33</f>
        <v>0</v>
      </c>
      <c r="Y83" s="61"/>
      <c r="Z83" s="826">
        <f t="shared" ref="Z83" si="167">SUM(Z84:Z85)</f>
        <v>0</v>
      </c>
      <c r="AA83" s="831">
        <f t="shared" ref="AA83:AA94" si="168">IF(SUM(U83:Y83)&gt;T83,T83,SUM(U83:Y83))</f>
        <v>0</v>
      </c>
      <c r="AB83" s="883">
        <f t="shared" ref="AB83" si="169">SUM(AB84:AB85)</f>
        <v>2</v>
      </c>
      <c r="AD83" s="150">
        <f t="shared" si="136"/>
        <v>1.0370370370370372E-2</v>
      </c>
      <c r="AE83" s="799">
        <f>SUM(AE84:AE85)</f>
        <v>0</v>
      </c>
      <c r="AF83" s="799">
        <f t="shared" ref="AF83:AG83" si="170">SUM(AF84:AF85)</f>
        <v>0</v>
      </c>
      <c r="AG83" s="799">
        <f t="shared" si="170"/>
        <v>0</v>
      </c>
      <c r="AI83" s="826">
        <f t="shared" ref="AI83:AK83" si="171">SUM(AI84:AI85)</f>
        <v>0</v>
      </c>
      <c r="AJ83" s="826">
        <f t="shared" si="171"/>
        <v>0</v>
      </c>
      <c r="AK83" s="826">
        <f t="shared" si="171"/>
        <v>0</v>
      </c>
      <c r="AL83" t="s">
        <v>425</v>
      </c>
      <c r="AM83" s="252"/>
      <c r="AN83" s="253"/>
      <c r="AO83" s="253"/>
      <c r="AP83" s="253"/>
      <c r="AQ83" s="254"/>
      <c r="AS83" s="252"/>
      <c r="AT83" s="253"/>
      <c r="AU83" s="253"/>
      <c r="AV83" s="253"/>
      <c r="AW83" s="254"/>
      <c r="AY83" s="146"/>
      <c r="AZ83" s="43"/>
      <c r="BA83" s="43"/>
      <c r="BB83" s="43"/>
      <c r="BC83" s="147"/>
      <c r="BD83" s="160">
        <f t="shared" si="160"/>
        <v>9</v>
      </c>
      <c r="BE83" s="45" t="str">
        <f t="shared" si="139"/>
        <v>N/A</v>
      </c>
      <c r="BF83" s="163"/>
      <c r="BG83" s="160">
        <f t="shared" si="161"/>
        <v>9</v>
      </c>
      <c r="BH83" s="45" t="str">
        <f t="shared" si="141"/>
        <v>N/A</v>
      </c>
      <c r="BI83" s="163"/>
      <c r="BJ83" s="160">
        <f t="shared" si="162"/>
        <v>9</v>
      </c>
      <c r="BK83" s="45" t="str">
        <f t="shared" si="142"/>
        <v>N/A</v>
      </c>
      <c r="BL83" s="163"/>
      <c r="BO83" s="43"/>
      <c r="BP83" s="43"/>
      <c r="BQ83" s="43" t="str">
        <f t="shared" si="157"/>
        <v/>
      </c>
      <c r="BR83" s="43">
        <f t="shared" si="55"/>
        <v>9</v>
      </c>
      <c r="BS83" s="43">
        <f t="shared" si="56"/>
        <v>9</v>
      </c>
      <c r="BT83" s="43">
        <f t="shared" si="57"/>
        <v>9</v>
      </c>
      <c r="BW83" s="43" t="str">
        <f>D83</f>
        <v>Ene 05</v>
      </c>
      <c r="BX83" s="43" t="str">
        <f>IFERROR(VLOOKUP($E83,'Pre-Assessment Estimator'!$F$11:$AC$226,'Pre-Assessment Estimator'!AC$2,FALSE),"")</f>
        <v>No</v>
      </c>
      <c r="BY83" s="61" t="str">
        <f>IFERROR(VLOOKUP($E83,'Pre-Assessment Estimator'!$F$11:$AJ$226,'Pre-Assessment Estimator'!AJ$2,FALSE),"")</f>
        <v>Ja</v>
      </c>
      <c r="BZ83" s="43">
        <f>IFERROR(VLOOKUP($BX83,$E$293:$H$326,F$291,FALSE),"")</f>
        <v>1</v>
      </c>
      <c r="CA83" s="590" t="s">
        <v>430</v>
      </c>
      <c r="CB83" s="43"/>
      <c r="CC83" t="str">
        <f>IFERROR(VLOOKUP($BX83,$E$293:$H$326,I$291,FALSE),"")</f>
        <v/>
      </c>
      <c r="CD83" t="s">
        <v>403</v>
      </c>
      <c r="CE83" s="43">
        <f>VLOOKUP(CA83,$CA$4:$CB$5,2,FALSE)</f>
        <v>1</v>
      </c>
      <c r="CG83" s="62">
        <f>IF($BX$5=ais_nei,CE83,IF(AND(CA83=$CA$4,BX83=$CC$4),0,BZ83))</f>
        <v>1</v>
      </c>
    </row>
    <row r="84" spans="1:85" x14ac:dyDescent="0.25">
      <c r="A84">
        <v>76</v>
      </c>
      <c r="B84" t="str">
        <f t="shared" ref="B84:B85" si="172">$D$83&amp;D84</f>
        <v>Ene 05a</v>
      </c>
      <c r="C84" t="str">
        <f t="shared" si="159"/>
        <v>Ene 05</v>
      </c>
      <c r="D84" s="144" t="s">
        <v>692</v>
      </c>
      <c r="E84" s="930" t="s">
        <v>629</v>
      </c>
      <c r="F84" s="668">
        <v>1</v>
      </c>
      <c r="G84" s="668">
        <v>1</v>
      </c>
      <c r="H84" s="864">
        <v>0</v>
      </c>
      <c r="I84" s="668">
        <v>1</v>
      </c>
      <c r="J84" s="668">
        <v>1</v>
      </c>
      <c r="K84" s="668">
        <v>1</v>
      </c>
      <c r="L84" s="668">
        <v>1</v>
      </c>
      <c r="M84" s="668">
        <v>1</v>
      </c>
      <c r="N84" s="668">
        <v>1</v>
      </c>
      <c r="O84" s="668">
        <v>1</v>
      </c>
      <c r="P84" s="668">
        <v>1</v>
      </c>
      <c r="Q84" s="668">
        <v>1</v>
      </c>
      <c r="R84" s="668">
        <v>1</v>
      </c>
      <c r="T84" s="148">
        <f t="shared" si="166"/>
        <v>1</v>
      </c>
      <c r="U84" s="191">
        <f>IF(AD_refrig=AD_no,T84,0)</f>
        <v>0</v>
      </c>
      <c r="V84" s="43"/>
      <c r="W84" s="43"/>
      <c r="X84" s="43"/>
      <c r="Y84" s="148">
        <f>IF($Y$4=$Y$6,T84,0)</f>
        <v>0</v>
      </c>
      <c r="Z84" s="147">
        <f>VLOOKUP(B84,'Manuell filtrering og justering'!$A$7:$H$107,'Manuell filtrering og justering'!$H$1,FALSE)</f>
        <v>0</v>
      </c>
      <c r="AA84" s="148">
        <f t="shared" si="168"/>
        <v>0</v>
      </c>
      <c r="AB84" s="149">
        <f>IF($AC$5='Manuell filtrering og justering'!$J$2,Z84,(T84-AA84))</f>
        <v>1</v>
      </c>
      <c r="AD84" s="150">
        <f t="shared" si="136"/>
        <v>5.1851851851851859E-3</v>
      </c>
      <c r="AE84" s="150">
        <f t="shared" si="144"/>
        <v>0</v>
      </c>
      <c r="AF84" s="150">
        <f t="shared" si="145"/>
        <v>0</v>
      </c>
      <c r="AG84" s="150">
        <f t="shared" si="146"/>
        <v>0</v>
      </c>
      <c r="AI84" s="151">
        <f>IF(VLOOKUP(E84,'Pre-Assessment Estimator'!$F$11:$AA$226,'Pre-Assessment Estimator'!$H$2,FALSE)&gt;AB84,AB84,VLOOKUP(E84,'Pre-Assessment Estimator'!$F$11:$AA$226,'Pre-Assessment Estimator'!$H$2,FALSE))</f>
        <v>0</v>
      </c>
      <c r="AJ84" s="151">
        <f>IF(VLOOKUP(E84,'Pre-Assessment Estimator'!$F$11:$AA$226,'Pre-Assessment Estimator'!$O$2,FALSE)&gt;AB84,AB84,VLOOKUP(E84,'Pre-Assessment Estimator'!$F$11:$AA$226,'Pre-Assessment Estimator'!$O$2,FALSE))</f>
        <v>0</v>
      </c>
      <c r="AK84" s="151">
        <f>IF(VLOOKUP(E84,'Pre-Assessment Estimator'!$F$11:$AA$226,'Pre-Assessment Estimator'!$V$2,FALSE)&gt;AB84,AB84,VLOOKUP(E84,'Pre-Assessment Estimator'!$F$11:$AA$226,'Pre-Assessment Estimator'!$V$2,FALSE))</f>
        <v>0</v>
      </c>
      <c r="AM84" s="252"/>
      <c r="AN84" s="253"/>
      <c r="AO84" s="253"/>
      <c r="AP84" s="253"/>
      <c r="AQ84" s="254"/>
      <c r="AS84" s="252"/>
      <c r="AT84" s="253"/>
      <c r="AU84" s="253"/>
      <c r="AV84" s="253"/>
      <c r="AW84" s="254"/>
      <c r="AY84" s="146"/>
      <c r="AZ84" s="43"/>
      <c r="BA84" s="43"/>
      <c r="BB84" s="43"/>
      <c r="BC84" s="147"/>
      <c r="BD84" s="160">
        <f t="shared" si="160"/>
        <v>9</v>
      </c>
      <c r="BE84" s="45" t="str">
        <f t="shared" si="139"/>
        <v>N/A</v>
      </c>
      <c r="BF84" s="163"/>
      <c r="BG84" s="160">
        <f t="shared" si="161"/>
        <v>9</v>
      </c>
      <c r="BH84" s="45" t="str">
        <f t="shared" si="141"/>
        <v>N/A</v>
      </c>
      <c r="BI84" s="163"/>
      <c r="BJ84" s="160">
        <f t="shared" si="162"/>
        <v>9</v>
      </c>
      <c r="BK84" s="45" t="str">
        <f t="shared" si="142"/>
        <v>N/A</v>
      </c>
      <c r="BL84" s="163"/>
      <c r="BO84" s="43"/>
      <c r="BP84" s="43"/>
      <c r="BQ84" s="43" t="str">
        <f t="shared" si="157"/>
        <v/>
      </c>
      <c r="BR84" s="43">
        <f t="shared" si="55"/>
        <v>9</v>
      </c>
      <c r="BS84" s="43">
        <f t="shared" si="56"/>
        <v>9</v>
      </c>
      <c r="BT84" s="43">
        <f t="shared" si="57"/>
        <v>9</v>
      </c>
      <c r="BW84" s="43"/>
      <c r="BX84" s="43"/>
      <c r="BY84" s="61"/>
      <c r="BZ84" s="43"/>
      <c r="CA84" s="590"/>
      <c r="CB84" s="43"/>
      <c r="CG84" s="62"/>
    </row>
    <row r="85" spans="1:85" x14ac:dyDescent="0.25">
      <c r="A85">
        <v>77</v>
      </c>
      <c r="B85" t="str">
        <f t="shared" si="172"/>
        <v>Ene 05b</v>
      </c>
      <c r="C85" t="str">
        <f t="shared" si="159"/>
        <v>Ene 05</v>
      </c>
      <c r="D85" s="144" t="s">
        <v>695</v>
      </c>
      <c r="E85" s="930" t="s">
        <v>630</v>
      </c>
      <c r="F85" s="668">
        <v>1</v>
      </c>
      <c r="G85" s="668">
        <v>1</v>
      </c>
      <c r="H85" s="864">
        <v>0</v>
      </c>
      <c r="I85" s="668">
        <v>1</v>
      </c>
      <c r="J85" s="668">
        <v>1</v>
      </c>
      <c r="K85" s="668">
        <v>1</v>
      </c>
      <c r="L85" s="668">
        <v>1</v>
      </c>
      <c r="M85" s="668">
        <v>1</v>
      </c>
      <c r="N85" s="668">
        <v>1</v>
      </c>
      <c r="O85" s="668">
        <v>1</v>
      </c>
      <c r="P85" s="668">
        <v>1</v>
      </c>
      <c r="Q85" s="668">
        <v>1</v>
      </c>
      <c r="R85" s="668">
        <v>1</v>
      </c>
      <c r="T85" s="148">
        <f t="shared" si="166"/>
        <v>1</v>
      </c>
      <c r="U85" s="191">
        <f>IF(AD_refrig=AD_no,T85,0)</f>
        <v>0</v>
      </c>
      <c r="V85" s="43"/>
      <c r="W85" s="43"/>
      <c r="X85" s="43"/>
      <c r="Y85" s="148">
        <f>IF($Y$4=$Y$6,T85,0)</f>
        <v>0</v>
      </c>
      <c r="Z85" s="147">
        <f>VLOOKUP(B85,'Manuell filtrering og justering'!$A$7:$H$107,'Manuell filtrering og justering'!$H$1,FALSE)</f>
        <v>0</v>
      </c>
      <c r="AA85" s="148">
        <f t="shared" si="168"/>
        <v>0</v>
      </c>
      <c r="AB85" s="149">
        <f>IF($AC$5='Manuell filtrering og justering'!$J$2,Z85,(T85-AA85))</f>
        <v>1</v>
      </c>
      <c r="AD85" s="150">
        <f t="shared" si="136"/>
        <v>5.1851851851851859E-3</v>
      </c>
      <c r="AE85" s="150">
        <f t="shared" si="144"/>
        <v>0</v>
      </c>
      <c r="AF85" s="150">
        <f t="shared" si="145"/>
        <v>0</v>
      </c>
      <c r="AG85" s="150">
        <f t="shared" si="146"/>
        <v>0</v>
      </c>
      <c r="AI85" s="151">
        <f>IF(VLOOKUP(E85,'Pre-Assessment Estimator'!$F$11:$AA$226,'Pre-Assessment Estimator'!$H$2,FALSE)&gt;AB85,AB85,VLOOKUP(E85,'Pre-Assessment Estimator'!$F$11:$AA$226,'Pre-Assessment Estimator'!$H$2,FALSE))</f>
        <v>0</v>
      </c>
      <c r="AJ85" s="151">
        <f>IF(VLOOKUP(E85,'Pre-Assessment Estimator'!$F$11:$AA$226,'Pre-Assessment Estimator'!$O$2,FALSE)&gt;AB85,AB85,VLOOKUP(E85,'Pre-Assessment Estimator'!$F$11:$AA$226,'Pre-Assessment Estimator'!$O$2,FALSE))</f>
        <v>0</v>
      </c>
      <c r="AK85" s="151">
        <f>IF(VLOOKUP(E85,'Pre-Assessment Estimator'!$F$11:$AA$226,'Pre-Assessment Estimator'!$V$2,FALSE)&gt;AB85,AB85,VLOOKUP(E85,'Pre-Assessment Estimator'!$F$11:$AA$226,'Pre-Assessment Estimator'!$V$2,FALSE))</f>
        <v>0</v>
      </c>
      <c r="AM85" s="252"/>
      <c r="AN85" s="253"/>
      <c r="AO85" s="253"/>
      <c r="AP85" s="253"/>
      <c r="AQ85" s="254"/>
      <c r="AS85" s="252"/>
      <c r="AT85" s="253"/>
      <c r="AU85" s="253"/>
      <c r="AV85" s="253"/>
      <c r="AW85" s="254"/>
      <c r="AY85" s="146"/>
      <c r="AZ85" s="43"/>
      <c r="BA85" s="43"/>
      <c r="BB85" s="43"/>
      <c r="BC85" s="147"/>
      <c r="BD85" s="160">
        <f t="shared" si="160"/>
        <v>9</v>
      </c>
      <c r="BE85" s="45" t="str">
        <f t="shared" si="139"/>
        <v>N/A</v>
      </c>
      <c r="BF85" s="163"/>
      <c r="BG85" s="160">
        <f t="shared" si="161"/>
        <v>9</v>
      </c>
      <c r="BH85" s="45" t="str">
        <f t="shared" si="141"/>
        <v>N/A</v>
      </c>
      <c r="BI85" s="163"/>
      <c r="BJ85" s="160">
        <f t="shared" si="162"/>
        <v>9</v>
      </c>
      <c r="BK85" s="45" t="str">
        <f t="shared" si="142"/>
        <v>N/A</v>
      </c>
      <c r="BL85" s="163"/>
      <c r="BO85" s="43"/>
      <c r="BP85" s="43"/>
      <c r="BQ85" s="43" t="str">
        <f t="shared" si="157"/>
        <v/>
      </c>
      <c r="BR85" s="43">
        <f t="shared" si="55"/>
        <v>9</v>
      </c>
      <c r="BS85" s="43">
        <f t="shared" si="56"/>
        <v>9</v>
      </c>
      <c r="BT85" s="43">
        <f t="shared" si="57"/>
        <v>9</v>
      </c>
      <c r="BW85" s="43"/>
      <c r="BX85" s="43"/>
      <c r="BY85" s="61"/>
      <c r="BZ85" s="43"/>
      <c r="CA85" s="590"/>
      <c r="CB85" s="43"/>
      <c r="CG85" s="62"/>
    </row>
    <row r="86" spans="1:85" x14ac:dyDescent="0.25">
      <c r="A86">
        <v>78</v>
      </c>
      <c r="B86" s="121" t="str">
        <f>D86</f>
        <v>Ene 06</v>
      </c>
      <c r="C86" s="121" t="str">
        <f>B86</f>
        <v>Ene 06</v>
      </c>
      <c r="D86" s="727" t="s">
        <v>139</v>
      </c>
      <c r="E86" s="725" t="s">
        <v>130</v>
      </c>
      <c r="F86" s="811">
        <f t="shared" ref="F86:R86" si="173">SUM(F87:F89)</f>
        <v>3</v>
      </c>
      <c r="G86" s="811">
        <f t="shared" si="173"/>
        <v>3</v>
      </c>
      <c r="H86" s="811">
        <f t="shared" si="173"/>
        <v>3</v>
      </c>
      <c r="I86" s="811">
        <f t="shared" si="173"/>
        <v>3</v>
      </c>
      <c r="J86" s="811">
        <f t="shared" si="173"/>
        <v>3</v>
      </c>
      <c r="K86" s="811">
        <f t="shared" si="173"/>
        <v>3</v>
      </c>
      <c r="L86" s="811">
        <f t="shared" si="173"/>
        <v>3</v>
      </c>
      <c r="M86" s="811">
        <f t="shared" si="173"/>
        <v>3</v>
      </c>
      <c r="N86" s="811">
        <f t="shared" si="173"/>
        <v>3</v>
      </c>
      <c r="O86" s="811">
        <f t="shared" si="173"/>
        <v>3</v>
      </c>
      <c r="P86" s="811">
        <f t="shared" si="173"/>
        <v>3</v>
      </c>
      <c r="Q86" s="811">
        <f t="shared" ref="Q86" si="174">SUM(Q87:Q89)</f>
        <v>3</v>
      </c>
      <c r="R86" s="811">
        <f t="shared" si="173"/>
        <v>3</v>
      </c>
      <c r="T86" s="831">
        <f t="shared" si="166"/>
        <v>3</v>
      </c>
      <c r="U86" s="61">
        <f>U87+U88+U89</f>
        <v>0</v>
      </c>
      <c r="V86" s="61"/>
      <c r="W86" s="61"/>
      <c r="X86" s="61">
        <f>'Manuell filtrering og justering'!E34</f>
        <v>0</v>
      </c>
      <c r="Y86" s="61"/>
      <c r="Z86" s="826">
        <f t="shared" ref="Z86" si="175">SUM(Z87:Z89)</f>
        <v>3</v>
      </c>
      <c r="AA86" s="831">
        <f t="shared" si="168"/>
        <v>0</v>
      </c>
      <c r="AB86" s="883">
        <f>SUM(AB87:AB89)</f>
        <v>3</v>
      </c>
      <c r="AD86" s="150">
        <f t="shared" si="136"/>
        <v>1.5555555555555559E-2</v>
      </c>
      <c r="AE86" s="799">
        <f>SUM(AE87:AE89)</f>
        <v>0</v>
      </c>
      <c r="AF86" s="799">
        <f t="shared" ref="AF86:AG86" si="176">SUM(AF87:AF89)</f>
        <v>0</v>
      </c>
      <c r="AG86" s="799">
        <f t="shared" si="176"/>
        <v>0</v>
      </c>
      <c r="AI86" s="826">
        <f t="shared" ref="AI86:AK86" si="177">SUM(AI87:AI89)</f>
        <v>0</v>
      </c>
      <c r="AJ86" s="826">
        <f t="shared" si="177"/>
        <v>0</v>
      </c>
      <c r="AK86" s="826">
        <f t="shared" si="177"/>
        <v>0</v>
      </c>
      <c r="AM86" s="252"/>
      <c r="AN86" s="253"/>
      <c r="AO86" s="253"/>
      <c r="AP86" s="253"/>
      <c r="AQ86" s="254"/>
      <c r="AS86" s="252"/>
      <c r="AT86" s="253"/>
      <c r="AU86" s="253"/>
      <c r="AV86" s="253"/>
      <c r="AW86" s="254"/>
      <c r="AY86" s="146"/>
      <c r="AZ86" s="43"/>
      <c r="BA86" s="43"/>
      <c r="BB86" s="43"/>
      <c r="BC86" s="147"/>
      <c r="BD86" s="160">
        <f t="shared" si="160"/>
        <v>9</v>
      </c>
      <c r="BE86" s="45" t="str">
        <f t="shared" si="139"/>
        <v>N/A</v>
      </c>
      <c r="BF86" s="163"/>
      <c r="BG86" s="160">
        <f t="shared" si="161"/>
        <v>9</v>
      </c>
      <c r="BH86" s="45" t="str">
        <f t="shared" si="141"/>
        <v>N/A</v>
      </c>
      <c r="BI86" s="163"/>
      <c r="BJ86" s="160">
        <f t="shared" si="162"/>
        <v>9</v>
      </c>
      <c r="BK86" s="45" t="str">
        <f t="shared" si="142"/>
        <v>N/A</v>
      </c>
      <c r="BL86" s="163"/>
      <c r="BO86" s="43"/>
      <c r="BP86" s="43"/>
      <c r="BQ86" s="43" t="str">
        <f t="shared" si="157"/>
        <v/>
      </c>
      <c r="BR86" s="43">
        <f t="shared" si="55"/>
        <v>9</v>
      </c>
      <c r="BS86" s="43">
        <f t="shared" si="56"/>
        <v>9</v>
      </c>
      <c r="BT86" s="43">
        <f t="shared" si="57"/>
        <v>9</v>
      </c>
      <c r="BW86" s="43" t="str">
        <f>D86</f>
        <v>Ene 06</v>
      </c>
      <c r="BX86" s="43" t="str">
        <f>IFERROR(VLOOKUP($E86,'Pre-Assessment Estimator'!$F$11:$AC$226,'Pre-Assessment Estimator'!AC$2,FALSE),"")</f>
        <v>No</v>
      </c>
      <c r="BY86" s="43">
        <f>IFERROR(VLOOKUP($E86,'Pre-Assessment Estimator'!$F$11:$AJ$226,'Pre-Assessment Estimator'!AJ$2,FALSE),"")</f>
        <v>0</v>
      </c>
      <c r="BZ86" s="43">
        <f>IFERROR(VLOOKUP($BX86,$E$293:$H$326,F$291,FALSE),"")</f>
        <v>1</v>
      </c>
      <c r="CA86" s="43">
        <f>IFERROR(VLOOKUP($BX86,$E$293:$H$326,G$291,FALSE),"")</f>
        <v>0</v>
      </c>
      <c r="CB86" s="43"/>
      <c r="CC86" t="str">
        <f>IFERROR(VLOOKUP($BX86,$E$293:$H$326,I$291,FALSE),"")</f>
        <v/>
      </c>
    </row>
    <row r="87" spans="1:85" x14ac:dyDescent="0.25">
      <c r="A87">
        <v>79</v>
      </c>
      <c r="B87" t="str">
        <f t="shared" ref="B87:B89" si="178">$D$86&amp;D87</f>
        <v>Ene 06a</v>
      </c>
      <c r="C87" t="str">
        <f t="shared" si="159"/>
        <v>Ene 06</v>
      </c>
      <c r="D87" s="144" t="s">
        <v>692</v>
      </c>
      <c r="E87" s="930" t="s">
        <v>891</v>
      </c>
      <c r="F87" s="668">
        <v>1</v>
      </c>
      <c r="G87" s="668">
        <v>1</v>
      </c>
      <c r="H87" s="668">
        <v>1</v>
      </c>
      <c r="I87" s="668">
        <v>1</v>
      </c>
      <c r="J87" s="668">
        <v>1</v>
      </c>
      <c r="K87" s="668">
        <v>1</v>
      </c>
      <c r="L87" s="668">
        <v>1</v>
      </c>
      <c r="M87" s="668">
        <v>1</v>
      </c>
      <c r="N87" s="668">
        <v>1</v>
      </c>
      <c r="O87" s="668">
        <v>1</v>
      </c>
      <c r="P87" s="668">
        <v>1</v>
      </c>
      <c r="Q87" s="668">
        <v>1</v>
      </c>
      <c r="R87" s="668">
        <v>1</v>
      </c>
      <c r="T87" s="148">
        <f t="shared" si="166"/>
        <v>1</v>
      </c>
      <c r="U87" s="191">
        <f>IF(AD_Trans=AD_no,Poeng!T87,0)</f>
        <v>0</v>
      </c>
      <c r="V87" s="43"/>
      <c r="W87" s="43"/>
      <c r="X87" s="43"/>
      <c r="Y87" s="147"/>
      <c r="Z87" s="147">
        <f>VLOOKUP(B87,'Manuell filtrering og justering'!$A$7:$H$107,'Manuell filtrering og justering'!$H$1,FALSE)</f>
        <v>1</v>
      </c>
      <c r="AA87" s="148">
        <f t="shared" si="168"/>
        <v>0</v>
      </c>
      <c r="AB87" s="149">
        <f>IF($AC$5='Manuell filtrering og justering'!$J$2,Z87,(T87-AA87))</f>
        <v>1</v>
      </c>
      <c r="AD87" s="150">
        <f t="shared" si="136"/>
        <v>5.1851851851851859E-3</v>
      </c>
      <c r="AE87" s="150">
        <f t="shared" si="144"/>
        <v>0</v>
      </c>
      <c r="AF87" s="150">
        <f t="shared" si="145"/>
        <v>0</v>
      </c>
      <c r="AG87" s="150">
        <f t="shared" si="146"/>
        <v>0</v>
      </c>
      <c r="AI87" s="151">
        <f>IF(VLOOKUP(E87,'Pre-Assessment Estimator'!$F$11:$AA$226,'Pre-Assessment Estimator'!$H$2,FALSE)&gt;AB87,AB87,VLOOKUP(E87,'Pre-Assessment Estimator'!$F$11:$AA$226,'Pre-Assessment Estimator'!$H$2,FALSE))</f>
        <v>0</v>
      </c>
      <c r="AJ87" s="151">
        <f>IF(VLOOKUP(E87,'Pre-Assessment Estimator'!$F$11:$AA$226,'Pre-Assessment Estimator'!$O$2,FALSE)&gt;AB87,AB87,VLOOKUP(E87,'Pre-Assessment Estimator'!$F$11:$AA$226,'Pre-Assessment Estimator'!$O$2,FALSE))</f>
        <v>0</v>
      </c>
      <c r="AK87" s="151">
        <f>IF(VLOOKUP(E87,'Pre-Assessment Estimator'!$F$11:$AA$226,'Pre-Assessment Estimator'!$V$2,FALSE)&gt;AB87,AB87,VLOOKUP(E87,'Pre-Assessment Estimator'!$F$11:$AA$226,'Pre-Assessment Estimator'!$V$2,FALSE))</f>
        <v>0</v>
      </c>
      <c r="AM87" s="252"/>
      <c r="AN87" s="253"/>
      <c r="AO87" s="253"/>
      <c r="AP87" s="253"/>
      <c r="AQ87" s="254"/>
      <c r="AS87" s="252"/>
      <c r="AT87" s="253"/>
      <c r="AU87" s="253"/>
      <c r="AV87" s="253"/>
      <c r="AW87" s="254"/>
      <c r="AY87" s="146"/>
      <c r="AZ87" s="43"/>
      <c r="BA87" s="43"/>
      <c r="BB87" s="43"/>
      <c r="BC87" s="147"/>
      <c r="BD87" s="160">
        <f t="shared" si="160"/>
        <v>9</v>
      </c>
      <c r="BE87" s="45" t="str">
        <f t="shared" si="139"/>
        <v>N/A</v>
      </c>
      <c r="BF87" s="163"/>
      <c r="BG87" s="160">
        <f t="shared" si="161"/>
        <v>9</v>
      </c>
      <c r="BH87" s="45" t="str">
        <f t="shared" si="141"/>
        <v>N/A</v>
      </c>
      <c r="BI87" s="163"/>
      <c r="BJ87" s="160">
        <f t="shared" si="162"/>
        <v>9</v>
      </c>
      <c r="BK87" s="45" t="str">
        <f t="shared" si="142"/>
        <v>N/A</v>
      </c>
      <c r="BL87" s="163"/>
      <c r="BO87" s="43"/>
      <c r="BP87" s="43"/>
      <c r="BQ87" s="43" t="str">
        <f t="shared" si="157"/>
        <v/>
      </c>
      <c r="BR87" s="43">
        <f t="shared" si="55"/>
        <v>9</v>
      </c>
      <c r="BS87" s="43">
        <f t="shared" si="56"/>
        <v>9</v>
      </c>
      <c r="BT87" s="43">
        <f t="shared" si="57"/>
        <v>9</v>
      </c>
      <c r="BW87" s="43"/>
      <c r="BX87" s="43"/>
      <c r="BY87" s="43"/>
      <c r="BZ87" s="43"/>
      <c r="CA87" s="43"/>
      <c r="CB87" s="43"/>
    </row>
    <row r="88" spans="1:85" x14ac:dyDescent="0.25">
      <c r="A88">
        <v>80</v>
      </c>
      <c r="B88" t="str">
        <f t="shared" si="178"/>
        <v>Ene 06b</v>
      </c>
      <c r="C88" t="str">
        <f t="shared" si="159"/>
        <v>Ene 06</v>
      </c>
      <c r="D88" s="144" t="s">
        <v>695</v>
      </c>
      <c r="E88" s="930" t="s">
        <v>993</v>
      </c>
      <c r="F88" s="668">
        <v>1</v>
      </c>
      <c r="G88" s="668">
        <v>1</v>
      </c>
      <c r="H88" s="668">
        <v>1</v>
      </c>
      <c r="I88" s="668">
        <v>1</v>
      </c>
      <c r="J88" s="668">
        <v>1</v>
      </c>
      <c r="K88" s="668">
        <v>1</v>
      </c>
      <c r="L88" s="668">
        <v>1</v>
      </c>
      <c r="M88" s="668">
        <v>1</v>
      </c>
      <c r="N88" s="668">
        <v>1</v>
      </c>
      <c r="O88" s="668">
        <v>1</v>
      </c>
      <c r="P88" s="668">
        <v>1</v>
      </c>
      <c r="Q88" s="668">
        <v>1</v>
      </c>
      <c r="R88" s="668">
        <v>1</v>
      </c>
      <c r="T88" s="148">
        <f t="shared" si="166"/>
        <v>1</v>
      </c>
      <c r="U88" s="191">
        <f>IF(OR(AD_Trans='Assessment Details'!R53,AD_Trans='Assessment Details'!Q53),Poeng!T88,0)</f>
        <v>0</v>
      </c>
      <c r="V88" s="43"/>
      <c r="W88" s="43"/>
      <c r="X88" s="43"/>
      <c r="Y88" s="147"/>
      <c r="Z88" s="147">
        <f>VLOOKUP(B88,'Manuell filtrering og justering'!$A$7:$H$107,'Manuell filtrering og justering'!$H$1,FALSE)</f>
        <v>1</v>
      </c>
      <c r="AA88" s="148">
        <f t="shared" si="168"/>
        <v>0</v>
      </c>
      <c r="AB88" s="149">
        <f>IF($AC$5='Manuell filtrering og justering'!$J$2,Z88,(T88-AA88))</f>
        <v>1</v>
      </c>
      <c r="AD88" s="150">
        <f t="shared" ref="AD88" si="179">(Ene_Weight/Ene_Credits)*AB88</f>
        <v>5.1851851851851859E-3</v>
      </c>
      <c r="AE88" s="150">
        <f t="shared" ref="AE88" si="180">IF(AB88=0,0,(AD88/AB88)*AI88)</f>
        <v>0</v>
      </c>
      <c r="AF88" s="150">
        <f t="shared" ref="AF88" si="181">IF(AB88=0,0,(AD88/AB88)*AJ88)</f>
        <v>0</v>
      </c>
      <c r="AG88" s="150">
        <f t="shared" ref="AG88" si="182">IF(AB88=0,0,(AD88/AB88)*AK88)</f>
        <v>0</v>
      </c>
      <c r="AI88" s="151">
        <f>IF(VLOOKUP(E88,'Pre-Assessment Estimator'!$F$11:$AA$226,'Pre-Assessment Estimator'!$H$2,FALSE)&gt;AB88,AB88,VLOOKUP(E88,'Pre-Assessment Estimator'!$F$11:$AA$226,'Pre-Assessment Estimator'!$H$2,FALSE))</f>
        <v>0</v>
      </c>
      <c r="AJ88" s="151">
        <f>IF(VLOOKUP(E88,'Pre-Assessment Estimator'!$F$11:$AA$226,'Pre-Assessment Estimator'!$O$2,FALSE)&gt;AB88,AB88,VLOOKUP(E88,'Pre-Assessment Estimator'!$F$11:$AA$226,'Pre-Assessment Estimator'!$O$2,FALSE))</f>
        <v>0</v>
      </c>
      <c r="AK88" s="151">
        <f>IF(VLOOKUP(E88,'Pre-Assessment Estimator'!$F$11:$AA$226,'Pre-Assessment Estimator'!$V$2,FALSE)&gt;AB88,AB88,VLOOKUP(E88,'Pre-Assessment Estimator'!$F$11:$AA$226,'Pre-Assessment Estimator'!$V$2,FALSE))</f>
        <v>0</v>
      </c>
      <c r="AM88" s="252"/>
      <c r="AN88" s="253"/>
      <c r="AO88" s="253"/>
      <c r="AP88" s="253"/>
      <c r="AQ88" s="254"/>
      <c r="AS88" s="252"/>
      <c r="AT88" s="253"/>
      <c r="AU88" s="253"/>
      <c r="AV88" s="253"/>
      <c r="AW88" s="254"/>
      <c r="AY88" s="146"/>
      <c r="AZ88" s="43"/>
      <c r="BA88" s="43"/>
      <c r="BB88" s="43"/>
      <c r="BC88" s="147"/>
      <c r="BD88" s="160">
        <f t="shared" ref="BD88" si="183">IF(BC88=0,9,IF((AI88-CG88)&gt;=BC88,5,IF((AI88-CG88)&gt;=BB88,4,IF((AI88-CG88)&gt;=BA88,3,IF((AI88-CG88)&gt;=AZ88,2,IF((AI88-CG88)&lt;AY88,0,1))))))</f>
        <v>9</v>
      </c>
      <c r="BE88" s="45" t="str">
        <f t="shared" si="139"/>
        <v>N/A</v>
      </c>
      <c r="BF88" s="163"/>
      <c r="BG88" s="160">
        <f t="shared" ref="BG88" si="184">IF(BC88=0,9,IF((AJ88-CG88)&gt;=BC88,5,IF((AJ88-CG88)&gt;=BB88,4,IF((AJ88-CG88)&gt;=BA88,3,IF((AJ88-CG88)&gt;=AZ88,2,IF((AJ88-CG88)&lt;AY88,0,1))))))</f>
        <v>9</v>
      </c>
      <c r="BH88" s="45" t="str">
        <f t="shared" si="141"/>
        <v>N/A</v>
      </c>
      <c r="BI88" s="163"/>
      <c r="BJ88" s="160">
        <f t="shared" ref="BJ88" si="185">IF(BC88=0,9,IF((AK88-CG88)&gt;=BC88,5,IF((AK88-CG88)&gt;=BB88,4,IF((AK88-CG88)&gt;=BA88,3,IF((AK88-CG88)&gt;=AZ88,2,IF((AK88-CG88)&lt;AY88,0,1))))))</f>
        <v>9</v>
      </c>
      <c r="BK88" s="45" t="str">
        <f t="shared" si="142"/>
        <v>N/A</v>
      </c>
      <c r="BL88" s="163"/>
      <c r="BO88" s="43"/>
      <c r="BP88" s="43"/>
      <c r="BQ88" s="43" t="str">
        <f t="shared" si="157"/>
        <v/>
      </c>
      <c r="BR88" s="43">
        <f t="shared" si="55"/>
        <v>9</v>
      </c>
      <c r="BS88" s="43">
        <f t="shared" si="56"/>
        <v>9</v>
      </c>
      <c r="BT88" s="43">
        <f t="shared" si="57"/>
        <v>9</v>
      </c>
      <c r="BW88" s="43"/>
      <c r="BX88" s="43"/>
      <c r="BY88" s="43"/>
      <c r="BZ88" s="43"/>
      <c r="CA88" s="43"/>
      <c r="CB88" s="43"/>
    </row>
    <row r="89" spans="1:85" x14ac:dyDescent="0.25">
      <c r="A89">
        <v>81</v>
      </c>
      <c r="B89" t="str">
        <f t="shared" si="178"/>
        <v>Ene 06c</v>
      </c>
      <c r="C89" t="str">
        <f t="shared" si="159"/>
        <v>Ene 06</v>
      </c>
      <c r="D89" s="144" t="s">
        <v>696</v>
      </c>
      <c r="E89" s="930" t="s">
        <v>994</v>
      </c>
      <c r="F89" s="668">
        <v>1</v>
      </c>
      <c r="G89" s="668">
        <v>1</v>
      </c>
      <c r="H89" s="668">
        <v>1</v>
      </c>
      <c r="I89" s="668">
        <v>1</v>
      </c>
      <c r="J89" s="668">
        <v>1</v>
      </c>
      <c r="K89" s="668">
        <v>1</v>
      </c>
      <c r="L89" s="668">
        <v>1</v>
      </c>
      <c r="M89" s="668">
        <v>1</v>
      </c>
      <c r="N89" s="668">
        <v>1</v>
      </c>
      <c r="O89" s="668">
        <v>1</v>
      </c>
      <c r="P89" s="668">
        <v>1</v>
      </c>
      <c r="Q89" s="668">
        <v>1</v>
      </c>
      <c r="R89" s="668">
        <v>1</v>
      </c>
      <c r="T89" s="148">
        <f t="shared" si="166"/>
        <v>1</v>
      </c>
      <c r="U89" s="191">
        <f>IF(OR(AD_Trans='Assessment Details'!R53,AD_Trans='Assessment Details'!Q52),Poeng!T88,0)</f>
        <v>0</v>
      </c>
      <c r="V89" s="43"/>
      <c r="W89" s="43"/>
      <c r="X89" s="43"/>
      <c r="Y89" s="147"/>
      <c r="Z89" s="147">
        <f>VLOOKUP(B89,'Manuell filtrering og justering'!$A$7:$H$107,'Manuell filtrering og justering'!$H$1,FALSE)</f>
        <v>1</v>
      </c>
      <c r="AA89" s="148">
        <f t="shared" si="168"/>
        <v>0</v>
      </c>
      <c r="AB89" s="149">
        <f>IF($AC$5='Manuell filtrering og justering'!$J$2,Z89,(T89-AA89))</f>
        <v>1</v>
      </c>
      <c r="AD89" s="150">
        <f t="shared" si="136"/>
        <v>5.1851851851851859E-3</v>
      </c>
      <c r="AE89" s="150">
        <f t="shared" si="144"/>
        <v>0</v>
      </c>
      <c r="AF89" s="150">
        <f t="shared" si="145"/>
        <v>0</v>
      </c>
      <c r="AG89" s="150">
        <f t="shared" si="146"/>
        <v>0</v>
      </c>
      <c r="AI89" s="151">
        <f>IF(VLOOKUP(E89,'Pre-Assessment Estimator'!$F$11:$AA$226,'Pre-Assessment Estimator'!$H$2,FALSE)&gt;AB89,AB89,VLOOKUP(E89,'Pre-Assessment Estimator'!$F$11:$AA$226,'Pre-Assessment Estimator'!$H$2,FALSE))</f>
        <v>0</v>
      </c>
      <c r="AJ89" s="151">
        <f>IF(VLOOKUP(E89,'Pre-Assessment Estimator'!$F$11:$AA$226,'Pre-Assessment Estimator'!$O$2,FALSE)&gt;AB89,AB89,VLOOKUP(E89,'Pre-Assessment Estimator'!$F$11:$AA$226,'Pre-Assessment Estimator'!$O$2,FALSE))</f>
        <v>0</v>
      </c>
      <c r="AK89" s="151">
        <f>IF(VLOOKUP(E89,'Pre-Assessment Estimator'!$F$11:$AA$226,'Pre-Assessment Estimator'!$V$2,FALSE)&gt;AB89,AB89,VLOOKUP(E89,'Pre-Assessment Estimator'!$F$11:$AA$226,'Pre-Assessment Estimator'!$V$2,FALSE))</f>
        <v>0</v>
      </c>
      <c r="AM89" s="252"/>
      <c r="AN89" s="253"/>
      <c r="AO89" s="253"/>
      <c r="AP89" s="253"/>
      <c r="AQ89" s="254"/>
      <c r="AS89" s="252"/>
      <c r="AT89" s="253"/>
      <c r="AU89" s="253"/>
      <c r="AV89" s="253"/>
      <c r="AW89" s="254"/>
      <c r="AY89" s="146"/>
      <c r="AZ89" s="43"/>
      <c r="BA89" s="43"/>
      <c r="BB89" s="43"/>
      <c r="BC89" s="147"/>
      <c r="BD89" s="160">
        <f t="shared" si="160"/>
        <v>9</v>
      </c>
      <c r="BE89" s="45" t="str">
        <f t="shared" si="139"/>
        <v>N/A</v>
      </c>
      <c r="BF89" s="163"/>
      <c r="BG89" s="160">
        <f t="shared" si="161"/>
        <v>9</v>
      </c>
      <c r="BH89" s="45" t="str">
        <f t="shared" si="141"/>
        <v>N/A</v>
      </c>
      <c r="BI89" s="163"/>
      <c r="BJ89" s="160">
        <f t="shared" si="162"/>
        <v>9</v>
      </c>
      <c r="BK89" s="45" t="str">
        <f t="shared" si="142"/>
        <v>N/A</v>
      </c>
      <c r="BL89" s="163"/>
      <c r="BO89" s="43"/>
      <c r="BP89" s="43"/>
      <c r="BQ89" s="43" t="str">
        <f t="shared" si="157"/>
        <v/>
      </c>
      <c r="BR89" s="43">
        <f t="shared" si="55"/>
        <v>9</v>
      </c>
      <c r="BS89" s="43">
        <f t="shared" si="56"/>
        <v>9</v>
      </c>
      <c r="BT89" s="43">
        <f t="shared" si="57"/>
        <v>9</v>
      </c>
      <c r="BW89" s="43"/>
      <c r="BX89" s="43"/>
      <c r="BY89" s="43"/>
      <c r="BZ89" s="43"/>
      <c r="CA89" s="43"/>
      <c r="CB89" s="43"/>
    </row>
    <row r="90" spans="1:85" x14ac:dyDescent="0.25">
      <c r="A90">
        <v>82</v>
      </c>
      <c r="B90" s="121" t="str">
        <f>D90</f>
        <v>Ene 07</v>
      </c>
      <c r="C90" s="121" t="str">
        <f>B90</f>
        <v>Ene 07</v>
      </c>
      <c r="D90" s="727" t="s">
        <v>140</v>
      </c>
      <c r="E90" s="725" t="s">
        <v>131</v>
      </c>
      <c r="F90" s="811">
        <f>SUM(F91:F92)</f>
        <v>5</v>
      </c>
      <c r="G90" s="811">
        <f>SUM(G91:G92)</f>
        <v>0</v>
      </c>
      <c r="H90" s="811">
        <f t="shared" ref="H90:P90" si="186">SUM(H91:H92)</f>
        <v>0</v>
      </c>
      <c r="I90" s="811">
        <f t="shared" si="186"/>
        <v>5</v>
      </c>
      <c r="J90" s="811">
        <f t="shared" si="186"/>
        <v>5</v>
      </c>
      <c r="K90" s="811">
        <f t="shared" si="186"/>
        <v>0</v>
      </c>
      <c r="L90" s="811">
        <f t="shared" si="186"/>
        <v>0</v>
      </c>
      <c r="M90" s="811">
        <f t="shared" si="186"/>
        <v>0</v>
      </c>
      <c r="N90" s="811">
        <f t="shared" si="186"/>
        <v>0</v>
      </c>
      <c r="O90" s="811">
        <f t="shared" si="186"/>
        <v>0</v>
      </c>
      <c r="P90" s="811">
        <f t="shared" si="186"/>
        <v>0</v>
      </c>
      <c r="Q90" s="811">
        <f>SUM(Q91:Q92)</f>
        <v>5</v>
      </c>
      <c r="R90" s="811">
        <f>SUM(R91:R92)</f>
        <v>5</v>
      </c>
      <c r="T90" s="831">
        <f t="shared" si="166"/>
        <v>5</v>
      </c>
      <c r="U90" s="61">
        <f>U91+U92</f>
        <v>0</v>
      </c>
      <c r="V90" s="61">
        <f>V91+V92</f>
        <v>0</v>
      </c>
      <c r="W90" s="61"/>
      <c r="X90" s="61"/>
      <c r="Y90" s="61"/>
      <c r="Z90" s="826"/>
      <c r="AA90" s="831">
        <f t="shared" si="168"/>
        <v>0</v>
      </c>
      <c r="AB90" s="883">
        <f t="shared" ref="AB90" si="187">SUM(AB91:AB92)</f>
        <v>5</v>
      </c>
      <c r="AD90" s="150">
        <f t="shared" si="136"/>
        <v>2.5925925925925929E-2</v>
      </c>
      <c r="AE90" s="799">
        <f>SUM(AE91:AE92)</f>
        <v>0</v>
      </c>
      <c r="AF90" s="799">
        <f t="shared" ref="AF90:AG90" si="188">SUM(AF91:AF92)</f>
        <v>0</v>
      </c>
      <c r="AG90" s="799">
        <f t="shared" si="188"/>
        <v>0</v>
      </c>
      <c r="AI90" s="826">
        <f t="shared" ref="AI90:AK90" si="189">SUM(AI91:AI92)</f>
        <v>0</v>
      </c>
      <c r="AJ90" s="826">
        <f t="shared" si="189"/>
        <v>0</v>
      </c>
      <c r="AK90" s="826">
        <f t="shared" si="189"/>
        <v>0</v>
      </c>
      <c r="AM90" s="252"/>
      <c r="AN90" s="253"/>
      <c r="AO90" s="253"/>
      <c r="AP90" s="253"/>
      <c r="AQ90" s="254"/>
      <c r="AS90" s="252"/>
      <c r="AT90" s="253"/>
      <c r="AU90" s="253"/>
      <c r="AV90" s="253"/>
      <c r="AW90" s="254"/>
      <c r="AY90" s="146"/>
      <c r="AZ90" s="43"/>
      <c r="BA90" s="43"/>
      <c r="BB90" s="43"/>
      <c r="BC90" s="147"/>
      <c r="BD90" s="160">
        <f t="shared" si="160"/>
        <v>9</v>
      </c>
      <c r="BE90" s="45" t="str">
        <f t="shared" si="139"/>
        <v>N/A</v>
      </c>
      <c r="BF90" s="163"/>
      <c r="BG90" s="160">
        <f t="shared" si="161"/>
        <v>9</v>
      </c>
      <c r="BH90" s="45" t="str">
        <f t="shared" si="141"/>
        <v>N/A</v>
      </c>
      <c r="BI90" s="163"/>
      <c r="BJ90" s="160">
        <f t="shared" si="162"/>
        <v>9</v>
      </c>
      <c r="BK90" s="45" t="str">
        <f t="shared" si="142"/>
        <v>N/A</v>
      </c>
      <c r="BL90" s="163"/>
      <c r="BO90" s="842"/>
      <c r="BP90" s="43"/>
      <c r="BQ90" s="43" t="str">
        <f t="shared" si="157"/>
        <v/>
      </c>
      <c r="BR90" s="43">
        <f t="shared" si="55"/>
        <v>9</v>
      </c>
      <c r="BS90" s="43">
        <f t="shared" si="56"/>
        <v>9</v>
      </c>
      <c r="BT90" s="43">
        <f t="shared" si="57"/>
        <v>9</v>
      </c>
      <c r="BW90" s="43" t="str">
        <f>D90</f>
        <v>Ene 07</v>
      </c>
      <c r="BX90" s="43" t="str">
        <f>IFERROR(VLOOKUP($E90,'Pre-Assessment Estimator'!$F$11:$AC$226,'Pre-Assessment Estimator'!AC$2,FALSE),"")</f>
        <v>N/A</v>
      </c>
      <c r="BY90" s="43">
        <f>IFERROR(VLOOKUP($E90,'Pre-Assessment Estimator'!$F$11:$AJ$226,'Pre-Assessment Estimator'!AJ$2,FALSE),"")</f>
        <v>0</v>
      </c>
      <c r="BZ90" s="43">
        <f>IFERROR(VLOOKUP($BX90,$E$293:$H$326,F$291,FALSE),"")</f>
        <v>1</v>
      </c>
      <c r="CA90" s="43">
        <f>IFERROR(VLOOKUP($BX90,$E$293:$H$326,G$291,FALSE),"")</f>
        <v>0</v>
      </c>
      <c r="CB90" s="43"/>
      <c r="CC90" t="str">
        <f>IFERROR(VLOOKUP($BX90,$E$293:$H$326,I$291,FALSE),"")</f>
        <v/>
      </c>
    </row>
    <row r="91" spans="1:85" x14ac:dyDescent="0.25">
      <c r="A91">
        <v>83</v>
      </c>
      <c r="B91" t="str">
        <f t="shared" ref="B91:B92" si="190">$D$90&amp;D91</f>
        <v>Ene 07a</v>
      </c>
      <c r="C91" t="str">
        <f t="shared" si="159"/>
        <v>Ene 07</v>
      </c>
      <c r="D91" s="144" t="s">
        <v>692</v>
      </c>
      <c r="E91" s="930" t="s">
        <v>633</v>
      </c>
      <c r="F91" s="668">
        <v>1</v>
      </c>
      <c r="G91" s="864">
        <v>0</v>
      </c>
      <c r="H91" s="864">
        <v>0</v>
      </c>
      <c r="I91" s="668">
        <v>1</v>
      </c>
      <c r="J91" s="668">
        <v>1</v>
      </c>
      <c r="K91" s="864">
        <v>0</v>
      </c>
      <c r="L91" s="864">
        <v>0</v>
      </c>
      <c r="M91" s="864">
        <v>0</v>
      </c>
      <c r="N91" s="864">
        <v>0</v>
      </c>
      <c r="O91" s="864">
        <v>0</v>
      </c>
      <c r="P91" s="864">
        <v>0</v>
      </c>
      <c r="Q91" s="668">
        <v>1</v>
      </c>
      <c r="R91" s="668">
        <v>1</v>
      </c>
      <c r="T91" s="148">
        <f t="shared" si="166"/>
        <v>1</v>
      </c>
      <c r="U91" s="61">
        <f>IF(AND('Assessment Details'!H21=1,AD_Labsize=AD_Labsize03),Poeng!T91,0)</f>
        <v>0</v>
      </c>
      <c r="V91" s="43">
        <f>IF(AND(ADBT0=ADBT8,OR('Assessment Details'!F6='Assessment Details'!U6,'Assessment Details'!F6='Assessment Details'!U7,'Assessment Details'!F6='Assessment Details'!U8,'Assessment Details'!F6='Assessment Details'!U9)),T91,0)</f>
        <v>0</v>
      </c>
      <c r="W91" s="43"/>
      <c r="X91" s="43"/>
      <c r="Y91" s="148">
        <f>IF(OR($Y$4=$Y$6,Y4=Y5),T91,0)</f>
        <v>0</v>
      </c>
      <c r="Z91" s="147">
        <f>VLOOKUP(B91,'Manuell filtrering og justering'!$A$7:$H$107,'Manuell filtrering og justering'!$H$1,FALSE)</f>
        <v>0</v>
      </c>
      <c r="AA91" s="148">
        <f t="shared" si="168"/>
        <v>0</v>
      </c>
      <c r="AB91" s="149">
        <f>IF($AC$5='Manuell filtrering og justering'!$J$2,Z91,(T91-AA91))</f>
        <v>1</v>
      </c>
      <c r="AD91" s="150">
        <f t="shared" si="136"/>
        <v>5.1851851851851859E-3</v>
      </c>
      <c r="AE91" s="150">
        <f t="shared" si="144"/>
        <v>0</v>
      </c>
      <c r="AF91" s="150">
        <f t="shared" si="145"/>
        <v>0</v>
      </c>
      <c r="AG91" s="150">
        <f t="shared" si="146"/>
        <v>0</v>
      </c>
      <c r="AI91" s="151">
        <f>IF(VLOOKUP(E91,'Pre-Assessment Estimator'!$F$11:$AA$226,'Pre-Assessment Estimator'!$H$2,FALSE)&gt;AB91,AB91,VLOOKUP(E91,'Pre-Assessment Estimator'!$F$11:$AA$226,'Pre-Assessment Estimator'!$H$2,FALSE))</f>
        <v>0</v>
      </c>
      <c r="AJ91" s="151">
        <f>IF(VLOOKUP(E91,'Pre-Assessment Estimator'!$F$11:$AA$226,'Pre-Assessment Estimator'!$O$2,FALSE)&gt;AB91,AB91,VLOOKUP(E91,'Pre-Assessment Estimator'!$F$11:$AA$226,'Pre-Assessment Estimator'!$O$2,FALSE))</f>
        <v>0</v>
      </c>
      <c r="AK91" s="151">
        <f>IF(VLOOKUP(E91,'Pre-Assessment Estimator'!$F$11:$AA$226,'Pre-Assessment Estimator'!$V$2,FALSE)&gt;AB91,AB91,VLOOKUP(E91,'Pre-Assessment Estimator'!$F$11:$AA$226,'Pre-Assessment Estimator'!$V$2,FALSE))</f>
        <v>0</v>
      </c>
      <c r="AM91" s="988">
        <f>IF(AB91=0,0,IF(AND($Y$4&lt;&gt;$Y$3,Y91&gt;0),0,1))</f>
        <v>1</v>
      </c>
      <c r="AN91" s="985">
        <f>AM91</f>
        <v>1</v>
      </c>
      <c r="AO91" s="985">
        <f>AM91</f>
        <v>1</v>
      </c>
      <c r="AP91" s="985">
        <f>AM91</f>
        <v>1</v>
      </c>
      <c r="AQ91" s="986">
        <f>AM91</f>
        <v>1</v>
      </c>
      <c r="AS91" s="252"/>
      <c r="AT91" s="253"/>
      <c r="AU91" s="253"/>
      <c r="AV91" s="253"/>
      <c r="AW91" s="254"/>
      <c r="AY91" s="161">
        <f>IF($AB91=0,0,IF($E$6=$H$9,AS91,AM91))</f>
        <v>1</v>
      </c>
      <c r="AZ91" s="161">
        <f>IF($AB91=0,0,IF($E$6=$H$9,AT91,AN91))</f>
        <v>1</v>
      </c>
      <c r="BA91" s="161">
        <f>IF($AB91=0,0,IF($E$6=$H$9,AU91,AO91))</f>
        <v>1</v>
      </c>
      <c r="BB91" s="161">
        <f>IF($AB91=0,0,IF($E$6=$H$9,AV91,AP91))</f>
        <v>1</v>
      </c>
      <c r="BC91" s="161">
        <f>IF($AB91=0,0,IF($E$6=$H$9,AW91,AQ91))</f>
        <v>1</v>
      </c>
      <c r="BD91" s="160">
        <f t="shared" si="160"/>
        <v>0</v>
      </c>
      <c r="BE91" s="45" t="str">
        <f t="shared" si="139"/>
        <v>Unclassified</v>
      </c>
      <c r="BF91" s="163"/>
      <c r="BG91" s="160">
        <f t="shared" si="161"/>
        <v>0</v>
      </c>
      <c r="BH91" s="45" t="str">
        <f t="shared" si="141"/>
        <v>Unclassified</v>
      </c>
      <c r="BI91" s="163"/>
      <c r="BJ91" s="160">
        <f t="shared" si="162"/>
        <v>0</v>
      </c>
      <c r="BK91" s="45" t="str">
        <f t="shared" si="142"/>
        <v>Unclassified</v>
      </c>
      <c r="BL91" s="163"/>
      <c r="BO91" s="842"/>
      <c r="BP91" s="43"/>
      <c r="BQ91" s="43" t="str">
        <f t="shared" si="157"/>
        <v/>
      </c>
      <c r="BR91" s="43">
        <f t="shared" si="55"/>
        <v>9</v>
      </c>
      <c r="BS91" s="43">
        <f t="shared" si="56"/>
        <v>9</v>
      </c>
      <c r="BT91" s="43">
        <f t="shared" si="57"/>
        <v>9</v>
      </c>
      <c r="BW91" s="43"/>
      <c r="BX91" s="43"/>
      <c r="BY91" s="43"/>
      <c r="BZ91" s="43"/>
      <c r="CB91" s="43"/>
    </row>
    <row r="92" spans="1:85" x14ac:dyDescent="0.25">
      <c r="A92">
        <v>84</v>
      </c>
      <c r="B92" t="str">
        <f t="shared" si="190"/>
        <v>Ene 07b</v>
      </c>
      <c r="C92" t="str">
        <f t="shared" si="159"/>
        <v>Ene 07</v>
      </c>
      <c r="D92" s="144" t="s">
        <v>695</v>
      </c>
      <c r="E92" s="930" t="s">
        <v>634</v>
      </c>
      <c r="F92" s="668">
        <v>4</v>
      </c>
      <c r="G92" s="864">
        <v>0</v>
      </c>
      <c r="H92" s="864">
        <v>0</v>
      </c>
      <c r="I92" s="668">
        <v>4</v>
      </c>
      <c r="J92" s="668">
        <v>4</v>
      </c>
      <c r="K92" s="864">
        <v>0</v>
      </c>
      <c r="L92" s="864">
        <v>0</v>
      </c>
      <c r="M92" s="864">
        <v>0</v>
      </c>
      <c r="N92" s="864">
        <v>0</v>
      </c>
      <c r="O92" s="864">
        <v>0</v>
      </c>
      <c r="P92" s="864">
        <v>0</v>
      </c>
      <c r="Q92" s="668">
        <v>4</v>
      </c>
      <c r="R92" s="668">
        <v>4</v>
      </c>
      <c r="T92" s="148">
        <f t="shared" si="166"/>
        <v>4</v>
      </c>
      <c r="U92" s="61">
        <f>IF(AD_Labsize=AD_Labsize03,Poeng!T92,IF(AD_Labsize=AD_labsize04,4,IF(AD_Labsize=AD_Labsize01,2,0)))</f>
        <v>0</v>
      </c>
      <c r="V92" s="43">
        <f>IF(AND(ADBT0=ADBT8,OR('Assessment Details'!F6='Assessment Details'!U6,'Assessment Details'!F6='Assessment Details'!U7,'Assessment Details'!F6='Assessment Details'!U8,'Assessment Details'!F6='Assessment Details'!U9)),T92,0)</f>
        <v>0</v>
      </c>
      <c r="W92" s="43"/>
      <c r="X92" s="43"/>
      <c r="Y92" s="148">
        <f>IF(OR($Y$4=$Y$6,Y4=Y5),T92,0)</f>
        <v>0</v>
      </c>
      <c r="Z92" s="147">
        <f>VLOOKUP(B92,'Manuell filtrering og justering'!$A$7:$H$107,'Manuell filtrering og justering'!$H$1,FALSE)</f>
        <v>0</v>
      </c>
      <c r="AA92" s="148">
        <f t="shared" si="168"/>
        <v>0</v>
      </c>
      <c r="AB92" s="149">
        <f>IF($AC$5='Manuell filtrering og justering'!$J$2,Z92,(T92-AA92))</f>
        <v>4</v>
      </c>
      <c r="AD92" s="150">
        <f t="shared" si="136"/>
        <v>2.0740740740740744E-2</v>
      </c>
      <c r="AE92" s="150">
        <f t="shared" si="144"/>
        <v>0</v>
      </c>
      <c r="AF92" s="150">
        <f t="shared" si="145"/>
        <v>0</v>
      </c>
      <c r="AG92" s="150">
        <f t="shared" si="146"/>
        <v>0</v>
      </c>
      <c r="AI92" s="151">
        <f>IF(VLOOKUP(E92,'Pre-Assessment Estimator'!$F$11:$AA$226,'Pre-Assessment Estimator'!$H$2,FALSE)&gt;AB92,AB92,VLOOKUP(E92,'Pre-Assessment Estimator'!$F$11:$AA$226,'Pre-Assessment Estimator'!$H$2,FALSE))</f>
        <v>0</v>
      </c>
      <c r="AJ92" s="151">
        <f>IF(VLOOKUP(E92,'Pre-Assessment Estimator'!$F$11:$AA$226,'Pre-Assessment Estimator'!$O$2,FALSE)&gt;AB92,AB92,VLOOKUP(E92,'Pre-Assessment Estimator'!$F$11:$AA$226,'Pre-Assessment Estimator'!$O$2,FALSE))</f>
        <v>0</v>
      </c>
      <c r="AK92" s="151">
        <f>IF(VLOOKUP(E92,'Pre-Assessment Estimator'!$F$11:$AA$226,'Pre-Assessment Estimator'!$V$2,FALSE)&gt;AB92,AB92,VLOOKUP(E92,'Pre-Assessment Estimator'!$F$11:$AA$226,'Pre-Assessment Estimator'!$V$2,FALSE))</f>
        <v>0</v>
      </c>
      <c r="AM92" s="252"/>
      <c r="AN92" s="253"/>
      <c r="AO92" s="253"/>
      <c r="AP92" s="253"/>
      <c r="AQ92" s="254"/>
      <c r="AS92" s="252"/>
      <c r="AT92" s="253"/>
      <c r="AU92" s="253"/>
      <c r="AV92" s="253"/>
      <c r="AW92" s="254"/>
      <c r="AY92" s="146"/>
      <c r="AZ92" s="43"/>
      <c r="BA92" s="43"/>
      <c r="BB92" s="43"/>
      <c r="BC92" s="147"/>
      <c r="BD92" s="160">
        <f t="shared" si="160"/>
        <v>9</v>
      </c>
      <c r="BE92" s="45" t="str">
        <f t="shared" si="139"/>
        <v>N/A</v>
      </c>
      <c r="BF92" s="163"/>
      <c r="BG92" s="160">
        <f t="shared" si="161"/>
        <v>9</v>
      </c>
      <c r="BH92" s="45" t="str">
        <f t="shared" si="141"/>
        <v>N/A</v>
      </c>
      <c r="BI92" s="163"/>
      <c r="BJ92" s="160">
        <f t="shared" si="162"/>
        <v>9</v>
      </c>
      <c r="BK92" s="45" t="str">
        <f t="shared" si="142"/>
        <v>N/A</v>
      </c>
      <c r="BL92" s="163"/>
      <c r="BO92" s="842"/>
      <c r="BP92" s="43"/>
      <c r="BQ92" s="43" t="str">
        <f t="shared" si="157"/>
        <v/>
      </c>
      <c r="BR92" s="43">
        <f t="shared" si="55"/>
        <v>9</v>
      </c>
      <c r="BS92" s="43">
        <f t="shared" si="56"/>
        <v>9</v>
      </c>
      <c r="BT92" s="43">
        <f t="shared" si="57"/>
        <v>9</v>
      </c>
      <c r="BW92" s="43"/>
      <c r="BX92" s="43"/>
      <c r="BY92" s="43"/>
      <c r="BZ92" s="43"/>
      <c r="CB92" s="43"/>
    </row>
    <row r="93" spans="1:85" x14ac:dyDescent="0.25">
      <c r="A93">
        <v>85</v>
      </c>
      <c r="B93" s="121" t="str">
        <f>D93</f>
        <v>Ene 08</v>
      </c>
      <c r="C93" s="121" t="str">
        <f>B93</f>
        <v>Ene 08</v>
      </c>
      <c r="D93" s="727" t="s">
        <v>141</v>
      </c>
      <c r="E93" s="725" t="s">
        <v>132</v>
      </c>
      <c r="F93" s="811">
        <f>SUM(F94)</f>
        <v>2</v>
      </c>
      <c r="G93" s="811">
        <f t="shared" ref="G93:R93" si="191">SUM(G94)</f>
        <v>2</v>
      </c>
      <c r="H93" s="811">
        <f t="shared" si="191"/>
        <v>2</v>
      </c>
      <c r="I93" s="811">
        <f t="shared" si="191"/>
        <v>2</v>
      </c>
      <c r="J93" s="811">
        <f t="shared" si="191"/>
        <v>2</v>
      </c>
      <c r="K93" s="811">
        <f t="shared" si="191"/>
        <v>2</v>
      </c>
      <c r="L93" s="811">
        <f t="shared" si="191"/>
        <v>2</v>
      </c>
      <c r="M93" s="811">
        <f t="shared" si="191"/>
        <v>2</v>
      </c>
      <c r="N93" s="811">
        <f t="shared" si="191"/>
        <v>2</v>
      </c>
      <c r="O93" s="811">
        <f t="shared" si="191"/>
        <v>2</v>
      </c>
      <c r="P93" s="811">
        <f t="shared" si="191"/>
        <v>2</v>
      </c>
      <c r="Q93" s="811">
        <f t="shared" si="191"/>
        <v>2</v>
      </c>
      <c r="R93" s="811">
        <f t="shared" si="191"/>
        <v>2</v>
      </c>
      <c r="T93" s="831">
        <f t="shared" si="166"/>
        <v>2</v>
      </c>
      <c r="U93" s="191">
        <f>U94</f>
        <v>0</v>
      </c>
      <c r="V93" s="61"/>
      <c r="W93" s="61"/>
      <c r="X93" s="61">
        <f>'Manuell filtrering og justering'!E36</f>
        <v>0</v>
      </c>
      <c r="Y93" s="61"/>
      <c r="Z93" s="826">
        <f t="shared" ref="Z93" si="192">SUM(Z94)</f>
        <v>0</v>
      </c>
      <c r="AA93" s="831">
        <f t="shared" si="168"/>
        <v>0</v>
      </c>
      <c r="AB93" s="883">
        <f>SUM(AB94)</f>
        <v>2</v>
      </c>
      <c r="AD93" s="150">
        <f t="shared" si="136"/>
        <v>1.0370370370370372E-2</v>
      </c>
      <c r="AE93" s="799">
        <f>SUM(AE94)</f>
        <v>0</v>
      </c>
      <c r="AF93" s="799">
        <f t="shared" ref="AF93:AG93" si="193">SUM(AF94)</f>
        <v>0</v>
      </c>
      <c r="AG93" s="799">
        <f t="shared" si="193"/>
        <v>0</v>
      </c>
      <c r="AI93" s="826">
        <f t="shared" ref="AI93" si="194">SUM(AI94)</f>
        <v>0</v>
      </c>
      <c r="AJ93" s="826">
        <f t="shared" ref="AJ93" si="195">SUM(AJ94)</f>
        <v>0</v>
      </c>
      <c r="AK93" s="826">
        <f t="shared" ref="AK93" si="196">SUM(AK94)</f>
        <v>0</v>
      </c>
      <c r="AL93" t="s">
        <v>425</v>
      </c>
      <c r="AM93" s="252"/>
      <c r="AN93" s="253"/>
      <c r="AO93" s="253"/>
      <c r="AP93" s="253"/>
      <c r="AQ93" s="254"/>
      <c r="AS93" s="252"/>
      <c r="AT93" s="253"/>
      <c r="AU93" s="253"/>
      <c r="AV93" s="253"/>
      <c r="AW93" s="254"/>
      <c r="AY93" s="146"/>
      <c r="AZ93" s="43"/>
      <c r="BA93" s="43"/>
      <c r="BB93" s="43"/>
      <c r="BC93" s="147"/>
      <c r="BD93" s="160">
        <f t="shared" si="160"/>
        <v>9</v>
      </c>
      <c r="BE93" s="45" t="str">
        <f t="shared" si="139"/>
        <v>N/A</v>
      </c>
      <c r="BF93" s="163"/>
      <c r="BG93" s="160">
        <f t="shared" si="161"/>
        <v>9</v>
      </c>
      <c r="BH93" s="45" t="str">
        <f t="shared" si="141"/>
        <v>N/A</v>
      </c>
      <c r="BI93" s="163"/>
      <c r="BJ93" s="160">
        <f t="shared" si="162"/>
        <v>9</v>
      </c>
      <c r="BK93" s="45" t="str">
        <f t="shared" si="142"/>
        <v>N/A</v>
      </c>
      <c r="BL93" s="163"/>
      <c r="BO93" s="43"/>
      <c r="BP93" s="43"/>
      <c r="BQ93" s="43" t="str">
        <f t="shared" si="157"/>
        <v/>
      </c>
      <c r="BR93" s="43">
        <f t="shared" si="55"/>
        <v>9</v>
      </c>
      <c r="BS93" s="43">
        <f t="shared" si="56"/>
        <v>9</v>
      </c>
      <c r="BT93" s="43">
        <f t="shared" si="57"/>
        <v>9</v>
      </c>
      <c r="BW93" s="43" t="str">
        <f>D93</f>
        <v>Ene 08</v>
      </c>
      <c r="BX93" s="43" t="str">
        <f>IFERROR(VLOOKUP($E93,'Pre-Assessment Estimator'!$F$11:$AC$226,'Pre-Assessment Estimator'!AC$2,FALSE),"")</f>
        <v>No</v>
      </c>
      <c r="BY93" s="61" t="str">
        <f>IFERROR(VLOOKUP($E93,'Pre-Assessment Estimator'!$F$11:$AJ$226,'Pre-Assessment Estimator'!AJ$2,FALSE),"")</f>
        <v>Ja</v>
      </c>
      <c r="BZ93" s="43">
        <f>IFERROR(VLOOKUP($BX93,$E$293:$H$326,F$291,FALSE),"")</f>
        <v>1</v>
      </c>
      <c r="CA93" s="590" t="s">
        <v>430</v>
      </c>
      <c r="CB93" s="43"/>
      <c r="CC93" t="str">
        <f>IFERROR(VLOOKUP($BX93,$E$293:$H$326,I$291,FALSE),"")</f>
        <v/>
      </c>
      <c r="CD93" t="s">
        <v>436</v>
      </c>
      <c r="CE93" s="43">
        <f t="shared" ref="CE93:CE95" si="197">VLOOKUP(CA93,$CA$4:$CB$5,2,FALSE)</f>
        <v>1</v>
      </c>
      <c r="CG93" s="62">
        <f>IF($BX$5=ais_nei,CE93,IF(AND(CA93=$CA$4,BX93=$CC$4),0,BZ93))</f>
        <v>1</v>
      </c>
    </row>
    <row r="94" spans="1:85" x14ac:dyDescent="0.25">
      <c r="A94">
        <v>86</v>
      </c>
      <c r="B94" t="str">
        <f>$D$93&amp;D94</f>
        <v>Ene 08a</v>
      </c>
      <c r="C94" t="str">
        <f t="shared" si="159"/>
        <v>Ene 08</v>
      </c>
      <c r="D94" s="146" t="s">
        <v>692</v>
      </c>
      <c r="E94" s="930" t="s">
        <v>635</v>
      </c>
      <c r="F94" s="668">
        <v>2</v>
      </c>
      <c r="G94" s="668">
        <v>2</v>
      </c>
      <c r="H94" s="668">
        <v>2</v>
      </c>
      <c r="I94" s="668">
        <v>2</v>
      </c>
      <c r="J94" s="668">
        <v>2</v>
      </c>
      <c r="K94" s="668">
        <v>2</v>
      </c>
      <c r="L94" s="668">
        <v>2</v>
      </c>
      <c r="M94" s="668">
        <v>2</v>
      </c>
      <c r="N94" s="668">
        <v>2</v>
      </c>
      <c r="O94" s="668">
        <v>2</v>
      </c>
      <c r="P94" s="668">
        <v>2</v>
      </c>
      <c r="Q94" s="668">
        <v>2</v>
      </c>
      <c r="R94" s="668">
        <v>2</v>
      </c>
      <c r="T94" s="148">
        <f t="shared" si="166"/>
        <v>2</v>
      </c>
      <c r="U94" s="191">
        <f>IF(AD_Energyload=AD_no,Poeng!T94,0)</f>
        <v>0</v>
      </c>
      <c r="V94" s="43"/>
      <c r="W94" s="43"/>
      <c r="X94" s="43"/>
      <c r="Y94" s="148">
        <f>IF(OR($Y$4=$Y$6,Y4=Y5),T94,0)</f>
        <v>0</v>
      </c>
      <c r="Z94" s="147">
        <f>VLOOKUP(B94,'Manuell filtrering og justering'!$A$7:$H$107,'Manuell filtrering og justering'!$H$1,FALSE)</f>
        <v>0</v>
      </c>
      <c r="AA94" s="148">
        <f t="shared" si="168"/>
        <v>0</v>
      </c>
      <c r="AB94" s="149">
        <f>IF($AC$5='Manuell filtrering og justering'!$J$2,Z94,(T94-AA94))</f>
        <v>2</v>
      </c>
      <c r="AD94" s="150">
        <f t="shared" si="136"/>
        <v>1.0370370370370372E-2</v>
      </c>
      <c r="AE94" s="150">
        <f t="shared" si="144"/>
        <v>0</v>
      </c>
      <c r="AF94" s="150">
        <f t="shared" si="145"/>
        <v>0</v>
      </c>
      <c r="AG94" s="150">
        <f t="shared" si="146"/>
        <v>0</v>
      </c>
      <c r="AI94" s="151">
        <f>IF(VLOOKUP(E94,'Pre-Assessment Estimator'!$F$11:$AA$226,'Pre-Assessment Estimator'!$H$2,FALSE)&gt;AB94,AB94,VLOOKUP(E94,'Pre-Assessment Estimator'!$F$11:$AA$226,'Pre-Assessment Estimator'!$H$2,FALSE))</f>
        <v>0</v>
      </c>
      <c r="AJ94" s="151">
        <f>IF(VLOOKUP(E94,'Pre-Assessment Estimator'!$F$11:$AA$226,'Pre-Assessment Estimator'!$O$2,FALSE)&gt;AB94,AB94,VLOOKUP(E94,'Pre-Assessment Estimator'!$F$11:$AA$226,'Pre-Assessment Estimator'!$O$2,FALSE))</f>
        <v>0</v>
      </c>
      <c r="AK94" s="151">
        <f>IF(VLOOKUP(E94,'Pre-Assessment Estimator'!$F$11:$AA$226,'Pre-Assessment Estimator'!$V$2,FALSE)&gt;AB94,AB94,VLOOKUP(E94,'Pre-Assessment Estimator'!$F$11:$AA$226,'Pre-Assessment Estimator'!$V$2,FALSE))</f>
        <v>0</v>
      </c>
      <c r="AM94" s="252"/>
      <c r="AN94" s="253"/>
      <c r="AO94" s="253"/>
      <c r="AP94" s="253"/>
      <c r="AQ94" s="254"/>
      <c r="AS94" s="252"/>
      <c r="AT94" s="253"/>
      <c r="AU94" s="253"/>
      <c r="AV94" s="253"/>
      <c r="AW94" s="254"/>
      <c r="AY94" s="146"/>
      <c r="AZ94" s="43"/>
      <c r="BA94" s="43"/>
      <c r="BB94" s="43"/>
      <c r="BC94" s="147"/>
      <c r="BD94" s="160">
        <f t="shared" si="160"/>
        <v>9</v>
      </c>
      <c r="BE94" s="45" t="str">
        <f t="shared" si="139"/>
        <v>N/A</v>
      </c>
      <c r="BF94" s="163"/>
      <c r="BG94" s="160">
        <f t="shared" si="161"/>
        <v>9</v>
      </c>
      <c r="BH94" s="45" t="str">
        <f t="shared" si="141"/>
        <v>N/A</v>
      </c>
      <c r="BI94" s="163"/>
      <c r="BJ94" s="160">
        <f t="shared" si="162"/>
        <v>9</v>
      </c>
      <c r="BK94" s="45" t="str">
        <f t="shared" si="142"/>
        <v>N/A</v>
      </c>
      <c r="BL94" s="163"/>
      <c r="BO94" s="43"/>
      <c r="BP94" s="43"/>
      <c r="BQ94" s="43" t="str">
        <f t="shared" si="157"/>
        <v/>
      </c>
      <c r="BR94" s="43">
        <f t="shared" si="55"/>
        <v>9</v>
      </c>
      <c r="BS94" s="43">
        <f t="shared" si="56"/>
        <v>9</v>
      </c>
      <c r="BT94" s="43">
        <f t="shared" si="57"/>
        <v>9</v>
      </c>
      <c r="BW94" s="43"/>
      <c r="BX94" s="43"/>
      <c r="BY94" s="61"/>
      <c r="BZ94" s="43"/>
      <c r="CA94" s="590"/>
      <c r="CB94" s="43"/>
      <c r="CE94" s="43"/>
      <c r="CG94" s="62"/>
    </row>
    <row r="95" spans="1:85" x14ac:dyDescent="0.25">
      <c r="A95">
        <v>87</v>
      </c>
      <c r="D95" s="609" t="s">
        <v>142</v>
      </c>
      <c r="E95" s="608"/>
      <c r="F95" s="812"/>
      <c r="G95" s="812"/>
      <c r="H95" s="812"/>
      <c r="I95" s="812"/>
      <c r="J95" s="812"/>
      <c r="K95" s="812"/>
      <c r="L95" s="812"/>
      <c r="M95" s="812"/>
      <c r="N95" s="812"/>
      <c r="O95" s="812"/>
      <c r="P95" s="812"/>
      <c r="Q95" s="812"/>
      <c r="R95" s="812"/>
      <c r="T95" s="824"/>
      <c r="U95" s="609"/>
      <c r="V95" s="608"/>
      <c r="W95" s="608"/>
      <c r="X95" s="608"/>
      <c r="Y95" s="823"/>
      <c r="Z95" s="823"/>
      <c r="AA95" s="824"/>
      <c r="AB95" s="825"/>
      <c r="AD95" s="150">
        <f t="shared" si="136"/>
        <v>0</v>
      </c>
      <c r="AE95" s="828">
        <f t="shared" si="144"/>
        <v>0</v>
      </c>
      <c r="AF95" s="828">
        <f t="shared" si="145"/>
        <v>0</v>
      </c>
      <c r="AG95" s="828">
        <f t="shared" si="146"/>
        <v>0</v>
      </c>
      <c r="AI95" s="623"/>
      <c r="AJ95" s="623"/>
      <c r="AK95" s="623"/>
      <c r="AL95" t="s">
        <v>425</v>
      </c>
      <c r="AM95" s="252"/>
      <c r="AN95" s="253"/>
      <c r="AO95" s="253"/>
      <c r="AP95" s="253"/>
      <c r="AQ95" s="254"/>
      <c r="AR95" s="123"/>
      <c r="AS95" s="252"/>
      <c r="AT95" s="253"/>
      <c r="AU95" s="253"/>
      <c r="AV95" s="253"/>
      <c r="AW95" s="254"/>
      <c r="AY95" s="146"/>
      <c r="AZ95" s="43"/>
      <c r="BA95" s="43"/>
      <c r="BB95" s="43"/>
      <c r="BC95" s="147"/>
      <c r="BD95" s="160">
        <f t="shared" si="160"/>
        <v>9</v>
      </c>
      <c r="BE95" s="45" t="str">
        <f t="shared" si="139"/>
        <v>N/A</v>
      </c>
      <c r="BF95" s="163"/>
      <c r="BG95" s="160">
        <f t="shared" si="161"/>
        <v>9</v>
      </c>
      <c r="BH95" s="45" t="str">
        <f t="shared" si="141"/>
        <v>N/A</v>
      </c>
      <c r="BI95" s="163"/>
      <c r="BJ95" s="160">
        <f t="shared" si="162"/>
        <v>9</v>
      </c>
      <c r="BK95" s="45" t="str">
        <f t="shared" si="142"/>
        <v>N/A</v>
      </c>
      <c r="BL95" s="163"/>
      <c r="BO95" s="43"/>
      <c r="BP95" s="43"/>
      <c r="BQ95" s="43" t="str">
        <f t="shared" si="157"/>
        <v/>
      </c>
      <c r="BR95" s="43">
        <f t="shared" ref="BR95:BR158" si="198">IF(BQ95="",9,(IF(AI95&gt;=BQ95,5,0)))</f>
        <v>9</v>
      </c>
      <c r="BS95" s="43">
        <f t="shared" ref="BS95:BS158" si="199">IF(BQ95="",9,(IF(AJ95&gt;=BQ95,5,0)))</f>
        <v>9</v>
      </c>
      <c r="BT95" s="43">
        <f t="shared" ref="BT95:BT158" si="200">IF(BQ95="",9,(IF(AK95&gt;=BQ95,5,0)))</f>
        <v>9</v>
      </c>
      <c r="BW95" s="43" t="str">
        <f>D95</f>
        <v>Ene 09</v>
      </c>
      <c r="BX95" s="43" t="str">
        <f>IFERROR(VLOOKUP($E95,'Pre-Assessment Estimator'!$F$11:$AC$226,'Pre-Assessment Estimator'!AC$2,FALSE),"")</f>
        <v/>
      </c>
      <c r="BY95" s="61" t="str">
        <f>IFERROR(VLOOKUP($E95,'Pre-Assessment Estimator'!$F$11:$AJ$226,'Pre-Assessment Estimator'!AJ$2,FALSE),"")</f>
        <v/>
      </c>
      <c r="BZ95" s="43" t="str">
        <f t="shared" ref="BZ95:BZ100" si="201">IFERROR(VLOOKUP($BX95,$E$293:$H$326,F$291,FALSE),"")</f>
        <v/>
      </c>
      <c r="CA95" s="590" t="s">
        <v>430</v>
      </c>
      <c r="CB95" s="43"/>
      <c r="CC95" t="str">
        <f t="shared" ref="CC95:CC100" si="202">IFERROR(VLOOKUP($BX95,$E$293:$H$326,I$291,FALSE),"")</f>
        <v/>
      </c>
      <c r="CD95" s="62" t="s">
        <v>404</v>
      </c>
      <c r="CE95" s="43">
        <f t="shared" si="197"/>
        <v>1</v>
      </c>
      <c r="CG95" s="62">
        <f>IF($BX$5=ais_nei,CE95,IF(CD95=$BY$5,IF(AND(CA95=$CA$4,BX95=$CC$4),0,BZ95),CE95))</f>
        <v>1</v>
      </c>
    </row>
    <row r="96" spans="1:85" ht="15.75" thickBot="1" x14ac:dyDescent="0.3">
      <c r="A96">
        <v>88</v>
      </c>
      <c r="D96" s="609" t="s">
        <v>143</v>
      </c>
      <c r="E96" s="608"/>
      <c r="F96" s="812"/>
      <c r="G96" s="812"/>
      <c r="H96" s="812"/>
      <c r="I96" s="812"/>
      <c r="J96" s="812"/>
      <c r="K96" s="812"/>
      <c r="L96" s="812"/>
      <c r="M96" s="812"/>
      <c r="N96" s="812"/>
      <c r="O96" s="812"/>
      <c r="P96" s="812"/>
      <c r="Q96" s="812"/>
      <c r="R96" s="812"/>
      <c r="T96" s="824"/>
      <c r="U96" s="609"/>
      <c r="V96" s="608"/>
      <c r="W96" s="608"/>
      <c r="X96" s="608"/>
      <c r="Y96" s="823"/>
      <c r="Z96" s="823"/>
      <c r="AA96" s="824"/>
      <c r="AB96" s="825"/>
      <c r="AD96" s="150">
        <f t="shared" si="136"/>
        <v>0</v>
      </c>
      <c r="AE96" s="828">
        <f t="shared" si="144"/>
        <v>0</v>
      </c>
      <c r="AF96" s="828">
        <f t="shared" si="145"/>
        <v>0</v>
      </c>
      <c r="AG96" s="828">
        <f t="shared" si="146"/>
        <v>0</v>
      </c>
      <c r="AI96" s="623"/>
      <c r="AJ96" s="623"/>
      <c r="AK96" s="623"/>
      <c r="AM96" s="261"/>
      <c r="AN96" s="262"/>
      <c r="AO96" s="262"/>
      <c r="AP96" s="262"/>
      <c r="AQ96" s="263"/>
      <c r="AR96" s="123"/>
      <c r="AS96" s="261"/>
      <c r="AT96" s="262"/>
      <c r="AU96" s="262"/>
      <c r="AV96" s="262"/>
      <c r="AW96" s="263"/>
      <c r="AY96" s="172"/>
      <c r="AZ96" s="193"/>
      <c r="BA96" s="193"/>
      <c r="BB96" s="193"/>
      <c r="BC96" s="194"/>
      <c r="BD96" s="172">
        <f t="shared" si="60"/>
        <v>9</v>
      </c>
      <c r="BE96" s="45" t="str">
        <f t="shared" si="139"/>
        <v>N/A</v>
      </c>
      <c r="BF96" s="173"/>
      <c r="BG96" s="172">
        <f t="shared" si="140"/>
        <v>9</v>
      </c>
      <c r="BH96" s="45" t="str">
        <f t="shared" si="141"/>
        <v>N/A</v>
      </c>
      <c r="BI96" s="173"/>
      <c r="BJ96" s="172">
        <f t="shared" si="28"/>
        <v>9</v>
      </c>
      <c r="BK96" s="45" t="str">
        <f t="shared" si="142"/>
        <v>N/A</v>
      </c>
      <c r="BL96" s="173"/>
      <c r="BO96" s="43"/>
      <c r="BP96" s="43"/>
      <c r="BQ96" s="43" t="str">
        <f t="shared" si="157"/>
        <v/>
      </c>
      <c r="BR96" s="43">
        <f t="shared" si="198"/>
        <v>9</v>
      </c>
      <c r="BS96" s="43">
        <f t="shared" si="199"/>
        <v>9</v>
      </c>
      <c r="BT96" s="43">
        <f t="shared" si="200"/>
        <v>9</v>
      </c>
      <c r="BW96" s="43" t="str">
        <f>D96</f>
        <v>Ene 23</v>
      </c>
      <c r="BX96" s="43" t="str">
        <f>IFERROR(VLOOKUP($E96,'Pre-Assessment Estimator'!$F$11:$AC$226,'Pre-Assessment Estimator'!AC$2,FALSE),"")</f>
        <v/>
      </c>
      <c r="BY96" s="43" t="str">
        <f>IFERROR(VLOOKUP($E96,'Pre-Assessment Estimator'!$F$11:$AJ$226,'Pre-Assessment Estimator'!AJ$2,FALSE),"")</f>
        <v/>
      </c>
      <c r="BZ96" s="43" t="str">
        <f t="shared" si="201"/>
        <v/>
      </c>
      <c r="CA96" s="43" t="str">
        <f>IFERROR(VLOOKUP($BX96,$E$293:$H$326,G$291,FALSE),"")</f>
        <v/>
      </c>
      <c r="CB96" s="43"/>
      <c r="CC96" t="str">
        <f t="shared" si="202"/>
        <v/>
      </c>
    </row>
    <row r="97" spans="1:81" ht="15.75" thickBot="1" x14ac:dyDescent="0.3">
      <c r="A97">
        <v>89</v>
      </c>
      <c r="B97" t="s">
        <v>883</v>
      </c>
      <c r="D97" s="174"/>
      <c r="E97" s="50" t="s">
        <v>213</v>
      </c>
      <c r="F97" s="672">
        <f>F69+F75+F79+F83+F86+F90+F93</f>
        <v>27</v>
      </c>
      <c r="G97" s="672">
        <f t="shared" ref="G97:R97" si="203">G69+G75+G79+G83+G86+G90+G93</f>
        <v>22</v>
      </c>
      <c r="H97" s="672">
        <f t="shared" si="203"/>
        <v>20</v>
      </c>
      <c r="I97" s="672">
        <f t="shared" si="203"/>
        <v>27</v>
      </c>
      <c r="J97" s="672">
        <f t="shared" si="203"/>
        <v>27</v>
      </c>
      <c r="K97" s="672">
        <f t="shared" si="203"/>
        <v>22</v>
      </c>
      <c r="L97" s="672">
        <f t="shared" si="203"/>
        <v>22</v>
      </c>
      <c r="M97" s="672">
        <f t="shared" si="203"/>
        <v>22</v>
      </c>
      <c r="N97" s="672">
        <f t="shared" si="203"/>
        <v>22</v>
      </c>
      <c r="O97" s="672">
        <f t="shared" si="203"/>
        <v>22</v>
      </c>
      <c r="P97" s="672">
        <f t="shared" si="203"/>
        <v>22</v>
      </c>
      <c r="Q97" s="672">
        <f t="shared" ref="Q97" si="204">Q69+Q75+Q79+Q83+Q86+Q90+Q93</f>
        <v>27</v>
      </c>
      <c r="R97" s="672">
        <f t="shared" si="203"/>
        <v>27</v>
      </c>
      <c r="T97" s="195">
        <f>HLOOKUP($E$6,$F$9:$R$231,$A97,FALSE)</f>
        <v>27</v>
      </c>
      <c r="U97" s="176"/>
      <c r="V97" s="177"/>
      <c r="W97" s="177"/>
      <c r="X97" s="177"/>
      <c r="Y97" s="178"/>
      <c r="Z97" s="178"/>
      <c r="AA97" s="672">
        <f t="shared" ref="AA97:AG97" si="205">AA69+AA75+AA79+AA83+AA86+AA90+AA93</f>
        <v>0</v>
      </c>
      <c r="AB97" s="672">
        <f t="shared" si="205"/>
        <v>27</v>
      </c>
      <c r="AD97" s="180">
        <f t="shared" si="205"/>
        <v>0.14000000000000001</v>
      </c>
      <c r="AE97" s="180">
        <f t="shared" si="205"/>
        <v>0</v>
      </c>
      <c r="AF97" s="180">
        <f t="shared" si="205"/>
        <v>0</v>
      </c>
      <c r="AG97" s="180">
        <f t="shared" si="205"/>
        <v>0</v>
      </c>
      <c r="AI97" s="72">
        <f t="shared" ref="AI97:AK97" si="206">AI69+AI75+AI79+AI83+AI86+AI90+AI93</f>
        <v>0</v>
      </c>
      <c r="AJ97" s="72">
        <f t="shared" si="206"/>
        <v>0</v>
      </c>
      <c r="AK97" s="72">
        <f t="shared" si="206"/>
        <v>0</v>
      </c>
      <c r="AM97" s="123"/>
      <c r="AN97" s="123"/>
      <c r="AO97" s="123"/>
      <c r="AP97" s="123"/>
      <c r="AQ97" s="123"/>
      <c r="AR97" s="123"/>
      <c r="AS97" s="123"/>
      <c r="AT97" s="123"/>
      <c r="AU97" s="123"/>
      <c r="AV97" s="123"/>
      <c r="AW97" s="123"/>
      <c r="AZ97" s="181"/>
      <c r="BW97" s="50"/>
      <c r="BX97" s="50" t="str">
        <f>IFERROR(VLOOKUP($E97,'Pre-Assessment Estimator'!$F$11:$AC$226,'Pre-Assessment Estimator'!AC$2,FALSE),"")</f>
        <v/>
      </c>
      <c r="BY97" s="50" t="str">
        <f>IFERROR(VLOOKUP($E97,'Pre-Assessment Estimator'!$F$11:$AJ$226,'Pre-Assessment Estimator'!AJ$2,FALSE),"")</f>
        <v/>
      </c>
      <c r="BZ97" s="50" t="str">
        <f t="shared" si="201"/>
        <v/>
      </c>
      <c r="CA97" s="50" t="str">
        <f>IFERROR(VLOOKUP($BX97,$E$293:$H$326,G$291,FALSE),"")</f>
        <v/>
      </c>
      <c r="CB97" s="50"/>
      <c r="CC97" t="str">
        <f t="shared" si="202"/>
        <v/>
      </c>
    </row>
    <row r="98" spans="1:81" ht="15.75" thickBot="1" x14ac:dyDescent="0.3">
      <c r="A98">
        <v>90</v>
      </c>
      <c r="AI98" s="1"/>
      <c r="AJ98" s="1"/>
      <c r="AK98" s="1"/>
      <c r="AM98" s="123"/>
      <c r="AN98" s="123"/>
      <c r="AO98" s="123"/>
      <c r="AP98" s="123"/>
      <c r="AQ98" s="123"/>
      <c r="AR98" s="123"/>
      <c r="AS98" s="123"/>
      <c r="AT98" s="123"/>
      <c r="AU98" s="123"/>
      <c r="AV98" s="123"/>
      <c r="AW98" s="123"/>
      <c r="BX98" t="str">
        <f>IFERROR(VLOOKUP($E98,'Pre-Assessment Estimator'!$F$11:$AC$226,'Pre-Assessment Estimator'!AC$2,FALSE),"")</f>
        <v/>
      </c>
      <c r="BY98" t="str">
        <f>IFERROR(VLOOKUP($E98,'Pre-Assessment Estimator'!$F$11:$AJ$226,'Pre-Assessment Estimator'!AJ$2,FALSE),"")</f>
        <v/>
      </c>
      <c r="BZ98" t="str">
        <f t="shared" si="201"/>
        <v/>
      </c>
      <c r="CA98" t="str">
        <f>IFERROR(VLOOKUP($BX98,$E$293:$H$326,G$291,FALSE),"")</f>
        <v/>
      </c>
      <c r="CC98" t="str">
        <f t="shared" si="202"/>
        <v/>
      </c>
    </row>
    <row r="99" spans="1:81" ht="60.75" thickBot="1" x14ac:dyDescent="0.3">
      <c r="A99">
        <v>91</v>
      </c>
      <c r="D99" s="127"/>
      <c r="E99" s="47" t="s">
        <v>66</v>
      </c>
      <c r="F99" s="1028" t="str">
        <f>$F$9</f>
        <v>Office</v>
      </c>
      <c r="G99" s="1028" t="str">
        <f>$G$9</f>
        <v>Retail</v>
      </c>
      <c r="H99" s="1032" t="str">
        <f>$H$9</f>
        <v>Residential</v>
      </c>
      <c r="I99" s="1028" t="str">
        <f>$I$9</f>
        <v>Industrial</v>
      </c>
      <c r="J99" s="1030" t="str">
        <f>$J$9</f>
        <v>Healthcare</v>
      </c>
      <c r="K99" s="1030" t="str">
        <f>$K$9</f>
        <v>Prison</v>
      </c>
      <c r="L99" s="1030" t="str">
        <f>$L$9</f>
        <v>Law Court</v>
      </c>
      <c r="M99" s="1034" t="str">
        <f>$M$9</f>
        <v>Residential institution (long term stay)</v>
      </c>
      <c r="N99" s="796" t="str">
        <f>$N$9</f>
        <v>Residential institution (short term stay)</v>
      </c>
      <c r="O99" s="796" t="str">
        <f>$O$9</f>
        <v>Non-residential institution</v>
      </c>
      <c r="P99" s="796" t="str">
        <f>$P$9</f>
        <v>Assembly and leisure</v>
      </c>
      <c r="Q99" s="1030" t="str">
        <f>$Q$9</f>
        <v>Education</v>
      </c>
      <c r="R99" s="747" t="str">
        <f>$R$9</f>
        <v>Other</v>
      </c>
      <c r="T99" s="122" t="str">
        <f>$E$6</f>
        <v>Office</v>
      </c>
      <c r="U99" s="182"/>
      <c r="V99" s="183"/>
      <c r="W99" s="183"/>
      <c r="X99" s="183"/>
      <c r="Y99" s="964" t="s">
        <v>411</v>
      </c>
      <c r="Z99" s="304" t="s">
        <v>334</v>
      </c>
      <c r="AA99" s="131" t="s">
        <v>213</v>
      </c>
      <c r="AB99" s="53" t="s">
        <v>14</v>
      </c>
      <c r="AI99" s="36"/>
      <c r="AJ99" s="54"/>
      <c r="AK99" s="54"/>
      <c r="AM99" s="123"/>
      <c r="AN99" s="123"/>
      <c r="AO99" s="123"/>
      <c r="AP99" s="123"/>
      <c r="AQ99" s="123"/>
      <c r="AR99" s="123"/>
      <c r="AS99" s="123"/>
      <c r="AT99" s="123"/>
      <c r="AU99" s="123"/>
      <c r="AV99" s="123"/>
      <c r="AW99" s="123"/>
      <c r="BO99" s="54"/>
      <c r="BP99" s="54"/>
      <c r="BQ99" s="54"/>
      <c r="BR99" s="54"/>
      <c r="BS99" s="54"/>
      <c r="BT99" s="54"/>
      <c r="BW99" s="47"/>
      <c r="BX99" s="47" t="str">
        <f>E99</f>
        <v>Transport</v>
      </c>
      <c r="BY99" s="47">
        <f>IFERROR(VLOOKUP($E99,'Pre-Assessment Estimator'!$F$11:$AJ$226,'Pre-Assessment Estimator'!AJ$2,FALSE),"")</f>
        <v>0</v>
      </c>
      <c r="BZ99" s="47" t="str">
        <f t="shared" si="201"/>
        <v/>
      </c>
      <c r="CA99" s="47" t="str">
        <f>IFERROR(VLOOKUP($BX99,$E$293:$H$326,G$291,FALSE),"")</f>
        <v/>
      </c>
      <c r="CB99" s="47"/>
      <c r="CC99" t="str">
        <f t="shared" si="202"/>
        <v/>
      </c>
    </row>
    <row r="100" spans="1:81" x14ac:dyDescent="0.25">
      <c r="A100">
        <v>92</v>
      </c>
      <c r="B100" s="121" t="str">
        <f>D100</f>
        <v>Tra 01</v>
      </c>
      <c r="C100" s="121" t="str">
        <f>B100</f>
        <v>Tra 01</v>
      </c>
      <c r="D100" s="726" t="s">
        <v>146</v>
      </c>
      <c r="E100" s="724" t="s">
        <v>460</v>
      </c>
      <c r="F100" s="811">
        <f>SUM(F101:F102)</f>
        <v>3</v>
      </c>
      <c r="G100" s="811">
        <f t="shared" ref="G100:R100" si="207">SUM(G101:G102)</f>
        <v>3</v>
      </c>
      <c r="H100" s="811">
        <f t="shared" si="207"/>
        <v>3</v>
      </c>
      <c r="I100" s="811">
        <f t="shared" si="207"/>
        <v>3</v>
      </c>
      <c r="J100" s="811">
        <f t="shared" si="207"/>
        <v>3</v>
      </c>
      <c r="K100" s="811">
        <f t="shared" si="207"/>
        <v>3</v>
      </c>
      <c r="L100" s="811">
        <f t="shared" si="207"/>
        <v>3</v>
      </c>
      <c r="M100" s="811">
        <f t="shared" si="207"/>
        <v>3</v>
      </c>
      <c r="N100" s="811">
        <f t="shared" si="207"/>
        <v>3</v>
      </c>
      <c r="O100" s="811">
        <f t="shared" si="207"/>
        <v>3</v>
      </c>
      <c r="P100" s="811">
        <f t="shared" si="207"/>
        <v>3</v>
      </c>
      <c r="Q100" s="811">
        <f t="shared" ref="Q100" si="208">SUM(Q101:Q102)</f>
        <v>3</v>
      </c>
      <c r="R100" s="811">
        <f t="shared" si="207"/>
        <v>3</v>
      </c>
      <c r="T100" s="131">
        <f t="shared" ref="T100:T105" si="209">HLOOKUP($E$6,$F$9:$R$231,$A100,FALSE)</f>
        <v>3</v>
      </c>
      <c r="U100" s="191"/>
      <c r="V100" s="61"/>
      <c r="W100" s="61"/>
      <c r="X100" s="61">
        <f>'Manuell filtrering og justering'!E43</f>
        <v>0</v>
      </c>
      <c r="Y100" s="61"/>
      <c r="Z100" s="826">
        <f t="shared" ref="Z100" si="210">SUM(Z101:Z102)</f>
        <v>3</v>
      </c>
      <c r="AA100" s="831">
        <f t="shared" ref="AA100:AA105" si="211">IF(SUM(U100:Y100)&gt;T100,T100,SUM(U100:Y100))</f>
        <v>0</v>
      </c>
      <c r="AB100" s="883">
        <f t="shared" ref="AB100" si="212">SUM(AB101:AB102)</f>
        <v>3</v>
      </c>
      <c r="AD100" s="150">
        <f t="shared" ref="AD100:AD109" si="213">(Tra_Weight/Tra_Credits)*AB100</f>
        <v>2.3076923076923078E-2</v>
      </c>
      <c r="AE100" s="799">
        <f>SUM(AE101:AE102)</f>
        <v>0</v>
      </c>
      <c r="AF100" s="799">
        <f t="shared" ref="AF100" si="214">SUM(AF101:AF102)</f>
        <v>0</v>
      </c>
      <c r="AG100" s="799">
        <f t="shared" ref="AG100" si="215">SUM(AG101:AG102)</f>
        <v>0</v>
      </c>
      <c r="AI100" s="826">
        <f t="shared" ref="AI100" si="216">SUM(AI101:AI102)</f>
        <v>0</v>
      </c>
      <c r="AJ100" s="826">
        <f t="shared" ref="AJ100" si="217">SUM(AJ101:AJ102)</f>
        <v>0</v>
      </c>
      <c r="AK100" s="826">
        <f t="shared" ref="AK100" si="218">SUM(AK101:AK102)</f>
        <v>0</v>
      </c>
      <c r="AM100" s="258"/>
      <c r="AN100" s="259"/>
      <c r="AO100" s="259"/>
      <c r="AP100" s="259"/>
      <c r="AQ100" s="260"/>
      <c r="AR100" s="123"/>
      <c r="AS100" s="258"/>
      <c r="AT100" s="259"/>
      <c r="AU100" s="259"/>
      <c r="AV100" s="259"/>
      <c r="AW100" s="260"/>
      <c r="AY100" s="189"/>
      <c r="AZ100" s="156"/>
      <c r="BA100" s="156"/>
      <c r="BB100" s="156"/>
      <c r="BC100" s="190"/>
      <c r="BD100" s="153">
        <f t="shared" si="60"/>
        <v>9</v>
      </c>
      <c r="BE100" s="45" t="str">
        <f t="shared" ref="BE100:BE109" si="219">VLOOKUP(BD100,$BO$284:$BT$290,6,FALSE)</f>
        <v>N/A</v>
      </c>
      <c r="BF100" s="157"/>
      <c r="BG100" s="153">
        <f t="shared" ref="BG100:BG109" si="220">IF(BC100=0,9,IF(AJ100&gt;=BC100,5,IF(AJ100&gt;=BB100,4,IF(AJ100&gt;=BA100,3,IF(AJ100&gt;=AZ100,2,IF(AJ100&lt;AY100,0,1))))))</f>
        <v>9</v>
      </c>
      <c r="BH100" s="45" t="str">
        <f t="shared" ref="BH100:BH109" si="221">VLOOKUP(BG100,$BO$284:$BT$290,6,FALSE)</f>
        <v>N/A</v>
      </c>
      <c r="BI100" s="157"/>
      <c r="BJ100" s="153">
        <f t="shared" si="28"/>
        <v>9</v>
      </c>
      <c r="BK100" s="45" t="str">
        <f t="shared" ref="BK100:BK109" si="222">VLOOKUP(BJ100,$BO$284:$BT$290,6,FALSE)</f>
        <v>N/A</v>
      </c>
      <c r="BL100" s="157"/>
      <c r="BO100" s="43"/>
      <c r="BP100" s="43"/>
      <c r="BQ100" s="43" t="str">
        <f t="shared" si="157"/>
        <v/>
      </c>
      <c r="BR100" s="43">
        <f t="shared" si="198"/>
        <v>9</v>
      </c>
      <c r="BS100" s="43">
        <f t="shared" si="199"/>
        <v>9</v>
      </c>
      <c r="BT100" s="43">
        <f t="shared" si="200"/>
        <v>9</v>
      </c>
      <c r="BW100" s="45" t="str">
        <f>D100</f>
        <v>Tra 01</v>
      </c>
      <c r="BX100" s="45" t="str">
        <f>IFERROR(VLOOKUP($E100,'Pre-Assessment Estimator'!$F$11:$AC$226,'Pre-Assessment Estimator'!AC$2,FALSE),"")</f>
        <v>N/A</v>
      </c>
      <c r="BY100" s="45">
        <f>IFERROR(VLOOKUP($E100,'Pre-Assessment Estimator'!$F$11:$AJ$226,'Pre-Assessment Estimator'!AJ$2,FALSE),"")</f>
        <v>0</v>
      </c>
      <c r="BZ100" s="45">
        <f t="shared" si="201"/>
        <v>1</v>
      </c>
      <c r="CA100" s="45">
        <f>IFERROR(VLOOKUP($BX100,$E$293:$H$326,G$291,FALSE),"")</f>
        <v>0</v>
      </c>
      <c r="CB100" s="45"/>
      <c r="CC100" t="str">
        <f t="shared" si="202"/>
        <v/>
      </c>
    </row>
    <row r="101" spans="1:81" x14ac:dyDescent="0.25">
      <c r="A101">
        <v>93</v>
      </c>
      <c r="B101" t="str">
        <f t="shared" ref="B101:B102" si="223">$D$100&amp;D101</f>
        <v>Tra 01a</v>
      </c>
      <c r="C101" t="str">
        <f t="shared" si="159"/>
        <v>Tra 01</v>
      </c>
      <c r="D101" s="144" t="s">
        <v>692</v>
      </c>
      <c r="E101" s="930" t="s">
        <v>636</v>
      </c>
      <c r="F101" s="816">
        <v>2</v>
      </c>
      <c r="G101" s="816">
        <v>2</v>
      </c>
      <c r="H101" s="816">
        <v>2</v>
      </c>
      <c r="I101" s="816">
        <v>2</v>
      </c>
      <c r="J101" s="816">
        <v>2</v>
      </c>
      <c r="K101" s="816">
        <v>2</v>
      </c>
      <c r="L101" s="816">
        <v>2</v>
      </c>
      <c r="M101" s="816">
        <v>2</v>
      </c>
      <c r="N101" s="816">
        <v>2</v>
      </c>
      <c r="O101" s="816">
        <v>2</v>
      </c>
      <c r="P101" s="816">
        <v>2</v>
      </c>
      <c r="Q101" s="816">
        <v>2</v>
      </c>
      <c r="R101" s="816">
        <v>2</v>
      </c>
      <c r="T101" s="148">
        <f t="shared" si="209"/>
        <v>2</v>
      </c>
      <c r="U101" s="866">
        <f>IF(AND(ADBT0=ADBT8,'Assessment Details'!F6='Assessment Details'!U7),T101,0)*0</f>
        <v>0</v>
      </c>
      <c r="V101" s="43"/>
      <c r="W101" s="43"/>
      <c r="X101" s="43"/>
      <c r="Y101" s="147"/>
      <c r="Z101" s="147">
        <f>VLOOKUP(B101,'Manuell filtrering og justering'!$A$7:$H$107,'Manuell filtrering og justering'!$H$1,FALSE)</f>
        <v>2</v>
      </c>
      <c r="AA101" s="148">
        <f t="shared" si="211"/>
        <v>0</v>
      </c>
      <c r="AB101" s="149">
        <f>IF($AC$5='Manuell filtrering og justering'!$J$2,Z101,(T101-AA101))</f>
        <v>2</v>
      </c>
      <c r="AD101" s="150">
        <f t="shared" si="213"/>
        <v>1.5384615384615385E-2</v>
      </c>
      <c r="AE101" s="150">
        <f t="shared" ref="AE101:AE105" si="224">IF(AB101=0,0,(AD101/AB101)*AI101)</f>
        <v>0</v>
      </c>
      <c r="AF101" s="150">
        <f t="shared" ref="AF101:AF105" si="225">IF(AB101=0,0,(AD101/AB101)*AJ101)</f>
        <v>0</v>
      </c>
      <c r="AG101" s="150">
        <f t="shared" ref="AG101:AG105" si="226">IF(AB101=0,0,(AD101/AB101)*AK101)</f>
        <v>0</v>
      </c>
      <c r="AI101" s="151">
        <f>IF(VLOOKUP(E101,'Pre-Assessment Estimator'!$F$11:$AA$226,'Pre-Assessment Estimator'!$H$2,FALSE)&gt;AB101,AB101,VLOOKUP(E101,'Pre-Assessment Estimator'!$F$11:$AA$226,'Pre-Assessment Estimator'!$H$2,FALSE))</f>
        <v>0</v>
      </c>
      <c r="AJ101" s="151">
        <f>IF(VLOOKUP(E101,'Pre-Assessment Estimator'!$F$11:$AA$226,'Pre-Assessment Estimator'!$O$2,FALSE)&gt;AB101,AB101,VLOOKUP(E101,'Pre-Assessment Estimator'!$F$11:$AA$226,'Pre-Assessment Estimator'!$O$2,FALSE))</f>
        <v>0</v>
      </c>
      <c r="AK101" s="151">
        <f>IF(VLOOKUP(E101,'Pre-Assessment Estimator'!$F$11:$AA$226,'Pre-Assessment Estimator'!$V$2,FALSE)&gt;AB101,AB101,VLOOKUP(E101,'Pre-Assessment Estimator'!$F$11:$AA$226,'Pre-Assessment Estimator'!$V$2,FALSE))</f>
        <v>0</v>
      </c>
      <c r="AM101" s="728"/>
      <c r="AN101" s="729"/>
      <c r="AO101" s="729"/>
      <c r="AP101" s="729"/>
      <c r="AQ101" s="730"/>
      <c r="AR101" s="123"/>
      <c r="AS101" s="728"/>
      <c r="AT101" s="729"/>
      <c r="AU101" s="729"/>
      <c r="AV101" s="729"/>
      <c r="AW101" s="730"/>
      <c r="AY101" s="144"/>
      <c r="AZ101" s="45"/>
      <c r="BA101" s="45"/>
      <c r="BB101" s="45"/>
      <c r="BC101" s="731"/>
      <c r="BD101" s="160">
        <f t="shared" ref="BD101:BD105" si="227">IF(BC101=0,9,IF(AI101&gt;=BC101,5,IF(AI101&gt;=BB101,4,IF(AI101&gt;=BA101,3,IF(AI101&gt;=AZ101,2,IF(AI101&lt;AY101,0,1))))))</f>
        <v>9</v>
      </c>
      <c r="BE101" s="45" t="str">
        <f t="shared" si="219"/>
        <v>N/A</v>
      </c>
      <c r="BF101" s="163"/>
      <c r="BG101" s="160">
        <f t="shared" ref="BG101:BG105" si="228">IF(BC101=0,9,IF(AJ101&gt;=BC101,5,IF(AJ101&gt;=BB101,4,IF(AJ101&gt;=BA101,3,IF(AJ101&gt;=AZ101,2,IF(AJ101&lt;AY101,0,1))))))</f>
        <v>9</v>
      </c>
      <c r="BH101" s="45" t="str">
        <f t="shared" si="221"/>
        <v>N/A</v>
      </c>
      <c r="BI101" s="163"/>
      <c r="BJ101" s="160">
        <f t="shared" ref="BJ101:BJ105" si="229">IF(BC101=0,9,IF(AK101&gt;=BC101,5,IF(AK101&gt;=BB101,4,IF(AK101&gt;=BA101,3,IF(AK101&gt;=AZ101,2,IF(AK101&lt;AY101,0,1))))))</f>
        <v>9</v>
      </c>
      <c r="BK101" s="45" t="str">
        <f t="shared" si="222"/>
        <v>N/A</v>
      </c>
      <c r="BL101" s="723"/>
      <c r="BO101" s="43"/>
      <c r="BP101" s="43"/>
      <c r="BQ101" s="43" t="str">
        <f t="shared" si="157"/>
        <v/>
      </c>
      <c r="BR101" s="43">
        <f t="shared" si="198"/>
        <v>9</v>
      </c>
      <c r="BS101" s="43">
        <f t="shared" si="199"/>
        <v>9</v>
      </c>
      <c r="BT101" s="43">
        <f t="shared" si="200"/>
        <v>9</v>
      </c>
      <c r="BW101" s="45"/>
      <c r="BX101" s="45"/>
      <c r="BY101" s="45"/>
      <c r="BZ101" s="45"/>
      <c r="CA101" s="45"/>
      <c r="CB101" s="45"/>
    </row>
    <row r="102" spans="1:81" x14ac:dyDescent="0.25">
      <c r="A102">
        <v>94</v>
      </c>
      <c r="B102" t="str">
        <f t="shared" si="223"/>
        <v>Tra 01b</v>
      </c>
      <c r="C102" t="str">
        <f t="shared" si="159"/>
        <v>Tra 01</v>
      </c>
      <c r="D102" s="144" t="s">
        <v>695</v>
      </c>
      <c r="E102" s="930" t="s">
        <v>637</v>
      </c>
      <c r="F102" s="816">
        <v>1</v>
      </c>
      <c r="G102" s="816">
        <v>1</v>
      </c>
      <c r="H102" s="816">
        <v>1</v>
      </c>
      <c r="I102" s="816">
        <v>1</v>
      </c>
      <c r="J102" s="816">
        <v>1</v>
      </c>
      <c r="K102" s="816">
        <v>1</v>
      </c>
      <c r="L102" s="816">
        <v>1</v>
      </c>
      <c r="M102" s="816">
        <v>1</v>
      </c>
      <c r="N102" s="816">
        <v>1</v>
      </c>
      <c r="O102" s="816">
        <v>1</v>
      </c>
      <c r="P102" s="816">
        <v>1</v>
      </c>
      <c r="Q102" s="816">
        <v>1</v>
      </c>
      <c r="R102" s="816">
        <v>1</v>
      </c>
      <c r="T102" s="148">
        <f t="shared" si="209"/>
        <v>1</v>
      </c>
      <c r="U102" s="146"/>
      <c r="V102" s="43"/>
      <c r="W102" s="43"/>
      <c r="X102" s="43"/>
      <c r="Y102" s="147"/>
      <c r="Z102" s="147">
        <f>VLOOKUP(B102,'Manuell filtrering og justering'!$A$7:$H$107,'Manuell filtrering og justering'!$H$1,FALSE)</f>
        <v>1</v>
      </c>
      <c r="AA102" s="148">
        <f t="shared" si="211"/>
        <v>0</v>
      </c>
      <c r="AB102" s="149">
        <f>IF($AC$5='Manuell filtrering og justering'!$J$2,Z102,(T102-AA102))</f>
        <v>1</v>
      </c>
      <c r="AD102" s="150">
        <f t="shared" si="213"/>
        <v>7.6923076923076927E-3</v>
      </c>
      <c r="AE102" s="150">
        <f t="shared" si="224"/>
        <v>0</v>
      </c>
      <c r="AF102" s="150">
        <f t="shared" si="225"/>
        <v>0</v>
      </c>
      <c r="AG102" s="150">
        <f t="shared" si="226"/>
        <v>0</v>
      </c>
      <c r="AI102" s="151">
        <f>IF(VLOOKUP(E102,'Pre-Assessment Estimator'!$F$11:$AA$226,'Pre-Assessment Estimator'!$H$2,FALSE)&gt;AB102,AB102,VLOOKUP(E102,'Pre-Assessment Estimator'!$F$11:$AA$226,'Pre-Assessment Estimator'!$H$2,FALSE))</f>
        <v>0</v>
      </c>
      <c r="AJ102" s="151">
        <f>IF(VLOOKUP(E102,'Pre-Assessment Estimator'!$F$11:$AA$226,'Pre-Assessment Estimator'!$O$2,FALSE)&gt;AB102,AB102,VLOOKUP(E102,'Pre-Assessment Estimator'!$F$11:$AA$226,'Pre-Assessment Estimator'!$O$2,FALSE))</f>
        <v>0</v>
      </c>
      <c r="AK102" s="151">
        <f>IF(VLOOKUP(E102,'Pre-Assessment Estimator'!$F$11:$AA$226,'Pre-Assessment Estimator'!$V$2,FALSE)&gt;AB102,AB102,VLOOKUP(E102,'Pre-Assessment Estimator'!$F$11:$AA$226,'Pre-Assessment Estimator'!$V$2,FALSE))</f>
        <v>0</v>
      </c>
      <c r="AM102" s="728"/>
      <c r="AN102" s="729"/>
      <c r="AO102" s="729"/>
      <c r="AP102" s="729">
        <v>1</v>
      </c>
      <c r="AQ102" s="730">
        <v>1</v>
      </c>
      <c r="AR102" s="123"/>
      <c r="AS102" s="728"/>
      <c r="AT102" s="729"/>
      <c r="AU102" s="729"/>
      <c r="AV102" s="729">
        <v>1</v>
      </c>
      <c r="AW102" s="730">
        <v>1</v>
      </c>
      <c r="AY102" s="144"/>
      <c r="AZ102" s="45"/>
      <c r="BA102" s="45"/>
      <c r="BB102" s="161">
        <f>IF($AB102=0,0,IF($E$6=$H$9,AV102,AP102))</f>
        <v>1</v>
      </c>
      <c r="BC102" s="161">
        <f>IF($AB102=0,0,IF($E$6=$H$9,AW102,AQ102))</f>
        <v>1</v>
      </c>
      <c r="BD102" s="160">
        <f t="shared" si="227"/>
        <v>3</v>
      </c>
      <c r="BE102" s="45" t="str">
        <f t="shared" si="219"/>
        <v>Very Good</v>
      </c>
      <c r="BF102" s="163"/>
      <c r="BG102" s="160">
        <f t="shared" si="228"/>
        <v>3</v>
      </c>
      <c r="BH102" s="45" t="str">
        <f t="shared" si="221"/>
        <v>Very Good</v>
      </c>
      <c r="BI102" s="163"/>
      <c r="BJ102" s="160">
        <f t="shared" si="229"/>
        <v>3</v>
      </c>
      <c r="BK102" s="45" t="str">
        <f t="shared" si="222"/>
        <v>Very Good</v>
      </c>
      <c r="BL102" s="723"/>
      <c r="BO102" s="43"/>
      <c r="BP102" s="43"/>
      <c r="BQ102" s="43" t="str">
        <f t="shared" si="157"/>
        <v/>
      </c>
      <c r="BR102" s="43">
        <f t="shared" si="198"/>
        <v>9</v>
      </c>
      <c r="BS102" s="43">
        <f t="shared" si="199"/>
        <v>9</v>
      </c>
      <c r="BT102" s="43">
        <f t="shared" si="200"/>
        <v>9</v>
      </c>
      <c r="BW102" s="45"/>
      <c r="BX102" s="45"/>
      <c r="BY102" s="45"/>
      <c r="BZ102" s="45"/>
      <c r="CA102" s="45"/>
      <c r="CB102" s="45"/>
    </row>
    <row r="103" spans="1:81" x14ac:dyDescent="0.25">
      <c r="A103">
        <v>95</v>
      </c>
      <c r="B103" s="121" t="str">
        <f>D103</f>
        <v>Tra 02</v>
      </c>
      <c r="C103" s="121" t="str">
        <f>B103</f>
        <v>Tra 02</v>
      </c>
      <c r="D103" s="727" t="s">
        <v>147</v>
      </c>
      <c r="E103" s="725" t="s">
        <v>461</v>
      </c>
      <c r="F103" s="811">
        <f>SUM(F104:F105)</f>
        <v>10</v>
      </c>
      <c r="G103" s="811">
        <f t="shared" ref="G103:R103" si="230">SUM(G104:G105)</f>
        <v>10</v>
      </c>
      <c r="H103" s="811">
        <f t="shared" si="230"/>
        <v>10</v>
      </c>
      <c r="I103" s="811">
        <f t="shared" si="230"/>
        <v>10</v>
      </c>
      <c r="J103" s="811">
        <f t="shared" si="230"/>
        <v>10</v>
      </c>
      <c r="K103" s="811">
        <f t="shared" si="230"/>
        <v>10</v>
      </c>
      <c r="L103" s="811">
        <f t="shared" si="230"/>
        <v>10</v>
      </c>
      <c r="M103" s="811">
        <f t="shared" si="230"/>
        <v>10</v>
      </c>
      <c r="N103" s="811">
        <f t="shared" si="230"/>
        <v>10</v>
      </c>
      <c r="O103" s="811">
        <f t="shared" si="230"/>
        <v>10</v>
      </c>
      <c r="P103" s="811">
        <f t="shared" si="230"/>
        <v>10</v>
      </c>
      <c r="Q103" s="811">
        <f t="shared" ref="Q103" si="231">SUM(Q104:Q105)</f>
        <v>10</v>
      </c>
      <c r="R103" s="811">
        <f t="shared" si="230"/>
        <v>10</v>
      </c>
      <c r="T103" s="831">
        <f t="shared" si="209"/>
        <v>10</v>
      </c>
      <c r="U103" s="191"/>
      <c r="V103" s="61"/>
      <c r="W103" s="61"/>
      <c r="X103" s="61">
        <f>'Manuell filtrering og justering'!E44</f>
        <v>0</v>
      </c>
      <c r="Y103" s="61"/>
      <c r="Z103" s="826">
        <f t="shared" ref="Z103" si="232">SUM(Z104:Z105)</f>
        <v>10</v>
      </c>
      <c r="AA103" s="831">
        <f t="shared" si="211"/>
        <v>0</v>
      </c>
      <c r="AB103" s="883">
        <f t="shared" ref="AB103" si="233">SUM(AB104:AB105)</f>
        <v>10</v>
      </c>
      <c r="AD103" s="150">
        <f t="shared" si="213"/>
        <v>7.6923076923076927E-2</v>
      </c>
      <c r="AE103" s="799">
        <f>SUM(AE104:AE105)</f>
        <v>0</v>
      </c>
      <c r="AF103" s="799">
        <f t="shared" ref="AF103" si="234">SUM(AF104:AF105)</f>
        <v>0</v>
      </c>
      <c r="AG103" s="799">
        <f t="shared" ref="AG103" si="235">SUM(AG104:AG105)</f>
        <v>0</v>
      </c>
      <c r="AI103" s="826">
        <f t="shared" ref="AI103" si="236">SUM(AI104:AI105)</f>
        <v>0</v>
      </c>
      <c r="AJ103" s="826">
        <f t="shared" ref="AJ103" si="237">SUM(AJ104:AJ105)</f>
        <v>0</v>
      </c>
      <c r="AK103" s="826">
        <f t="shared" ref="AK103" si="238">SUM(AK104:AK105)</f>
        <v>0</v>
      </c>
      <c r="AM103" s="252"/>
      <c r="AN103" s="253"/>
      <c r="AO103" s="253"/>
      <c r="AP103" s="253"/>
      <c r="AQ103" s="254"/>
      <c r="AR103" s="123"/>
      <c r="AS103" s="252"/>
      <c r="AT103" s="253"/>
      <c r="AU103" s="253"/>
      <c r="AV103" s="253"/>
      <c r="AW103" s="254"/>
      <c r="AY103" s="146"/>
      <c r="AZ103" s="43"/>
      <c r="BA103" s="43"/>
      <c r="BB103" s="43"/>
      <c r="BC103" s="147"/>
      <c r="BD103" s="160">
        <f t="shared" si="227"/>
        <v>9</v>
      </c>
      <c r="BE103" s="45" t="str">
        <f t="shared" si="219"/>
        <v>N/A</v>
      </c>
      <c r="BF103" s="163"/>
      <c r="BG103" s="160">
        <f t="shared" si="228"/>
        <v>9</v>
      </c>
      <c r="BH103" s="45" t="str">
        <f t="shared" si="221"/>
        <v>N/A</v>
      </c>
      <c r="BI103" s="163"/>
      <c r="BJ103" s="160">
        <f t="shared" si="229"/>
        <v>9</v>
      </c>
      <c r="BK103" s="45" t="str">
        <f t="shared" si="222"/>
        <v>N/A</v>
      </c>
      <c r="BL103" s="163"/>
      <c r="BO103" s="43"/>
      <c r="BP103" s="43"/>
      <c r="BQ103" s="43" t="str">
        <f t="shared" si="157"/>
        <v/>
      </c>
      <c r="BR103" s="43">
        <f t="shared" si="198"/>
        <v>9</v>
      </c>
      <c r="BS103" s="43">
        <f t="shared" si="199"/>
        <v>9</v>
      </c>
      <c r="BT103" s="43">
        <f t="shared" si="200"/>
        <v>9</v>
      </c>
      <c r="BW103" s="43" t="str">
        <f>D103</f>
        <v>Tra 02</v>
      </c>
      <c r="BX103" s="43" t="str">
        <f>IFERROR(VLOOKUP($E103,'Pre-Assessment Estimator'!$F$11:$AC$226,'Pre-Assessment Estimator'!AC$2,FALSE),"")</f>
        <v>N/A</v>
      </c>
      <c r="BY103" s="43">
        <f>IFERROR(VLOOKUP($E103,'Pre-Assessment Estimator'!$F$11:$AJ$226,'Pre-Assessment Estimator'!AJ$2,FALSE),"")</f>
        <v>0</v>
      </c>
      <c r="BZ103" s="43">
        <f>IFERROR(VLOOKUP($BX103,$E$293:$H$326,F$291,FALSE),"")</f>
        <v>1</v>
      </c>
      <c r="CA103" s="43">
        <f>IFERROR(VLOOKUP($BX103,$E$293:$H$326,G$291,FALSE),"")</f>
        <v>0</v>
      </c>
      <c r="CB103" s="43"/>
      <c r="CC103" t="str">
        <f>IFERROR(VLOOKUP($BX103,$E$293:$H$326,I$291,FALSE),"")</f>
        <v/>
      </c>
    </row>
    <row r="104" spans="1:81" x14ac:dyDescent="0.25">
      <c r="A104">
        <v>96</v>
      </c>
      <c r="C104" t="str">
        <f t="shared" si="159"/>
        <v>Tra 02</v>
      </c>
      <c r="D104" s="144" t="s">
        <v>692</v>
      </c>
      <c r="E104" s="930" t="s">
        <v>987</v>
      </c>
      <c r="F104" s="668">
        <v>0</v>
      </c>
      <c r="G104" s="668">
        <v>0</v>
      </c>
      <c r="H104" s="668">
        <v>0</v>
      </c>
      <c r="I104" s="668">
        <v>0</v>
      </c>
      <c r="J104" s="668">
        <v>0</v>
      </c>
      <c r="K104" s="668">
        <v>0</v>
      </c>
      <c r="L104" s="668">
        <v>0</v>
      </c>
      <c r="M104" s="668">
        <v>0</v>
      </c>
      <c r="N104" s="668">
        <v>0</v>
      </c>
      <c r="O104" s="668">
        <v>0</v>
      </c>
      <c r="P104" s="668">
        <v>0</v>
      </c>
      <c r="Q104" s="668">
        <v>0</v>
      </c>
      <c r="R104" s="668">
        <v>0</v>
      </c>
      <c r="T104" s="148">
        <f t="shared" si="209"/>
        <v>0</v>
      </c>
      <c r="U104" s="146"/>
      <c r="V104" s="43"/>
      <c r="W104" s="43"/>
      <c r="X104" s="43"/>
      <c r="Y104" s="147"/>
      <c r="Z104" s="147"/>
      <c r="AA104" s="148">
        <f t="shared" si="211"/>
        <v>0</v>
      </c>
      <c r="AB104" s="149"/>
      <c r="AD104" s="150">
        <f t="shared" si="213"/>
        <v>0</v>
      </c>
      <c r="AE104" s="150">
        <f t="shared" si="224"/>
        <v>0</v>
      </c>
      <c r="AF104" s="150">
        <f t="shared" si="225"/>
        <v>0</v>
      </c>
      <c r="AG104" s="150">
        <f t="shared" si="226"/>
        <v>0</v>
      </c>
      <c r="AI104" s="151">
        <f>IF(VLOOKUP(E104,'Pre-Assessment Estimator'!$F$11:$AA$226,'Pre-Assessment Estimator'!$H$2,FALSE)&gt;AB104,AB104,VLOOKUP(E104,'Pre-Assessment Estimator'!$F$11:$AA$226,'Pre-Assessment Estimator'!$H$2,FALSE))</f>
        <v>0</v>
      </c>
      <c r="AJ104" s="151">
        <f>IF(VLOOKUP(E104,'Pre-Assessment Estimator'!$F$11:$AA$226,'Pre-Assessment Estimator'!$O$2,FALSE)&gt;AB104,AB104,VLOOKUP(E104,'Pre-Assessment Estimator'!$F$11:$AA$226,'Pre-Assessment Estimator'!$O$2,FALSE))</f>
        <v>0</v>
      </c>
      <c r="AK104" s="151">
        <f>IF(VLOOKUP(E104,'Pre-Assessment Estimator'!$F$11:$AA$226,'Pre-Assessment Estimator'!$V$2,FALSE)&gt;AB104,AB104,VLOOKUP(E104,'Pre-Assessment Estimator'!$F$11:$AA$226,'Pre-Assessment Estimator'!$V$2,FALSE))</f>
        <v>0</v>
      </c>
      <c r="AM104" s="252"/>
      <c r="AN104" s="253"/>
      <c r="AO104" s="253"/>
      <c r="AP104" s="253"/>
      <c r="AQ104" s="254"/>
      <c r="AR104" s="123"/>
      <c r="AS104" s="252"/>
      <c r="AT104" s="253"/>
      <c r="AU104" s="253"/>
      <c r="AV104" s="253"/>
      <c r="AW104" s="254"/>
      <c r="AY104" s="146"/>
      <c r="AZ104" s="43"/>
      <c r="BA104" s="43"/>
      <c r="BB104" s="43"/>
      <c r="BC104" s="147"/>
      <c r="BD104" s="160">
        <f t="shared" si="227"/>
        <v>9</v>
      </c>
      <c r="BE104" s="45" t="str">
        <f t="shared" si="219"/>
        <v>N/A</v>
      </c>
      <c r="BF104" s="163"/>
      <c r="BG104" s="160">
        <f t="shared" si="228"/>
        <v>9</v>
      </c>
      <c r="BH104" s="45" t="str">
        <f t="shared" si="221"/>
        <v>N/A</v>
      </c>
      <c r="BI104" s="163"/>
      <c r="BJ104" s="160">
        <f t="shared" si="229"/>
        <v>9</v>
      </c>
      <c r="BK104" s="45" t="str">
        <f t="shared" si="222"/>
        <v>N/A</v>
      </c>
      <c r="BL104" s="163"/>
      <c r="BO104" s="43"/>
      <c r="BP104" s="43"/>
      <c r="BQ104" s="43" t="str">
        <f t="shared" si="157"/>
        <v/>
      </c>
      <c r="BR104" s="43">
        <f t="shared" si="198"/>
        <v>9</v>
      </c>
      <c r="BS104" s="43">
        <f t="shared" si="199"/>
        <v>9</v>
      </c>
      <c r="BT104" s="43">
        <f t="shared" si="200"/>
        <v>9</v>
      </c>
      <c r="BW104" s="43"/>
      <c r="BX104" s="43"/>
      <c r="BY104" s="43"/>
      <c r="BZ104" s="43"/>
      <c r="CA104" s="43"/>
      <c r="CB104" s="43"/>
    </row>
    <row r="105" spans="1:81" x14ac:dyDescent="0.25">
      <c r="A105">
        <v>97</v>
      </c>
      <c r="B105" t="str">
        <f t="shared" ref="B105" si="239">$D$103&amp;D105</f>
        <v>Tra 02b</v>
      </c>
      <c r="C105" t="str">
        <f t="shared" si="159"/>
        <v>Tra 02</v>
      </c>
      <c r="D105" s="144" t="s">
        <v>695</v>
      </c>
      <c r="E105" s="930" t="s">
        <v>639</v>
      </c>
      <c r="F105" s="668">
        <v>10</v>
      </c>
      <c r="G105" s="668">
        <v>10</v>
      </c>
      <c r="H105" s="668">
        <v>10</v>
      </c>
      <c r="I105" s="668">
        <v>10</v>
      </c>
      <c r="J105" s="668">
        <v>10</v>
      </c>
      <c r="K105" s="668">
        <v>10</v>
      </c>
      <c r="L105" s="668">
        <v>10</v>
      </c>
      <c r="M105" s="668">
        <v>10</v>
      </c>
      <c r="N105" s="668">
        <v>10</v>
      </c>
      <c r="O105" s="668">
        <v>10</v>
      </c>
      <c r="P105" s="668">
        <v>10</v>
      </c>
      <c r="Q105" s="668">
        <v>10</v>
      </c>
      <c r="R105" s="668">
        <v>10</v>
      </c>
      <c r="T105" s="148">
        <f t="shared" si="209"/>
        <v>10</v>
      </c>
      <c r="U105" s="146"/>
      <c r="V105" s="43"/>
      <c r="W105" s="43"/>
      <c r="X105" s="43"/>
      <c r="Y105" s="147"/>
      <c r="Z105" s="147">
        <f>VLOOKUP(B105,'Manuell filtrering og justering'!$A$7:$H$107,'Manuell filtrering og justering'!$H$1,FALSE)</f>
        <v>10</v>
      </c>
      <c r="AA105" s="148">
        <f t="shared" si="211"/>
        <v>0</v>
      </c>
      <c r="AB105" s="149">
        <f>IF($AC$5='Manuell filtrering og justering'!$J$2,Z105,(T105-AA105))</f>
        <v>10</v>
      </c>
      <c r="AD105" s="150">
        <f t="shared" si="213"/>
        <v>7.6923076923076927E-2</v>
      </c>
      <c r="AE105" s="150">
        <f t="shared" si="224"/>
        <v>0</v>
      </c>
      <c r="AF105" s="150">
        <f t="shared" si="225"/>
        <v>0</v>
      </c>
      <c r="AG105" s="150">
        <f t="shared" si="226"/>
        <v>0</v>
      </c>
      <c r="AI105" s="884">
        <f>IF(AI246=AD_no,0,IF(VLOOKUP(E105,'Pre-Assessment Estimator'!$F$11:$AA$226,'Pre-Assessment Estimator'!$H$2,FALSE)&gt;AB105,AB105,VLOOKUP(E105,'Pre-Assessment Estimator'!$F$11:$AA$226,'Pre-Assessment Estimator'!$H$2,FALSE)))</f>
        <v>0</v>
      </c>
      <c r="AJ105" s="884">
        <f>IF(AJ246=AD_no,0,IF(VLOOKUP(E105,'Pre-Assessment Estimator'!$F$11:$AA$226,'Pre-Assessment Estimator'!$O$2,FALSE)&gt;AB105,AB105,VLOOKUP(E105,'Pre-Assessment Estimator'!$F$11:$AA$226,'Pre-Assessment Estimator'!$O$2,FALSE)))</f>
        <v>0</v>
      </c>
      <c r="AK105" s="884">
        <f>IF(AK246=AD_no,0,IF(VLOOKUP(E105,'Pre-Assessment Estimator'!$F$11:$AA$226,'Pre-Assessment Estimator'!$V$2,FALSE)&gt;AB105,AB105,VLOOKUP(E105,'Pre-Assessment Estimator'!$F$11:$AA$226,'Pre-Assessment Estimator'!$V$2,FALSE)))</f>
        <v>0</v>
      </c>
      <c r="AM105" s="252"/>
      <c r="AN105" s="253"/>
      <c r="AO105" s="253"/>
      <c r="AP105" s="253"/>
      <c r="AQ105" s="254"/>
      <c r="AR105" s="123"/>
      <c r="AS105" s="252"/>
      <c r="AT105" s="253"/>
      <c r="AU105" s="253"/>
      <c r="AV105" s="253"/>
      <c r="AW105" s="254"/>
      <c r="AY105" s="146"/>
      <c r="AZ105" s="43"/>
      <c r="BA105" s="43"/>
      <c r="BB105" s="43"/>
      <c r="BC105" s="147"/>
      <c r="BD105" s="160">
        <f t="shared" si="227"/>
        <v>9</v>
      </c>
      <c r="BE105" s="45" t="str">
        <f t="shared" si="219"/>
        <v>N/A</v>
      </c>
      <c r="BF105" s="163"/>
      <c r="BG105" s="160">
        <f t="shared" si="228"/>
        <v>9</v>
      </c>
      <c r="BH105" s="45" t="str">
        <f t="shared" si="221"/>
        <v>N/A</v>
      </c>
      <c r="BI105" s="163"/>
      <c r="BJ105" s="160">
        <f t="shared" si="229"/>
        <v>9</v>
      </c>
      <c r="BK105" s="45" t="str">
        <f t="shared" si="222"/>
        <v>N/A</v>
      </c>
      <c r="BL105" s="163"/>
      <c r="BO105" s="43"/>
      <c r="BP105" s="43"/>
      <c r="BQ105" s="43" t="str">
        <f t="shared" si="157"/>
        <v/>
      </c>
      <c r="BR105" s="43">
        <f t="shared" si="198"/>
        <v>9</v>
      </c>
      <c r="BS105" s="43">
        <f t="shared" si="199"/>
        <v>9</v>
      </c>
      <c r="BT105" s="43">
        <f t="shared" si="200"/>
        <v>9</v>
      </c>
      <c r="BW105" s="43"/>
      <c r="BX105" s="43"/>
      <c r="BY105" s="43"/>
      <c r="BZ105" s="43"/>
      <c r="CA105" s="43"/>
      <c r="CB105" s="43"/>
    </row>
    <row r="106" spans="1:81" x14ac:dyDescent="0.25">
      <c r="A106">
        <v>98</v>
      </c>
      <c r="D106" s="609" t="s">
        <v>148</v>
      </c>
      <c r="E106" s="608"/>
      <c r="F106" s="812"/>
      <c r="G106" s="812"/>
      <c r="H106" s="812"/>
      <c r="I106" s="812"/>
      <c r="J106" s="812"/>
      <c r="K106" s="812"/>
      <c r="L106" s="812"/>
      <c r="M106" s="812"/>
      <c r="N106" s="812"/>
      <c r="O106" s="812"/>
      <c r="P106" s="812"/>
      <c r="Q106" s="812"/>
      <c r="R106" s="812"/>
      <c r="T106" s="824"/>
      <c r="U106" s="609"/>
      <c r="V106" s="608"/>
      <c r="W106" s="608"/>
      <c r="X106" s="608"/>
      <c r="Y106" s="823"/>
      <c r="Z106" s="823"/>
      <c r="AA106" s="824"/>
      <c r="AB106" s="825"/>
      <c r="AD106" s="150">
        <f t="shared" si="213"/>
        <v>0</v>
      </c>
      <c r="AE106" s="828"/>
      <c r="AF106" s="828"/>
      <c r="AG106" s="828"/>
      <c r="AI106" s="623"/>
      <c r="AJ106" s="623"/>
      <c r="AK106" s="623"/>
      <c r="AM106" s="252"/>
      <c r="AN106" s="253"/>
      <c r="AO106" s="253"/>
      <c r="AP106" s="253"/>
      <c r="AQ106" s="254"/>
      <c r="AR106" s="123"/>
      <c r="AS106" s="252"/>
      <c r="AT106" s="253"/>
      <c r="AU106" s="253"/>
      <c r="AV106" s="253"/>
      <c r="AW106" s="254"/>
      <c r="AY106" s="146"/>
      <c r="AZ106" s="43"/>
      <c r="BA106" s="43"/>
      <c r="BB106" s="43"/>
      <c r="BC106" s="147"/>
      <c r="BD106" s="160">
        <f t="shared" si="60"/>
        <v>9</v>
      </c>
      <c r="BE106" s="45" t="str">
        <f t="shared" si="219"/>
        <v>N/A</v>
      </c>
      <c r="BF106" s="163"/>
      <c r="BG106" s="160">
        <f t="shared" si="220"/>
        <v>9</v>
      </c>
      <c r="BH106" s="45" t="str">
        <f t="shared" si="221"/>
        <v>N/A</v>
      </c>
      <c r="BI106" s="163"/>
      <c r="BJ106" s="160">
        <f t="shared" si="28"/>
        <v>9</v>
      </c>
      <c r="BK106" s="45" t="str">
        <f t="shared" si="222"/>
        <v>N/A</v>
      </c>
      <c r="BL106" s="163"/>
      <c r="BO106" s="43"/>
      <c r="BP106" s="43"/>
      <c r="BQ106" s="43" t="str">
        <f t="shared" si="157"/>
        <v/>
      </c>
      <c r="BR106" s="43">
        <f t="shared" si="198"/>
        <v>9</v>
      </c>
      <c r="BS106" s="43">
        <f t="shared" si="199"/>
        <v>9</v>
      </c>
      <c r="BT106" s="43">
        <f t="shared" si="200"/>
        <v>9</v>
      </c>
      <c r="BW106" s="43" t="str">
        <f>D106</f>
        <v>Tra 03</v>
      </c>
      <c r="BX106" s="43" t="str">
        <f>IFERROR(VLOOKUP($E106,'Pre-Assessment Estimator'!$F$11:$AC$226,'Pre-Assessment Estimator'!AC$2,FALSE),"")</f>
        <v/>
      </c>
      <c r="BY106" s="43" t="str">
        <f>IFERROR(VLOOKUP($E106,'Pre-Assessment Estimator'!$F$11:$AJ$226,'Pre-Assessment Estimator'!AJ$2,FALSE),"")</f>
        <v/>
      </c>
      <c r="BZ106" s="43" t="str">
        <f t="shared" ref="BZ106:CA113" si="240">IFERROR(VLOOKUP($BX106,$E$293:$H$326,F$291,FALSE),"")</f>
        <v/>
      </c>
      <c r="CA106" s="43" t="str">
        <f t="shared" si="240"/>
        <v/>
      </c>
      <c r="CB106" s="43"/>
      <c r="CC106" t="s">
        <v>429</v>
      </c>
    </row>
    <row r="107" spans="1:81" x14ac:dyDescent="0.25">
      <c r="A107">
        <v>99</v>
      </c>
      <c r="D107" s="609" t="s">
        <v>149</v>
      </c>
      <c r="E107" s="608"/>
      <c r="F107" s="812"/>
      <c r="G107" s="812"/>
      <c r="H107" s="812"/>
      <c r="I107" s="812"/>
      <c r="J107" s="812"/>
      <c r="K107" s="812"/>
      <c r="L107" s="812"/>
      <c r="M107" s="812"/>
      <c r="N107" s="812"/>
      <c r="O107" s="812"/>
      <c r="P107" s="812"/>
      <c r="Q107" s="812"/>
      <c r="R107" s="812"/>
      <c r="T107" s="824"/>
      <c r="U107" s="609"/>
      <c r="V107" s="608"/>
      <c r="W107" s="608"/>
      <c r="X107" s="608"/>
      <c r="Y107" s="823"/>
      <c r="Z107" s="823"/>
      <c r="AA107" s="824"/>
      <c r="AB107" s="825"/>
      <c r="AD107" s="150">
        <f t="shared" si="213"/>
        <v>0</v>
      </c>
      <c r="AE107" s="828"/>
      <c r="AF107" s="828"/>
      <c r="AG107" s="828"/>
      <c r="AI107" s="623"/>
      <c r="AJ107" s="623"/>
      <c r="AK107" s="623"/>
      <c r="AM107" s="252"/>
      <c r="AN107" s="253"/>
      <c r="AO107" s="253"/>
      <c r="AP107" s="253"/>
      <c r="AQ107" s="254"/>
      <c r="AR107" s="123"/>
      <c r="AS107" s="252"/>
      <c r="AT107" s="253"/>
      <c r="AU107" s="253"/>
      <c r="AV107" s="253"/>
      <c r="AW107" s="254"/>
      <c r="AY107" s="146"/>
      <c r="AZ107" s="43"/>
      <c r="BA107" s="43"/>
      <c r="BB107" s="43"/>
      <c r="BC107" s="147"/>
      <c r="BD107" s="160">
        <f t="shared" si="60"/>
        <v>9</v>
      </c>
      <c r="BE107" s="45" t="str">
        <f t="shared" si="219"/>
        <v>N/A</v>
      </c>
      <c r="BF107" s="163"/>
      <c r="BG107" s="160">
        <f t="shared" si="220"/>
        <v>9</v>
      </c>
      <c r="BH107" s="45" t="str">
        <f t="shared" si="221"/>
        <v>N/A</v>
      </c>
      <c r="BI107" s="163"/>
      <c r="BJ107" s="160">
        <f t="shared" si="28"/>
        <v>9</v>
      </c>
      <c r="BK107" s="45" t="str">
        <f t="shared" si="222"/>
        <v>N/A</v>
      </c>
      <c r="BL107" s="163"/>
      <c r="BO107" s="43"/>
      <c r="BP107" s="43"/>
      <c r="BQ107" s="43" t="str">
        <f t="shared" si="157"/>
        <v/>
      </c>
      <c r="BR107" s="43">
        <f t="shared" si="198"/>
        <v>9</v>
      </c>
      <c r="BS107" s="43">
        <f t="shared" si="199"/>
        <v>9</v>
      </c>
      <c r="BT107" s="43">
        <f t="shared" si="200"/>
        <v>9</v>
      </c>
      <c r="BW107" s="43" t="str">
        <f>D107</f>
        <v>Tra 04</v>
      </c>
      <c r="BX107" s="43" t="str">
        <f>IFERROR(VLOOKUP($E107,'Pre-Assessment Estimator'!$F$11:$AC$226,'Pre-Assessment Estimator'!AC$2,FALSE),"")</f>
        <v/>
      </c>
      <c r="BY107" s="43" t="str">
        <f>IFERROR(VLOOKUP($E107,'Pre-Assessment Estimator'!$F$11:$AJ$226,'Pre-Assessment Estimator'!AJ$2,FALSE),"")</f>
        <v/>
      </c>
      <c r="BZ107" s="43" t="str">
        <f t="shared" si="240"/>
        <v/>
      </c>
      <c r="CA107" s="43" t="str">
        <f t="shared" si="240"/>
        <v/>
      </c>
      <c r="CB107" s="43"/>
      <c r="CC107" t="str">
        <f t="shared" ref="CC107:CC112" si="241">IFERROR(VLOOKUP($BX107,$E$293:$H$326,I$291,FALSE),"")</f>
        <v/>
      </c>
    </row>
    <row r="108" spans="1:81" x14ac:dyDescent="0.25">
      <c r="A108">
        <v>100</v>
      </c>
      <c r="D108" s="609" t="s">
        <v>150</v>
      </c>
      <c r="E108" s="608"/>
      <c r="F108" s="812"/>
      <c r="G108" s="812"/>
      <c r="H108" s="812"/>
      <c r="I108" s="812"/>
      <c r="J108" s="812"/>
      <c r="K108" s="812"/>
      <c r="L108" s="812"/>
      <c r="M108" s="812"/>
      <c r="N108" s="812"/>
      <c r="O108" s="812"/>
      <c r="P108" s="812"/>
      <c r="Q108" s="812"/>
      <c r="R108" s="812"/>
      <c r="T108" s="824"/>
      <c r="U108" s="609"/>
      <c r="V108" s="608"/>
      <c r="W108" s="608"/>
      <c r="X108" s="608"/>
      <c r="Y108" s="823"/>
      <c r="Z108" s="823"/>
      <c r="AA108" s="824"/>
      <c r="AB108" s="825"/>
      <c r="AD108" s="150">
        <f t="shared" si="213"/>
        <v>0</v>
      </c>
      <c r="AE108" s="828"/>
      <c r="AF108" s="828"/>
      <c r="AG108" s="828"/>
      <c r="AI108" s="623"/>
      <c r="AJ108" s="623"/>
      <c r="AK108" s="623"/>
      <c r="AM108" s="252"/>
      <c r="AN108" s="253"/>
      <c r="AO108" s="253"/>
      <c r="AP108" s="253"/>
      <c r="AQ108" s="254"/>
      <c r="AR108" s="123"/>
      <c r="AS108" s="252"/>
      <c r="AT108" s="253"/>
      <c r="AU108" s="253"/>
      <c r="AV108" s="253"/>
      <c r="AW108" s="254"/>
      <c r="AY108" s="146"/>
      <c r="AZ108" s="43"/>
      <c r="BA108" s="43"/>
      <c r="BB108" s="43"/>
      <c r="BC108" s="147"/>
      <c r="BD108" s="160">
        <f t="shared" si="60"/>
        <v>9</v>
      </c>
      <c r="BE108" s="45" t="str">
        <f t="shared" si="219"/>
        <v>N/A</v>
      </c>
      <c r="BF108" s="163"/>
      <c r="BG108" s="160">
        <f t="shared" si="220"/>
        <v>9</v>
      </c>
      <c r="BH108" s="45" t="str">
        <f t="shared" si="221"/>
        <v>N/A</v>
      </c>
      <c r="BI108" s="163"/>
      <c r="BJ108" s="160">
        <f t="shared" si="28"/>
        <v>9</v>
      </c>
      <c r="BK108" s="45" t="str">
        <f t="shared" si="222"/>
        <v>N/A</v>
      </c>
      <c r="BL108" s="163"/>
      <c r="BO108" s="43"/>
      <c r="BP108" s="43"/>
      <c r="BQ108" s="43" t="str">
        <f t="shared" si="157"/>
        <v/>
      </c>
      <c r="BR108" s="43">
        <f t="shared" si="198"/>
        <v>9</v>
      </c>
      <c r="BS108" s="43">
        <f t="shared" si="199"/>
        <v>9</v>
      </c>
      <c r="BT108" s="43">
        <f t="shared" si="200"/>
        <v>9</v>
      </c>
      <c r="BW108" s="43" t="str">
        <f>D108</f>
        <v>Tra 05</v>
      </c>
      <c r="BX108" s="43" t="str">
        <f>IFERROR(VLOOKUP($E108,'Pre-Assessment Estimator'!$F$11:$AC$226,'Pre-Assessment Estimator'!AC$2,FALSE),"")</f>
        <v/>
      </c>
      <c r="BY108" s="43" t="str">
        <f>IFERROR(VLOOKUP($E108,'Pre-Assessment Estimator'!$F$11:$AJ$226,'Pre-Assessment Estimator'!AJ$2,FALSE),"")</f>
        <v/>
      </c>
      <c r="BZ108" s="43" t="str">
        <f t="shared" si="240"/>
        <v/>
      </c>
      <c r="CA108" s="43" t="str">
        <f t="shared" si="240"/>
        <v/>
      </c>
      <c r="CB108" s="43"/>
      <c r="CC108" t="str">
        <f t="shared" si="241"/>
        <v/>
      </c>
    </row>
    <row r="109" spans="1:81" ht="15.75" thickBot="1" x14ac:dyDescent="0.3">
      <c r="A109">
        <v>101</v>
      </c>
      <c r="D109" s="613" t="s">
        <v>313</v>
      </c>
      <c r="E109" s="614"/>
      <c r="F109" s="815"/>
      <c r="G109" s="815"/>
      <c r="H109" s="815"/>
      <c r="I109" s="815"/>
      <c r="J109" s="815"/>
      <c r="K109" s="815"/>
      <c r="L109" s="815"/>
      <c r="M109" s="815"/>
      <c r="N109" s="815"/>
      <c r="O109" s="815"/>
      <c r="P109" s="815"/>
      <c r="Q109" s="815"/>
      <c r="R109" s="815"/>
      <c r="T109" s="824"/>
      <c r="U109" s="611"/>
      <c r="V109" s="612"/>
      <c r="W109" s="612"/>
      <c r="X109" s="608"/>
      <c r="Y109" s="823"/>
      <c r="Z109" s="823"/>
      <c r="AA109" s="824"/>
      <c r="AB109" s="825"/>
      <c r="AD109" s="150">
        <f t="shared" si="213"/>
        <v>0</v>
      </c>
      <c r="AE109" s="828"/>
      <c r="AF109" s="828"/>
      <c r="AG109" s="828"/>
      <c r="AI109" s="623"/>
      <c r="AJ109" s="623"/>
      <c r="AK109" s="623"/>
      <c r="AM109" s="255"/>
      <c r="AN109" s="256"/>
      <c r="AO109" s="256"/>
      <c r="AP109" s="256"/>
      <c r="AQ109" s="257"/>
      <c r="AR109" s="123"/>
      <c r="AS109" s="255"/>
      <c r="AT109" s="256"/>
      <c r="AU109" s="256"/>
      <c r="AV109" s="256"/>
      <c r="AW109" s="257"/>
      <c r="AY109" s="168"/>
      <c r="AZ109" s="170"/>
      <c r="BA109" s="170"/>
      <c r="BB109" s="170"/>
      <c r="BC109" s="171"/>
      <c r="BD109" s="172">
        <f t="shared" ref="BD109" si="242">IF(BC109=0,9,IF(AI109&gt;=BC109,5,IF(AI109&gt;=BB109,4,IF(AI109&gt;=BA109,3,IF(AI109&gt;=AZ109,2,IF(AI109&lt;AY109,0,1))))))</f>
        <v>9</v>
      </c>
      <c r="BE109" s="45" t="str">
        <f t="shared" si="219"/>
        <v>N/A</v>
      </c>
      <c r="BF109" s="173"/>
      <c r="BG109" s="172">
        <f t="shared" si="220"/>
        <v>9</v>
      </c>
      <c r="BH109" s="45" t="str">
        <f t="shared" si="221"/>
        <v>N/A</v>
      </c>
      <c r="BI109" s="173"/>
      <c r="BJ109" s="172">
        <f t="shared" si="28"/>
        <v>9</v>
      </c>
      <c r="BK109" s="45" t="str">
        <f t="shared" si="222"/>
        <v>N/A</v>
      </c>
      <c r="BL109" s="173"/>
      <c r="BO109" s="43"/>
      <c r="BP109" s="43"/>
      <c r="BQ109" s="43" t="str">
        <f t="shared" si="157"/>
        <v/>
      </c>
      <c r="BR109" s="43">
        <f t="shared" si="198"/>
        <v>9</v>
      </c>
      <c r="BS109" s="43">
        <f t="shared" si="199"/>
        <v>9</v>
      </c>
      <c r="BT109" s="43">
        <f t="shared" si="200"/>
        <v>9</v>
      </c>
      <c r="BW109" s="63" t="str">
        <f>D109</f>
        <v>Tra 06</v>
      </c>
      <c r="BX109" s="63" t="str">
        <f>IFERROR(VLOOKUP($E109,'Pre-Assessment Estimator'!$F$11:$AC$226,'Pre-Assessment Estimator'!AC$2,FALSE),"")</f>
        <v/>
      </c>
      <c r="BY109" s="63" t="str">
        <f>IFERROR(VLOOKUP($E109,'Pre-Assessment Estimator'!$F$11:$AJ$226,'Pre-Assessment Estimator'!AJ$2,FALSE),"")</f>
        <v/>
      </c>
      <c r="BZ109" s="63" t="str">
        <f t="shared" si="240"/>
        <v/>
      </c>
      <c r="CA109" s="63" t="str">
        <f t="shared" si="240"/>
        <v/>
      </c>
      <c r="CB109" s="63"/>
      <c r="CC109" t="str">
        <f t="shared" si="241"/>
        <v/>
      </c>
    </row>
    <row r="110" spans="1:81" ht="15.75" thickBot="1" x14ac:dyDescent="0.3">
      <c r="A110">
        <v>102</v>
      </c>
      <c r="B110" t="s">
        <v>884</v>
      </c>
      <c r="D110" s="174"/>
      <c r="E110" s="50" t="s">
        <v>213</v>
      </c>
      <c r="F110" s="672">
        <f>F100+F103</f>
        <v>13</v>
      </c>
      <c r="G110" s="672">
        <f t="shared" ref="G110:R110" si="243">G100+G103</f>
        <v>13</v>
      </c>
      <c r="H110" s="672">
        <f t="shared" si="243"/>
        <v>13</v>
      </c>
      <c r="I110" s="672">
        <f t="shared" si="243"/>
        <v>13</v>
      </c>
      <c r="J110" s="672">
        <f t="shared" si="243"/>
        <v>13</v>
      </c>
      <c r="K110" s="672">
        <f t="shared" si="243"/>
        <v>13</v>
      </c>
      <c r="L110" s="672">
        <f t="shared" si="243"/>
        <v>13</v>
      </c>
      <c r="M110" s="672">
        <f t="shared" si="243"/>
        <v>13</v>
      </c>
      <c r="N110" s="672">
        <f t="shared" si="243"/>
        <v>13</v>
      </c>
      <c r="O110" s="672">
        <f t="shared" si="243"/>
        <v>13</v>
      </c>
      <c r="P110" s="672">
        <f t="shared" si="243"/>
        <v>13</v>
      </c>
      <c r="Q110" s="672">
        <f t="shared" ref="Q110" si="244">Q100+Q103</f>
        <v>13</v>
      </c>
      <c r="R110" s="672">
        <f t="shared" si="243"/>
        <v>13</v>
      </c>
      <c r="T110" s="195">
        <f>HLOOKUP($E$6,$F$9:$R$231,$A110,FALSE)</f>
        <v>13</v>
      </c>
      <c r="U110" s="176"/>
      <c r="V110" s="177"/>
      <c r="W110" s="177"/>
      <c r="X110" s="177"/>
      <c r="Y110" s="178"/>
      <c r="Z110" s="178"/>
      <c r="AA110" s="672">
        <f t="shared" ref="AA110:AG110" si="245">AA100+AA103</f>
        <v>0</v>
      </c>
      <c r="AB110" s="672">
        <f t="shared" si="245"/>
        <v>13</v>
      </c>
      <c r="AD110" s="180">
        <f t="shared" si="245"/>
        <v>0.1</v>
      </c>
      <c r="AE110" s="180">
        <f t="shared" si="245"/>
        <v>0</v>
      </c>
      <c r="AF110" s="180">
        <f t="shared" si="245"/>
        <v>0</v>
      </c>
      <c r="AG110" s="180">
        <f t="shared" si="245"/>
        <v>0</v>
      </c>
      <c r="AI110" s="72">
        <f t="shared" ref="AI110:AK110" si="246">AI100+AI103</f>
        <v>0</v>
      </c>
      <c r="AJ110" s="72">
        <f t="shared" si="246"/>
        <v>0</v>
      </c>
      <c r="AK110" s="72">
        <f t="shared" si="246"/>
        <v>0</v>
      </c>
      <c r="AM110" s="123"/>
      <c r="AN110" s="123"/>
      <c r="AO110" s="123"/>
      <c r="AP110" s="123"/>
      <c r="AQ110" s="123"/>
      <c r="AR110" s="123"/>
      <c r="AS110" s="123"/>
      <c r="AT110" s="123"/>
      <c r="AU110" s="123"/>
      <c r="AV110" s="123"/>
      <c r="AW110" s="123"/>
      <c r="AZ110" s="181"/>
      <c r="BW110" s="50"/>
      <c r="BX110" s="50" t="str">
        <f>IFERROR(VLOOKUP($E110,'Pre-Assessment Estimator'!$F$11:$AC$226,'Pre-Assessment Estimator'!AC$2,FALSE),"")</f>
        <v/>
      </c>
      <c r="BY110" s="50" t="str">
        <f>IFERROR(VLOOKUP($E110,'Pre-Assessment Estimator'!$F$11:$AJ$226,'Pre-Assessment Estimator'!AJ$2,FALSE),"")</f>
        <v/>
      </c>
      <c r="BZ110" s="50" t="str">
        <f t="shared" si="240"/>
        <v/>
      </c>
      <c r="CA110" s="50" t="str">
        <f t="shared" si="240"/>
        <v/>
      </c>
      <c r="CB110" s="50"/>
      <c r="CC110" t="str">
        <f t="shared" si="241"/>
        <v/>
      </c>
    </row>
    <row r="111" spans="1:81" ht="15.75" thickBot="1" x14ac:dyDescent="0.3">
      <c r="A111">
        <v>103</v>
      </c>
      <c r="AI111" s="1"/>
      <c r="AJ111" s="1"/>
      <c r="AK111" s="1"/>
      <c r="AM111" s="123"/>
      <c r="AN111" s="123"/>
      <c r="AO111" s="123"/>
      <c r="AP111" s="123"/>
      <c r="AQ111" s="123"/>
      <c r="AR111" s="123"/>
      <c r="AS111" s="123"/>
      <c r="AT111" s="123"/>
      <c r="AU111" s="123"/>
      <c r="AV111" s="123"/>
      <c r="AW111" s="123"/>
      <c r="BX111" t="str">
        <f>IFERROR(VLOOKUP($E111,'Pre-Assessment Estimator'!$F$11:$AC$226,'Pre-Assessment Estimator'!AC$2,FALSE),"")</f>
        <v/>
      </c>
      <c r="BY111" t="str">
        <f>IFERROR(VLOOKUP($E111,'Pre-Assessment Estimator'!$F$11:$AJ$226,'Pre-Assessment Estimator'!AJ$2,FALSE),"")</f>
        <v/>
      </c>
      <c r="BZ111" t="str">
        <f t="shared" si="240"/>
        <v/>
      </c>
      <c r="CA111" t="str">
        <f t="shared" si="240"/>
        <v/>
      </c>
      <c r="CC111" t="str">
        <f t="shared" si="241"/>
        <v/>
      </c>
    </row>
    <row r="112" spans="1:81" ht="60.75" thickBot="1" x14ac:dyDescent="0.3">
      <c r="A112">
        <v>104</v>
      </c>
      <c r="D112" s="127"/>
      <c r="E112" s="47" t="s">
        <v>58</v>
      </c>
      <c r="F112" s="1028" t="str">
        <f>$F$9</f>
        <v>Office</v>
      </c>
      <c r="G112" s="1028" t="str">
        <f>$G$9</f>
        <v>Retail</v>
      </c>
      <c r="H112" s="1032" t="str">
        <f>$H$9</f>
        <v>Residential</v>
      </c>
      <c r="I112" s="1028" t="str">
        <f>$I$9</f>
        <v>Industrial</v>
      </c>
      <c r="J112" s="1030" t="str">
        <f>$J$9</f>
        <v>Healthcare</v>
      </c>
      <c r="K112" s="1030" t="str">
        <f>$K$9</f>
        <v>Prison</v>
      </c>
      <c r="L112" s="1030" t="str">
        <f>$L$9</f>
        <v>Law Court</v>
      </c>
      <c r="M112" s="1034" t="str">
        <f>$M$9</f>
        <v>Residential institution (long term stay)</v>
      </c>
      <c r="N112" s="796" t="str">
        <f>$N$9</f>
        <v>Residential institution (short term stay)</v>
      </c>
      <c r="O112" s="796" t="str">
        <f>$O$9</f>
        <v>Non-residential institution</v>
      </c>
      <c r="P112" s="796" t="str">
        <f>$P$9</f>
        <v>Assembly and leisure</v>
      </c>
      <c r="Q112" s="1030" t="str">
        <f>$Q$9</f>
        <v>Education</v>
      </c>
      <c r="R112" s="747" t="str">
        <f>$R$9</f>
        <v>Other</v>
      </c>
      <c r="T112" s="122" t="str">
        <f>$E$6</f>
        <v>Office</v>
      </c>
      <c r="U112" s="182"/>
      <c r="V112" s="183"/>
      <c r="W112" s="183"/>
      <c r="X112" s="183"/>
      <c r="Y112" s="964" t="s">
        <v>411</v>
      </c>
      <c r="Z112" s="304" t="s">
        <v>334</v>
      </c>
      <c r="AA112" s="131" t="s">
        <v>213</v>
      </c>
      <c r="AB112" s="53" t="s">
        <v>14</v>
      </c>
      <c r="AI112" s="36"/>
      <c r="AJ112" s="54"/>
      <c r="AK112" s="54"/>
      <c r="AM112" s="123"/>
      <c r="AN112" s="123"/>
      <c r="AO112" s="123"/>
      <c r="AP112" s="123"/>
      <c r="AQ112" s="123"/>
      <c r="AR112" s="123"/>
      <c r="AS112" s="123"/>
      <c r="AT112" s="123"/>
      <c r="AU112" s="123"/>
      <c r="AV112" s="123"/>
      <c r="AW112" s="123"/>
      <c r="BO112" s="54"/>
      <c r="BP112" s="54"/>
      <c r="BQ112" s="54"/>
      <c r="BR112" s="54"/>
      <c r="BS112" s="54"/>
      <c r="BT112" s="54"/>
      <c r="BW112" s="47"/>
      <c r="BX112" s="47" t="str">
        <f>E112</f>
        <v>Water</v>
      </c>
      <c r="BY112" s="47">
        <f>IFERROR(VLOOKUP($E112,'Pre-Assessment Estimator'!$F$11:$AJ$226,'Pre-Assessment Estimator'!AJ$2,FALSE),"")</f>
        <v>0</v>
      </c>
      <c r="BZ112" s="47" t="str">
        <f t="shared" si="240"/>
        <v/>
      </c>
      <c r="CA112" s="47" t="str">
        <f t="shared" si="240"/>
        <v/>
      </c>
      <c r="CB112" s="47"/>
      <c r="CC112" t="str">
        <f t="shared" si="241"/>
        <v/>
      </c>
    </row>
    <row r="113" spans="1:85" x14ac:dyDescent="0.25">
      <c r="A113">
        <v>105</v>
      </c>
      <c r="B113" s="121" t="str">
        <f>D113</f>
        <v>Wat 01</v>
      </c>
      <c r="C113" s="121" t="str">
        <f>B113</f>
        <v>Wat 01</v>
      </c>
      <c r="D113" s="726" t="s">
        <v>168</v>
      </c>
      <c r="E113" s="724" t="s">
        <v>151</v>
      </c>
      <c r="F113" s="811">
        <f>SUM(F114)</f>
        <v>5</v>
      </c>
      <c r="G113" s="811">
        <f t="shared" ref="G113:R113" si="247">SUM(G114)</f>
        <v>5</v>
      </c>
      <c r="H113" s="811">
        <f t="shared" si="247"/>
        <v>5</v>
      </c>
      <c r="I113" s="811">
        <f t="shared" si="247"/>
        <v>5</v>
      </c>
      <c r="J113" s="811">
        <f t="shared" si="247"/>
        <v>5</v>
      </c>
      <c r="K113" s="811">
        <f t="shared" si="247"/>
        <v>5</v>
      </c>
      <c r="L113" s="811">
        <f t="shared" si="247"/>
        <v>5</v>
      </c>
      <c r="M113" s="811">
        <f t="shared" si="247"/>
        <v>5</v>
      </c>
      <c r="N113" s="811">
        <f t="shared" si="247"/>
        <v>5</v>
      </c>
      <c r="O113" s="811">
        <f t="shared" si="247"/>
        <v>5</v>
      </c>
      <c r="P113" s="811">
        <f t="shared" si="247"/>
        <v>5</v>
      </c>
      <c r="Q113" s="811">
        <f t="shared" si="247"/>
        <v>5</v>
      </c>
      <c r="R113" s="811">
        <f t="shared" si="247"/>
        <v>5</v>
      </c>
      <c r="T113" s="829">
        <f t="shared" ref="T113:T123" si="248">HLOOKUP($E$6,$F$9:$R$231,$A113,FALSE)</f>
        <v>5</v>
      </c>
      <c r="U113" s="191"/>
      <c r="V113" s="61"/>
      <c r="W113" s="61"/>
      <c r="X113" s="61">
        <f>'Manuell filtrering og justering'!E52</f>
        <v>0</v>
      </c>
      <c r="Y113" s="61"/>
      <c r="Z113" s="826">
        <f t="shared" ref="Z113" si="249">SUM(Z114)</f>
        <v>5</v>
      </c>
      <c r="AA113" s="831">
        <f t="shared" ref="AA113:AA122" si="250">IF(SUM(U113:Y113)&gt;T113,T113,SUM(U113:Y113))</f>
        <v>0</v>
      </c>
      <c r="AB113" s="798">
        <f>AB114</f>
        <v>5</v>
      </c>
      <c r="AD113" s="150">
        <f t="shared" ref="AD113:AD122" si="251">(Wat_Weight/Wat__Credits)*AB113</f>
        <v>2.2222222222222223E-2</v>
      </c>
      <c r="AE113" s="799">
        <f>SUM(AE114)</f>
        <v>0</v>
      </c>
      <c r="AF113" s="799">
        <f t="shared" ref="AF113:AG113" si="252">SUM(AF114)</f>
        <v>0</v>
      </c>
      <c r="AG113" s="799">
        <f t="shared" si="252"/>
        <v>0</v>
      </c>
      <c r="AI113" s="826">
        <f t="shared" ref="AI113" si="253">SUM(AI114)</f>
        <v>0</v>
      </c>
      <c r="AJ113" s="826">
        <f t="shared" ref="AJ113" si="254">SUM(AJ114)</f>
        <v>0</v>
      </c>
      <c r="AK113" s="826">
        <f t="shared" ref="AK113" si="255">SUM(AK114)</f>
        <v>0</v>
      </c>
      <c r="AM113" s="258"/>
      <c r="AN113" s="259"/>
      <c r="AO113" s="268"/>
      <c r="AP113" s="259"/>
      <c r="AQ113" s="260"/>
      <c r="AR113" s="123"/>
      <c r="AS113" s="258"/>
      <c r="AT113" s="259"/>
      <c r="AU113" s="259"/>
      <c r="AV113" s="259"/>
      <c r="AW113" s="260"/>
      <c r="AY113" s="189"/>
      <c r="AZ113" s="156"/>
      <c r="BA113" s="156"/>
      <c r="BB113" s="156"/>
      <c r="BC113" s="190"/>
      <c r="BD113" s="153">
        <f t="shared" si="60"/>
        <v>9</v>
      </c>
      <c r="BE113" s="45" t="str">
        <f t="shared" ref="BE113:BE122" si="256">VLOOKUP(BD113,$BO$284:$BT$290,6,FALSE)</f>
        <v>N/A</v>
      </c>
      <c r="BF113" s="157"/>
      <c r="BG113" s="153">
        <f>IF(BC113=0,9,IF(AJ113&gt;=BC113,5,IF(AJ113&gt;=BB113,4,IF(AJ113&gt;=BA113,3,IF(AJ113&gt;=AZ113,2,IF(AJ113&lt;AY113,0,1))))))</f>
        <v>9</v>
      </c>
      <c r="BH113" s="45" t="str">
        <f t="shared" ref="BH113:BH122" si="257">VLOOKUP(BG113,$BO$284:$BT$290,6,FALSE)</f>
        <v>N/A</v>
      </c>
      <c r="BI113" s="157"/>
      <c r="BJ113" s="153">
        <f t="shared" si="28"/>
        <v>9</v>
      </c>
      <c r="BK113" s="45" t="str">
        <f t="shared" ref="BK113:BK122" si="258">VLOOKUP(BJ113,$BO$284:$BT$290,6,FALSE)</f>
        <v>N/A</v>
      </c>
      <c r="BL113" s="157"/>
      <c r="BO113" s="43"/>
      <c r="BP113" s="43"/>
      <c r="BQ113" s="43" t="str">
        <f t="shared" si="157"/>
        <v/>
      </c>
      <c r="BR113" s="43">
        <f t="shared" si="198"/>
        <v>9</v>
      </c>
      <c r="BS113" s="43">
        <f t="shared" si="199"/>
        <v>9</v>
      </c>
      <c r="BT113" s="43">
        <f t="shared" si="200"/>
        <v>9</v>
      </c>
      <c r="BW113" s="45" t="str">
        <f>D113</f>
        <v>Wat 01</v>
      </c>
      <c r="BX113" s="45" t="str">
        <f>IFERROR(VLOOKUP($E113,'Pre-Assessment Estimator'!$F$11:$AC$226,'Pre-Assessment Estimator'!AC$2,FALSE),"")</f>
        <v>No</v>
      </c>
      <c r="BY113" s="45">
        <f>IFERROR(VLOOKUP($E113,'Pre-Assessment Estimator'!$F$11:$AJ$226,'Pre-Assessment Estimator'!AJ$2,FALSE),"")</f>
        <v>0</v>
      </c>
      <c r="BZ113" s="45">
        <f t="shared" si="240"/>
        <v>1</v>
      </c>
      <c r="CA113" s="45">
        <f t="shared" si="240"/>
        <v>0</v>
      </c>
      <c r="CB113" s="45"/>
      <c r="CC113" t="s">
        <v>429</v>
      </c>
    </row>
    <row r="114" spans="1:85" x14ac:dyDescent="0.25">
      <c r="A114">
        <v>106</v>
      </c>
      <c r="B114" t="str">
        <f t="shared" ref="B114" si="259">$D$113&amp;D114</f>
        <v>Wat 01a</v>
      </c>
      <c r="C114" t="str">
        <f t="shared" si="159"/>
        <v>Wat 01</v>
      </c>
      <c r="D114" s="144" t="s">
        <v>692</v>
      </c>
      <c r="E114" s="930" t="s">
        <v>640</v>
      </c>
      <c r="F114" s="816">
        <v>5</v>
      </c>
      <c r="G114" s="816">
        <v>5</v>
      </c>
      <c r="H114" s="816">
        <v>5</v>
      </c>
      <c r="I114" s="816">
        <v>5</v>
      </c>
      <c r="J114" s="816">
        <v>5</v>
      </c>
      <c r="K114" s="816">
        <v>5</v>
      </c>
      <c r="L114" s="816">
        <v>5</v>
      </c>
      <c r="M114" s="816">
        <v>5</v>
      </c>
      <c r="N114" s="816">
        <v>5</v>
      </c>
      <c r="O114" s="816">
        <v>5</v>
      </c>
      <c r="P114" s="816">
        <v>5</v>
      </c>
      <c r="Q114" s="816">
        <v>5</v>
      </c>
      <c r="R114" s="816">
        <v>5</v>
      </c>
      <c r="T114" s="148">
        <f t="shared" si="248"/>
        <v>5</v>
      </c>
      <c r="U114" s="146"/>
      <c r="V114" s="43"/>
      <c r="W114" s="43"/>
      <c r="X114" s="43"/>
      <c r="Y114" s="148">
        <f>IF($Y$4=$Y$6,T114,0)</f>
        <v>0</v>
      </c>
      <c r="Z114" s="147">
        <f>VLOOKUP(B114,'Manuell filtrering og justering'!$A$7:$H$253,'Manuell filtrering og justering'!$H$1,FALSE)</f>
        <v>5</v>
      </c>
      <c r="AA114" s="148">
        <f t="shared" si="250"/>
        <v>0</v>
      </c>
      <c r="AB114" s="149">
        <f>IF($AC$5='Manuell filtrering og justering'!$J$2,Z114,(T114-AA114))</f>
        <v>5</v>
      </c>
      <c r="AD114" s="150">
        <f t="shared" si="251"/>
        <v>2.2222222222222223E-2</v>
      </c>
      <c r="AE114" s="150">
        <f t="shared" ref="AE114:AE122" si="260">IF(AB114=0,0,(AD114/AB114)*AI114)</f>
        <v>0</v>
      </c>
      <c r="AF114" s="150">
        <f t="shared" ref="AF114:AF122" si="261">IF(AB114=0,0,(AD114/AB114)*AJ114)</f>
        <v>0</v>
      </c>
      <c r="AG114" s="150">
        <f t="shared" ref="AG114:AG122" si="262">IF(AB114=0,0,(AD114/AB114)*AK114)</f>
        <v>0</v>
      </c>
      <c r="AI114" s="151">
        <f>IF(VLOOKUP(E114,'Pre-Assessment Estimator'!$F$11:$AA$226,'Pre-Assessment Estimator'!$H$2,FALSE)&gt;AB114,AB114,VLOOKUP(E114,'Pre-Assessment Estimator'!$F$11:$AA$226,'Pre-Assessment Estimator'!$H$2,FALSE))</f>
        <v>0</v>
      </c>
      <c r="AJ114" s="151">
        <f>IF(VLOOKUP(E114,'Pre-Assessment Estimator'!$F$11:$AA$226,'Pre-Assessment Estimator'!$O$2,FALSE)&gt;AB114,AB114,VLOOKUP(E114,'Pre-Assessment Estimator'!$F$11:$AA$226,'Pre-Assessment Estimator'!$O$2,FALSE))</f>
        <v>0</v>
      </c>
      <c r="AK114" s="151">
        <f>IF(VLOOKUP(E114,'Pre-Assessment Estimator'!$F$11:$AA$226,'Pre-Assessment Estimator'!$V$2,FALSE)&gt;AB114,AB114,VLOOKUP(E114,'Pre-Assessment Estimator'!$F$11:$AA$226,'Pre-Assessment Estimator'!$V$2,FALSE))</f>
        <v>0</v>
      </c>
      <c r="AM114" s="728"/>
      <c r="AN114" s="729"/>
      <c r="AO114" s="741"/>
      <c r="AP114" s="985">
        <f>IF(AND($Y$4&lt;&gt;$Y$3,Y114&gt;0),0,2)</f>
        <v>2</v>
      </c>
      <c r="AQ114" s="987">
        <f>IF(AND($Y$4&lt;&gt;$Y$3,Y114&gt;0),0,2)</f>
        <v>2</v>
      </c>
      <c r="AR114" s="123"/>
      <c r="AS114" s="728"/>
      <c r="AT114" s="729"/>
      <c r="AU114" s="729"/>
      <c r="AV114" s="729">
        <v>2</v>
      </c>
      <c r="AW114" s="730">
        <v>2</v>
      </c>
      <c r="AY114" s="144"/>
      <c r="AZ114" s="45"/>
      <c r="BA114" s="45"/>
      <c r="BB114" s="161">
        <f>IF($AB114=0,0,IF($E$6=$H$9,AV114,AP114))</f>
        <v>2</v>
      </c>
      <c r="BC114" s="161">
        <f>IF($AB114=0,0,IF($E$6=$H$9,AW114,AQ114))</f>
        <v>2</v>
      </c>
      <c r="BD114" s="160">
        <f t="shared" ref="BD114" si="263">IF(BC114=0,9,IF(AI114&gt;=BC114,5,IF(AI114&gt;=BB114,4,IF(AI114&gt;=BA114,3,IF(AI114&gt;=AZ114,2,IF(AI114&lt;AY114,0,1))))))</f>
        <v>3</v>
      </c>
      <c r="BE114" s="45" t="str">
        <f t="shared" si="256"/>
        <v>Very Good</v>
      </c>
      <c r="BF114" s="163"/>
      <c r="BG114" s="160">
        <f>IF(BC114=0,9,IF(AJ114&gt;=BC114,5,IF(AJ114&gt;=BB114,4,IF(AJ114&gt;=BA114,3,IF(AJ114&gt;=AZ114,2,IF(AJ114&lt;AY114,0,1))))))</f>
        <v>3</v>
      </c>
      <c r="BH114" s="45" t="str">
        <f t="shared" si="257"/>
        <v>Very Good</v>
      </c>
      <c r="BI114" s="163"/>
      <c r="BJ114" s="160">
        <f t="shared" ref="BJ114" si="264">IF(BC114=0,9,IF(AK114&gt;=BC114,5,IF(AK114&gt;=BB114,4,IF(AK114&gt;=BA114,3,IF(AK114&gt;=AZ114,2,IF(AK114&lt;AY114,0,1))))))</f>
        <v>3</v>
      </c>
      <c r="BK114" s="45" t="str">
        <f t="shared" si="258"/>
        <v>Very Good</v>
      </c>
      <c r="BL114" s="723"/>
      <c r="BO114" s="43"/>
      <c r="BP114" s="979">
        <f>2*0</f>
        <v>0</v>
      </c>
      <c r="BQ114" s="43">
        <f t="shared" si="157"/>
        <v>0</v>
      </c>
      <c r="BR114" s="43">
        <f t="shared" si="198"/>
        <v>5</v>
      </c>
      <c r="BS114" s="43">
        <f t="shared" si="199"/>
        <v>5</v>
      </c>
      <c r="BT114" s="43">
        <f t="shared" si="200"/>
        <v>5</v>
      </c>
      <c r="BW114" s="45"/>
      <c r="BX114" s="45"/>
      <c r="BY114" s="45"/>
      <c r="BZ114" s="45"/>
      <c r="CB114" s="45"/>
    </row>
    <row r="115" spans="1:85" x14ac:dyDescent="0.25">
      <c r="A115">
        <v>107</v>
      </c>
      <c r="B115" s="121" t="str">
        <f>D115</f>
        <v>Wat 02</v>
      </c>
      <c r="C115" s="121" t="str">
        <f>B115</f>
        <v>Wat 02</v>
      </c>
      <c r="D115" s="727" t="s">
        <v>169</v>
      </c>
      <c r="E115" s="725" t="s">
        <v>152</v>
      </c>
      <c r="F115" s="811">
        <f>SUM(F116)</f>
        <v>1</v>
      </c>
      <c r="G115" s="811">
        <f t="shared" ref="G115:R115" si="265">SUM(G116)</f>
        <v>1</v>
      </c>
      <c r="H115" s="811">
        <f t="shared" si="265"/>
        <v>1</v>
      </c>
      <c r="I115" s="811">
        <f t="shared" si="265"/>
        <v>1</v>
      </c>
      <c r="J115" s="811">
        <f t="shared" si="265"/>
        <v>1</v>
      </c>
      <c r="K115" s="811">
        <f t="shared" si="265"/>
        <v>1</v>
      </c>
      <c r="L115" s="811">
        <f t="shared" si="265"/>
        <v>1</v>
      </c>
      <c r="M115" s="811">
        <f t="shared" si="265"/>
        <v>1</v>
      </c>
      <c r="N115" s="811">
        <f t="shared" si="265"/>
        <v>1</v>
      </c>
      <c r="O115" s="811">
        <f t="shared" si="265"/>
        <v>1</v>
      </c>
      <c r="P115" s="811">
        <f t="shared" si="265"/>
        <v>1</v>
      </c>
      <c r="Q115" s="811">
        <f t="shared" si="265"/>
        <v>1</v>
      </c>
      <c r="R115" s="811">
        <f t="shared" si="265"/>
        <v>1</v>
      </c>
      <c r="T115" s="831">
        <f t="shared" si="248"/>
        <v>1</v>
      </c>
      <c r="U115" s="191"/>
      <c r="V115" s="61"/>
      <c r="W115" s="61"/>
      <c r="X115" s="61">
        <f>'Manuell filtrering og justering'!E53</f>
        <v>0</v>
      </c>
      <c r="Y115" s="61"/>
      <c r="Z115" s="826">
        <f t="shared" ref="Z115" si="266">SUM(Z116)</f>
        <v>1</v>
      </c>
      <c r="AA115" s="831">
        <f t="shared" si="250"/>
        <v>0</v>
      </c>
      <c r="AB115" s="798">
        <f>AB116</f>
        <v>1</v>
      </c>
      <c r="AD115" s="150">
        <f t="shared" si="251"/>
        <v>4.4444444444444444E-3</v>
      </c>
      <c r="AE115" s="799">
        <f>SUM(AE116)</f>
        <v>0</v>
      </c>
      <c r="AF115" s="799">
        <f t="shared" ref="AF115:AG115" si="267">SUM(AF116)</f>
        <v>0</v>
      </c>
      <c r="AG115" s="799">
        <f t="shared" si="267"/>
        <v>0</v>
      </c>
      <c r="AI115" s="826">
        <f t="shared" ref="AI115" si="268">SUM(AI116)</f>
        <v>0</v>
      </c>
      <c r="AJ115" s="826">
        <f t="shared" ref="AJ115" si="269">SUM(AJ116)</f>
        <v>0</v>
      </c>
      <c r="AK115" s="826">
        <f t="shared" ref="AK115" si="270">SUM(AK116)</f>
        <v>0</v>
      </c>
      <c r="AL115" t="s">
        <v>425</v>
      </c>
      <c r="AM115" s="252"/>
      <c r="AN115" s="253"/>
      <c r="AO115" s="253"/>
      <c r="AP115" s="253"/>
      <c r="AQ115" s="254"/>
      <c r="AR115" s="123"/>
      <c r="AS115" s="252"/>
      <c r="AT115" s="253"/>
      <c r="AU115" s="253"/>
      <c r="AV115" s="253"/>
      <c r="AW115" s="254"/>
      <c r="AY115" s="146"/>
      <c r="AZ115" s="43"/>
      <c r="BA115" s="43"/>
      <c r="BB115" s="43"/>
      <c r="BC115" s="147"/>
      <c r="BD115" s="160">
        <f t="shared" si="60"/>
        <v>9</v>
      </c>
      <c r="BE115" s="45" t="str">
        <f t="shared" si="256"/>
        <v>N/A</v>
      </c>
      <c r="BF115" s="163"/>
      <c r="BG115" s="160">
        <f>IF(BC115=0,9,IF(AJ115&gt;=BC115,5,IF(AJ115&gt;=BB115,4,IF(AJ115&gt;=BA115,3,IF(AJ115&gt;=AZ115,2,IF(AJ115&lt;AY115,0,1))))))</f>
        <v>9</v>
      </c>
      <c r="BH115" s="45" t="str">
        <f t="shared" si="257"/>
        <v>N/A</v>
      </c>
      <c r="BI115" s="163"/>
      <c r="BJ115" s="160">
        <f t="shared" si="28"/>
        <v>9</v>
      </c>
      <c r="BK115" s="45" t="str">
        <f t="shared" si="258"/>
        <v>N/A</v>
      </c>
      <c r="BL115" s="163"/>
      <c r="BO115" s="43"/>
      <c r="BP115" s="43"/>
      <c r="BQ115" s="43" t="str">
        <f t="shared" si="157"/>
        <v/>
      </c>
      <c r="BR115" s="43">
        <f t="shared" si="198"/>
        <v>9</v>
      </c>
      <c r="BS115" s="43">
        <f t="shared" si="199"/>
        <v>9</v>
      </c>
      <c r="BT115" s="43">
        <f t="shared" si="200"/>
        <v>9</v>
      </c>
      <c r="BW115" s="43" t="str">
        <f>D115</f>
        <v>Wat 02</v>
      </c>
      <c r="BX115" s="43" t="str">
        <f>IFERROR(VLOOKUP($E115,'Pre-Assessment Estimator'!$F$11:$AC$226,'Pre-Assessment Estimator'!AC$2,FALSE),"")</f>
        <v>No</v>
      </c>
      <c r="BY115" s="61" t="str">
        <f>IFERROR(VLOOKUP($E115,'Pre-Assessment Estimator'!$F$11:$AJ$226,'Pre-Assessment Estimator'!AJ$2,FALSE),"")</f>
        <v>Ja</v>
      </c>
      <c r="BZ115" s="43">
        <f>IFERROR(VLOOKUP($BX115,$E$293:$H$326,F$291,FALSE),"")</f>
        <v>1</v>
      </c>
      <c r="CA115" s="590" t="s">
        <v>430</v>
      </c>
      <c r="CB115" s="43"/>
      <c r="CC115" t="str">
        <f>IFERROR(VLOOKUP($BX115,$E$293:$H$326,I$291,FALSE),"")</f>
        <v/>
      </c>
      <c r="CD115" t="s">
        <v>436</v>
      </c>
      <c r="CE115" s="43">
        <f>VLOOKUP(CA115,$CA$4:$CB$5,2,FALSE)</f>
        <v>1</v>
      </c>
      <c r="CG115" s="62">
        <f>IF($BX$5=ais_nei,CE115,IF(AND(CA115=$CA$4,BX115=$CC$4),0,BZ115))</f>
        <v>1</v>
      </c>
    </row>
    <row r="116" spans="1:85" x14ac:dyDescent="0.25">
      <c r="A116">
        <v>108</v>
      </c>
      <c r="B116" t="str">
        <f t="shared" ref="B116" si="271">$D$115&amp;D116</f>
        <v>Wat 02a</v>
      </c>
      <c r="C116" t="str">
        <f t="shared" si="159"/>
        <v>Wat 02</v>
      </c>
      <c r="D116" s="146" t="s">
        <v>692</v>
      </c>
      <c r="E116" s="930" t="s">
        <v>641</v>
      </c>
      <c r="F116" s="668">
        <v>1</v>
      </c>
      <c r="G116" s="668">
        <v>1</v>
      </c>
      <c r="H116" s="668">
        <v>1</v>
      </c>
      <c r="I116" s="668">
        <v>1</v>
      </c>
      <c r="J116" s="668">
        <v>1</v>
      </c>
      <c r="K116" s="668">
        <v>1</v>
      </c>
      <c r="L116" s="668">
        <v>1</v>
      </c>
      <c r="M116" s="668">
        <v>1</v>
      </c>
      <c r="N116" s="668">
        <v>1</v>
      </c>
      <c r="O116" s="668">
        <v>1</v>
      </c>
      <c r="P116" s="668">
        <v>1</v>
      </c>
      <c r="Q116" s="668">
        <v>1</v>
      </c>
      <c r="R116" s="668">
        <v>1</v>
      </c>
      <c r="T116" s="148">
        <f t="shared" si="248"/>
        <v>1</v>
      </c>
      <c r="U116" s="146"/>
      <c r="V116" s="43"/>
      <c r="W116" s="43"/>
      <c r="X116" s="43"/>
      <c r="Y116" s="147"/>
      <c r="Z116" s="147">
        <f>VLOOKUP(B116,'Manuell filtrering og justering'!$A$7:$H$253,'Manuell filtrering og justering'!$H$1,FALSE)</f>
        <v>1</v>
      </c>
      <c r="AA116" s="148">
        <f t="shared" si="250"/>
        <v>0</v>
      </c>
      <c r="AB116" s="149">
        <f>IF($AC$5='Manuell filtrering og justering'!$J$2,Z116,(T116-AA116))</f>
        <v>1</v>
      </c>
      <c r="AD116" s="150">
        <f t="shared" si="251"/>
        <v>4.4444444444444444E-3</v>
      </c>
      <c r="AE116" s="150">
        <f t="shared" si="260"/>
        <v>0</v>
      </c>
      <c r="AF116" s="150">
        <f t="shared" si="261"/>
        <v>0</v>
      </c>
      <c r="AG116" s="150">
        <f t="shared" si="262"/>
        <v>0</v>
      </c>
      <c r="AI116" s="151">
        <f>IF(VLOOKUP(E116,'Pre-Assessment Estimator'!$F$11:$AA$226,'Pre-Assessment Estimator'!$H$2,FALSE)&gt;AB116,AB116,VLOOKUP(E116,'Pre-Assessment Estimator'!$F$11:$AA$226,'Pre-Assessment Estimator'!$H$2,FALSE))</f>
        <v>0</v>
      </c>
      <c r="AJ116" s="151">
        <f>IF(VLOOKUP(E116,'Pre-Assessment Estimator'!$F$11:$AA$226,'Pre-Assessment Estimator'!$O$2,FALSE)&gt;AB116,AB116,VLOOKUP(E116,'Pre-Assessment Estimator'!$F$11:$AA$226,'Pre-Assessment Estimator'!$O$2,FALSE))</f>
        <v>0</v>
      </c>
      <c r="AK116" s="151">
        <f>IF(VLOOKUP(E116,'Pre-Assessment Estimator'!$F$11:$AA$226,'Pre-Assessment Estimator'!$V$2,FALSE)&gt;AB116,AB116,VLOOKUP(E116,'Pre-Assessment Estimator'!$F$11:$AA$226,'Pre-Assessment Estimator'!$V$2,FALSE))</f>
        <v>0</v>
      </c>
      <c r="AM116" s="252"/>
      <c r="AN116" s="253"/>
      <c r="AO116" s="253"/>
      <c r="AP116" s="253"/>
      <c r="AQ116" s="254"/>
      <c r="AR116" s="123"/>
      <c r="AS116" s="252"/>
      <c r="AT116" s="253"/>
      <c r="AU116" s="253"/>
      <c r="AV116" s="253"/>
      <c r="AW116" s="254"/>
      <c r="AY116" s="146"/>
      <c r="AZ116" s="43"/>
      <c r="BA116" s="43"/>
      <c r="BB116" s="43"/>
      <c r="BC116" s="147"/>
      <c r="BD116" s="160">
        <f t="shared" si="60"/>
        <v>9</v>
      </c>
      <c r="BE116" s="45" t="str">
        <f t="shared" si="256"/>
        <v>N/A</v>
      </c>
      <c r="BF116" s="163"/>
      <c r="BG116" s="160">
        <f t="shared" ref="BG116:BG120" si="272">IF(BC116=0,9,IF(AJ116&gt;=BC116,5,IF(AJ116&gt;=BB116,4,IF(AJ116&gt;=BA116,3,IF(AJ116&gt;=AZ116,2,IF(AJ116&lt;AY116,0,1))))))</f>
        <v>9</v>
      </c>
      <c r="BH116" s="45" t="str">
        <f t="shared" si="257"/>
        <v>N/A</v>
      </c>
      <c r="BI116" s="163"/>
      <c r="BJ116" s="160">
        <f t="shared" si="28"/>
        <v>9</v>
      </c>
      <c r="BK116" s="45" t="str">
        <f t="shared" si="258"/>
        <v>N/A</v>
      </c>
      <c r="BL116" s="163"/>
      <c r="BO116" s="43"/>
      <c r="BP116" s="43"/>
      <c r="BQ116" s="43" t="str">
        <f t="shared" si="157"/>
        <v/>
      </c>
      <c r="BR116" s="43">
        <f t="shared" si="198"/>
        <v>9</v>
      </c>
      <c r="BS116" s="43">
        <f t="shared" si="199"/>
        <v>9</v>
      </c>
      <c r="BT116" s="43">
        <f t="shared" si="200"/>
        <v>9</v>
      </c>
      <c r="BW116" s="43"/>
      <c r="BX116" s="43"/>
      <c r="BY116" s="61"/>
      <c r="BZ116" s="43"/>
      <c r="CA116" s="590"/>
      <c r="CB116" s="43"/>
      <c r="CE116" s="43"/>
      <c r="CG116" s="62"/>
    </row>
    <row r="117" spans="1:85" x14ac:dyDescent="0.25">
      <c r="A117">
        <v>109</v>
      </c>
      <c r="B117" s="121" t="str">
        <f>D117</f>
        <v>Wat 03</v>
      </c>
      <c r="C117" s="121" t="str">
        <f>B117</f>
        <v>Wat 03</v>
      </c>
      <c r="D117" s="727" t="s">
        <v>170</v>
      </c>
      <c r="E117" s="725" t="s">
        <v>153</v>
      </c>
      <c r="F117" s="811">
        <f>SUM(F118:F120)</f>
        <v>2</v>
      </c>
      <c r="G117" s="811">
        <f t="shared" ref="G117:R117" si="273">SUM(G118:G120)</f>
        <v>2</v>
      </c>
      <c r="H117" s="811">
        <f t="shared" si="273"/>
        <v>2</v>
      </c>
      <c r="I117" s="811">
        <f t="shared" si="273"/>
        <v>2</v>
      </c>
      <c r="J117" s="811">
        <f t="shared" si="273"/>
        <v>2</v>
      </c>
      <c r="K117" s="811">
        <f t="shared" si="273"/>
        <v>2</v>
      </c>
      <c r="L117" s="811">
        <f t="shared" si="273"/>
        <v>2</v>
      </c>
      <c r="M117" s="811">
        <f t="shared" si="273"/>
        <v>2</v>
      </c>
      <c r="N117" s="811">
        <f t="shared" si="273"/>
        <v>2</v>
      </c>
      <c r="O117" s="811">
        <f t="shared" si="273"/>
        <v>2</v>
      </c>
      <c r="P117" s="811">
        <f t="shared" si="273"/>
        <v>2</v>
      </c>
      <c r="Q117" s="811">
        <f t="shared" ref="Q117" si="274">SUM(Q118:Q120)</f>
        <v>2</v>
      </c>
      <c r="R117" s="811">
        <f t="shared" si="273"/>
        <v>2</v>
      </c>
      <c r="T117" s="831">
        <f t="shared" si="248"/>
        <v>2</v>
      </c>
      <c r="U117" s="191"/>
      <c r="V117" s="61"/>
      <c r="W117" s="61"/>
      <c r="X117" s="61">
        <f>'Manuell filtrering og justering'!E54</f>
        <v>0</v>
      </c>
      <c r="Y117" s="61"/>
      <c r="Z117" s="826">
        <f t="shared" ref="Z117" si="275">SUM(Z118:Z120)</f>
        <v>0</v>
      </c>
      <c r="AA117" s="831">
        <f t="shared" si="250"/>
        <v>0</v>
      </c>
      <c r="AB117" s="883">
        <f>SUM(AB118:AB120)</f>
        <v>2</v>
      </c>
      <c r="AD117" s="150">
        <f t="shared" si="251"/>
        <v>8.8888888888888889E-3</v>
      </c>
      <c r="AE117" s="799">
        <f>SUM(AE118:AE120)</f>
        <v>0</v>
      </c>
      <c r="AF117" s="799">
        <f t="shared" ref="AF117:AG117" si="276">SUM(AF118:AF120)</f>
        <v>0</v>
      </c>
      <c r="AG117" s="799">
        <f t="shared" si="276"/>
        <v>0</v>
      </c>
      <c r="AI117" s="826">
        <f t="shared" ref="AI117" si="277">SUM(AI118:AI120)</f>
        <v>0</v>
      </c>
      <c r="AJ117" s="826">
        <f t="shared" ref="AJ117" si="278">SUM(AJ118:AJ120)</f>
        <v>0</v>
      </c>
      <c r="AK117" s="826">
        <f t="shared" ref="AK117" si="279">SUM(AK118:AK120)</f>
        <v>0</v>
      </c>
      <c r="AL117" t="s">
        <v>425</v>
      </c>
      <c r="AM117" s="252"/>
      <c r="AN117" s="253"/>
      <c r="AO117" s="253"/>
      <c r="AP117" s="253"/>
      <c r="AQ117" s="254"/>
      <c r="AR117" s="123"/>
      <c r="AS117" s="252"/>
      <c r="AT117" s="253"/>
      <c r="AU117" s="253"/>
      <c r="AV117" s="253"/>
      <c r="AW117" s="254"/>
      <c r="AY117" s="146"/>
      <c r="AZ117" s="43"/>
      <c r="BA117" s="43"/>
      <c r="BB117" s="43"/>
      <c r="BC117" s="147"/>
      <c r="BD117" s="160">
        <f t="shared" ref="BD117:BD120" si="280">IF(BC117=0,9,IF(AI117&gt;=BC117,5,IF(AI117&gt;=BB117,4,IF(AI117&gt;=BA117,3,IF(AI117&gt;=AZ117,2,IF(AI117&lt;AY117,0,1))))))</f>
        <v>9</v>
      </c>
      <c r="BE117" s="45" t="str">
        <f t="shared" si="256"/>
        <v>N/A</v>
      </c>
      <c r="BF117" s="163"/>
      <c r="BG117" s="160">
        <f t="shared" si="272"/>
        <v>9</v>
      </c>
      <c r="BH117" s="45" t="str">
        <f t="shared" si="257"/>
        <v>N/A</v>
      </c>
      <c r="BI117" s="163"/>
      <c r="BJ117" s="160">
        <f t="shared" ref="BJ117:BJ120" si="281">IF(BC117=0,9,IF(AK117&gt;=BC117,5,IF(AK117&gt;=BB117,4,IF(AK117&gt;=BA117,3,IF(AK117&gt;=AZ117,2,IF(AK117&lt;AY117,0,1))))))</f>
        <v>9</v>
      </c>
      <c r="BK117" s="45" t="str">
        <f t="shared" si="258"/>
        <v>N/A</v>
      </c>
      <c r="BL117" s="163"/>
      <c r="BO117" s="43"/>
      <c r="BP117" s="43"/>
      <c r="BQ117" s="43" t="str">
        <f t="shared" si="157"/>
        <v/>
      </c>
      <c r="BR117" s="43">
        <f t="shared" si="198"/>
        <v>9</v>
      </c>
      <c r="BS117" s="43">
        <f t="shared" si="199"/>
        <v>9</v>
      </c>
      <c r="BT117" s="43">
        <f t="shared" si="200"/>
        <v>9</v>
      </c>
      <c r="BW117" s="43" t="str">
        <f>D117</f>
        <v>Wat 03</v>
      </c>
      <c r="BX117" s="43" t="str">
        <f>IFERROR(VLOOKUP($E117,'Pre-Assessment Estimator'!$F$11:$AC$226,'Pre-Assessment Estimator'!AC$2,FALSE),"")</f>
        <v>No</v>
      </c>
      <c r="BY117" s="61" t="str">
        <f>IFERROR(VLOOKUP($E117,'Pre-Assessment Estimator'!$F$11:$AJ$226,'Pre-Assessment Estimator'!AJ$2,FALSE),"")</f>
        <v>Ja</v>
      </c>
      <c r="BZ117" s="43">
        <f>IFERROR(VLOOKUP($BX117,$E$293:$H$326,F$291,FALSE),"")</f>
        <v>1</v>
      </c>
      <c r="CA117" s="584" t="s">
        <v>428</v>
      </c>
      <c r="CB117" s="43">
        <f>H312</f>
        <v>1</v>
      </c>
      <c r="CC117" t="str">
        <f>IFERROR(VLOOKUP($BX117,$E$293:$H$326,I$291,FALSE),"")</f>
        <v/>
      </c>
      <c r="CD117" t="s">
        <v>403</v>
      </c>
      <c r="CE117" s="43">
        <f>VLOOKUP(CA117,$CA$4:$CB$5,2,FALSE)</f>
        <v>0</v>
      </c>
      <c r="CG117" s="62">
        <f>IF($BX$5=ais_nei,CE117,IF(AND(CA117=$CA$4,BX117=$CC$4),0,BZ117))</f>
        <v>0</v>
      </c>
    </row>
    <row r="118" spans="1:85" x14ac:dyDescent="0.25">
      <c r="A118">
        <v>110</v>
      </c>
      <c r="B118" t="str">
        <f t="shared" ref="B118:B120" si="282">$D$117&amp;D118</f>
        <v>Wat 03a</v>
      </c>
      <c r="C118" t="str">
        <f t="shared" si="159"/>
        <v>Wat 03</v>
      </c>
      <c r="D118" s="144" t="s">
        <v>692</v>
      </c>
      <c r="E118" s="930" t="s">
        <v>642</v>
      </c>
      <c r="F118" s="668">
        <v>1</v>
      </c>
      <c r="G118" s="668">
        <v>1</v>
      </c>
      <c r="H118" s="668">
        <v>1</v>
      </c>
      <c r="I118" s="668">
        <v>1</v>
      </c>
      <c r="J118" s="668">
        <v>1</v>
      </c>
      <c r="K118" s="668">
        <v>1</v>
      </c>
      <c r="L118" s="668">
        <v>1</v>
      </c>
      <c r="M118" s="668">
        <v>1</v>
      </c>
      <c r="N118" s="668">
        <v>1</v>
      </c>
      <c r="O118" s="668">
        <v>1</v>
      </c>
      <c r="P118" s="668">
        <v>1</v>
      </c>
      <c r="Q118" s="668">
        <v>1</v>
      </c>
      <c r="R118" s="668">
        <v>1</v>
      </c>
      <c r="T118" s="148">
        <f t="shared" si="248"/>
        <v>1</v>
      </c>
      <c r="U118" s="191">
        <f>IF(AND(ADBT0=ADBT12,OR('Assessment Details'!F6='Assessment Details'!V6,'Assessment Details'!F6='Assessment Details'!V7)),Poeng!T118,0)</f>
        <v>0</v>
      </c>
      <c r="V118" s="43"/>
      <c r="W118" s="43"/>
      <c r="X118" s="43"/>
      <c r="Y118" s="147"/>
      <c r="Z118" s="147">
        <f>VLOOKUP(B118,'Manuell filtrering og justering'!$A$7:$H$253,'Manuell filtrering og justering'!$H$1,FALSE)</f>
        <v>0</v>
      </c>
      <c r="AA118" s="148">
        <f t="shared" si="250"/>
        <v>0</v>
      </c>
      <c r="AB118" s="149">
        <f>IF($AC$5='Manuell filtrering og justering'!$J$2,Z118,(T118-AA118))</f>
        <v>1</v>
      </c>
      <c r="AD118" s="150">
        <f t="shared" si="251"/>
        <v>4.4444444444444444E-3</v>
      </c>
      <c r="AE118" s="150">
        <f t="shared" si="260"/>
        <v>0</v>
      </c>
      <c r="AF118" s="150">
        <f t="shared" si="261"/>
        <v>0</v>
      </c>
      <c r="AG118" s="150">
        <f t="shared" si="262"/>
        <v>0</v>
      </c>
      <c r="AI118" s="151">
        <f>IF(VLOOKUP(E118,'Pre-Assessment Estimator'!$F$11:$AA$226,'Pre-Assessment Estimator'!$H$2,FALSE)&gt;AB118,AB118,VLOOKUP(E118,'Pre-Assessment Estimator'!$F$11:$AA$226,'Pre-Assessment Estimator'!$H$2,FALSE))</f>
        <v>0</v>
      </c>
      <c r="AJ118" s="151">
        <f>IF(VLOOKUP(E118,'Pre-Assessment Estimator'!$F$11:$AA$226,'Pre-Assessment Estimator'!$O$2,FALSE)&gt;AB118,AB118,VLOOKUP(E118,'Pre-Assessment Estimator'!$F$11:$AA$226,'Pre-Assessment Estimator'!$O$2,FALSE))</f>
        <v>0</v>
      </c>
      <c r="AK118" s="151">
        <f>IF(VLOOKUP(E118,'Pre-Assessment Estimator'!$F$11:$AA$226,'Pre-Assessment Estimator'!$V$2,FALSE)&gt;AB118,AB118,VLOOKUP(E118,'Pre-Assessment Estimator'!$F$11:$AA$226,'Pre-Assessment Estimator'!$V$2,FALSE))</f>
        <v>0</v>
      </c>
      <c r="AM118" s="742"/>
      <c r="AN118" s="743"/>
      <c r="AO118" s="743"/>
      <c r="AP118" s="743"/>
      <c r="AQ118" s="735"/>
      <c r="AR118" s="123"/>
      <c r="AS118" s="742"/>
      <c r="AT118" s="743"/>
      <c r="AU118" s="743"/>
      <c r="AV118" s="743"/>
      <c r="AW118" s="735"/>
      <c r="AY118" s="167"/>
      <c r="AZ118" s="48"/>
      <c r="BA118" s="48"/>
      <c r="BB118" s="48"/>
      <c r="BC118" s="744"/>
      <c r="BD118" s="160">
        <f t="shared" si="280"/>
        <v>9</v>
      </c>
      <c r="BE118" s="45" t="str">
        <f t="shared" si="256"/>
        <v>N/A</v>
      </c>
      <c r="BF118" s="163"/>
      <c r="BG118" s="160">
        <f t="shared" si="272"/>
        <v>9</v>
      </c>
      <c r="BH118" s="45" t="str">
        <f t="shared" si="257"/>
        <v>N/A</v>
      </c>
      <c r="BI118" s="163"/>
      <c r="BJ118" s="160">
        <f t="shared" si="281"/>
        <v>9</v>
      </c>
      <c r="BK118" s="45" t="str">
        <f t="shared" si="258"/>
        <v>N/A</v>
      </c>
      <c r="BL118" s="739"/>
      <c r="BO118" s="43"/>
      <c r="BP118" s="43"/>
      <c r="BQ118" s="43" t="str">
        <f t="shared" si="157"/>
        <v/>
      </c>
      <c r="BR118" s="43">
        <f t="shared" si="198"/>
        <v>9</v>
      </c>
      <c r="BS118" s="43">
        <f t="shared" si="199"/>
        <v>9</v>
      </c>
      <c r="BT118" s="43">
        <f t="shared" si="200"/>
        <v>9</v>
      </c>
      <c r="BW118" s="43"/>
      <c r="BX118" s="43"/>
      <c r="BY118" s="61"/>
      <c r="BZ118" s="43"/>
      <c r="CA118" s="584"/>
      <c r="CB118" s="43"/>
      <c r="CG118" s="62"/>
    </row>
    <row r="119" spans="1:85" x14ac:dyDescent="0.25">
      <c r="A119">
        <v>111</v>
      </c>
      <c r="B119" t="str">
        <f t="shared" si="282"/>
        <v>Wat 03b</v>
      </c>
      <c r="C119" t="str">
        <f t="shared" si="159"/>
        <v>Wat 03</v>
      </c>
      <c r="D119" s="144" t="s">
        <v>695</v>
      </c>
      <c r="E119" s="930" t="s">
        <v>918</v>
      </c>
      <c r="F119" s="668">
        <v>1</v>
      </c>
      <c r="G119" s="668">
        <v>1</v>
      </c>
      <c r="H119" s="864">
        <v>0</v>
      </c>
      <c r="I119" s="668">
        <v>1</v>
      </c>
      <c r="J119" s="668">
        <v>1</v>
      </c>
      <c r="K119" s="668">
        <v>1</v>
      </c>
      <c r="L119" s="668">
        <v>1</v>
      </c>
      <c r="M119" s="668">
        <v>1</v>
      </c>
      <c r="N119" s="668">
        <v>1</v>
      </c>
      <c r="O119" s="668">
        <v>1</v>
      </c>
      <c r="P119" s="668">
        <v>1</v>
      </c>
      <c r="Q119" s="668">
        <v>1</v>
      </c>
      <c r="R119" s="668">
        <v>1</v>
      </c>
      <c r="T119" s="148">
        <f t="shared" si="248"/>
        <v>1</v>
      </c>
      <c r="U119" s="191">
        <f>IF(AND('Assessment Details'!I15=1,AD_heat='Assessment Details'!R22),Poeng!T119,0)</f>
        <v>0</v>
      </c>
      <c r="V119" s="43"/>
      <c r="W119" s="43"/>
      <c r="X119" s="43"/>
      <c r="Y119" s="148">
        <f>IF($Y$4=$Y$6,T119,0)</f>
        <v>0</v>
      </c>
      <c r="Z119" s="147">
        <f>VLOOKUP(B119,'Manuell filtrering og justering'!$A$7:$H$253,'Manuell filtrering og justering'!$H$1,FALSE)</f>
        <v>0</v>
      </c>
      <c r="AA119" s="148">
        <f t="shared" si="250"/>
        <v>0</v>
      </c>
      <c r="AB119" s="149">
        <f>IF($AC$5='Manuell filtrering og justering'!$J$2,Z119,(T119-AA119))</f>
        <v>1</v>
      </c>
      <c r="AD119" s="150">
        <f t="shared" si="251"/>
        <v>4.4444444444444444E-3</v>
      </c>
      <c r="AE119" s="150">
        <f t="shared" si="260"/>
        <v>0</v>
      </c>
      <c r="AF119" s="150">
        <f t="shared" si="261"/>
        <v>0</v>
      </c>
      <c r="AG119" s="150">
        <f t="shared" si="262"/>
        <v>0</v>
      </c>
      <c r="AI119" s="151">
        <f>IF(VLOOKUP(E119,'Pre-Assessment Estimator'!$F$11:$AA$226,'Pre-Assessment Estimator'!$H$2,FALSE)&gt;AB119,AB119,VLOOKUP(E119,'Pre-Assessment Estimator'!$F$11:$AA$226,'Pre-Assessment Estimator'!$H$2,FALSE))</f>
        <v>0</v>
      </c>
      <c r="AJ119" s="151">
        <f>IF(VLOOKUP(E119,'Pre-Assessment Estimator'!$F$11:$AA$226,'Pre-Assessment Estimator'!$O$2,FALSE)&gt;AB119,AB119,VLOOKUP(E119,'Pre-Assessment Estimator'!$F$11:$AA$226,'Pre-Assessment Estimator'!$O$2,FALSE))</f>
        <v>0</v>
      </c>
      <c r="AK119" s="151">
        <f>IF(VLOOKUP(E119,'Pre-Assessment Estimator'!$F$11:$AA$226,'Pre-Assessment Estimator'!$V$2,FALSE)&gt;AB119,AB119,VLOOKUP(E119,'Pre-Assessment Estimator'!$F$11:$AA$226,'Pre-Assessment Estimator'!$V$2,FALSE))</f>
        <v>0</v>
      </c>
      <c r="AM119" s="742"/>
      <c r="AN119" s="743"/>
      <c r="AO119" s="743"/>
      <c r="AP119" s="743"/>
      <c r="AQ119" s="735"/>
      <c r="AR119" s="123"/>
      <c r="AS119" s="742"/>
      <c r="AT119" s="743"/>
      <c r="AU119" s="743"/>
      <c r="AV119" s="743"/>
      <c r="AW119" s="735"/>
      <c r="AY119" s="167"/>
      <c r="AZ119" s="48"/>
      <c r="BA119" s="48"/>
      <c r="BB119" s="48"/>
      <c r="BC119" s="744"/>
      <c r="BD119" s="160">
        <f t="shared" si="280"/>
        <v>9</v>
      </c>
      <c r="BE119" s="45" t="str">
        <f t="shared" si="256"/>
        <v>N/A</v>
      </c>
      <c r="BF119" s="163"/>
      <c r="BG119" s="160">
        <f t="shared" si="272"/>
        <v>9</v>
      </c>
      <c r="BH119" s="45" t="str">
        <f t="shared" si="257"/>
        <v>N/A</v>
      </c>
      <c r="BI119" s="163"/>
      <c r="BJ119" s="160">
        <f t="shared" si="281"/>
        <v>9</v>
      </c>
      <c r="BK119" s="45" t="str">
        <f t="shared" si="258"/>
        <v>N/A</v>
      </c>
      <c r="BL119" s="739"/>
      <c r="BO119" s="43"/>
      <c r="BP119" s="43"/>
      <c r="BQ119" s="43" t="str">
        <f t="shared" si="157"/>
        <v/>
      </c>
      <c r="BR119" s="43">
        <f t="shared" si="198"/>
        <v>9</v>
      </c>
      <c r="BS119" s="43">
        <f t="shared" si="199"/>
        <v>9</v>
      </c>
      <c r="BT119" s="43">
        <f t="shared" si="200"/>
        <v>9</v>
      </c>
      <c r="BW119" s="43"/>
      <c r="BX119" s="43"/>
      <c r="BY119" s="61"/>
      <c r="BZ119" s="43"/>
      <c r="CA119" s="584"/>
      <c r="CB119" s="43"/>
      <c r="CG119" s="62"/>
    </row>
    <row r="120" spans="1:85" x14ac:dyDescent="0.25">
      <c r="A120">
        <v>112</v>
      </c>
      <c r="B120" t="str">
        <f t="shared" si="282"/>
        <v>Wat 03c</v>
      </c>
      <c r="C120" t="str">
        <f t="shared" si="159"/>
        <v>Wat 03</v>
      </c>
      <c r="D120" s="146" t="s">
        <v>696</v>
      </c>
      <c r="E120" s="930" t="s">
        <v>644</v>
      </c>
      <c r="F120" s="668">
        <v>0</v>
      </c>
      <c r="G120" s="668">
        <v>0</v>
      </c>
      <c r="H120" s="864">
        <v>1</v>
      </c>
      <c r="I120" s="668">
        <v>0</v>
      </c>
      <c r="J120" s="668">
        <v>0</v>
      </c>
      <c r="K120" s="668">
        <v>0</v>
      </c>
      <c r="L120" s="668">
        <v>0</v>
      </c>
      <c r="M120" s="668">
        <v>0</v>
      </c>
      <c r="N120" s="668">
        <v>0</v>
      </c>
      <c r="O120" s="668">
        <v>0</v>
      </c>
      <c r="P120" s="668">
        <v>0</v>
      </c>
      <c r="Q120" s="668">
        <v>0</v>
      </c>
      <c r="R120" s="668">
        <v>0</v>
      </c>
      <c r="T120" s="148">
        <f t="shared" si="248"/>
        <v>0</v>
      </c>
      <c r="U120" s="146"/>
      <c r="V120" s="43"/>
      <c r="W120" s="43"/>
      <c r="X120" s="43"/>
      <c r="Y120" s="147"/>
      <c r="Z120" s="147">
        <f>VLOOKUP(B120,'Manuell filtrering og justering'!$A$7:$H$253,'Manuell filtrering og justering'!$H$1,FALSE)</f>
        <v>0</v>
      </c>
      <c r="AA120" s="148">
        <f t="shared" si="250"/>
        <v>0</v>
      </c>
      <c r="AB120" s="149">
        <f>IF($AC$5='Manuell filtrering og justering'!$J$2,Z120,(T120-AA120))</f>
        <v>0</v>
      </c>
      <c r="AD120" s="150">
        <f t="shared" si="251"/>
        <v>0</v>
      </c>
      <c r="AE120" s="150">
        <f t="shared" si="260"/>
        <v>0</v>
      </c>
      <c r="AF120" s="150">
        <f t="shared" si="261"/>
        <v>0</v>
      </c>
      <c r="AG120" s="150">
        <f t="shared" si="262"/>
        <v>0</v>
      </c>
      <c r="AI120" s="151">
        <f>IF(VLOOKUP(E120,'Pre-Assessment Estimator'!$F$11:$AA$226,'Pre-Assessment Estimator'!$H$2,FALSE)&gt;AB120,AB120,VLOOKUP(E120,'Pre-Assessment Estimator'!$F$11:$AA$226,'Pre-Assessment Estimator'!$H$2,FALSE))</f>
        <v>0</v>
      </c>
      <c r="AJ120" s="151">
        <f>IF(VLOOKUP(E120,'Pre-Assessment Estimator'!$F$11:$AA$226,'Pre-Assessment Estimator'!$O$2,FALSE)&gt;AB120,AB120,VLOOKUP(E120,'Pre-Assessment Estimator'!$F$11:$AA$226,'Pre-Assessment Estimator'!$O$2,FALSE))</f>
        <v>0</v>
      </c>
      <c r="AK120" s="151">
        <f>IF(VLOOKUP(E120,'Pre-Assessment Estimator'!$F$11:$AA$226,'Pre-Assessment Estimator'!$V$2,FALSE)&gt;AB120,AB120,VLOOKUP(E120,'Pre-Assessment Estimator'!$F$11:$AA$226,'Pre-Assessment Estimator'!$V$2,FALSE))</f>
        <v>0</v>
      </c>
      <c r="AM120" s="742"/>
      <c r="AN120" s="743"/>
      <c r="AO120" s="743"/>
      <c r="AP120" s="743"/>
      <c r="AQ120" s="735"/>
      <c r="AR120" s="123"/>
      <c r="AS120" s="742"/>
      <c r="AT120" s="743"/>
      <c r="AU120" s="743"/>
      <c r="AV120" s="743"/>
      <c r="AW120" s="735"/>
      <c r="AY120" s="167"/>
      <c r="AZ120" s="48"/>
      <c r="BA120" s="48"/>
      <c r="BB120" s="48"/>
      <c r="BC120" s="744"/>
      <c r="BD120" s="160">
        <f t="shared" si="280"/>
        <v>9</v>
      </c>
      <c r="BE120" s="45" t="str">
        <f t="shared" si="256"/>
        <v>N/A</v>
      </c>
      <c r="BF120" s="163"/>
      <c r="BG120" s="160">
        <f t="shared" si="272"/>
        <v>9</v>
      </c>
      <c r="BH120" s="45" t="str">
        <f t="shared" si="257"/>
        <v>N/A</v>
      </c>
      <c r="BI120" s="163"/>
      <c r="BJ120" s="160">
        <f t="shared" si="281"/>
        <v>9</v>
      </c>
      <c r="BK120" s="45" t="str">
        <f t="shared" si="258"/>
        <v>N/A</v>
      </c>
      <c r="BL120" s="739"/>
      <c r="BO120" s="43"/>
      <c r="BP120" s="43"/>
      <c r="BQ120" s="43" t="str">
        <f t="shared" si="157"/>
        <v/>
      </c>
      <c r="BR120" s="43">
        <f t="shared" si="198"/>
        <v>9</v>
      </c>
      <c r="BS120" s="43">
        <f t="shared" si="199"/>
        <v>9</v>
      </c>
      <c r="BT120" s="43">
        <f t="shared" si="200"/>
        <v>9</v>
      </c>
      <c r="BW120" s="43"/>
      <c r="BX120" s="43"/>
      <c r="BY120" s="61"/>
      <c r="BZ120" s="43"/>
      <c r="CA120" s="584"/>
      <c r="CB120" s="43"/>
      <c r="CG120" s="62"/>
    </row>
    <row r="121" spans="1:85" ht="15.75" thickBot="1" x14ac:dyDescent="0.3">
      <c r="A121">
        <v>113</v>
      </c>
      <c r="B121" s="121" t="str">
        <f>D121</f>
        <v>Wat 04</v>
      </c>
      <c r="C121" s="121" t="str">
        <f>B121</f>
        <v>Wat 04</v>
      </c>
      <c r="D121" s="727" t="s">
        <v>171</v>
      </c>
      <c r="E121" s="725" t="s">
        <v>154</v>
      </c>
      <c r="F121" s="811">
        <f>SUM(F122)</f>
        <v>1</v>
      </c>
      <c r="G121" s="811">
        <f t="shared" ref="G121:R121" si="283">SUM(G122)</f>
        <v>1</v>
      </c>
      <c r="H121" s="811">
        <f t="shared" si="283"/>
        <v>1</v>
      </c>
      <c r="I121" s="811">
        <f t="shared" si="283"/>
        <v>1</v>
      </c>
      <c r="J121" s="811">
        <f t="shared" si="283"/>
        <v>1</v>
      </c>
      <c r="K121" s="811">
        <f t="shared" si="283"/>
        <v>1</v>
      </c>
      <c r="L121" s="811">
        <f t="shared" si="283"/>
        <v>1</v>
      </c>
      <c r="M121" s="811">
        <f t="shared" si="283"/>
        <v>1</v>
      </c>
      <c r="N121" s="811">
        <f t="shared" si="283"/>
        <v>1</v>
      </c>
      <c r="O121" s="811">
        <f t="shared" si="283"/>
        <v>1</v>
      </c>
      <c r="P121" s="811">
        <f t="shared" si="283"/>
        <v>1</v>
      </c>
      <c r="Q121" s="811">
        <f t="shared" si="283"/>
        <v>1</v>
      </c>
      <c r="R121" s="811">
        <f t="shared" si="283"/>
        <v>1</v>
      </c>
      <c r="T121" s="831">
        <f t="shared" si="248"/>
        <v>1</v>
      </c>
      <c r="U121" s="191">
        <f>U122</f>
        <v>0</v>
      </c>
      <c r="V121" s="61"/>
      <c r="W121" s="61"/>
      <c r="X121" s="61">
        <f>'Manuell filtrering og justering'!E55</f>
        <v>0</v>
      </c>
      <c r="Y121" s="61"/>
      <c r="Z121" s="826">
        <f t="shared" ref="Z121" si="284">SUM(Z122)</f>
        <v>1</v>
      </c>
      <c r="AA121" s="831">
        <f t="shared" si="250"/>
        <v>0</v>
      </c>
      <c r="AB121" s="798">
        <f>AB122</f>
        <v>1</v>
      </c>
      <c r="AD121" s="150">
        <f t="shared" si="251"/>
        <v>4.4444444444444444E-3</v>
      </c>
      <c r="AE121" s="799">
        <f>SUM(AE122)</f>
        <v>0</v>
      </c>
      <c r="AF121" s="799">
        <f t="shared" ref="AF121:AG121" si="285">SUM(AF122)</f>
        <v>0</v>
      </c>
      <c r="AG121" s="799">
        <f t="shared" si="285"/>
        <v>0</v>
      </c>
      <c r="AI121" s="826">
        <f t="shared" ref="AI121" si="286">SUM(AI122)</f>
        <v>0</v>
      </c>
      <c r="AJ121" s="826">
        <f t="shared" ref="AJ121" si="287">SUM(AJ122)</f>
        <v>0</v>
      </c>
      <c r="AK121" s="826">
        <f t="shared" ref="AK121" si="288">SUM(AK122)</f>
        <v>0</v>
      </c>
      <c r="AM121" s="255"/>
      <c r="AN121" s="256"/>
      <c r="AO121" s="256"/>
      <c r="AP121" s="256"/>
      <c r="AQ121" s="257"/>
      <c r="AR121" s="123"/>
      <c r="AS121" s="255"/>
      <c r="AT121" s="256"/>
      <c r="AU121" s="256"/>
      <c r="AV121" s="256"/>
      <c r="AW121" s="257"/>
      <c r="AY121" s="168"/>
      <c r="AZ121" s="170"/>
      <c r="BA121" s="170"/>
      <c r="BB121" s="170"/>
      <c r="BC121" s="171"/>
      <c r="BD121" s="172">
        <f t="shared" si="60"/>
        <v>9</v>
      </c>
      <c r="BE121" s="45" t="str">
        <f t="shared" si="256"/>
        <v>N/A</v>
      </c>
      <c r="BF121" s="173"/>
      <c r="BG121" s="172">
        <f>IF(BC121=0,9,IF(AJ121&gt;=BC121,5,IF(AJ121&gt;=BB121,4,IF(AJ121&gt;=BA121,3,IF(AJ121&gt;=AZ121,2,IF(AJ121&lt;AY121,0,1))))))</f>
        <v>9</v>
      </c>
      <c r="BH121" s="45" t="str">
        <f t="shared" si="257"/>
        <v>N/A</v>
      </c>
      <c r="BI121" s="173"/>
      <c r="BJ121" s="172">
        <f t="shared" si="28"/>
        <v>9</v>
      </c>
      <c r="BK121" s="45" t="str">
        <f t="shared" si="258"/>
        <v>N/A</v>
      </c>
      <c r="BL121" s="173"/>
      <c r="BO121" s="43"/>
      <c r="BP121" s="43"/>
      <c r="BQ121" s="43" t="str">
        <f t="shared" si="157"/>
        <v/>
      </c>
      <c r="BR121" s="43">
        <f t="shared" si="198"/>
        <v>9</v>
      </c>
      <c r="BS121" s="43">
        <f t="shared" si="199"/>
        <v>9</v>
      </c>
      <c r="BT121" s="43">
        <f t="shared" si="200"/>
        <v>9</v>
      </c>
      <c r="BW121" s="43" t="str">
        <f>D121</f>
        <v>Wat 04</v>
      </c>
      <c r="BX121" s="43" t="str">
        <f>IFERROR(VLOOKUP($E121,'Pre-Assessment Estimator'!$F$11:$AC$226,'Pre-Assessment Estimator'!AC$2,FALSE),"")</f>
        <v>N/A</v>
      </c>
      <c r="BY121" s="43">
        <f>IFERROR(VLOOKUP($E121,'Pre-Assessment Estimator'!$F$11:$AJ$226,'Pre-Assessment Estimator'!AJ$2,FALSE),"")</f>
        <v>0</v>
      </c>
      <c r="BZ121" s="43">
        <f>IFERROR(VLOOKUP($BX121,$E$293:$H$326,F$291,FALSE),"")</f>
        <v>1</v>
      </c>
      <c r="CA121" s="43">
        <f>IFERROR(VLOOKUP($BX121,$E$293:$H$326,G$291,FALSE),"")</f>
        <v>0</v>
      </c>
      <c r="CB121" s="43"/>
      <c r="CC121" t="str">
        <f>IFERROR(VLOOKUP($BX121,$E$293:$H$326,I$291,FALSE),"")</f>
        <v/>
      </c>
    </row>
    <row r="122" spans="1:85" ht="15.75" thickBot="1" x14ac:dyDescent="0.3">
      <c r="A122">
        <v>114</v>
      </c>
      <c r="B122" t="str">
        <f>$D$121&amp;D122</f>
        <v>Wat 04a</v>
      </c>
      <c r="C122" t="str">
        <f t="shared" si="159"/>
        <v>Wat 04</v>
      </c>
      <c r="D122" s="198" t="s">
        <v>692</v>
      </c>
      <c r="E122" s="930" t="s">
        <v>367</v>
      </c>
      <c r="F122" s="819">
        <v>1</v>
      </c>
      <c r="G122" s="819">
        <v>1</v>
      </c>
      <c r="H122" s="819">
        <v>1</v>
      </c>
      <c r="I122" s="819">
        <v>1</v>
      </c>
      <c r="J122" s="819">
        <v>1</v>
      </c>
      <c r="K122" s="819">
        <v>1</v>
      </c>
      <c r="L122" s="819">
        <v>1</v>
      </c>
      <c r="M122" s="819">
        <v>1</v>
      </c>
      <c r="N122" s="819">
        <v>1</v>
      </c>
      <c r="O122" s="819">
        <v>1</v>
      </c>
      <c r="P122" s="819">
        <v>1</v>
      </c>
      <c r="Q122" s="819">
        <v>1</v>
      </c>
      <c r="R122" s="819">
        <v>1</v>
      </c>
      <c r="T122" s="148">
        <f t="shared" si="248"/>
        <v>1</v>
      </c>
      <c r="U122" s="167">
        <f>IF('Assessment Details'!F23=AD_no,Poeng!T122,0)</f>
        <v>0</v>
      </c>
      <c r="V122" s="48"/>
      <c r="W122" s="48"/>
      <c r="X122" s="48"/>
      <c r="Y122" s="744"/>
      <c r="Z122" s="147">
        <f>VLOOKUP(B122,'Manuell filtrering og justering'!$A$7:$H$253,'Manuell filtrering og justering'!$H$1,FALSE)</f>
        <v>1</v>
      </c>
      <c r="AA122" s="148">
        <f t="shared" si="250"/>
        <v>0</v>
      </c>
      <c r="AB122" s="149">
        <f>IF($AC$5='Manuell filtrering og justering'!$J$2,Z122,(T122-AA122))</f>
        <v>1</v>
      </c>
      <c r="AD122" s="150">
        <f t="shared" si="251"/>
        <v>4.4444444444444444E-3</v>
      </c>
      <c r="AE122" s="150">
        <f t="shared" si="260"/>
        <v>0</v>
      </c>
      <c r="AF122" s="150">
        <f t="shared" si="261"/>
        <v>0</v>
      </c>
      <c r="AG122" s="150">
        <f t="shared" si="262"/>
        <v>0</v>
      </c>
      <c r="AI122" s="151">
        <f>IF(VLOOKUP(E122,'Pre-Assessment Estimator'!$F$11:$AA$226,'Pre-Assessment Estimator'!$H$2,FALSE)&gt;AB122,AB122,VLOOKUP(E122,'Pre-Assessment Estimator'!$F$11:$AA$226,'Pre-Assessment Estimator'!$H$2,FALSE))</f>
        <v>0</v>
      </c>
      <c r="AJ122" s="151">
        <f>IF(VLOOKUP(E122,'Pre-Assessment Estimator'!$F$11:$AA$226,'Pre-Assessment Estimator'!$O$2,FALSE)&gt;AB122,AB122,VLOOKUP(E122,'Pre-Assessment Estimator'!$F$11:$AA$226,'Pre-Assessment Estimator'!$O$2,FALSE))</f>
        <v>0</v>
      </c>
      <c r="AK122" s="151">
        <f>IF(VLOOKUP(E122,'Pre-Assessment Estimator'!$F$11:$AA$226,'Pre-Assessment Estimator'!$V$2,FALSE)&gt;AB122,AB122,VLOOKUP(E122,'Pre-Assessment Estimator'!$F$11:$AA$226,'Pre-Assessment Estimator'!$V$2,FALSE))</f>
        <v>0</v>
      </c>
      <c r="AM122" s="255"/>
      <c r="AN122" s="256"/>
      <c r="AO122" s="256"/>
      <c r="AP122" s="256"/>
      <c r="AQ122" s="257"/>
      <c r="AR122" s="123"/>
      <c r="AS122" s="255"/>
      <c r="AT122" s="256"/>
      <c r="AU122" s="256"/>
      <c r="AV122" s="256"/>
      <c r="AW122" s="257"/>
      <c r="AY122" s="168"/>
      <c r="AZ122" s="170"/>
      <c r="BA122" s="170"/>
      <c r="BB122" s="170"/>
      <c r="BC122" s="171"/>
      <c r="BD122" s="172">
        <f t="shared" ref="BD122" si="289">IF(BC122=0,9,IF(AI122&gt;=BC122,5,IF(AI122&gt;=BB122,4,IF(AI122&gt;=BA122,3,IF(AI122&gt;=AZ122,2,IF(AI122&lt;AY122,0,1))))))</f>
        <v>9</v>
      </c>
      <c r="BE122" s="45" t="str">
        <f t="shared" si="256"/>
        <v>N/A</v>
      </c>
      <c r="BF122" s="173"/>
      <c r="BG122" s="172">
        <f>IF(BC122=0,9,IF(AJ122&gt;=BC122,5,IF(AJ122&gt;=BB122,4,IF(AJ122&gt;=BA122,3,IF(AJ122&gt;=AZ122,2,IF(AJ122&lt;AY122,0,1))))))</f>
        <v>9</v>
      </c>
      <c r="BH122" s="45" t="str">
        <f t="shared" si="257"/>
        <v>N/A</v>
      </c>
      <c r="BI122" s="173"/>
      <c r="BJ122" s="172">
        <f t="shared" ref="BJ122" si="290">IF(BC122=0,9,IF(AK122&gt;=BC122,5,IF(AK122&gt;=BB122,4,IF(AK122&gt;=BA122,3,IF(AK122&gt;=AZ122,2,IF(AK122&lt;AY122,0,1))))))</f>
        <v>9</v>
      </c>
      <c r="BK122" s="45" t="str">
        <f t="shared" si="258"/>
        <v>N/A</v>
      </c>
      <c r="BL122" s="173"/>
      <c r="BO122" s="43"/>
      <c r="BP122" s="43"/>
      <c r="BQ122" s="43" t="str">
        <f t="shared" si="157"/>
        <v/>
      </c>
      <c r="BR122" s="43">
        <f t="shared" si="198"/>
        <v>9</v>
      </c>
      <c r="BS122" s="43">
        <f t="shared" si="199"/>
        <v>9</v>
      </c>
      <c r="BT122" s="43">
        <f t="shared" si="200"/>
        <v>9</v>
      </c>
      <c r="BW122" s="63"/>
      <c r="BX122" s="63"/>
      <c r="BY122" s="63"/>
      <c r="BZ122" s="63"/>
      <c r="CA122" s="63"/>
      <c r="CB122" s="63"/>
    </row>
    <row r="123" spans="1:85" ht="15.75" thickBot="1" x14ac:dyDescent="0.3">
      <c r="A123">
        <v>115</v>
      </c>
      <c r="B123" t="s">
        <v>885</v>
      </c>
      <c r="D123" s="174"/>
      <c r="E123" s="50" t="s">
        <v>213</v>
      </c>
      <c r="F123" s="672">
        <f>F113+F115+F117+F121</f>
        <v>9</v>
      </c>
      <c r="G123" s="672">
        <f t="shared" ref="G123:R123" si="291">G113+G115+G117+G121</f>
        <v>9</v>
      </c>
      <c r="H123" s="672">
        <f t="shared" si="291"/>
        <v>9</v>
      </c>
      <c r="I123" s="672">
        <f t="shared" si="291"/>
        <v>9</v>
      </c>
      <c r="J123" s="672">
        <f t="shared" si="291"/>
        <v>9</v>
      </c>
      <c r="K123" s="672">
        <f t="shared" si="291"/>
        <v>9</v>
      </c>
      <c r="L123" s="672">
        <f t="shared" si="291"/>
        <v>9</v>
      </c>
      <c r="M123" s="672">
        <f t="shared" si="291"/>
        <v>9</v>
      </c>
      <c r="N123" s="672">
        <f t="shared" si="291"/>
        <v>9</v>
      </c>
      <c r="O123" s="672">
        <f t="shared" si="291"/>
        <v>9</v>
      </c>
      <c r="P123" s="672">
        <f t="shared" si="291"/>
        <v>9</v>
      </c>
      <c r="Q123" s="672">
        <f t="shared" ref="Q123" si="292">Q113+Q115+Q117+Q121</f>
        <v>9</v>
      </c>
      <c r="R123" s="672">
        <f t="shared" si="291"/>
        <v>9</v>
      </c>
      <c r="T123" s="195">
        <f t="shared" si="248"/>
        <v>9</v>
      </c>
      <c r="U123" s="176"/>
      <c r="V123" s="177"/>
      <c r="W123" s="177"/>
      <c r="X123" s="177"/>
      <c r="Y123" s="178"/>
      <c r="Z123" s="178"/>
      <c r="AA123" s="672">
        <f t="shared" ref="AA123:AG123" si="293">AA113+AA115+AA117+AA121</f>
        <v>0</v>
      </c>
      <c r="AB123" s="672">
        <f t="shared" si="293"/>
        <v>9</v>
      </c>
      <c r="AD123" s="180">
        <f t="shared" si="293"/>
        <v>0.04</v>
      </c>
      <c r="AE123" s="180">
        <f t="shared" si="293"/>
        <v>0</v>
      </c>
      <c r="AF123" s="180">
        <f t="shared" si="293"/>
        <v>0</v>
      </c>
      <c r="AG123" s="180">
        <f t="shared" si="293"/>
        <v>0</v>
      </c>
      <c r="AI123" s="72">
        <f t="shared" ref="AI123:AK123" si="294">AI113+AI115+AI117+AI121</f>
        <v>0</v>
      </c>
      <c r="AJ123" s="72">
        <f t="shared" si="294"/>
        <v>0</v>
      </c>
      <c r="AK123" s="72">
        <f t="shared" si="294"/>
        <v>0</v>
      </c>
      <c r="AM123" s="123"/>
      <c r="AN123" s="123"/>
      <c r="AO123" s="123"/>
      <c r="AP123" s="123"/>
      <c r="AQ123" s="123"/>
      <c r="AR123" s="123"/>
      <c r="AS123" s="123"/>
      <c r="AT123" s="123"/>
      <c r="AU123" s="123"/>
      <c r="AV123" s="123"/>
      <c r="AW123" s="123"/>
      <c r="AZ123" s="181"/>
      <c r="BW123" s="50"/>
      <c r="BX123" s="50" t="str">
        <f>IFERROR(VLOOKUP($E123,'Pre-Assessment Estimator'!$F$11:$AC$226,'Pre-Assessment Estimator'!AC$2,FALSE),"")</f>
        <v/>
      </c>
      <c r="BY123" s="50" t="str">
        <f>IFERROR(VLOOKUP($E123,'Pre-Assessment Estimator'!$F$11:$AJ$226,'Pre-Assessment Estimator'!AJ$2,FALSE),"")</f>
        <v/>
      </c>
      <c r="BZ123" s="50" t="str">
        <f t="shared" ref="BZ123:CA126" si="295">IFERROR(VLOOKUP($BX123,$E$293:$H$326,F$291,FALSE),"")</f>
        <v/>
      </c>
      <c r="CA123" s="50" t="str">
        <f t="shared" si="295"/>
        <v/>
      </c>
      <c r="CB123" s="50"/>
      <c r="CC123" t="str">
        <f>IFERROR(VLOOKUP($BX123,$E$293:$H$326,I$291,FALSE),"")</f>
        <v/>
      </c>
    </row>
    <row r="124" spans="1:85" ht="15.75" thickBot="1" x14ac:dyDescent="0.3">
      <c r="A124">
        <v>116</v>
      </c>
      <c r="AI124" s="1"/>
      <c r="AJ124" s="1"/>
      <c r="AK124" s="1"/>
      <c r="AM124" s="123"/>
      <c r="AN124" s="123"/>
      <c r="AO124" s="123"/>
      <c r="AP124" s="123"/>
      <c r="AQ124" s="123"/>
      <c r="AR124" s="123"/>
      <c r="AS124" s="123"/>
      <c r="AT124" s="123"/>
      <c r="AU124" s="123"/>
      <c r="AV124" s="123"/>
      <c r="AW124" s="123"/>
      <c r="BX124" t="str">
        <f>IFERROR(VLOOKUP($E124,'Pre-Assessment Estimator'!$F$11:$AC$226,'Pre-Assessment Estimator'!AC$2,FALSE),"")</f>
        <v/>
      </c>
      <c r="BY124" t="str">
        <f>IFERROR(VLOOKUP($E124,'Pre-Assessment Estimator'!$F$11:$AJ$226,'Pre-Assessment Estimator'!AJ$2,FALSE),"")</f>
        <v/>
      </c>
      <c r="BZ124" t="str">
        <f t="shared" si="295"/>
        <v/>
      </c>
      <c r="CA124" t="str">
        <f t="shared" si="295"/>
        <v/>
      </c>
      <c r="CC124" t="str">
        <f>IFERROR(VLOOKUP($BX124,$E$293:$H$326,I$291,FALSE),"")</f>
        <v/>
      </c>
    </row>
    <row r="125" spans="1:85" ht="60.75" thickBot="1" x14ac:dyDescent="0.3">
      <c r="A125">
        <v>117</v>
      </c>
      <c r="D125" s="132"/>
      <c r="E125" s="133" t="s">
        <v>67</v>
      </c>
      <c r="F125" s="1028" t="str">
        <f>$F$9</f>
        <v>Office</v>
      </c>
      <c r="G125" s="1028" t="str">
        <f>$G$9</f>
        <v>Retail</v>
      </c>
      <c r="H125" s="1032" t="str">
        <f>$H$9</f>
        <v>Residential</v>
      </c>
      <c r="I125" s="1028" t="str">
        <f>$I$9</f>
        <v>Industrial</v>
      </c>
      <c r="J125" s="1030" t="str">
        <f>$J$9</f>
        <v>Healthcare</v>
      </c>
      <c r="K125" s="1030" t="str">
        <f>$K$9</f>
        <v>Prison</v>
      </c>
      <c r="L125" s="1030" t="str">
        <f>$L$9</f>
        <v>Law Court</v>
      </c>
      <c r="M125" s="1034" t="str">
        <f>$M$9</f>
        <v>Residential institution (long term stay)</v>
      </c>
      <c r="N125" s="796" t="str">
        <f>$N$9</f>
        <v>Residential institution (short term stay)</v>
      </c>
      <c r="O125" s="796" t="str">
        <f>$O$9</f>
        <v>Non-residential institution</v>
      </c>
      <c r="P125" s="796" t="str">
        <f>$P$9</f>
        <v>Assembly and leisure</v>
      </c>
      <c r="Q125" s="1030" t="str">
        <f>$Q$9</f>
        <v>Education</v>
      </c>
      <c r="R125" s="747" t="str">
        <f>$R$9</f>
        <v>Other</v>
      </c>
      <c r="T125" s="122" t="str">
        <f>$E$6</f>
        <v>Office</v>
      </c>
      <c r="U125" s="182"/>
      <c r="V125" s="183"/>
      <c r="W125" s="183"/>
      <c r="X125" s="183"/>
      <c r="Y125" s="964" t="s">
        <v>411</v>
      </c>
      <c r="Z125" s="304" t="s">
        <v>334</v>
      </c>
      <c r="AA125" s="131" t="s">
        <v>213</v>
      </c>
      <c r="AB125" s="53" t="s">
        <v>14</v>
      </c>
      <c r="AI125" s="36"/>
      <c r="AJ125" s="54"/>
      <c r="AK125" s="54"/>
      <c r="AM125" s="123"/>
      <c r="AN125" s="123"/>
      <c r="AO125" s="123"/>
      <c r="AP125" s="123"/>
      <c r="AQ125" s="123"/>
      <c r="AR125" s="123"/>
      <c r="AS125" s="123"/>
      <c r="AT125" s="123"/>
      <c r="AU125" s="123"/>
      <c r="AV125" s="123"/>
      <c r="AW125" s="123"/>
      <c r="BO125" s="54"/>
      <c r="BP125" s="54"/>
      <c r="BQ125" s="54"/>
      <c r="BR125" s="54"/>
      <c r="BS125" s="54"/>
      <c r="BT125" s="54"/>
      <c r="BW125" s="47"/>
      <c r="BX125" s="47" t="str">
        <f>E125</f>
        <v>Materials</v>
      </c>
      <c r="BY125" s="47">
        <f>IFERROR(VLOOKUP($E125,'Pre-Assessment Estimator'!$F$11:$AJ$226,'Pre-Assessment Estimator'!AJ$2,FALSE),"")</f>
        <v>0</v>
      </c>
      <c r="BZ125" s="47" t="str">
        <f t="shared" si="295"/>
        <v/>
      </c>
      <c r="CA125" s="47" t="str">
        <f t="shared" si="295"/>
        <v/>
      </c>
      <c r="CB125" s="47"/>
      <c r="CC125" t="str">
        <f>IFERROR(VLOOKUP($BX125,$E$293:$H$326,I$291,FALSE),"")</f>
        <v/>
      </c>
    </row>
    <row r="126" spans="1:85" x14ac:dyDescent="0.25">
      <c r="A126">
        <v>118</v>
      </c>
      <c r="B126" s="121" t="str">
        <f>D126</f>
        <v>Mat 01</v>
      </c>
      <c r="C126" s="121" t="str">
        <f>B126</f>
        <v>Mat 01</v>
      </c>
      <c r="D126" s="748" t="s">
        <v>172</v>
      </c>
      <c r="E126" s="749" t="s">
        <v>462</v>
      </c>
      <c r="F126" s="811">
        <f>SUM(F127:F129)</f>
        <v>5</v>
      </c>
      <c r="G126" s="811">
        <f t="shared" ref="G126:R126" si="296">SUM(G127:G129)</f>
        <v>5</v>
      </c>
      <c r="H126" s="811">
        <f t="shared" si="296"/>
        <v>5</v>
      </c>
      <c r="I126" s="811">
        <f t="shared" si="296"/>
        <v>5</v>
      </c>
      <c r="J126" s="811">
        <f t="shared" si="296"/>
        <v>5</v>
      </c>
      <c r="K126" s="811">
        <f t="shared" si="296"/>
        <v>5</v>
      </c>
      <c r="L126" s="811">
        <f t="shared" si="296"/>
        <v>5</v>
      </c>
      <c r="M126" s="811">
        <f t="shared" si="296"/>
        <v>5</v>
      </c>
      <c r="N126" s="811">
        <f t="shared" si="296"/>
        <v>5</v>
      </c>
      <c r="O126" s="811">
        <f t="shared" si="296"/>
        <v>5</v>
      </c>
      <c r="P126" s="811">
        <f t="shared" si="296"/>
        <v>5</v>
      </c>
      <c r="Q126" s="811">
        <f t="shared" ref="Q126" si="297">SUM(Q127:Q129)</f>
        <v>5</v>
      </c>
      <c r="R126" s="811">
        <f t="shared" si="296"/>
        <v>5</v>
      </c>
      <c r="T126" s="829">
        <f t="shared" ref="T126:T152" si="298">HLOOKUP($E$6,$F$9:$R$231,$A126,FALSE)</f>
        <v>5</v>
      </c>
      <c r="U126" s="191"/>
      <c r="V126" s="61"/>
      <c r="W126" s="61"/>
      <c r="X126" s="61">
        <f>'Manuell filtrering og justering'!E59</f>
        <v>0</v>
      </c>
      <c r="Y126" s="61"/>
      <c r="Z126" s="826">
        <f t="shared" ref="Z126" si="299">SUM(Z127:Z129)</f>
        <v>5</v>
      </c>
      <c r="AA126" s="831">
        <f t="shared" ref="AA126:AA151" si="300">IF(SUM(U126:Y126)&gt;T126,T126,SUM(U126:Y126))</f>
        <v>0</v>
      </c>
      <c r="AB126" s="883">
        <f>SUM(AB127:AB129)</f>
        <v>5</v>
      </c>
      <c r="AD126" s="150">
        <f t="shared" ref="AD126:AD151" si="301">(Mat_Weight/Mat_Credits)*AB126</f>
        <v>4.0476190476190485E-2</v>
      </c>
      <c r="AE126" s="799">
        <f>SUM(AE127:AE129)</f>
        <v>0</v>
      </c>
      <c r="AF126" s="799">
        <f t="shared" ref="AF126" si="302">SUM(AF127:AF129)</f>
        <v>0</v>
      </c>
      <c r="AG126" s="799">
        <f t="shared" ref="AG126" si="303">SUM(AG127:AG129)</f>
        <v>0</v>
      </c>
      <c r="AI126" s="826">
        <f t="shared" ref="AI126" si="304">SUM(AI127:AI129)</f>
        <v>0</v>
      </c>
      <c r="AJ126" s="826">
        <f t="shared" ref="AJ126" si="305">SUM(AJ127:AJ129)</f>
        <v>0</v>
      </c>
      <c r="AK126" s="826">
        <f t="shared" ref="AK126" si="306">SUM(AK127:AK129)</f>
        <v>0</v>
      </c>
      <c r="AM126" s="258"/>
      <c r="AN126" s="259"/>
      <c r="AO126" s="259"/>
      <c r="AP126" s="259"/>
      <c r="AQ126" s="260"/>
      <c r="AR126" s="123"/>
      <c r="AS126" s="258"/>
      <c r="AT126" s="259"/>
      <c r="AU126" s="259"/>
      <c r="AV126" s="259"/>
      <c r="AW126" s="260"/>
      <c r="AY126" s="189"/>
      <c r="AZ126" s="156"/>
      <c r="BA126" s="156"/>
      <c r="BB126" s="156"/>
      <c r="BC126" s="157"/>
      <c r="BD126" s="153">
        <f t="shared" ref="BD126:BD129" si="307">IF(BC126=0,9,IF(AI126&gt;=BC126,5,IF(AI126&gt;=BB126,4,IF(AI126&gt;=BA126,3,IF(AI126&gt;=AZ126,2,IF(AI126&lt;AY126,0,1))))))</f>
        <v>9</v>
      </c>
      <c r="BE126" s="45" t="str">
        <f t="shared" ref="BE126:BE151" si="308">VLOOKUP(BD126,$BO$284:$BT$290,6,FALSE)</f>
        <v>N/A</v>
      </c>
      <c r="BF126" s="157"/>
      <c r="BG126" s="153">
        <f t="shared" ref="BG126:BG133" si="309">IF(BC126=0,9,IF(AJ126&gt;=BC126,5,IF(AJ126&gt;=BB126,4,IF(AJ126&gt;=BA126,3,IF(AJ126&gt;=AZ126,2,IF(AJ126&lt;AY126,0,1))))))</f>
        <v>9</v>
      </c>
      <c r="BH126" s="45" t="str">
        <f t="shared" ref="BH126:BH151" si="310">VLOOKUP(BG126,$BO$284:$BT$290,6,FALSE)</f>
        <v>N/A</v>
      </c>
      <c r="BI126" s="157"/>
      <c r="BJ126" s="153">
        <f t="shared" si="28"/>
        <v>9</v>
      </c>
      <c r="BK126" s="45" t="str">
        <f t="shared" ref="BK126:BK151" si="311">VLOOKUP(BJ126,$BO$284:$BT$290,6,FALSE)</f>
        <v>N/A</v>
      </c>
      <c r="BL126" s="157"/>
      <c r="BO126" s="43"/>
      <c r="BP126" s="43"/>
      <c r="BQ126" s="43" t="str">
        <f t="shared" si="157"/>
        <v/>
      </c>
      <c r="BR126" s="43">
        <f t="shared" si="198"/>
        <v>9</v>
      </c>
      <c r="BS126" s="43">
        <f t="shared" si="199"/>
        <v>9</v>
      </c>
      <c r="BT126" s="43">
        <f t="shared" si="200"/>
        <v>9</v>
      </c>
      <c r="BW126" s="45" t="str">
        <f>D126</f>
        <v>Mat 01</v>
      </c>
      <c r="BX126" s="45" t="str">
        <f>IFERROR(VLOOKUP($E126,'Pre-Assessment Estimator'!$F$11:$AC$226,'Pre-Assessment Estimator'!AC$2,FALSE),"")</f>
        <v>N/A</v>
      </c>
      <c r="BY126" s="45">
        <f>IFERROR(VLOOKUP($E126,'Pre-Assessment Estimator'!$F$11:$AJ$226,'Pre-Assessment Estimator'!AJ$2,FALSE),"")</f>
        <v>0</v>
      </c>
      <c r="BZ126" s="45">
        <f t="shared" si="295"/>
        <v>1</v>
      </c>
      <c r="CA126" s="45">
        <f t="shared" si="295"/>
        <v>0</v>
      </c>
      <c r="CB126" s="45"/>
      <c r="CC126" t="s">
        <v>429</v>
      </c>
    </row>
    <row r="127" spans="1:85" x14ac:dyDescent="0.25">
      <c r="A127">
        <v>119</v>
      </c>
      <c r="B127" s="121"/>
      <c r="C127" t="str">
        <f t="shared" si="159"/>
        <v>Mat 01</v>
      </c>
      <c r="D127" s="146" t="s">
        <v>692</v>
      </c>
      <c r="E127" s="817" t="s">
        <v>645</v>
      </c>
      <c r="F127" s="668"/>
      <c r="G127" s="668"/>
      <c r="H127" s="668"/>
      <c r="I127" s="668"/>
      <c r="J127" s="668"/>
      <c r="K127" s="668"/>
      <c r="L127" s="668"/>
      <c r="M127" s="668"/>
      <c r="N127" s="668"/>
      <c r="O127" s="668"/>
      <c r="P127" s="668"/>
      <c r="Q127" s="668"/>
      <c r="R127" s="668"/>
      <c r="T127" s="148">
        <f t="shared" si="298"/>
        <v>0</v>
      </c>
      <c r="U127" s="146"/>
      <c r="V127" s="43"/>
      <c r="W127" s="43"/>
      <c r="X127" s="43"/>
      <c r="Y127" s="147"/>
      <c r="Z127" s="147"/>
      <c r="AA127" s="148">
        <f t="shared" si="300"/>
        <v>0</v>
      </c>
      <c r="AB127" s="149">
        <f>IF($AC$5='Manuell filtrering og justering'!$J$2,Z127,(T127-AA127))</f>
        <v>0</v>
      </c>
      <c r="AD127" s="150">
        <f t="shared" si="301"/>
        <v>0</v>
      </c>
      <c r="AE127" s="150">
        <f t="shared" ref="AE127:AE151" si="312">IF(AB127=0,0,(AD127/AB127)*AI127)</f>
        <v>0</v>
      </c>
      <c r="AF127" s="150">
        <f t="shared" ref="AF127:AF151" si="313">IF(AB127=0,0,(AD127/AB127)*AJ127)</f>
        <v>0</v>
      </c>
      <c r="AG127" s="150">
        <f t="shared" ref="AG127:AG151" si="314">IF(AB127=0,0,(AD127/AB127)*AK127)</f>
        <v>0</v>
      </c>
      <c r="AI127" s="151">
        <f>IF(VLOOKUP(E127,'Pre-Assessment Estimator'!$F$11:$AA$226,'Pre-Assessment Estimator'!$H$2,FALSE)&gt;AB127,AB127,VLOOKUP(E127,'Pre-Assessment Estimator'!$F$11:$AA$226,'Pre-Assessment Estimator'!$H$2,FALSE))</f>
        <v>0</v>
      </c>
      <c r="AJ127" s="151">
        <f>IF(VLOOKUP(E127,'Pre-Assessment Estimator'!$F$11:$AA$226,'Pre-Assessment Estimator'!$O$2,FALSE)&gt;AB127,AB127,VLOOKUP(E127,'Pre-Assessment Estimator'!$F$11:$AA$226,'Pre-Assessment Estimator'!$O$2,FALSE))</f>
        <v>0</v>
      </c>
      <c r="AK127" s="151">
        <f>IF(VLOOKUP(E127,'Pre-Assessment Estimator'!$F$11:$AA$226,'Pre-Assessment Estimator'!$V$2,FALSE)&gt;AB127,AB127,VLOOKUP(E127,'Pre-Assessment Estimator'!$F$11:$AA$226,'Pre-Assessment Estimator'!$V$2,FALSE))</f>
        <v>0</v>
      </c>
      <c r="AM127" s="728"/>
      <c r="AN127" s="729"/>
      <c r="AO127" s="729"/>
      <c r="AP127" s="729"/>
      <c r="AQ127" s="730"/>
      <c r="AR127" s="123"/>
      <c r="AS127" s="728"/>
      <c r="AT127" s="729"/>
      <c r="AU127" s="729"/>
      <c r="AV127" s="729"/>
      <c r="AW127" s="730"/>
      <c r="AY127" s="144"/>
      <c r="AZ127" s="45"/>
      <c r="BA127" s="45"/>
      <c r="BB127" s="45"/>
      <c r="BC127" s="723"/>
      <c r="BD127" s="160">
        <f t="shared" si="307"/>
        <v>9</v>
      </c>
      <c r="BE127" s="45" t="str">
        <f t="shared" si="308"/>
        <v>N/A</v>
      </c>
      <c r="BF127" s="163"/>
      <c r="BG127" s="160">
        <f t="shared" ref="BG127:BG129" si="315">IF(BC127=0,9,IF(AJ127&gt;=BC127,5,IF(AJ127&gt;=BB127,4,IF(AJ127&gt;=BA127,3,IF(AJ127&gt;=AZ127,2,IF(AJ127&lt;AY127,0,1))))))</f>
        <v>9</v>
      </c>
      <c r="BH127" s="45" t="str">
        <f t="shared" si="310"/>
        <v>N/A</v>
      </c>
      <c r="BI127" s="163"/>
      <c r="BJ127" s="160">
        <f t="shared" si="28"/>
        <v>9</v>
      </c>
      <c r="BK127" s="45" t="str">
        <f t="shared" si="311"/>
        <v>N/A</v>
      </c>
      <c r="BL127" s="723"/>
      <c r="BO127" s="43"/>
      <c r="BP127" s="43"/>
      <c r="BQ127" s="43" t="str">
        <f t="shared" si="157"/>
        <v/>
      </c>
      <c r="BR127" s="43">
        <f t="shared" si="198"/>
        <v>9</v>
      </c>
      <c r="BS127" s="43">
        <f t="shared" si="199"/>
        <v>9</v>
      </c>
      <c r="BT127" s="43">
        <f t="shared" si="200"/>
        <v>9</v>
      </c>
      <c r="BW127" s="45"/>
      <c r="BX127" s="45"/>
      <c r="BY127" s="45"/>
      <c r="BZ127" s="45"/>
      <c r="CA127" s="45"/>
      <c r="CB127" s="45"/>
    </row>
    <row r="128" spans="1:85" x14ac:dyDescent="0.25">
      <c r="A128">
        <v>120</v>
      </c>
      <c r="B128" t="str">
        <f t="shared" ref="B128:B129" si="316">$D$126&amp;D128</f>
        <v>Mat 01b</v>
      </c>
      <c r="C128" t="str">
        <f t="shared" si="159"/>
        <v>Mat 01</v>
      </c>
      <c r="D128" s="146" t="s">
        <v>695</v>
      </c>
      <c r="E128" s="930" t="s">
        <v>646</v>
      </c>
      <c r="F128" s="668">
        <v>3</v>
      </c>
      <c r="G128" s="668">
        <v>3</v>
      </c>
      <c r="H128" s="668">
        <v>3</v>
      </c>
      <c r="I128" s="668">
        <v>3</v>
      </c>
      <c r="J128" s="668">
        <v>3</v>
      </c>
      <c r="K128" s="668">
        <v>3</v>
      </c>
      <c r="L128" s="668">
        <v>3</v>
      </c>
      <c r="M128" s="668">
        <v>3</v>
      </c>
      <c r="N128" s="668">
        <v>3</v>
      </c>
      <c r="O128" s="668">
        <v>3</v>
      </c>
      <c r="P128" s="668">
        <v>3</v>
      </c>
      <c r="Q128" s="668">
        <v>3</v>
      </c>
      <c r="R128" s="668">
        <v>3</v>
      </c>
      <c r="T128" s="148">
        <f t="shared" si="298"/>
        <v>3</v>
      </c>
      <c r="U128" s="146"/>
      <c r="V128" s="43"/>
      <c r="W128" s="43"/>
      <c r="X128" s="43"/>
      <c r="Y128" s="147"/>
      <c r="Z128" s="147">
        <f>VLOOKUP(B128,'Manuell filtrering og justering'!$A$7:$H$253,'Manuell filtrering og justering'!$H$1,FALSE)</f>
        <v>3</v>
      </c>
      <c r="AA128" s="148">
        <f t="shared" si="300"/>
        <v>0</v>
      </c>
      <c r="AB128" s="149">
        <f>IF($AC$5='Manuell filtrering og justering'!$J$2,Z128,(T128-AA128))</f>
        <v>3</v>
      </c>
      <c r="AD128" s="150">
        <f t="shared" si="301"/>
        <v>2.4285714285714289E-2</v>
      </c>
      <c r="AE128" s="150">
        <f t="shared" si="312"/>
        <v>0</v>
      </c>
      <c r="AF128" s="150">
        <f t="shared" si="313"/>
        <v>0</v>
      </c>
      <c r="AG128" s="150">
        <f t="shared" si="314"/>
        <v>0</v>
      </c>
      <c r="AI128" s="151">
        <f>IF(VLOOKUP(E128,'Pre-Assessment Estimator'!$F$11:$AA$226,'Pre-Assessment Estimator'!$H$2,FALSE)&gt;AB128,AB128,VLOOKUP(E128,'Pre-Assessment Estimator'!$F$11:$AA$226,'Pre-Assessment Estimator'!$H$2,FALSE))</f>
        <v>0</v>
      </c>
      <c r="AJ128" s="151">
        <f>IF(VLOOKUP(E128,'Pre-Assessment Estimator'!$F$11:$AA$226,'Pre-Assessment Estimator'!$O$2,FALSE)&gt;AB128,AB128,VLOOKUP(E128,'Pre-Assessment Estimator'!$F$11:$AA$226,'Pre-Assessment Estimator'!$O$2,FALSE))</f>
        <v>0</v>
      </c>
      <c r="AK128" s="151">
        <f>IF(VLOOKUP(E128,'Pre-Assessment Estimator'!$F$11:$AA$226,'Pre-Assessment Estimator'!$V$2,FALSE)&gt;AB128,AB128,VLOOKUP(E128,'Pre-Assessment Estimator'!$F$11:$AA$226,'Pre-Assessment Estimator'!$V$2,FALSE))</f>
        <v>0</v>
      </c>
      <c r="AM128" s="728"/>
      <c r="AN128" s="729"/>
      <c r="AO128" s="729">
        <v>1</v>
      </c>
      <c r="AP128" s="729">
        <v>1</v>
      </c>
      <c r="AQ128" s="730">
        <v>2</v>
      </c>
      <c r="AR128" s="123"/>
      <c r="AS128" s="728"/>
      <c r="AT128" s="729"/>
      <c r="AU128" s="729">
        <v>1</v>
      </c>
      <c r="AV128" s="729">
        <v>1</v>
      </c>
      <c r="AW128" s="730">
        <v>2</v>
      </c>
      <c r="AY128" s="144"/>
      <c r="AZ128" s="45"/>
      <c r="BA128" s="161">
        <f>IF($AB128=0,0,IF($E$6=$H$9,AU128,AO128))</f>
        <v>1</v>
      </c>
      <c r="BB128" s="161">
        <f>IF($AB128=0,0,IF($E$6=$H$9,AV128,AP128))</f>
        <v>1</v>
      </c>
      <c r="BC128" s="161">
        <f>IF($AB128=0,0,IF($E$6=$H$9,AW128,AQ128))</f>
        <v>2</v>
      </c>
      <c r="BD128" s="160">
        <f t="shared" si="307"/>
        <v>2</v>
      </c>
      <c r="BE128" s="45" t="str">
        <f t="shared" si="308"/>
        <v>Good</v>
      </c>
      <c r="BF128" s="163"/>
      <c r="BG128" s="160">
        <f t="shared" si="315"/>
        <v>2</v>
      </c>
      <c r="BH128" s="45" t="str">
        <f t="shared" si="310"/>
        <v>Good</v>
      </c>
      <c r="BI128" s="163"/>
      <c r="BJ128" s="160">
        <f t="shared" si="28"/>
        <v>2</v>
      </c>
      <c r="BK128" s="45" t="str">
        <f t="shared" si="311"/>
        <v>Good</v>
      </c>
      <c r="BL128" s="723"/>
      <c r="BO128" s="43"/>
      <c r="BP128" s="43"/>
      <c r="BQ128" s="43" t="str">
        <f t="shared" si="157"/>
        <v/>
      </c>
      <c r="BR128" s="43">
        <f t="shared" si="198"/>
        <v>9</v>
      </c>
      <c r="BS128" s="43">
        <f t="shared" si="199"/>
        <v>9</v>
      </c>
      <c r="BT128" s="43">
        <f t="shared" si="200"/>
        <v>9</v>
      </c>
      <c r="BW128" s="45"/>
      <c r="BX128" s="45"/>
      <c r="BY128" s="45"/>
      <c r="BZ128" s="45"/>
      <c r="CA128" s="45"/>
      <c r="CB128" s="45"/>
    </row>
    <row r="129" spans="1:85" x14ac:dyDescent="0.25">
      <c r="A129">
        <v>121</v>
      </c>
      <c r="B129" t="str">
        <f t="shared" si="316"/>
        <v>Mat 01c</v>
      </c>
      <c r="C129" t="str">
        <f t="shared" si="159"/>
        <v>Mat 01</v>
      </c>
      <c r="D129" s="146" t="s">
        <v>696</v>
      </c>
      <c r="E129" s="930" t="s">
        <v>647</v>
      </c>
      <c r="F129" s="668">
        <v>2</v>
      </c>
      <c r="G129" s="668">
        <v>2</v>
      </c>
      <c r="H129" s="668">
        <v>2</v>
      </c>
      <c r="I129" s="668">
        <v>2</v>
      </c>
      <c r="J129" s="668">
        <v>2</v>
      </c>
      <c r="K129" s="668">
        <v>2</v>
      </c>
      <c r="L129" s="668">
        <v>2</v>
      </c>
      <c r="M129" s="668">
        <v>2</v>
      </c>
      <c r="N129" s="668">
        <v>2</v>
      </c>
      <c r="O129" s="668">
        <v>2</v>
      </c>
      <c r="P129" s="668">
        <v>2</v>
      </c>
      <c r="Q129" s="668">
        <v>2</v>
      </c>
      <c r="R129" s="668">
        <v>2</v>
      </c>
      <c r="T129" s="148">
        <f t="shared" si="298"/>
        <v>2</v>
      </c>
      <c r="U129" s="146"/>
      <c r="V129" s="43"/>
      <c r="W129" s="43"/>
      <c r="X129" s="43"/>
      <c r="Y129" s="147"/>
      <c r="Z129" s="147">
        <f>VLOOKUP(B129,'Manuell filtrering og justering'!$A$7:$H$253,'Manuell filtrering og justering'!$H$1,FALSE)</f>
        <v>2</v>
      </c>
      <c r="AA129" s="148">
        <f t="shared" si="300"/>
        <v>0</v>
      </c>
      <c r="AB129" s="149">
        <f>IF($AC$5='Manuell filtrering og justering'!$J$2,Z129,(T129-AA129))</f>
        <v>2</v>
      </c>
      <c r="AD129" s="150">
        <f t="shared" si="301"/>
        <v>1.6190476190476193E-2</v>
      </c>
      <c r="AE129" s="150">
        <f t="shared" si="312"/>
        <v>0</v>
      </c>
      <c r="AF129" s="150">
        <f t="shared" si="313"/>
        <v>0</v>
      </c>
      <c r="AG129" s="150">
        <f t="shared" si="314"/>
        <v>0</v>
      </c>
      <c r="AI129" s="151">
        <f>IF(VLOOKUP(E129,'Pre-Assessment Estimator'!$F$11:$AA$226,'Pre-Assessment Estimator'!$H$2,FALSE)&gt;AB129,AB129,VLOOKUP(E129,'Pre-Assessment Estimator'!$F$11:$AA$226,'Pre-Assessment Estimator'!$H$2,FALSE))</f>
        <v>0</v>
      </c>
      <c r="AJ129" s="151">
        <f>IF(VLOOKUP(E129,'Pre-Assessment Estimator'!$F$11:$AA$226,'Pre-Assessment Estimator'!$O$2,FALSE)&gt;AB129,AB129,VLOOKUP(E129,'Pre-Assessment Estimator'!$F$11:$AA$226,'Pre-Assessment Estimator'!$O$2,FALSE))</f>
        <v>0</v>
      </c>
      <c r="AK129" s="151">
        <f>IF(VLOOKUP(E129,'Pre-Assessment Estimator'!$F$11:$AA$226,'Pre-Assessment Estimator'!$V$2,FALSE)&gt;AB129,AB129,VLOOKUP(E129,'Pre-Assessment Estimator'!$F$11:$AA$226,'Pre-Assessment Estimator'!$V$2,FALSE))</f>
        <v>0</v>
      </c>
      <c r="AM129" s="728"/>
      <c r="AN129" s="729"/>
      <c r="AO129" s="729"/>
      <c r="AP129" s="729"/>
      <c r="AQ129" s="730"/>
      <c r="AR129" s="123"/>
      <c r="AS129" s="728"/>
      <c r="AT129" s="729"/>
      <c r="AU129" s="729"/>
      <c r="AV129" s="729"/>
      <c r="AW129" s="730"/>
      <c r="AY129" s="144"/>
      <c r="AZ129" s="45"/>
      <c r="BA129" s="45"/>
      <c r="BB129" s="45"/>
      <c r="BC129" s="723"/>
      <c r="BD129" s="160">
        <f t="shared" si="307"/>
        <v>9</v>
      </c>
      <c r="BE129" s="45" t="str">
        <f t="shared" si="308"/>
        <v>N/A</v>
      </c>
      <c r="BF129" s="163"/>
      <c r="BG129" s="160">
        <f t="shared" si="315"/>
        <v>9</v>
      </c>
      <c r="BH129" s="45" t="str">
        <f t="shared" si="310"/>
        <v>N/A</v>
      </c>
      <c r="BI129" s="163"/>
      <c r="BJ129" s="160">
        <f t="shared" si="28"/>
        <v>9</v>
      </c>
      <c r="BK129" s="45" t="str">
        <f t="shared" si="311"/>
        <v>N/A</v>
      </c>
      <c r="BL129" s="723"/>
      <c r="BO129" s="43"/>
      <c r="BP129" s="43"/>
      <c r="BQ129" s="43" t="str">
        <f t="shared" si="157"/>
        <v/>
      </c>
      <c r="BR129" s="43">
        <f t="shared" si="198"/>
        <v>9</v>
      </c>
      <c r="BS129" s="43">
        <f t="shared" si="199"/>
        <v>9</v>
      </c>
      <c r="BT129" s="43">
        <f t="shared" si="200"/>
        <v>9</v>
      </c>
      <c r="BW129" s="45"/>
      <c r="BX129" s="45"/>
      <c r="BY129" s="45"/>
      <c r="BZ129" s="45"/>
      <c r="CA129" s="45"/>
      <c r="CB129" s="45"/>
    </row>
    <row r="130" spans="1:85" x14ac:dyDescent="0.25">
      <c r="A130">
        <v>122</v>
      </c>
      <c r="B130" s="121" t="str">
        <f>D130</f>
        <v>Mat 02</v>
      </c>
      <c r="C130" s="121" t="str">
        <f>B130</f>
        <v>Mat 02</v>
      </c>
      <c r="D130" s="727" t="s">
        <v>477</v>
      </c>
      <c r="E130" s="725" t="s">
        <v>956</v>
      </c>
      <c r="F130" s="811">
        <f>SUM(F131:F133)</f>
        <v>3</v>
      </c>
      <c r="G130" s="811">
        <f t="shared" ref="G130:R130" si="317">SUM(G131:G133)</f>
        <v>3</v>
      </c>
      <c r="H130" s="811">
        <f t="shared" si="317"/>
        <v>3</v>
      </c>
      <c r="I130" s="811">
        <f t="shared" si="317"/>
        <v>3</v>
      </c>
      <c r="J130" s="811">
        <f t="shared" si="317"/>
        <v>3</v>
      </c>
      <c r="K130" s="811">
        <f t="shared" si="317"/>
        <v>3</v>
      </c>
      <c r="L130" s="811">
        <f t="shared" si="317"/>
        <v>3</v>
      </c>
      <c r="M130" s="811">
        <f t="shared" si="317"/>
        <v>3</v>
      </c>
      <c r="N130" s="811">
        <f t="shared" si="317"/>
        <v>3</v>
      </c>
      <c r="O130" s="811">
        <f t="shared" si="317"/>
        <v>3</v>
      </c>
      <c r="P130" s="811">
        <f t="shared" si="317"/>
        <v>3</v>
      </c>
      <c r="Q130" s="811">
        <f t="shared" ref="Q130" si="318">SUM(Q131:Q133)</f>
        <v>3</v>
      </c>
      <c r="R130" s="811">
        <f t="shared" si="317"/>
        <v>3</v>
      </c>
      <c r="T130" s="831">
        <f t="shared" si="298"/>
        <v>3</v>
      </c>
      <c r="U130" s="191"/>
      <c r="V130" s="61"/>
      <c r="W130" s="61"/>
      <c r="X130" s="61">
        <f>'Manuell filtrering og justering'!E60</f>
        <v>0</v>
      </c>
      <c r="Y130" s="61"/>
      <c r="Z130" s="826">
        <f t="shared" ref="Z130" si="319">SUM(Z131:Z133)</f>
        <v>3</v>
      </c>
      <c r="AA130" s="831">
        <f t="shared" si="300"/>
        <v>0</v>
      </c>
      <c r="AB130" s="883">
        <f>SUM(AB131:AB133)</f>
        <v>3</v>
      </c>
      <c r="AD130" s="150">
        <f t="shared" si="301"/>
        <v>2.4285714285714289E-2</v>
      </c>
      <c r="AE130" s="799">
        <f>SUM(AE131:AE133)</f>
        <v>0</v>
      </c>
      <c r="AF130" s="799">
        <f t="shared" ref="AF130" si="320">SUM(AF131:AF133)</f>
        <v>0</v>
      </c>
      <c r="AG130" s="799">
        <f t="shared" ref="AG130" si="321">SUM(AG131:AG133)</f>
        <v>0</v>
      </c>
      <c r="AI130" s="826">
        <f t="shared" ref="AI130" si="322">SUM(AI131:AI133)</f>
        <v>0</v>
      </c>
      <c r="AJ130" s="826">
        <f t="shared" ref="AJ130" si="323">SUM(AJ131:AJ133)</f>
        <v>0</v>
      </c>
      <c r="AK130" s="826">
        <f t="shared" ref="AK130" si="324">SUM(AK131:AK133)</f>
        <v>0</v>
      </c>
      <c r="AM130" s="252"/>
      <c r="AN130" s="253"/>
      <c r="AO130" s="253"/>
      <c r="AP130" s="253"/>
      <c r="AQ130" s="254"/>
      <c r="AR130" s="123"/>
      <c r="AS130" s="252"/>
      <c r="AT130" s="253"/>
      <c r="AU130" s="253"/>
      <c r="AV130" s="253"/>
      <c r="AW130" s="254"/>
      <c r="AY130" s="144"/>
      <c r="AZ130" s="45"/>
      <c r="BA130" s="45"/>
      <c r="BB130" s="45"/>
      <c r="BC130" s="163"/>
      <c r="BD130" s="160">
        <f t="shared" ref="BD130:BD133" si="325">IF(BC130=0,9,IF(AI130&gt;=BC130,5,IF(AI130&gt;=BB130,4,IF(AI130&gt;=BA130,3,IF(AI130&gt;=AZ130,2,IF(AI130&lt;AY130,0,1))))))</f>
        <v>9</v>
      </c>
      <c r="BE130" s="45" t="str">
        <f t="shared" si="308"/>
        <v>N/A</v>
      </c>
      <c r="BF130" s="163"/>
      <c r="BG130" s="160">
        <f t="shared" si="309"/>
        <v>9</v>
      </c>
      <c r="BH130" s="45" t="str">
        <f t="shared" si="310"/>
        <v>N/A</v>
      </c>
      <c r="BI130" s="163"/>
      <c r="BJ130" s="160">
        <f t="shared" ref="BJ130:BJ133" si="326">IF(BC130=0,9,IF(AK130&gt;=BC130,5,IF(AK130&gt;=BB130,4,IF(AK130&gt;=BA130,3,IF(AK130&gt;=AZ130,2,IF(AK130&lt;AY130,0,1))))))</f>
        <v>9</v>
      </c>
      <c r="BK130" s="45" t="str">
        <f t="shared" si="311"/>
        <v>N/A</v>
      </c>
      <c r="BL130" s="163"/>
      <c r="BO130" s="43"/>
      <c r="BP130" s="43"/>
      <c r="BQ130" s="43" t="str">
        <f t="shared" si="157"/>
        <v/>
      </c>
      <c r="BR130" s="43">
        <f t="shared" si="198"/>
        <v>9</v>
      </c>
      <c r="BS130" s="43">
        <f t="shared" si="199"/>
        <v>9</v>
      </c>
      <c r="BT130" s="43">
        <f t="shared" si="200"/>
        <v>9</v>
      </c>
      <c r="BW130" s="45"/>
      <c r="BX130" s="45"/>
      <c r="BY130" s="45"/>
      <c r="BZ130" s="45"/>
      <c r="CA130" s="45"/>
      <c r="CB130" s="45"/>
    </row>
    <row r="131" spans="1:85" x14ac:dyDescent="0.25">
      <c r="A131">
        <v>123</v>
      </c>
      <c r="B131" s="121"/>
      <c r="C131" t="str">
        <f t="shared" si="159"/>
        <v>Mat 02</v>
      </c>
      <c r="D131" s="146" t="s">
        <v>692</v>
      </c>
      <c r="E131" s="817" t="str">
        <f>Ene01_Crit1</f>
        <v>Minimum req: absence of environmental toxins (EU taxonomy requirement: criterion 1)</v>
      </c>
      <c r="F131" s="668"/>
      <c r="G131" s="668"/>
      <c r="H131" s="668"/>
      <c r="I131" s="668"/>
      <c r="J131" s="668"/>
      <c r="K131" s="668"/>
      <c r="L131" s="668"/>
      <c r="M131" s="668"/>
      <c r="N131" s="668"/>
      <c r="O131" s="668"/>
      <c r="P131" s="668"/>
      <c r="Q131" s="668"/>
      <c r="R131" s="668"/>
      <c r="T131" s="148">
        <f t="shared" si="298"/>
        <v>0</v>
      </c>
      <c r="U131" s="146"/>
      <c r="V131" s="43"/>
      <c r="W131" s="43"/>
      <c r="X131" s="43"/>
      <c r="Y131" s="147"/>
      <c r="Z131" s="147"/>
      <c r="AA131" s="148">
        <f t="shared" si="300"/>
        <v>0</v>
      </c>
      <c r="AB131" s="149">
        <f>IF($AC$5='Manuell filtrering og justering'!$J$2,Z131,(T131-AA131))</f>
        <v>0</v>
      </c>
      <c r="AD131" s="150">
        <f t="shared" si="301"/>
        <v>0</v>
      </c>
      <c r="AE131" s="150">
        <f t="shared" si="312"/>
        <v>0</v>
      </c>
      <c r="AF131" s="150">
        <f t="shared" si="313"/>
        <v>0</v>
      </c>
      <c r="AG131" s="150">
        <f t="shared" si="314"/>
        <v>0</v>
      </c>
      <c r="AI131" s="151">
        <f>IF(VLOOKUP(E131,'Pre-Assessment Estimator'!$F$11:$AA$226,'Pre-Assessment Estimator'!$H$2,FALSE)&gt;AB131,AB131,VLOOKUP(E131,'Pre-Assessment Estimator'!$F$11:$AA$226,'Pre-Assessment Estimator'!$H$2,FALSE))</f>
        <v>0</v>
      </c>
      <c r="AJ131" s="151">
        <f>IF(VLOOKUP(E131,'Pre-Assessment Estimator'!$F$11:$AA$226,'Pre-Assessment Estimator'!$O$2,FALSE)&gt;AB131,AB131,VLOOKUP(E131,'Pre-Assessment Estimator'!$F$11:$AA$226,'Pre-Assessment Estimator'!$O$2,FALSE))</f>
        <v>0</v>
      </c>
      <c r="AK131" s="151">
        <f>IF(VLOOKUP(E131,'Pre-Assessment Estimator'!$F$11:$AA$226,'Pre-Assessment Estimator'!$V$2,FALSE)&gt;AB131,AB131,VLOOKUP(E131,'Pre-Assessment Estimator'!$F$11:$AA$226,'Pre-Assessment Estimator'!$V$2,FALSE))</f>
        <v>0</v>
      </c>
      <c r="AM131" s="252"/>
      <c r="AN131" s="253"/>
      <c r="AO131" s="253"/>
      <c r="AP131" s="253"/>
      <c r="AQ131" s="254"/>
      <c r="AR131" s="123"/>
      <c r="AS131" s="252"/>
      <c r="AT131" s="253"/>
      <c r="AU131" s="253"/>
      <c r="AV131" s="253"/>
      <c r="AW131" s="254"/>
      <c r="AY131" s="144"/>
      <c r="AZ131" s="45"/>
      <c r="BA131" s="45"/>
      <c r="BB131" s="45"/>
      <c r="BC131" s="163"/>
      <c r="BD131" s="160">
        <f t="shared" si="325"/>
        <v>9</v>
      </c>
      <c r="BE131" s="45" t="str">
        <f t="shared" si="308"/>
        <v>N/A</v>
      </c>
      <c r="BF131" s="163"/>
      <c r="BG131" s="160">
        <f t="shared" si="309"/>
        <v>9</v>
      </c>
      <c r="BH131" s="45" t="str">
        <f t="shared" si="310"/>
        <v>N/A</v>
      </c>
      <c r="BI131" s="163"/>
      <c r="BJ131" s="160">
        <f t="shared" si="326"/>
        <v>9</v>
      </c>
      <c r="BK131" s="45" t="str">
        <f t="shared" si="311"/>
        <v>N/A</v>
      </c>
      <c r="BL131" s="163"/>
      <c r="BO131" s="43"/>
      <c r="BP131" s="43"/>
      <c r="BQ131" s="43" t="str">
        <f t="shared" si="157"/>
        <v/>
      </c>
      <c r="BR131" s="43">
        <f t="shared" si="198"/>
        <v>9</v>
      </c>
      <c r="BS131" s="43">
        <f t="shared" si="199"/>
        <v>9</v>
      </c>
      <c r="BT131" s="43">
        <f t="shared" si="200"/>
        <v>9</v>
      </c>
      <c r="BW131" s="45"/>
      <c r="BX131" s="45"/>
      <c r="BY131" s="45"/>
      <c r="BZ131" s="45"/>
      <c r="CA131" s="45"/>
      <c r="CB131" s="45"/>
    </row>
    <row r="132" spans="1:85" x14ac:dyDescent="0.25">
      <c r="A132">
        <v>124</v>
      </c>
      <c r="B132" t="str">
        <f t="shared" ref="B132:B133" si="327">$D$130&amp;D132</f>
        <v>Mat 02b</v>
      </c>
      <c r="C132" t="str">
        <f t="shared" si="159"/>
        <v>Mat 02</v>
      </c>
      <c r="D132" s="146" t="s">
        <v>695</v>
      </c>
      <c r="E132" s="930" t="s">
        <v>649</v>
      </c>
      <c r="F132" s="668">
        <v>1</v>
      </c>
      <c r="G132" s="668">
        <v>1</v>
      </c>
      <c r="H132" s="668">
        <v>1</v>
      </c>
      <c r="I132" s="668">
        <v>1</v>
      </c>
      <c r="J132" s="668">
        <v>1</v>
      </c>
      <c r="K132" s="668">
        <v>1</v>
      </c>
      <c r="L132" s="668">
        <v>1</v>
      </c>
      <c r="M132" s="668">
        <v>1</v>
      </c>
      <c r="N132" s="668">
        <v>1</v>
      </c>
      <c r="O132" s="668">
        <v>1</v>
      </c>
      <c r="P132" s="668">
        <v>1</v>
      </c>
      <c r="Q132" s="668">
        <v>1</v>
      </c>
      <c r="R132" s="668">
        <v>1</v>
      </c>
      <c r="T132" s="148">
        <f t="shared" si="298"/>
        <v>1</v>
      </c>
      <c r="U132" s="146"/>
      <c r="V132" s="43"/>
      <c r="W132" s="43"/>
      <c r="X132" s="43"/>
      <c r="Y132" s="147"/>
      <c r="Z132" s="147">
        <f>VLOOKUP(B132,'Manuell filtrering og justering'!$A$7:$H$253,'Manuell filtrering og justering'!$H$1,FALSE)</f>
        <v>1</v>
      </c>
      <c r="AA132" s="148">
        <f t="shared" si="300"/>
        <v>0</v>
      </c>
      <c r="AB132" s="149">
        <f>IF($AC$5='Manuell filtrering og justering'!$J$2,Z132,(T132-AA132))</f>
        <v>1</v>
      </c>
      <c r="AD132" s="150">
        <f t="shared" si="301"/>
        <v>8.0952380952380963E-3</v>
      </c>
      <c r="AE132" s="150">
        <f t="shared" si="312"/>
        <v>0</v>
      </c>
      <c r="AF132" s="150">
        <f t="shared" si="313"/>
        <v>0</v>
      </c>
      <c r="AG132" s="150">
        <f t="shared" si="314"/>
        <v>0</v>
      </c>
      <c r="AI132" s="151">
        <f>IF(VLOOKUP(E132,'Pre-Assessment Estimator'!$F$11:$AA$226,'Pre-Assessment Estimator'!$H$2,FALSE)&gt;AB132,AB132,VLOOKUP(E132,'Pre-Assessment Estimator'!$F$11:$AA$226,'Pre-Assessment Estimator'!$H$2,FALSE))</f>
        <v>0</v>
      </c>
      <c r="AJ132" s="151">
        <f>IF(VLOOKUP(E132,'Pre-Assessment Estimator'!$F$11:$AA$226,'Pre-Assessment Estimator'!$O$2,FALSE)&gt;AB132,AB132,VLOOKUP(E132,'Pre-Assessment Estimator'!$F$11:$AA$226,'Pre-Assessment Estimator'!$O$2,FALSE))</f>
        <v>0</v>
      </c>
      <c r="AK132" s="151">
        <f>IF(VLOOKUP(E132,'Pre-Assessment Estimator'!$F$11:$AA$226,'Pre-Assessment Estimator'!$V$2,FALSE)&gt;AB132,AB132,VLOOKUP(E132,'Pre-Assessment Estimator'!$F$11:$AA$226,'Pre-Assessment Estimator'!$V$2,FALSE))</f>
        <v>0</v>
      </c>
      <c r="AM132" s="252"/>
      <c r="AN132" s="253"/>
      <c r="AO132" s="253"/>
      <c r="AP132" s="253"/>
      <c r="AQ132" s="254"/>
      <c r="AR132" s="123"/>
      <c r="AS132" s="252"/>
      <c r="AT132" s="253"/>
      <c r="AU132" s="253"/>
      <c r="AV132" s="253"/>
      <c r="AW132" s="254"/>
      <c r="AY132" s="144"/>
      <c r="AZ132" s="45"/>
      <c r="BA132" s="45"/>
      <c r="BB132" s="45"/>
      <c r="BC132" s="163"/>
      <c r="BD132" s="160">
        <f t="shared" si="325"/>
        <v>9</v>
      </c>
      <c r="BE132" s="45" t="str">
        <f t="shared" si="308"/>
        <v>N/A</v>
      </c>
      <c r="BF132" s="163"/>
      <c r="BG132" s="160">
        <f t="shared" si="309"/>
        <v>9</v>
      </c>
      <c r="BH132" s="45" t="str">
        <f t="shared" si="310"/>
        <v>N/A</v>
      </c>
      <c r="BI132" s="163"/>
      <c r="BJ132" s="160">
        <f t="shared" si="326"/>
        <v>9</v>
      </c>
      <c r="BK132" s="45" t="str">
        <f t="shared" si="311"/>
        <v>N/A</v>
      </c>
      <c r="BL132" s="163"/>
      <c r="BO132" s="43"/>
      <c r="BP132" s="43"/>
      <c r="BQ132" s="43" t="str">
        <f t="shared" si="157"/>
        <v/>
      </c>
      <c r="BR132" s="43">
        <f t="shared" si="198"/>
        <v>9</v>
      </c>
      <c r="BS132" s="43">
        <f t="shared" si="199"/>
        <v>9</v>
      </c>
      <c r="BT132" s="43">
        <f t="shared" si="200"/>
        <v>9</v>
      </c>
      <c r="BW132" s="45"/>
      <c r="BX132" s="45"/>
      <c r="BY132" s="45"/>
      <c r="BZ132" s="45"/>
      <c r="CA132" s="45"/>
      <c r="CB132" s="45"/>
    </row>
    <row r="133" spans="1:85" x14ac:dyDescent="0.25">
      <c r="A133">
        <v>125</v>
      </c>
      <c r="B133" t="str">
        <f t="shared" si="327"/>
        <v>Mat 02c</v>
      </c>
      <c r="C133" t="str">
        <f t="shared" si="159"/>
        <v>Mat 02</v>
      </c>
      <c r="D133" s="146" t="s">
        <v>696</v>
      </c>
      <c r="E133" s="930" t="s">
        <v>650</v>
      </c>
      <c r="F133" s="668">
        <v>2</v>
      </c>
      <c r="G133" s="668">
        <v>2</v>
      </c>
      <c r="H133" s="668">
        <v>2</v>
      </c>
      <c r="I133" s="668">
        <v>2</v>
      </c>
      <c r="J133" s="668">
        <v>2</v>
      </c>
      <c r="K133" s="668">
        <v>2</v>
      </c>
      <c r="L133" s="668">
        <v>2</v>
      </c>
      <c r="M133" s="668">
        <v>2</v>
      </c>
      <c r="N133" s="668">
        <v>2</v>
      </c>
      <c r="O133" s="668">
        <v>2</v>
      </c>
      <c r="P133" s="668">
        <v>2</v>
      </c>
      <c r="Q133" s="668">
        <v>2</v>
      </c>
      <c r="R133" s="668">
        <v>2</v>
      </c>
      <c r="T133" s="148">
        <f t="shared" si="298"/>
        <v>2</v>
      </c>
      <c r="U133" s="146"/>
      <c r="V133" s="43"/>
      <c r="W133" s="43"/>
      <c r="X133" s="43"/>
      <c r="Y133" s="147"/>
      <c r="Z133" s="147">
        <f>VLOOKUP(B133,'Manuell filtrering og justering'!$A$7:$H$253,'Manuell filtrering og justering'!$H$1,FALSE)</f>
        <v>2</v>
      </c>
      <c r="AA133" s="148">
        <f t="shared" si="300"/>
        <v>0</v>
      </c>
      <c r="AB133" s="149">
        <f>IF($AC$5='Manuell filtrering og justering'!$J$2,Z133,(T133-AA133))</f>
        <v>2</v>
      </c>
      <c r="AD133" s="150">
        <f t="shared" si="301"/>
        <v>1.6190476190476193E-2</v>
      </c>
      <c r="AE133" s="150">
        <f t="shared" si="312"/>
        <v>0</v>
      </c>
      <c r="AF133" s="150">
        <f t="shared" si="313"/>
        <v>0</v>
      </c>
      <c r="AG133" s="150">
        <f t="shared" si="314"/>
        <v>0</v>
      </c>
      <c r="AI133" s="151">
        <f>IF(VLOOKUP(E133,'Pre-Assessment Estimator'!$F$11:$AA$226,'Pre-Assessment Estimator'!$H$2,FALSE)&gt;AB133,AB133,VLOOKUP(E133,'Pre-Assessment Estimator'!$F$11:$AA$226,'Pre-Assessment Estimator'!$H$2,FALSE))</f>
        <v>0</v>
      </c>
      <c r="AJ133" s="151">
        <f>IF(VLOOKUP(E133,'Pre-Assessment Estimator'!$F$11:$AA$226,'Pre-Assessment Estimator'!$O$2,FALSE)&gt;AB133,AB133,VLOOKUP(E133,'Pre-Assessment Estimator'!$F$11:$AA$226,'Pre-Assessment Estimator'!$O$2,FALSE))</f>
        <v>0</v>
      </c>
      <c r="AK133" s="151">
        <f>IF(VLOOKUP(E133,'Pre-Assessment Estimator'!$F$11:$AA$226,'Pre-Assessment Estimator'!$V$2,FALSE)&gt;AB133,AB133,VLOOKUP(E133,'Pre-Assessment Estimator'!$F$11:$AA$226,'Pre-Assessment Estimator'!$V$2,FALSE))</f>
        <v>0</v>
      </c>
      <c r="AM133" s="252"/>
      <c r="AN133" s="253"/>
      <c r="AO133" s="253"/>
      <c r="AP133" s="253"/>
      <c r="AQ133" s="254"/>
      <c r="AR133" s="123"/>
      <c r="AS133" s="252"/>
      <c r="AT133" s="253"/>
      <c r="AU133" s="253"/>
      <c r="AV133" s="253"/>
      <c r="AW133" s="254"/>
      <c r="AY133" s="144"/>
      <c r="AZ133" s="45"/>
      <c r="BA133" s="45"/>
      <c r="BB133" s="45"/>
      <c r="BC133" s="163"/>
      <c r="BD133" s="160">
        <f t="shared" si="325"/>
        <v>9</v>
      </c>
      <c r="BE133" s="45" t="str">
        <f t="shared" si="308"/>
        <v>N/A</v>
      </c>
      <c r="BF133" s="163"/>
      <c r="BG133" s="160">
        <f t="shared" si="309"/>
        <v>9</v>
      </c>
      <c r="BH133" s="45" t="str">
        <f t="shared" si="310"/>
        <v>N/A</v>
      </c>
      <c r="BI133" s="163"/>
      <c r="BJ133" s="160">
        <f t="shared" si="326"/>
        <v>9</v>
      </c>
      <c r="BK133" s="45" t="str">
        <f t="shared" si="311"/>
        <v>N/A</v>
      </c>
      <c r="BL133" s="163"/>
      <c r="BO133" s="43"/>
      <c r="BP133" s="43"/>
      <c r="BQ133" s="43" t="str">
        <f t="shared" si="157"/>
        <v/>
      </c>
      <c r="BR133" s="43">
        <f t="shared" si="198"/>
        <v>9</v>
      </c>
      <c r="BS133" s="43">
        <f t="shared" si="199"/>
        <v>9</v>
      </c>
      <c r="BT133" s="43">
        <f t="shared" si="200"/>
        <v>9</v>
      </c>
      <c r="BW133" s="45"/>
      <c r="BX133" s="45"/>
      <c r="BY133" s="45"/>
      <c r="BZ133" s="45"/>
      <c r="CA133" s="45"/>
      <c r="CB133" s="45"/>
    </row>
    <row r="134" spans="1:85" x14ac:dyDescent="0.25">
      <c r="A134">
        <v>126</v>
      </c>
      <c r="B134" s="121" t="str">
        <f>D134</f>
        <v>Mat 03</v>
      </c>
      <c r="C134" s="121" t="str">
        <f>B134</f>
        <v>Mat 03</v>
      </c>
      <c r="D134" s="727" t="s">
        <v>173</v>
      </c>
      <c r="E134" s="725" t="s">
        <v>464</v>
      </c>
      <c r="F134" s="811">
        <f>SUM(F135:F137)</f>
        <v>3</v>
      </c>
      <c r="G134" s="811">
        <f t="shared" ref="G134:R134" si="328">SUM(G135:G137)</f>
        <v>3</v>
      </c>
      <c r="H134" s="811">
        <f t="shared" si="328"/>
        <v>3</v>
      </c>
      <c r="I134" s="811">
        <f t="shared" si="328"/>
        <v>3</v>
      </c>
      <c r="J134" s="811">
        <f t="shared" si="328"/>
        <v>3</v>
      </c>
      <c r="K134" s="811">
        <f t="shared" si="328"/>
        <v>3</v>
      </c>
      <c r="L134" s="811">
        <f t="shared" si="328"/>
        <v>3</v>
      </c>
      <c r="M134" s="811">
        <f t="shared" si="328"/>
        <v>3</v>
      </c>
      <c r="N134" s="811">
        <f t="shared" si="328"/>
        <v>3</v>
      </c>
      <c r="O134" s="811">
        <f t="shared" si="328"/>
        <v>3</v>
      </c>
      <c r="P134" s="811">
        <f t="shared" si="328"/>
        <v>3</v>
      </c>
      <c r="Q134" s="811">
        <f t="shared" ref="Q134" si="329">SUM(Q135:Q137)</f>
        <v>3</v>
      </c>
      <c r="R134" s="811">
        <f t="shared" si="328"/>
        <v>3</v>
      </c>
      <c r="S134" s="579"/>
      <c r="T134" s="831">
        <f t="shared" si="298"/>
        <v>3</v>
      </c>
      <c r="U134" s="191"/>
      <c r="V134" s="61"/>
      <c r="W134" s="61"/>
      <c r="X134" s="61">
        <f>'Manuell filtrering og justering'!E61</f>
        <v>0</v>
      </c>
      <c r="Y134" s="61"/>
      <c r="Z134" s="826">
        <f t="shared" ref="Z134" si="330">SUM(Z135:Z137)</f>
        <v>3</v>
      </c>
      <c r="AA134" s="831">
        <f t="shared" si="300"/>
        <v>0</v>
      </c>
      <c r="AB134" s="883">
        <f>SUM(AB135:AB137)</f>
        <v>3</v>
      </c>
      <c r="AD134" s="150">
        <f t="shared" si="301"/>
        <v>2.4285714285714289E-2</v>
      </c>
      <c r="AE134" s="799">
        <f>SUM(AE135:AE137)</f>
        <v>0</v>
      </c>
      <c r="AF134" s="799">
        <f t="shared" ref="AF134" si="331">SUM(AF135:AF137)</f>
        <v>0</v>
      </c>
      <c r="AG134" s="799">
        <f t="shared" ref="AG134" si="332">SUM(AG135:AG137)</f>
        <v>0</v>
      </c>
      <c r="AI134" s="826">
        <f t="shared" ref="AI134" si="333">SUM(AI135:AI137)</f>
        <v>0</v>
      </c>
      <c r="AJ134" s="826">
        <f t="shared" ref="AJ134" si="334">SUM(AJ135:AJ137)</f>
        <v>0</v>
      </c>
      <c r="AK134" s="826">
        <f t="shared" ref="AK134" si="335">SUM(AK135:AK137)</f>
        <v>0</v>
      </c>
      <c r="AM134" s="252"/>
      <c r="AN134" s="253"/>
      <c r="AO134" s="253"/>
      <c r="AP134" s="253"/>
      <c r="AQ134" s="254"/>
      <c r="AR134" s="123"/>
      <c r="AS134" s="252"/>
      <c r="AT134" s="253"/>
      <c r="AU134" s="253"/>
      <c r="AV134" s="253"/>
      <c r="AW134" s="254"/>
      <c r="AY134" s="146"/>
      <c r="AZ134" s="43"/>
      <c r="BA134" s="43"/>
      <c r="BB134" s="43"/>
      <c r="BC134" s="163"/>
      <c r="BD134" s="160">
        <f t="shared" ref="BD134:BD147" si="336">IF(BC134=0,9,IF(AI134&gt;=BC134,5,IF(AI134&gt;=BB134,4,IF(AI134&gt;=BA134,3,IF(AI134&gt;=AZ134,2,IF(AI134&lt;AY134,0,1))))))</f>
        <v>9</v>
      </c>
      <c r="BE134" s="45" t="str">
        <f t="shared" si="308"/>
        <v>N/A</v>
      </c>
      <c r="BF134" s="163"/>
      <c r="BG134" s="160">
        <f t="shared" ref="BG134:BG147" si="337">IF(BC134=0,9,IF(AJ134&gt;=BC134,5,IF(AJ134&gt;=BB134,4,IF(AJ134&gt;=BA134,3,IF(AJ134&gt;=AZ134,2,IF(AJ134&lt;AY134,0,1))))))</f>
        <v>9</v>
      </c>
      <c r="BH134" s="45" t="str">
        <f t="shared" si="310"/>
        <v>N/A</v>
      </c>
      <c r="BI134" s="163"/>
      <c r="BJ134" s="160">
        <f t="shared" ref="BJ134:BJ147" si="338">IF(BC134=0,9,IF(AK134&gt;=BC134,5,IF(AK134&gt;=BB134,4,IF(AK134&gt;=BA134,3,IF(AK134&gt;=AZ134,2,IF(AK134&lt;AY134,0,1))))))</f>
        <v>9</v>
      </c>
      <c r="BK134" s="45" t="str">
        <f t="shared" si="311"/>
        <v>N/A</v>
      </c>
      <c r="BL134" s="163"/>
      <c r="BO134" s="43"/>
      <c r="BP134" s="43"/>
      <c r="BQ134" s="43" t="str">
        <f t="shared" si="157"/>
        <v/>
      </c>
      <c r="BR134" s="43">
        <f t="shared" si="198"/>
        <v>9</v>
      </c>
      <c r="BS134" s="43">
        <f t="shared" si="199"/>
        <v>9</v>
      </c>
      <c r="BT134" s="43">
        <f t="shared" si="200"/>
        <v>9</v>
      </c>
      <c r="BW134" s="43" t="str">
        <f>D134</f>
        <v>Mat 03</v>
      </c>
      <c r="BX134" s="43" t="str">
        <f>IFERROR(VLOOKUP($E134,'Pre-Assessment Estimator'!$F$11:$AC$226,'Pre-Assessment Estimator'!AC$2,FALSE),"")</f>
        <v>N/A</v>
      </c>
      <c r="BY134" s="43">
        <f>IFERROR(VLOOKUP($E134,'Pre-Assessment Estimator'!$F$11:$AJ$226,'Pre-Assessment Estimator'!AJ$2,FALSE),"")</f>
        <v>0</v>
      </c>
      <c r="BZ134" s="43">
        <f>IFERROR(VLOOKUP($BX134,$E$293:$H$326,F$291,FALSE),"")</f>
        <v>1</v>
      </c>
      <c r="CA134" s="43">
        <f>IFERROR(VLOOKUP($BX134,$E$293:$H$326,G$291,FALSE),"")</f>
        <v>0</v>
      </c>
      <c r="CB134" s="43"/>
      <c r="CC134" t="s">
        <v>429</v>
      </c>
    </row>
    <row r="135" spans="1:85" x14ac:dyDescent="0.25">
      <c r="A135">
        <v>127</v>
      </c>
      <c r="C135" t="str">
        <f t="shared" si="159"/>
        <v>Mat 03</v>
      </c>
      <c r="D135" s="146" t="s">
        <v>692</v>
      </c>
      <c r="E135" s="817" t="s">
        <v>981</v>
      </c>
      <c r="F135" s="668"/>
      <c r="G135" s="668"/>
      <c r="H135" s="668"/>
      <c r="I135" s="668"/>
      <c r="J135" s="668"/>
      <c r="K135" s="668"/>
      <c r="L135" s="668"/>
      <c r="M135" s="668"/>
      <c r="N135" s="668"/>
      <c r="O135" s="668"/>
      <c r="P135" s="668"/>
      <c r="Q135" s="668"/>
      <c r="R135" s="668"/>
      <c r="S135" s="579"/>
      <c r="T135" s="148">
        <f t="shared" si="298"/>
        <v>0</v>
      </c>
      <c r="U135" s="146"/>
      <c r="V135" s="43"/>
      <c r="W135" s="43"/>
      <c r="X135" s="43"/>
      <c r="Y135" s="147"/>
      <c r="Z135" s="147"/>
      <c r="AA135" s="148">
        <f t="shared" si="300"/>
        <v>0</v>
      </c>
      <c r="AB135" s="149">
        <f>IF($AC$5='Manuell filtrering og justering'!$J$2,Z135,(T135-AA135))</f>
        <v>0</v>
      </c>
      <c r="AD135" s="150">
        <f t="shared" si="301"/>
        <v>0</v>
      </c>
      <c r="AE135" s="150">
        <f t="shared" si="312"/>
        <v>0</v>
      </c>
      <c r="AF135" s="150">
        <f t="shared" si="313"/>
        <v>0</v>
      </c>
      <c r="AG135" s="150">
        <f t="shared" si="314"/>
        <v>0</v>
      </c>
      <c r="AI135" s="151">
        <f>IF(VLOOKUP(E135,'Pre-Assessment Estimator'!$F$11:$AA$226,'Pre-Assessment Estimator'!$H$2,FALSE)&gt;AB135,AB135,VLOOKUP(E135,'Pre-Assessment Estimator'!$F$11:$AA$226,'Pre-Assessment Estimator'!$H$2,FALSE))</f>
        <v>0</v>
      </c>
      <c r="AJ135" s="151">
        <f>IF(VLOOKUP(E135,'Pre-Assessment Estimator'!$F$11:$AA$226,'Pre-Assessment Estimator'!$O$2,FALSE)&gt;AB135,AB135,VLOOKUP(E135,'Pre-Assessment Estimator'!$F$11:$AA$226,'Pre-Assessment Estimator'!$O$2,FALSE))</f>
        <v>0</v>
      </c>
      <c r="AK135" s="151">
        <f>IF(VLOOKUP(E135,'Pre-Assessment Estimator'!$F$11:$AA$226,'Pre-Assessment Estimator'!$V$2,FALSE)&gt;AB135,AB135,VLOOKUP(E135,'Pre-Assessment Estimator'!$F$11:$AA$226,'Pre-Assessment Estimator'!$V$2,FALSE))</f>
        <v>0</v>
      </c>
      <c r="AM135" s="252"/>
      <c r="AN135" s="253"/>
      <c r="AO135" s="253"/>
      <c r="AP135" s="253"/>
      <c r="AQ135" s="254"/>
      <c r="AR135" s="123"/>
      <c r="AS135" s="252"/>
      <c r="AT135" s="253"/>
      <c r="AU135" s="253"/>
      <c r="AV135" s="253"/>
      <c r="AW135" s="254"/>
      <c r="AY135" s="146"/>
      <c r="AZ135" s="43"/>
      <c r="BA135" s="43"/>
      <c r="BB135" s="43"/>
      <c r="BC135" s="163"/>
      <c r="BD135" s="160">
        <f t="shared" si="336"/>
        <v>9</v>
      </c>
      <c r="BE135" s="45" t="str">
        <f t="shared" si="308"/>
        <v>N/A</v>
      </c>
      <c r="BF135" s="163"/>
      <c r="BG135" s="160">
        <f t="shared" si="337"/>
        <v>9</v>
      </c>
      <c r="BH135" s="45" t="str">
        <f t="shared" si="310"/>
        <v>N/A</v>
      </c>
      <c r="BI135" s="163"/>
      <c r="BJ135" s="160">
        <f t="shared" si="338"/>
        <v>9</v>
      </c>
      <c r="BK135" s="45" t="str">
        <f t="shared" si="311"/>
        <v>N/A</v>
      </c>
      <c r="BL135" s="163"/>
      <c r="BO135" s="43"/>
      <c r="BP135" s="43"/>
      <c r="BQ135" s="43" t="str">
        <f t="shared" si="157"/>
        <v/>
      </c>
      <c r="BR135" s="43">
        <f t="shared" si="198"/>
        <v>9</v>
      </c>
      <c r="BS135" s="43">
        <f t="shared" si="199"/>
        <v>9</v>
      </c>
      <c r="BT135" s="43">
        <f t="shared" si="200"/>
        <v>9</v>
      </c>
      <c r="BW135" s="43"/>
      <c r="BX135" s="43"/>
      <c r="BY135" s="43"/>
      <c r="BZ135" s="43"/>
      <c r="CB135" s="43"/>
    </row>
    <row r="136" spans="1:85" x14ac:dyDescent="0.25">
      <c r="A136">
        <v>128</v>
      </c>
      <c r="B136" t="str">
        <f t="shared" ref="B136:B137" si="339">$D$134&amp;D136</f>
        <v>Mat 03b</v>
      </c>
      <c r="C136" t="str">
        <f t="shared" si="159"/>
        <v>Mat 03</v>
      </c>
      <c r="D136" s="146" t="s">
        <v>695</v>
      </c>
      <c r="E136" s="930" t="s">
        <v>652</v>
      </c>
      <c r="F136" s="668">
        <v>1</v>
      </c>
      <c r="G136" s="668">
        <v>1</v>
      </c>
      <c r="H136" s="668">
        <v>1</v>
      </c>
      <c r="I136" s="668">
        <v>1</v>
      </c>
      <c r="J136" s="668">
        <v>1</v>
      </c>
      <c r="K136" s="668">
        <v>1</v>
      </c>
      <c r="L136" s="668">
        <v>1</v>
      </c>
      <c r="M136" s="668">
        <v>1</v>
      </c>
      <c r="N136" s="668">
        <v>1</v>
      </c>
      <c r="O136" s="668">
        <v>1</v>
      </c>
      <c r="P136" s="668">
        <v>1</v>
      </c>
      <c r="Q136" s="668">
        <v>1</v>
      </c>
      <c r="R136" s="668">
        <v>1</v>
      </c>
      <c r="S136" s="579"/>
      <c r="T136" s="148">
        <f t="shared" si="298"/>
        <v>1</v>
      </c>
      <c r="U136" s="146"/>
      <c r="V136" s="43"/>
      <c r="W136" s="43"/>
      <c r="X136" s="43"/>
      <c r="Y136" s="147"/>
      <c r="Z136" s="147">
        <f>VLOOKUP(B136,'Manuell filtrering og justering'!$A$7:$H$253,'Manuell filtrering og justering'!$H$1,FALSE)</f>
        <v>1</v>
      </c>
      <c r="AA136" s="148">
        <f t="shared" si="300"/>
        <v>0</v>
      </c>
      <c r="AB136" s="149">
        <f>IF($AC$5='Manuell filtrering og justering'!$J$2,Z136,(T136-AA136))</f>
        <v>1</v>
      </c>
      <c r="AD136" s="150">
        <f t="shared" si="301"/>
        <v>8.0952380952380963E-3</v>
      </c>
      <c r="AE136" s="150">
        <f t="shared" si="312"/>
        <v>0</v>
      </c>
      <c r="AF136" s="150">
        <f t="shared" si="313"/>
        <v>0</v>
      </c>
      <c r="AG136" s="150">
        <f t="shared" si="314"/>
        <v>0</v>
      </c>
      <c r="AI136" s="151">
        <f>IF(VLOOKUP(E136,'Pre-Assessment Estimator'!$F$11:$AA$226,'Pre-Assessment Estimator'!$H$2,FALSE)&gt;AB136,AB136,VLOOKUP(E136,'Pre-Assessment Estimator'!$F$11:$AA$226,'Pre-Assessment Estimator'!$H$2,FALSE))</f>
        <v>0</v>
      </c>
      <c r="AJ136" s="151">
        <f>IF(VLOOKUP(E136,'Pre-Assessment Estimator'!$F$11:$AA$226,'Pre-Assessment Estimator'!$O$2,FALSE)&gt;AB136,AB136,VLOOKUP(E136,'Pre-Assessment Estimator'!$F$11:$AA$226,'Pre-Assessment Estimator'!$O$2,FALSE))</f>
        <v>0</v>
      </c>
      <c r="AK136" s="151">
        <f>IF(VLOOKUP(E136,'Pre-Assessment Estimator'!$F$11:$AA$226,'Pre-Assessment Estimator'!$V$2,FALSE)&gt;AB136,AB136,VLOOKUP(E136,'Pre-Assessment Estimator'!$F$11:$AA$226,'Pre-Assessment Estimator'!$V$2,FALSE))</f>
        <v>0</v>
      </c>
      <c r="AM136" s="252"/>
      <c r="AN136" s="253"/>
      <c r="AO136" s="253"/>
      <c r="AP136" s="253"/>
      <c r="AQ136" s="254"/>
      <c r="AR136" s="123"/>
      <c r="AS136" s="252"/>
      <c r="AT136" s="253"/>
      <c r="AU136" s="253"/>
      <c r="AV136" s="253"/>
      <c r="AW136" s="254"/>
      <c r="AY136" s="146"/>
      <c r="AZ136" s="43"/>
      <c r="BA136" s="43"/>
      <c r="BB136" s="43"/>
      <c r="BC136" s="163"/>
      <c r="BD136" s="160">
        <f t="shared" si="336"/>
        <v>9</v>
      </c>
      <c r="BE136" s="45" t="str">
        <f t="shared" si="308"/>
        <v>N/A</v>
      </c>
      <c r="BF136" s="163"/>
      <c r="BG136" s="160">
        <f t="shared" si="337"/>
        <v>9</v>
      </c>
      <c r="BH136" s="45" t="str">
        <f t="shared" si="310"/>
        <v>N/A</v>
      </c>
      <c r="BI136" s="163"/>
      <c r="BJ136" s="160">
        <f t="shared" si="338"/>
        <v>9</v>
      </c>
      <c r="BK136" s="45" t="str">
        <f t="shared" si="311"/>
        <v>N/A</v>
      </c>
      <c r="BL136" s="163"/>
      <c r="BO136" s="43"/>
      <c r="BP136" s="43"/>
      <c r="BQ136" s="43" t="str">
        <f t="shared" si="157"/>
        <v/>
      </c>
      <c r="BR136" s="43">
        <f t="shared" si="198"/>
        <v>9</v>
      </c>
      <c r="BS136" s="43">
        <f t="shared" si="199"/>
        <v>9</v>
      </c>
      <c r="BT136" s="43">
        <f t="shared" si="200"/>
        <v>9</v>
      </c>
      <c r="BW136" s="43"/>
      <c r="BX136" s="43"/>
      <c r="BY136" s="43"/>
      <c r="BZ136" s="43"/>
      <c r="CB136" s="43"/>
    </row>
    <row r="137" spans="1:85" x14ac:dyDescent="0.25">
      <c r="A137">
        <v>129</v>
      </c>
      <c r="B137" t="str">
        <f t="shared" si="339"/>
        <v>Mat 03c</v>
      </c>
      <c r="C137" t="str">
        <f t="shared" si="159"/>
        <v>Mat 03</v>
      </c>
      <c r="D137" s="146" t="s">
        <v>696</v>
      </c>
      <c r="E137" s="930" t="s">
        <v>653</v>
      </c>
      <c r="F137" s="668">
        <v>2</v>
      </c>
      <c r="G137" s="668">
        <v>2</v>
      </c>
      <c r="H137" s="668">
        <v>2</v>
      </c>
      <c r="I137" s="668">
        <v>2</v>
      </c>
      <c r="J137" s="668">
        <v>2</v>
      </c>
      <c r="K137" s="668">
        <v>2</v>
      </c>
      <c r="L137" s="668">
        <v>2</v>
      </c>
      <c r="M137" s="668">
        <v>2</v>
      </c>
      <c r="N137" s="668">
        <v>2</v>
      </c>
      <c r="O137" s="668">
        <v>2</v>
      </c>
      <c r="P137" s="668">
        <v>2</v>
      </c>
      <c r="Q137" s="668">
        <v>2</v>
      </c>
      <c r="R137" s="668">
        <v>2</v>
      </c>
      <c r="S137" s="579"/>
      <c r="T137" s="148">
        <f t="shared" si="298"/>
        <v>2</v>
      </c>
      <c r="U137" s="146"/>
      <c r="V137" s="43"/>
      <c r="W137" s="43"/>
      <c r="X137" s="43"/>
      <c r="Y137" s="147"/>
      <c r="Z137" s="147">
        <f>VLOOKUP(B137,'Manuell filtrering og justering'!$A$7:$H$253,'Manuell filtrering og justering'!$H$1,FALSE)</f>
        <v>2</v>
      </c>
      <c r="AA137" s="148">
        <f t="shared" si="300"/>
        <v>0</v>
      </c>
      <c r="AB137" s="149">
        <f>IF($AC$5='Manuell filtrering og justering'!$J$2,Z137,(T137-AA137))</f>
        <v>2</v>
      </c>
      <c r="AD137" s="150">
        <f t="shared" si="301"/>
        <v>1.6190476190476193E-2</v>
      </c>
      <c r="AE137" s="150">
        <f t="shared" si="312"/>
        <v>0</v>
      </c>
      <c r="AF137" s="150">
        <f t="shared" si="313"/>
        <v>0</v>
      </c>
      <c r="AG137" s="150">
        <f t="shared" si="314"/>
        <v>0</v>
      </c>
      <c r="AI137" s="151">
        <f>IF(VLOOKUP(E137,'Pre-Assessment Estimator'!$F$11:$AA$226,'Pre-Assessment Estimator'!$H$2,FALSE)&gt;AB137,AB137,VLOOKUP(E137,'Pre-Assessment Estimator'!$F$11:$AA$226,'Pre-Assessment Estimator'!$H$2,FALSE))</f>
        <v>0</v>
      </c>
      <c r="AJ137" s="151">
        <f>IF(VLOOKUP(E137,'Pre-Assessment Estimator'!$F$11:$AA$226,'Pre-Assessment Estimator'!$O$2,FALSE)&gt;AB137,AB137,VLOOKUP(E137,'Pre-Assessment Estimator'!$F$11:$AA$226,'Pre-Assessment Estimator'!$O$2,FALSE))</f>
        <v>0</v>
      </c>
      <c r="AK137" s="151">
        <f>IF(VLOOKUP(E137,'Pre-Assessment Estimator'!$F$11:$AA$226,'Pre-Assessment Estimator'!$V$2,FALSE)&gt;AB137,AB137,VLOOKUP(E137,'Pre-Assessment Estimator'!$F$11:$AA$226,'Pre-Assessment Estimator'!$V$2,FALSE))</f>
        <v>0</v>
      </c>
      <c r="AM137" s="252"/>
      <c r="AN137" s="253"/>
      <c r="AO137" s="253"/>
      <c r="AP137" s="253"/>
      <c r="AQ137" s="254"/>
      <c r="AR137" s="123"/>
      <c r="AS137" s="252"/>
      <c r="AT137" s="253"/>
      <c r="AU137" s="253"/>
      <c r="AV137" s="253"/>
      <c r="AW137" s="254"/>
      <c r="AY137" s="146"/>
      <c r="AZ137" s="43"/>
      <c r="BA137" s="43"/>
      <c r="BB137" s="43"/>
      <c r="BC137" s="163"/>
      <c r="BD137" s="160">
        <f t="shared" si="336"/>
        <v>9</v>
      </c>
      <c r="BE137" s="45" t="str">
        <f t="shared" si="308"/>
        <v>N/A</v>
      </c>
      <c r="BF137" s="163"/>
      <c r="BG137" s="160">
        <f t="shared" si="337"/>
        <v>9</v>
      </c>
      <c r="BH137" s="45" t="str">
        <f t="shared" si="310"/>
        <v>N/A</v>
      </c>
      <c r="BI137" s="163"/>
      <c r="BJ137" s="160">
        <f t="shared" si="338"/>
        <v>9</v>
      </c>
      <c r="BK137" s="45" t="str">
        <f t="shared" si="311"/>
        <v>N/A</v>
      </c>
      <c r="BL137" s="163"/>
      <c r="BO137" s="43"/>
      <c r="BP137" s="43"/>
      <c r="BQ137" s="43" t="str">
        <f t="shared" si="157"/>
        <v/>
      </c>
      <c r="BR137" s="43">
        <f t="shared" si="198"/>
        <v>9</v>
      </c>
      <c r="BS137" s="43">
        <f t="shared" si="199"/>
        <v>9</v>
      </c>
      <c r="BT137" s="43">
        <f t="shared" si="200"/>
        <v>9</v>
      </c>
      <c r="BW137" s="43"/>
      <c r="BX137" s="43"/>
      <c r="BY137" s="43"/>
      <c r="BZ137" s="43"/>
      <c r="CB137" s="43"/>
    </row>
    <row r="138" spans="1:85" x14ac:dyDescent="0.25">
      <c r="A138">
        <v>130</v>
      </c>
      <c r="B138" s="121" t="str">
        <f>D138</f>
        <v>Mat 05</v>
      </c>
      <c r="C138" s="121" t="str">
        <f>B138</f>
        <v>Mat 05</v>
      </c>
      <c r="D138" s="727" t="s">
        <v>174</v>
      </c>
      <c r="E138" s="725" t="s">
        <v>957</v>
      </c>
      <c r="F138" s="811">
        <f>SUM(F139:F143)</f>
        <v>4</v>
      </c>
      <c r="G138" s="811">
        <f t="shared" ref="G138:R138" si="340">SUM(G139:G143)</f>
        <v>4</v>
      </c>
      <c r="H138" s="811">
        <f t="shared" si="340"/>
        <v>4</v>
      </c>
      <c r="I138" s="811">
        <f t="shared" si="340"/>
        <v>4</v>
      </c>
      <c r="J138" s="811">
        <f t="shared" si="340"/>
        <v>4</v>
      </c>
      <c r="K138" s="811">
        <f t="shared" si="340"/>
        <v>4</v>
      </c>
      <c r="L138" s="811">
        <f t="shared" si="340"/>
        <v>4</v>
      </c>
      <c r="M138" s="811">
        <f t="shared" si="340"/>
        <v>4</v>
      </c>
      <c r="N138" s="811">
        <f t="shared" si="340"/>
        <v>4</v>
      </c>
      <c r="O138" s="811">
        <f t="shared" si="340"/>
        <v>4</v>
      </c>
      <c r="P138" s="811">
        <f t="shared" si="340"/>
        <v>4</v>
      </c>
      <c r="Q138" s="811">
        <f t="shared" ref="Q138" si="341">SUM(Q139:Q143)</f>
        <v>4</v>
      </c>
      <c r="R138" s="811">
        <f t="shared" si="340"/>
        <v>4</v>
      </c>
      <c r="S138" s="579"/>
      <c r="T138" s="831">
        <f t="shared" si="298"/>
        <v>4</v>
      </c>
      <c r="U138" s="191"/>
      <c r="V138" s="61"/>
      <c r="W138" s="61"/>
      <c r="X138" s="61">
        <f>'Manuell filtrering og justering'!E62</f>
        <v>0</v>
      </c>
      <c r="Y138" s="61"/>
      <c r="Z138" s="826">
        <f>SUM(Z139:Z143)</f>
        <v>4</v>
      </c>
      <c r="AA138" s="831">
        <f t="shared" si="300"/>
        <v>0</v>
      </c>
      <c r="AB138" s="883">
        <f>SUM(AB139:AB143)</f>
        <v>4</v>
      </c>
      <c r="AD138" s="150">
        <f t="shared" si="301"/>
        <v>3.2380952380952385E-2</v>
      </c>
      <c r="AE138" s="799">
        <f>SUM(AE139:AE143)</f>
        <v>0</v>
      </c>
      <c r="AF138" s="799">
        <f>SUM(AF139:AF143)</f>
        <v>0</v>
      </c>
      <c r="AG138" s="799">
        <f>SUM(AG139:AG143)</f>
        <v>0</v>
      </c>
      <c r="AI138" s="826">
        <f>SUM(AI139:AI143)</f>
        <v>0</v>
      </c>
      <c r="AJ138" s="826">
        <f>SUM(AJ139:AJ143)</f>
        <v>0</v>
      </c>
      <c r="AK138" s="826">
        <f>SUM(AK139:AK143)</f>
        <v>0</v>
      </c>
      <c r="AL138" t="s">
        <v>425</v>
      </c>
      <c r="AM138" s="252"/>
      <c r="AN138" s="253"/>
      <c r="AO138" s="253"/>
      <c r="AP138" s="253"/>
      <c r="AQ138" s="254"/>
      <c r="AR138" s="123"/>
      <c r="AS138" s="252"/>
      <c r="AT138" s="253"/>
      <c r="AU138" s="253"/>
      <c r="AV138" s="253"/>
      <c r="AW138" s="254"/>
      <c r="AY138" s="146"/>
      <c r="AZ138" s="43"/>
      <c r="BA138" s="43"/>
      <c r="BB138" s="43"/>
      <c r="BC138" s="163"/>
      <c r="BD138" s="160">
        <f t="shared" si="336"/>
        <v>9</v>
      </c>
      <c r="BE138" s="45" t="str">
        <f t="shared" si="308"/>
        <v>N/A</v>
      </c>
      <c r="BF138" s="163"/>
      <c r="BG138" s="160">
        <f t="shared" si="337"/>
        <v>9</v>
      </c>
      <c r="BH138" s="45" t="str">
        <f t="shared" si="310"/>
        <v>N/A</v>
      </c>
      <c r="BI138" s="163"/>
      <c r="BJ138" s="160">
        <f t="shared" si="338"/>
        <v>9</v>
      </c>
      <c r="BK138" s="45" t="str">
        <f t="shared" si="311"/>
        <v>N/A</v>
      </c>
      <c r="BL138" s="163"/>
      <c r="BO138" s="43"/>
      <c r="BP138" s="43"/>
      <c r="BQ138" s="43" t="str">
        <f t="shared" si="157"/>
        <v/>
      </c>
      <c r="BR138" s="43">
        <f t="shared" si="198"/>
        <v>9</v>
      </c>
      <c r="BS138" s="43">
        <f t="shared" si="199"/>
        <v>9</v>
      </c>
      <c r="BT138" s="43">
        <f t="shared" si="200"/>
        <v>9</v>
      </c>
      <c r="BW138" s="43" t="str">
        <f>D138</f>
        <v>Mat 05</v>
      </c>
      <c r="BX138" s="43" t="str">
        <f>IFERROR(VLOOKUP($E138,'Pre-Assessment Estimator'!$F$11:$AC$226,'Pre-Assessment Estimator'!AC$2,FALSE),"")</f>
        <v>No</v>
      </c>
      <c r="BY138" s="61" t="str">
        <f>IFERROR(VLOOKUP($E138,'Pre-Assessment Estimator'!$F$11:$AJ$226,'Pre-Assessment Estimator'!AJ$2,FALSE),"")</f>
        <v>Ja</v>
      </c>
      <c r="BZ138" s="43">
        <f>IFERROR(VLOOKUP($BX138,$E$293:$H$326,F$291,FALSE),"")</f>
        <v>1</v>
      </c>
      <c r="CA138" s="590" t="s">
        <v>430</v>
      </c>
      <c r="CB138" s="43"/>
      <c r="CC138" t="str">
        <f>IFERROR(VLOOKUP($BX138,$E$293:$H$326,I$291,FALSE),"")</f>
        <v/>
      </c>
      <c r="CD138" t="s">
        <v>436</v>
      </c>
      <c r="CE138" s="43">
        <f>VLOOKUP(CA138,$CA$4:$CB$5,2,FALSE)</f>
        <v>1</v>
      </c>
      <c r="CG138" s="62">
        <f>IF($BX$5=ais_nei,CE138,IF(AND(CA138=$CA$4,BX138=$CC$4),0,BZ138))</f>
        <v>1</v>
      </c>
    </row>
    <row r="139" spans="1:85" x14ac:dyDescent="0.25">
      <c r="A139">
        <v>131</v>
      </c>
      <c r="C139" t="str">
        <f t="shared" si="159"/>
        <v>Mat 05</v>
      </c>
      <c r="D139" s="146" t="s">
        <v>692</v>
      </c>
      <c r="E139" s="817" t="s">
        <v>654</v>
      </c>
      <c r="F139" s="668"/>
      <c r="G139" s="668"/>
      <c r="H139" s="668"/>
      <c r="I139" s="668"/>
      <c r="J139" s="668"/>
      <c r="K139" s="668"/>
      <c r="L139" s="668"/>
      <c r="M139" s="668"/>
      <c r="N139" s="668"/>
      <c r="O139" s="668"/>
      <c r="P139" s="668"/>
      <c r="Q139" s="668"/>
      <c r="R139" s="668"/>
      <c r="S139" s="579"/>
      <c r="T139" s="148">
        <f t="shared" si="298"/>
        <v>0</v>
      </c>
      <c r="U139" s="146"/>
      <c r="V139" s="43"/>
      <c r="W139" s="43"/>
      <c r="X139" s="43"/>
      <c r="Y139" s="147"/>
      <c r="Z139" s="147"/>
      <c r="AA139" s="148">
        <f t="shared" si="300"/>
        <v>0</v>
      </c>
      <c r="AB139" s="149">
        <f>IF($AC$5='Manuell filtrering og justering'!$J$2,Z139,(T139-AA139))</f>
        <v>0</v>
      </c>
      <c r="AD139" s="150">
        <f t="shared" si="301"/>
        <v>0</v>
      </c>
      <c r="AE139" s="150">
        <f t="shared" si="312"/>
        <v>0</v>
      </c>
      <c r="AF139" s="150">
        <f t="shared" si="313"/>
        <v>0</v>
      </c>
      <c r="AG139" s="150">
        <f t="shared" si="314"/>
        <v>0</v>
      </c>
      <c r="AI139" s="151">
        <f>IF(VLOOKUP(E139,'Pre-Assessment Estimator'!$F$11:$AA$226,'Pre-Assessment Estimator'!$H$2,FALSE)&gt;AB139,AB139,VLOOKUP(E139,'Pre-Assessment Estimator'!$F$11:$AA$226,'Pre-Assessment Estimator'!$H$2,FALSE))</f>
        <v>0</v>
      </c>
      <c r="AJ139" s="151">
        <f>IF(VLOOKUP(E139,'Pre-Assessment Estimator'!$F$11:$AA$226,'Pre-Assessment Estimator'!$O$2,FALSE)&gt;AB139,AB139,VLOOKUP(E139,'Pre-Assessment Estimator'!$F$11:$AA$226,'Pre-Assessment Estimator'!$O$2,FALSE))</f>
        <v>0</v>
      </c>
      <c r="AK139" s="151">
        <f>IF(VLOOKUP(E139,'Pre-Assessment Estimator'!$F$11:$AA$226,'Pre-Assessment Estimator'!$V$2,FALSE)&gt;AB139,AB139,VLOOKUP(E139,'Pre-Assessment Estimator'!$F$11:$AA$226,'Pre-Assessment Estimator'!$V$2,FALSE))</f>
        <v>0</v>
      </c>
      <c r="AM139" s="252"/>
      <c r="AN139" s="253"/>
      <c r="AO139" s="253"/>
      <c r="AP139" s="253"/>
      <c r="AQ139" s="254"/>
      <c r="AR139" s="123"/>
      <c r="AS139" s="252"/>
      <c r="AT139" s="253"/>
      <c r="AU139" s="253"/>
      <c r="AV139" s="253"/>
      <c r="AW139" s="254"/>
      <c r="AY139" s="146"/>
      <c r="AZ139" s="43"/>
      <c r="BA139" s="43"/>
      <c r="BB139" s="43"/>
      <c r="BC139" s="163"/>
      <c r="BD139" s="160">
        <f t="shared" si="336"/>
        <v>9</v>
      </c>
      <c r="BE139" s="45" t="str">
        <f t="shared" si="308"/>
        <v>N/A</v>
      </c>
      <c r="BF139" s="163"/>
      <c r="BG139" s="160">
        <f t="shared" si="337"/>
        <v>9</v>
      </c>
      <c r="BH139" s="45" t="str">
        <f t="shared" si="310"/>
        <v>N/A</v>
      </c>
      <c r="BI139" s="163"/>
      <c r="BJ139" s="160">
        <f t="shared" si="338"/>
        <v>9</v>
      </c>
      <c r="BK139" s="45" t="str">
        <f t="shared" si="311"/>
        <v>N/A</v>
      </c>
      <c r="BL139" s="163"/>
      <c r="BO139" s="43"/>
      <c r="BP139" s="43"/>
      <c r="BQ139" s="43" t="str">
        <f t="shared" ref="BQ139:BQ202" si="342">IF(BO139&lt;&gt;"",BO139,IF(BP139&lt;&gt;"",BP139,""))</f>
        <v/>
      </c>
      <c r="BR139" s="43">
        <f t="shared" si="198"/>
        <v>9</v>
      </c>
      <c r="BS139" s="43">
        <f t="shared" si="199"/>
        <v>9</v>
      </c>
      <c r="BT139" s="43">
        <f t="shared" si="200"/>
        <v>9</v>
      </c>
      <c r="BW139" s="43"/>
      <c r="BX139" s="43"/>
      <c r="BY139" s="61"/>
      <c r="BZ139" s="43"/>
      <c r="CA139" s="590"/>
      <c r="CB139" s="43"/>
      <c r="CG139" s="62"/>
    </row>
    <row r="140" spans="1:85" x14ac:dyDescent="0.25">
      <c r="A140">
        <v>132</v>
      </c>
      <c r="B140" t="str">
        <f t="shared" ref="B140:B143" si="343">$D$138&amp;D140</f>
        <v>Mat 05b</v>
      </c>
      <c r="C140" t="str">
        <f t="shared" ref="C140:C203" si="344">C139</f>
        <v>Mat 05</v>
      </c>
      <c r="D140" s="146" t="s">
        <v>695</v>
      </c>
      <c r="E140" s="930" t="s">
        <v>655</v>
      </c>
      <c r="F140" s="668">
        <v>1</v>
      </c>
      <c r="G140" s="668">
        <v>1</v>
      </c>
      <c r="H140" s="668">
        <v>1</v>
      </c>
      <c r="I140" s="668">
        <v>1</v>
      </c>
      <c r="J140" s="668">
        <v>1</v>
      </c>
      <c r="K140" s="668">
        <v>1</v>
      </c>
      <c r="L140" s="668">
        <v>1</v>
      </c>
      <c r="M140" s="668">
        <v>1</v>
      </c>
      <c r="N140" s="668">
        <v>1</v>
      </c>
      <c r="O140" s="668">
        <v>1</v>
      </c>
      <c r="P140" s="668">
        <v>1</v>
      </c>
      <c r="Q140" s="668">
        <v>1</v>
      </c>
      <c r="R140" s="668">
        <v>1</v>
      </c>
      <c r="S140" s="579"/>
      <c r="T140" s="148">
        <f t="shared" si="298"/>
        <v>1</v>
      </c>
      <c r="U140" s="146"/>
      <c r="V140" s="43"/>
      <c r="W140" s="43"/>
      <c r="X140" s="43"/>
      <c r="Y140" s="147"/>
      <c r="Z140" s="147">
        <f>VLOOKUP(B140,'Manuell filtrering og justering'!$A$7:$H$253,'Manuell filtrering og justering'!$H$1,FALSE)</f>
        <v>1</v>
      </c>
      <c r="AA140" s="148">
        <f t="shared" si="300"/>
        <v>0</v>
      </c>
      <c r="AB140" s="149">
        <f>IF($AC$5='Manuell filtrering og justering'!$J$2,Z140,(T140-AA140))</f>
        <v>1</v>
      </c>
      <c r="AD140" s="150">
        <f t="shared" si="301"/>
        <v>8.0952380952380963E-3</v>
      </c>
      <c r="AE140" s="150">
        <f t="shared" si="312"/>
        <v>0</v>
      </c>
      <c r="AF140" s="150">
        <f t="shared" si="313"/>
        <v>0</v>
      </c>
      <c r="AG140" s="150">
        <f t="shared" si="314"/>
        <v>0</v>
      </c>
      <c r="AI140" s="884">
        <f>IF(AI241=AD_no,0,IF(VLOOKUP(E140,'Pre-Assessment Estimator'!$F$11:$AA$226,'Pre-Assessment Estimator'!$H$2,FALSE)&gt;AB140,AB140,VLOOKUP(E140,'Pre-Assessment Estimator'!$F$11:$AA$226,'Pre-Assessment Estimator'!$H$2,FALSE)))</f>
        <v>0</v>
      </c>
      <c r="AJ140" s="884">
        <f>IF(AJ241=AD_no,0,IF(VLOOKUP(E140,'Pre-Assessment Estimator'!$F$11:$AA$226,'Pre-Assessment Estimator'!$O$2,FALSE)&gt;AB140,AB140,VLOOKUP(E140,'Pre-Assessment Estimator'!$F$11:$AA$226,'Pre-Assessment Estimator'!$O$2,FALSE)))</f>
        <v>0</v>
      </c>
      <c r="AK140" s="884">
        <f>IF(AK241=AD_no,0,IF(VLOOKUP(E140,'Pre-Assessment Estimator'!$F$11:$AA$226,'Pre-Assessment Estimator'!$V$2,FALSE)&gt;AB140,AB140,VLOOKUP(E140,'Pre-Assessment Estimator'!$F$11:$AA$226,'Pre-Assessment Estimator'!$V$2,FALSE)))</f>
        <v>0</v>
      </c>
      <c r="AM140" s="252"/>
      <c r="AN140" s="253"/>
      <c r="AO140" s="253"/>
      <c r="AP140" s="253"/>
      <c r="AQ140" s="254"/>
      <c r="AR140" s="123"/>
      <c r="AS140" s="252"/>
      <c r="AT140" s="253"/>
      <c r="AU140" s="253"/>
      <c r="AV140" s="253"/>
      <c r="AW140" s="254"/>
      <c r="AY140" s="146"/>
      <c r="AZ140" s="43"/>
      <c r="BA140" s="43"/>
      <c r="BB140" s="43"/>
      <c r="BC140" s="163"/>
      <c r="BD140" s="160">
        <f t="shared" si="336"/>
        <v>9</v>
      </c>
      <c r="BE140" s="45" t="str">
        <f t="shared" si="308"/>
        <v>N/A</v>
      </c>
      <c r="BF140" s="163"/>
      <c r="BG140" s="160">
        <f t="shared" si="337"/>
        <v>9</v>
      </c>
      <c r="BH140" s="45" t="str">
        <f t="shared" si="310"/>
        <v>N/A</v>
      </c>
      <c r="BI140" s="163"/>
      <c r="BJ140" s="160">
        <f t="shared" si="338"/>
        <v>9</v>
      </c>
      <c r="BK140" s="45" t="str">
        <f t="shared" si="311"/>
        <v>N/A</v>
      </c>
      <c r="BL140" s="163"/>
      <c r="BO140" s="43"/>
      <c r="BP140" s="43"/>
      <c r="BQ140" s="43" t="str">
        <f t="shared" si="342"/>
        <v/>
      </c>
      <c r="BR140" s="43">
        <f t="shared" si="198"/>
        <v>9</v>
      </c>
      <c r="BS140" s="43">
        <f t="shared" si="199"/>
        <v>9</v>
      </c>
      <c r="BT140" s="43">
        <f t="shared" si="200"/>
        <v>9</v>
      </c>
      <c r="BW140" s="43"/>
      <c r="BX140" s="43"/>
      <c r="BY140" s="61"/>
      <c r="BZ140" s="43"/>
      <c r="CA140" s="590"/>
      <c r="CB140" s="43"/>
      <c r="CG140" s="62"/>
    </row>
    <row r="141" spans="1:85" x14ac:dyDescent="0.25">
      <c r="A141">
        <v>133</v>
      </c>
      <c r="B141" t="str">
        <f t="shared" si="343"/>
        <v>Mat 05c</v>
      </c>
      <c r="C141" t="str">
        <f t="shared" si="344"/>
        <v>Mat 05</v>
      </c>
      <c r="D141" s="146" t="s">
        <v>696</v>
      </c>
      <c r="E141" s="930" t="s">
        <v>656</v>
      </c>
      <c r="F141" s="668">
        <v>1</v>
      </c>
      <c r="G141" s="668">
        <v>1</v>
      </c>
      <c r="H141" s="668">
        <v>1</v>
      </c>
      <c r="I141" s="668">
        <v>1</v>
      </c>
      <c r="J141" s="668">
        <v>1</v>
      </c>
      <c r="K141" s="668">
        <v>1</v>
      </c>
      <c r="L141" s="668">
        <v>1</v>
      </c>
      <c r="M141" s="668">
        <v>1</v>
      </c>
      <c r="N141" s="668">
        <v>1</v>
      </c>
      <c r="O141" s="668">
        <v>1</v>
      </c>
      <c r="P141" s="668">
        <v>1</v>
      </c>
      <c r="Q141" s="668">
        <v>1</v>
      </c>
      <c r="R141" s="668">
        <v>1</v>
      </c>
      <c r="S141" s="579"/>
      <c r="T141" s="148">
        <f t="shared" si="298"/>
        <v>1</v>
      </c>
      <c r="U141" s="146"/>
      <c r="V141" s="43"/>
      <c r="W141" s="43"/>
      <c r="X141" s="43"/>
      <c r="Y141" s="147"/>
      <c r="Z141" s="147">
        <f>VLOOKUP(B141,'Manuell filtrering og justering'!$A$7:$H$253,'Manuell filtrering og justering'!$H$1,FALSE)</f>
        <v>1</v>
      </c>
      <c r="AA141" s="148">
        <f t="shared" si="300"/>
        <v>0</v>
      </c>
      <c r="AB141" s="149">
        <f>IF($AC$5='Manuell filtrering og justering'!$J$2,Z141,(T141-AA141))</f>
        <v>1</v>
      </c>
      <c r="AD141" s="150">
        <f t="shared" si="301"/>
        <v>8.0952380952380963E-3</v>
      </c>
      <c r="AE141" s="150">
        <f t="shared" si="312"/>
        <v>0</v>
      </c>
      <c r="AF141" s="150">
        <f t="shared" si="313"/>
        <v>0</v>
      </c>
      <c r="AG141" s="150">
        <f t="shared" si="314"/>
        <v>0</v>
      </c>
      <c r="AI141" s="884">
        <f>IF(AI241=AD_no,0,IF(VLOOKUP(E141,'Pre-Assessment Estimator'!$F$11:$AA$226,'Pre-Assessment Estimator'!$H$2,FALSE)&gt;AB141,AB141,VLOOKUP(E141,'Pre-Assessment Estimator'!$F$11:$AA$226,'Pre-Assessment Estimator'!$H$2,FALSE)))</f>
        <v>0</v>
      </c>
      <c r="AJ141" s="884">
        <f>IF(AJ241=AD_no,0,IF(VLOOKUP(E141,'Pre-Assessment Estimator'!$F$11:$AA$226,'Pre-Assessment Estimator'!$O$2,FALSE)&gt;AB141,AB141,VLOOKUP(E141,'Pre-Assessment Estimator'!$F$11:$AA$226,'Pre-Assessment Estimator'!$O$2,FALSE)))</f>
        <v>0</v>
      </c>
      <c r="AK141" s="884">
        <f>IF(AK241=AD_no,0,IF(VLOOKUP(E141,'Pre-Assessment Estimator'!$F$11:$AA$226,'Pre-Assessment Estimator'!$V$2,FALSE)&gt;AB141,AB141,VLOOKUP(E141,'Pre-Assessment Estimator'!$F$11:$AA$226,'Pre-Assessment Estimator'!$V$2,FALSE)))</f>
        <v>0</v>
      </c>
      <c r="AM141" s="252"/>
      <c r="AN141" s="253"/>
      <c r="AO141" s="253"/>
      <c r="AP141" s="253"/>
      <c r="AQ141" s="254"/>
      <c r="AR141" s="123"/>
      <c r="AS141" s="252"/>
      <c r="AT141" s="253"/>
      <c r="AU141" s="253"/>
      <c r="AV141" s="253"/>
      <c r="AW141" s="254"/>
      <c r="AY141" s="146"/>
      <c r="AZ141" s="43"/>
      <c r="BA141" s="43"/>
      <c r="BB141" s="43"/>
      <c r="BC141" s="163"/>
      <c r="BD141" s="160">
        <f t="shared" si="336"/>
        <v>9</v>
      </c>
      <c r="BE141" s="45" t="str">
        <f t="shared" si="308"/>
        <v>N/A</v>
      </c>
      <c r="BF141" s="163"/>
      <c r="BG141" s="160">
        <f t="shared" si="337"/>
        <v>9</v>
      </c>
      <c r="BH141" s="45" t="str">
        <f t="shared" si="310"/>
        <v>N/A</v>
      </c>
      <c r="BI141" s="163"/>
      <c r="BJ141" s="160">
        <f t="shared" si="338"/>
        <v>9</v>
      </c>
      <c r="BK141" s="45" t="str">
        <f t="shared" si="311"/>
        <v>N/A</v>
      </c>
      <c r="BL141" s="163"/>
      <c r="BO141" s="43"/>
      <c r="BP141" s="43"/>
      <c r="BQ141" s="43" t="str">
        <f t="shared" si="342"/>
        <v/>
      </c>
      <c r="BR141" s="43">
        <f t="shared" si="198"/>
        <v>9</v>
      </c>
      <c r="BS141" s="43">
        <f t="shared" si="199"/>
        <v>9</v>
      </c>
      <c r="BT141" s="43">
        <f t="shared" si="200"/>
        <v>9</v>
      </c>
      <c r="BW141" s="43"/>
      <c r="BX141" s="43"/>
      <c r="BY141" s="61"/>
      <c r="BZ141" s="43"/>
      <c r="CA141" s="590"/>
      <c r="CB141" s="43"/>
      <c r="CG141" s="62"/>
    </row>
    <row r="142" spans="1:85" x14ac:dyDescent="0.25">
      <c r="A142">
        <v>134</v>
      </c>
      <c r="B142" t="str">
        <f t="shared" si="343"/>
        <v>Mat 05d</v>
      </c>
      <c r="C142" t="str">
        <f t="shared" si="344"/>
        <v>Mat 05</v>
      </c>
      <c r="D142" s="146" t="s">
        <v>694</v>
      </c>
      <c r="E142" s="930" t="s">
        <v>995</v>
      </c>
      <c r="F142" s="668">
        <v>1</v>
      </c>
      <c r="G142" s="668">
        <v>1</v>
      </c>
      <c r="H142" s="668">
        <v>1</v>
      </c>
      <c r="I142" s="668">
        <v>1</v>
      </c>
      <c r="J142" s="668">
        <v>1</v>
      </c>
      <c r="K142" s="668">
        <v>1</v>
      </c>
      <c r="L142" s="668">
        <v>1</v>
      </c>
      <c r="M142" s="668">
        <v>1</v>
      </c>
      <c r="N142" s="668">
        <v>1</v>
      </c>
      <c r="O142" s="668">
        <v>1</v>
      </c>
      <c r="P142" s="668">
        <v>1</v>
      </c>
      <c r="Q142" s="668">
        <v>1</v>
      </c>
      <c r="R142" s="668">
        <v>1</v>
      </c>
      <c r="S142" s="579"/>
      <c r="T142" s="148">
        <f t="shared" si="298"/>
        <v>1</v>
      </c>
      <c r="U142" s="146"/>
      <c r="V142" s="43"/>
      <c r="W142" s="43"/>
      <c r="X142" s="43"/>
      <c r="Y142" s="147"/>
      <c r="Z142" s="147">
        <f>VLOOKUP(B142,'Manuell filtrering og justering'!$A$7:$H$253,'Manuell filtrering og justering'!$H$1,FALSE)</f>
        <v>1</v>
      </c>
      <c r="AA142" s="148">
        <f t="shared" si="300"/>
        <v>0</v>
      </c>
      <c r="AB142" s="149">
        <f>IF($AC$5='Manuell filtrering og justering'!$J$2,Z142,(T142-AA142))</f>
        <v>1</v>
      </c>
      <c r="AD142" s="150">
        <f t="shared" si="301"/>
        <v>8.0952380952380963E-3</v>
      </c>
      <c r="AE142" s="150">
        <f t="shared" si="312"/>
        <v>0</v>
      </c>
      <c r="AF142" s="150">
        <f t="shared" si="313"/>
        <v>0</v>
      </c>
      <c r="AG142" s="150">
        <f t="shared" si="314"/>
        <v>0</v>
      </c>
      <c r="AI142" s="884">
        <f>IF(OR(AI241=0,AI241=AD_no),0,IF(VLOOKUP(E142,'Pre-Assessment Estimator'!$F$11:$AA$226,'Pre-Assessment Estimator'!$H$2,FALSE)&gt;AB142,AB142,VLOOKUP(E142,'Pre-Assessment Estimator'!$F$11:$AA$226,'Pre-Assessment Estimator'!$H$2,FALSE)))</f>
        <v>0</v>
      </c>
      <c r="AJ142" s="884">
        <f>IF(OR(AJ241=0,AJ241=AD_no),0,IF(VLOOKUP(E142,'Pre-Assessment Estimator'!$F$11:$AA$226,'Pre-Assessment Estimator'!$O$2,FALSE)&gt;AB142,AB142,VLOOKUP(E142,'Pre-Assessment Estimator'!$F$11:$AA$226,'Pre-Assessment Estimator'!$O$2,FALSE)))</f>
        <v>0</v>
      </c>
      <c r="AK142" s="884">
        <f>IF(OR(AK241=0,AK241=AD_no),0,IF(VLOOKUP(E142,'Pre-Assessment Estimator'!$F$11:$AA$226,'Pre-Assessment Estimator'!$V$2,FALSE)&gt;AB142,AB142,VLOOKUP(E142,'Pre-Assessment Estimator'!$F$11:$AA$226,'Pre-Assessment Estimator'!$V$2,FALSE)))</f>
        <v>0</v>
      </c>
      <c r="AM142" s="988">
        <v>1</v>
      </c>
      <c r="AN142" s="985">
        <v>1</v>
      </c>
      <c r="AO142" s="985">
        <v>1</v>
      </c>
      <c r="AP142" s="253">
        <v>1</v>
      </c>
      <c r="AQ142" s="254">
        <v>1</v>
      </c>
      <c r="AR142" s="123"/>
      <c r="AS142" s="988">
        <v>1</v>
      </c>
      <c r="AT142" s="985">
        <v>1</v>
      </c>
      <c r="AU142" s="985">
        <v>1</v>
      </c>
      <c r="AV142" s="253">
        <v>1</v>
      </c>
      <c r="AW142" s="254">
        <v>1</v>
      </c>
      <c r="AY142" s="146"/>
      <c r="AZ142" s="43"/>
      <c r="BA142" s="43"/>
      <c r="BB142" s="161">
        <f>IF($AB142=0,0,IF($E$6=$H$9,AV142,AP142))</f>
        <v>1</v>
      </c>
      <c r="BC142" s="161">
        <f>IF($AB142=0,0,IF($E$6=$H$9,AW142,AQ142))</f>
        <v>1</v>
      </c>
      <c r="BD142" s="160">
        <f t="shared" si="336"/>
        <v>3</v>
      </c>
      <c r="BE142" s="45" t="str">
        <f t="shared" si="308"/>
        <v>Very Good</v>
      </c>
      <c r="BF142" s="163"/>
      <c r="BG142" s="160">
        <f t="shared" si="337"/>
        <v>3</v>
      </c>
      <c r="BH142" s="45" t="str">
        <f t="shared" si="310"/>
        <v>Very Good</v>
      </c>
      <c r="BI142" s="163"/>
      <c r="BJ142" s="160">
        <f t="shared" si="338"/>
        <v>3</v>
      </c>
      <c r="BK142" s="45" t="str">
        <f t="shared" si="311"/>
        <v>Very Good</v>
      </c>
      <c r="BL142" s="163"/>
      <c r="BO142" s="43"/>
      <c r="BP142" s="43"/>
      <c r="BQ142" s="43" t="str">
        <f t="shared" si="342"/>
        <v/>
      </c>
      <c r="BR142" s="43">
        <f t="shared" si="198"/>
        <v>9</v>
      </c>
      <c r="BS142" s="43">
        <f t="shared" si="199"/>
        <v>9</v>
      </c>
      <c r="BT142" s="43">
        <f t="shared" si="200"/>
        <v>9</v>
      </c>
      <c r="BW142" s="43"/>
      <c r="BX142" s="43"/>
      <c r="BY142" s="61"/>
      <c r="BZ142" s="43"/>
      <c r="CA142" s="590"/>
      <c r="CB142" s="43"/>
      <c r="CG142" s="62"/>
    </row>
    <row r="143" spans="1:85" x14ac:dyDescent="0.25">
      <c r="A143">
        <v>135</v>
      </c>
      <c r="B143" t="str">
        <f t="shared" si="343"/>
        <v>Mat 05e</v>
      </c>
      <c r="C143" t="str">
        <f t="shared" si="344"/>
        <v>Mat 05</v>
      </c>
      <c r="D143" s="146" t="s">
        <v>693</v>
      </c>
      <c r="E143" s="930" t="s">
        <v>996</v>
      </c>
      <c r="F143" s="668">
        <v>1</v>
      </c>
      <c r="G143" s="668">
        <v>1</v>
      </c>
      <c r="H143" s="668">
        <v>1</v>
      </c>
      <c r="I143" s="668">
        <v>1</v>
      </c>
      <c r="J143" s="668">
        <v>1</v>
      </c>
      <c r="K143" s="668">
        <v>1</v>
      </c>
      <c r="L143" s="668">
        <v>1</v>
      </c>
      <c r="M143" s="668">
        <v>1</v>
      </c>
      <c r="N143" s="668">
        <v>1</v>
      </c>
      <c r="O143" s="668">
        <v>1</v>
      </c>
      <c r="P143" s="668">
        <v>1</v>
      </c>
      <c r="Q143" s="668">
        <v>1</v>
      </c>
      <c r="R143" s="668">
        <v>1</v>
      </c>
      <c r="S143" s="579"/>
      <c r="T143" s="148">
        <f t="shared" si="298"/>
        <v>1</v>
      </c>
      <c r="U143" s="146"/>
      <c r="V143" s="43"/>
      <c r="W143" s="43"/>
      <c r="X143" s="43"/>
      <c r="Y143" s="147"/>
      <c r="Z143" s="147">
        <f>VLOOKUP(B143,'Manuell filtrering og justering'!$A$7:$H$253,'Manuell filtrering og justering'!$H$1,FALSE)</f>
        <v>1</v>
      </c>
      <c r="AA143" s="148">
        <f t="shared" si="300"/>
        <v>0</v>
      </c>
      <c r="AB143" s="149">
        <f>IF($AC$5='Manuell filtrering og justering'!$J$2,Z143,(T143-AA143))</f>
        <v>1</v>
      </c>
      <c r="AD143" s="150">
        <f t="shared" si="301"/>
        <v>8.0952380952380963E-3</v>
      </c>
      <c r="AE143" s="150">
        <f t="shared" ref="AE143" si="345">IF(AB143=0,0,(AD143/AB143)*AI143)</f>
        <v>0</v>
      </c>
      <c r="AF143" s="150">
        <f t="shared" ref="AF143" si="346">IF(AB143=0,0,(AD143/AB143)*AJ143)</f>
        <v>0</v>
      </c>
      <c r="AG143" s="150">
        <f t="shared" ref="AG143" si="347">IF(AB143=0,0,(AD143/AB143)*AK143)</f>
        <v>0</v>
      </c>
      <c r="AI143" s="884">
        <f>IF(AI241=AD_no,0,IF(VLOOKUP(E143,'Pre-Assessment Estimator'!$F$11:$AA$226,'Pre-Assessment Estimator'!$H$2,FALSE)&gt;AB143,AB143,VLOOKUP(E143,'Pre-Assessment Estimator'!$F$11:$AA$226,'Pre-Assessment Estimator'!$H$2,FALSE)))</f>
        <v>0</v>
      </c>
      <c r="AJ143" s="884">
        <f>IF(AJ241=AD_no,0,IF(VLOOKUP(E143,'Pre-Assessment Estimator'!$F$11:$AA$226,'Pre-Assessment Estimator'!$O$2,FALSE)&gt;AB143,AB143,VLOOKUP(E143,'Pre-Assessment Estimator'!$F$11:$AA$226,'Pre-Assessment Estimator'!$O$2,FALSE)))</f>
        <v>0</v>
      </c>
      <c r="AK143" s="884">
        <f>IF(AK241=AD_no,0,IF(VLOOKUP(E143,'Pre-Assessment Estimator'!$F$11:$AA$226,'Pre-Assessment Estimator'!$V$2,FALSE)&gt;AB143,AB143,VLOOKUP(E143,'Pre-Assessment Estimator'!$F$11:$AA$226,'Pre-Assessment Estimator'!$V$2,FALSE)))</f>
        <v>0</v>
      </c>
      <c r="AM143" s="252"/>
      <c r="AN143" s="253"/>
      <c r="AO143" s="253"/>
      <c r="AP143" s="253"/>
      <c r="AQ143" s="254"/>
      <c r="AR143" s="123"/>
      <c r="AS143" s="252"/>
      <c r="AT143" s="253"/>
      <c r="AU143" s="253"/>
      <c r="AV143" s="253"/>
      <c r="AW143" s="254"/>
      <c r="AY143" s="146"/>
      <c r="AZ143" s="43"/>
      <c r="BA143" s="43"/>
      <c r="BB143" s="43"/>
      <c r="BC143" s="163"/>
      <c r="BD143" s="160">
        <f t="shared" ref="BD143" si="348">IF(BC143=0,9,IF(AI143&gt;=BC143,5,IF(AI143&gt;=BB143,4,IF(AI143&gt;=BA143,3,IF(AI143&gt;=AZ143,2,IF(AI143&lt;AY143,0,1))))))</f>
        <v>9</v>
      </c>
      <c r="BE143" s="45" t="str">
        <f t="shared" si="308"/>
        <v>N/A</v>
      </c>
      <c r="BF143" s="163"/>
      <c r="BG143" s="160">
        <f t="shared" ref="BG143" si="349">IF(BC143=0,9,IF(AJ143&gt;=BC143,5,IF(AJ143&gt;=BB143,4,IF(AJ143&gt;=BA143,3,IF(AJ143&gt;=AZ143,2,IF(AJ143&lt;AY143,0,1))))))</f>
        <v>9</v>
      </c>
      <c r="BH143" s="45" t="str">
        <f t="shared" si="310"/>
        <v>N/A</v>
      </c>
      <c r="BI143" s="163"/>
      <c r="BJ143" s="160">
        <f t="shared" ref="BJ143" si="350">IF(BC143=0,9,IF(AK143&gt;=BC143,5,IF(AK143&gt;=BB143,4,IF(AK143&gt;=BA143,3,IF(AK143&gt;=AZ143,2,IF(AK143&lt;AY143,0,1))))))</f>
        <v>9</v>
      </c>
      <c r="BK143" s="45" t="str">
        <f t="shared" si="311"/>
        <v>N/A</v>
      </c>
      <c r="BL143" s="163"/>
      <c r="BO143" s="43"/>
      <c r="BP143" s="43"/>
      <c r="BQ143" s="43" t="str">
        <f t="shared" si="342"/>
        <v/>
      </c>
      <c r="BR143" s="43">
        <f t="shared" si="198"/>
        <v>9</v>
      </c>
      <c r="BS143" s="43">
        <f t="shared" si="199"/>
        <v>9</v>
      </c>
      <c r="BT143" s="43">
        <f t="shared" si="200"/>
        <v>9</v>
      </c>
      <c r="BW143" s="43"/>
      <c r="BX143" s="43"/>
      <c r="BY143" s="61"/>
      <c r="BZ143" s="43"/>
      <c r="CA143" s="590"/>
      <c r="CB143" s="43"/>
      <c r="CG143" s="62"/>
    </row>
    <row r="144" spans="1:85" x14ac:dyDescent="0.25">
      <c r="A144">
        <v>136</v>
      </c>
      <c r="B144" s="121" t="str">
        <f>D144</f>
        <v>Mat 06</v>
      </c>
      <c r="C144" s="121" t="str">
        <f>B144</f>
        <v>Mat 06</v>
      </c>
      <c r="D144" s="727" t="s">
        <v>175</v>
      </c>
      <c r="E144" s="725" t="s">
        <v>466</v>
      </c>
      <c r="F144" s="811">
        <f>SUM(F145:F147)</f>
        <v>3</v>
      </c>
      <c r="G144" s="811">
        <f t="shared" ref="G144:R144" si="351">SUM(G145:G147)</f>
        <v>3</v>
      </c>
      <c r="H144" s="811">
        <f t="shared" si="351"/>
        <v>3</v>
      </c>
      <c r="I144" s="811">
        <f t="shared" si="351"/>
        <v>3</v>
      </c>
      <c r="J144" s="811">
        <f t="shared" si="351"/>
        <v>3</v>
      </c>
      <c r="K144" s="811">
        <f t="shared" si="351"/>
        <v>3</v>
      </c>
      <c r="L144" s="811">
        <f t="shared" si="351"/>
        <v>3</v>
      </c>
      <c r="M144" s="811">
        <f t="shared" si="351"/>
        <v>3</v>
      </c>
      <c r="N144" s="811">
        <f t="shared" si="351"/>
        <v>3</v>
      </c>
      <c r="O144" s="811">
        <f t="shared" si="351"/>
        <v>3</v>
      </c>
      <c r="P144" s="811">
        <f t="shared" si="351"/>
        <v>3</v>
      </c>
      <c r="Q144" s="811">
        <f t="shared" ref="Q144" si="352">SUM(Q145:Q147)</f>
        <v>3</v>
      </c>
      <c r="R144" s="811">
        <f t="shared" si="351"/>
        <v>3</v>
      </c>
      <c r="S144" s="121"/>
      <c r="T144" s="831">
        <f t="shared" si="298"/>
        <v>3</v>
      </c>
      <c r="U144" s="191">
        <f>U145</f>
        <v>0</v>
      </c>
      <c r="V144" s="61"/>
      <c r="W144" s="61"/>
      <c r="X144" s="61">
        <f>'Manuell filtrering og justering'!E63</f>
        <v>0</v>
      </c>
      <c r="Y144" s="61"/>
      <c r="Z144" s="826">
        <f t="shared" ref="Z144" si="353">SUM(Z145:Z147)</f>
        <v>3</v>
      </c>
      <c r="AA144" s="831">
        <f t="shared" si="300"/>
        <v>0</v>
      </c>
      <c r="AB144" s="883">
        <f>SUM(AB145:AB147)</f>
        <v>3</v>
      </c>
      <c r="AD144" s="150">
        <f t="shared" si="301"/>
        <v>2.4285714285714289E-2</v>
      </c>
      <c r="AE144" s="799">
        <f>SUM(AE145:AE147)</f>
        <v>0</v>
      </c>
      <c r="AF144" s="799">
        <f t="shared" ref="AF144" si="354">SUM(AF145:AF147)</f>
        <v>0</v>
      </c>
      <c r="AG144" s="799">
        <f t="shared" ref="AG144" si="355">SUM(AG145:AG147)</f>
        <v>0</v>
      </c>
      <c r="AI144" s="826">
        <f t="shared" ref="AI144" si="356">SUM(AI145:AI147)</f>
        <v>0</v>
      </c>
      <c r="AJ144" s="826">
        <f t="shared" ref="AJ144" si="357">SUM(AJ145:AJ147)</f>
        <v>0</v>
      </c>
      <c r="AK144" s="826">
        <f t="shared" ref="AK144" si="358">SUM(AK145:AK147)</f>
        <v>0</v>
      </c>
      <c r="AM144" s="252"/>
      <c r="AN144" s="253"/>
      <c r="AO144" s="253"/>
      <c r="AP144" s="253"/>
      <c r="AQ144" s="254"/>
      <c r="AR144" s="123"/>
      <c r="AS144" s="252"/>
      <c r="AT144" s="253"/>
      <c r="AU144" s="253"/>
      <c r="AV144" s="253"/>
      <c r="AW144" s="254"/>
      <c r="AY144" s="146"/>
      <c r="AZ144" s="43"/>
      <c r="BA144" s="43"/>
      <c r="BB144" s="43"/>
      <c r="BC144" s="163"/>
      <c r="BD144" s="160">
        <f t="shared" si="336"/>
        <v>9</v>
      </c>
      <c r="BE144" s="45" t="str">
        <f t="shared" si="308"/>
        <v>N/A</v>
      </c>
      <c r="BF144" s="163"/>
      <c r="BG144" s="160">
        <f t="shared" si="337"/>
        <v>9</v>
      </c>
      <c r="BH144" s="45" t="str">
        <f t="shared" si="310"/>
        <v>N/A</v>
      </c>
      <c r="BI144" s="163"/>
      <c r="BJ144" s="160">
        <f t="shared" si="338"/>
        <v>9</v>
      </c>
      <c r="BK144" s="45" t="str">
        <f t="shared" si="311"/>
        <v>N/A</v>
      </c>
      <c r="BL144" s="163"/>
      <c r="BO144" s="43"/>
      <c r="BP144" s="43"/>
      <c r="BQ144" s="43" t="str">
        <f t="shared" si="342"/>
        <v/>
      </c>
      <c r="BR144" s="43">
        <f t="shared" si="198"/>
        <v>9</v>
      </c>
      <c r="BS144" s="43">
        <f t="shared" si="199"/>
        <v>9</v>
      </c>
      <c r="BT144" s="43">
        <f t="shared" si="200"/>
        <v>9</v>
      </c>
      <c r="BW144" s="248" t="str">
        <f>D144</f>
        <v>Mat 06</v>
      </c>
      <c r="BX144" s="248">
        <f>IFERROR(VLOOKUP($E144,'Pre-Assessment Estimator'!$F$11:$AC$226,'Pre-Assessment Estimator'!AC$2,FALSE),"")</f>
        <v>0</v>
      </c>
      <c r="BY144" s="248">
        <f>IFERROR(VLOOKUP($E144,'Pre-Assessment Estimator'!$F$11:$AJ$226,'Pre-Assessment Estimator'!AJ$2,FALSE),"")</f>
        <v>0</v>
      </c>
      <c r="BZ144" s="248" t="str">
        <f>IFERROR(VLOOKUP($BX144,$E$293:$H$326,F$291,FALSE),"")</f>
        <v/>
      </c>
      <c r="CA144" s="248" t="str">
        <f>IFERROR(VLOOKUP($BX144,$E$293:$H$326,G$291,FALSE),"")</f>
        <v/>
      </c>
      <c r="CB144" s="248"/>
      <c r="CC144" t="str">
        <f>IFERROR(VLOOKUP($BX144,$E$293:$H$326,I$291,FALSE),"")</f>
        <v/>
      </c>
    </row>
    <row r="145" spans="1:81" x14ac:dyDescent="0.25">
      <c r="A145">
        <v>137</v>
      </c>
      <c r="B145" t="str">
        <f t="shared" ref="B145:B147" si="359">$D$144&amp;D145</f>
        <v>Mat 06a</v>
      </c>
      <c r="C145" t="str">
        <f t="shared" si="344"/>
        <v>Mat 06</v>
      </c>
      <c r="D145" s="146" t="s">
        <v>692</v>
      </c>
      <c r="E145" s="1040" t="s">
        <v>658</v>
      </c>
      <c r="F145" s="668">
        <v>1</v>
      </c>
      <c r="G145" s="668">
        <v>1</v>
      </c>
      <c r="H145" s="668">
        <v>1</v>
      </c>
      <c r="I145" s="668">
        <v>1</v>
      </c>
      <c r="J145" s="668">
        <v>1</v>
      </c>
      <c r="K145" s="668">
        <v>1</v>
      </c>
      <c r="L145" s="668">
        <v>1</v>
      </c>
      <c r="M145" s="668">
        <v>1</v>
      </c>
      <c r="N145" s="668">
        <v>1</v>
      </c>
      <c r="O145" s="668">
        <v>1</v>
      </c>
      <c r="P145" s="668">
        <v>1</v>
      </c>
      <c r="Q145" s="668">
        <v>1</v>
      </c>
      <c r="R145" s="668">
        <v>1</v>
      </c>
      <c r="S145" s="121"/>
      <c r="T145" s="148">
        <f t="shared" si="298"/>
        <v>1</v>
      </c>
      <c r="U145" s="167">
        <f>IF('Assessment Details'!F26=AD_no,Poeng!T145,0)</f>
        <v>0</v>
      </c>
      <c r="V145" s="48"/>
      <c r="W145" s="48"/>
      <c r="X145" s="43"/>
      <c r="Y145" s="147"/>
      <c r="Z145" s="147">
        <f>VLOOKUP(B145,'Manuell filtrering og justering'!$A$7:$H$253,'Manuell filtrering og justering'!$H$1,FALSE)</f>
        <v>1</v>
      </c>
      <c r="AA145" s="148">
        <f t="shared" si="300"/>
        <v>0</v>
      </c>
      <c r="AB145" s="149">
        <f>IF($AC$5='Manuell filtrering og justering'!$J$2,Z145,(T145-AA145))</f>
        <v>1</v>
      </c>
      <c r="AD145" s="150">
        <f t="shared" si="301"/>
        <v>8.0952380952380963E-3</v>
      </c>
      <c r="AE145" s="150">
        <f t="shared" si="312"/>
        <v>0</v>
      </c>
      <c r="AF145" s="150">
        <f t="shared" si="313"/>
        <v>0</v>
      </c>
      <c r="AG145" s="150">
        <f t="shared" si="314"/>
        <v>0</v>
      </c>
      <c r="AI145" s="151">
        <f>IF(VLOOKUP(E145,'Pre-Assessment Estimator'!$F$11:$AA$226,'Pre-Assessment Estimator'!$H$2,FALSE)&gt;AB145,AB145,VLOOKUP(E145,'Pre-Assessment Estimator'!$F$11:$AA$226,'Pre-Assessment Estimator'!$H$2,FALSE))</f>
        <v>0</v>
      </c>
      <c r="AJ145" s="151">
        <f>IF(VLOOKUP(E145,'Pre-Assessment Estimator'!$F$11:$AA$226,'Pre-Assessment Estimator'!$O$2,FALSE)&gt;AB145,AB145,VLOOKUP(E145,'Pre-Assessment Estimator'!$F$11:$AA$226,'Pre-Assessment Estimator'!$O$2,FALSE))</f>
        <v>0</v>
      </c>
      <c r="AK145" s="151">
        <f>IF(VLOOKUP(E145,'Pre-Assessment Estimator'!$F$11:$AA$226,'Pre-Assessment Estimator'!$V$2,FALSE)&gt;AB145,AB145,VLOOKUP(E145,'Pre-Assessment Estimator'!$F$11:$AA$226,'Pre-Assessment Estimator'!$V$2,FALSE))</f>
        <v>0</v>
      </c>
      <c r="AM145" s="742">
        <v>1</v>
      </c>
      <c r="AN145" s="743">
        <v>1</v>
      </c>
      <c r="AO145" s="743">
        <v>1</v>
      </c>
      <c r="AP145" s="743">
        <v>1</v>
      </c>
      <c r="AQ145" s="735">
        <v>1</v>
      </c>
      <c r="AR145" s="123"/>
      <c r="AS145" s="742"/>
      <c r="AT145" s="743"/>
      <c r="AU145" s="743"/>
      <c r="AV145" s="743">
        <v>1</v>
      </c>
      <c r="AW145" s="735">
        <v>1</v>
      </c>
      <c r="AY145" s="161">
        <f>IF($AB145=0,0,IF($E$6=$H$9,AS145,AM145))</f>
        <v>1</v>
      </c>
      <c r="AZ145" s="161">
        <f>IF($AB145=0,0,IF($E$6=$H$9,AT145,AN145))</f>
        <v>1</v>
      </c>
      <c r="BA145" s="161">
        <f>IF($AB145=0,0,IF($E$6=$H$9,AU145,AO145))</f>
        <v>1</v>
      </c>
      <c r="BB145" s="161">
        <f>IF($AB145=0,0,IF($E$6=$H$9,AV145,AP145))</f>
        <v>1</v>
      </c>
      <c r="BC145" s="161">
        <f>IF($AB145=0,0,IF($E$6=$H$9,AW145,AQ145))</f>
        <v>1</v>
      </c>
      <c r="BD145" s="851">
        <f>IF('Assessment Details'!F26=AD_no,9,IF(AND(AI145=1,AI250=AD_Yes),5,IF(AI250=AD_Yes,3,0)))</f>
        <v>0</v>
      </c>
      <c r="BE145" s="45" t="str">
        <f t="shared" si="308"/>
        <v>Unclassified</v>
      </c>
      <c r="BF145" s="163"/>
      <c r="BG145" s="851">
        <f>IF('Assessment Details'!F26=AD_no,9,IF(AND(AJ145=1,AJ250=AD_Yes),5,IF(AJ250=AD_Yes,3,0)))</f>
        <v>0</v>
      </c>
      <c r="BH145" s="45" t="str">
        <f t="shared" si="310"/>
        <v>Unclassified</v>
      </c>
      <c r="BI145" s="163"/>
      <c r="BJ145" s="851">
        <f>IF('Assessment Details'!F26=AD_no,9,IF(AND(AK145=1,AK250=AD_Yes),5,IF(AK250=AD_Yes,3,0)))</f>
        <v>0</v>
      </c>
      <c r="BK145" s="45" t="str">
        <f t="shared" si="311"/>
        <v>Unclassified</v>
      </c>
      <c r="BL145" s="739"/>
      <c r="BO145" s="43"/>
      <c r="BP145" s="43"/>
      <c r="BQ145" s="43"/>
      <c r="BR145" s="43">
        <f t="shared" ref="BR145" si="360">IF(BQ145="",9,(IF(AI145&gt;=BQ145,5,0)))</f>
        <v>9</v>
      </c>
      <c r="BS145" s="43">
        <f t="shared" ref="BS145" si="361">IF(BQ145="",9,(IF(AJ145&gt;=BQ145,5,0)))</f>
        <v>9</v>
      </c>
      <c r="BT145" s="43">
        <f t="shared" ref="BT145" si="362">IF(BQ145="",9,(IF(AK145&gt;=BQ145,5,0)))</f>
        <v>9</v>
      </c>
      <c r="BW145" s="615"/>
      <c r="BX145" s="615"/>
      <c r="BY145" s="615"/>
      <c r="BZ145" s="615"/>
      <c r="CA145" s="615"/>
      <c r="CB145" s="615"/>
    </row>
    <row r="146" spans="1:81" x14ac:dyDescent="0.25">
      <c r="A146">
        <v>138</v>
      </c>
      <c r="B146" t="str">
        <f t="shared" si="359"/>
        <v>Mat 06b</v>
      </c>
      <c r="C146" t="str">
        <f t="shared" si="344"/>
        <v>Mat 06</v>
      </c>
      <c r="D146" s="146" t="s">
        <v>695</v>
      </c>
      <c r="E146" s="930" t="s">
        <v>659</v>
      </c>
      <c r="F146" s="668">
        <v>1</v>
      </c>
      <c r="G146" s="668">
        <v>1</v>
      </c>
      <c r="H146" s="668">
        <v>1</v>
      </c>
      <c r="I146" s="668">
        <v>1</v>
      </c>
      <c r="J146" s="668">
        <v>1</v>
      </c>
      <c r="K146" s="668">
        <v>1</v>
      </c>
      <c r="L146" s="668">
        <v>1</v>
      </c>
      <c r="M146" s="668">
        <v>1</v>
      </c>
      <c r="N146" s="668">
        <v>1</v>
      </c>
      <c r="O146" s="668">
        <v>1</v>
      </c>
      <c r="P146" s="668">
        <v>1</v>
      </c>
      <c r="Q146" s="668">
        <v>1</v>
      </c>
      <c r="R146" s="668">
        <v>1</v>
      </c>
      <c r="S146" s="121"/>
      <c r="T146" s="148">
        <f t="shared" si="298"/>
        <v>1</v>
      </c>
      <c r="U146" s="167"/>
      <c r="V146" s="48"/>
      <c r="W146" s="48"/>
      <c r="X146" s="43"/>
      <c r="Y146" s="147"/>
      <c r="Z146" s="147">
        <f>VLOOKUP(B146,'Manuell filtrering og justering'!$A$7:$H$253,'Manuell filtrering og justering'!$H$1,FALSE)</f>
        <v>1</v>
      </c>
      <c r="AA146" s="148">
        <f t="shared" si="300"/>
        <v>0</v>
      </c>
      <c r="AB146" s="149">
        <f>IF($AC$5='Manuell filtrering og justering'!$J$2,Z146,(T146-AA146))</f>
        <v>1</v>
      </c>
      <c r="AD146" s="150">
        <f t="shared" si="301"/>
        <v>8.0952380952380963E-3</v>
      </c>
      <c r="AE146" s="150">
        <f t="shared" si="312"/>
        <v>0</v>
      </c>
      <c r="AF146" s="150">
        <f t="shared" si="313"/>
        <v>0</v>
      </c>
      <c r="AG146" s="150">
        <f t="shared" si="314"/>
        <v>0</v>
      </c>
      <c r="AI146" s="151">
        <f>IF(VLOOKUP(E146,'Pre-Assessment Estimator'!$F$11:$AA$226,'Pre-Assessment Estimator'!$H$2,FALSE)&gt;AB146,AB146,VLOOKUP(E146,'Pre-Assessment Estimator'!$F$11:$AA$226,'Pre-Assessment Estimator'!$H$2,FALSE))</f>
        <v>0</v>
      </c>
      <c r="AJ146" s="151">
        <f>IF(VLOOKUP(E146,'Pre-Assessment Estimator'!$F$11:$AA$226,'Pre-Assessment Estimator'!$O$2,FALSE)&gt;AB146,AB146,VLOOKUP(E146,'Pre-Assessment Estimator'!$F$11:$AA$226,'Pre-Assessment Estimator'!$O$2,FALSE))</f>
        <v>0</v>
      </c>
      <c r="AK146" s="151">
        <f>IF(VLOOKUP(E146,'Pre-Assessment Estimator'!$F$11:$AA$226,'Pre-Assessment Estimator'!$V$2,FALSE)&gt;AB146,AB146,VLOOKUP(E146,'Pre-Assessment Estimator'!$F$11:$AA$226,'Pre-Assessment Estimator'!$V$2,FALSE))</f>
        <v>0</v>
      </c>
      <c r="AM146" s="742"/>
      <c r="AN146" s="743"/>
      <c r="AO146" s="743"/>
      <c r="AP146" s="743"/>
      <c r="AQ146" s="735"/>
      <c r="AR146" s="123"/>
      <c r="AS146" s="742"/>
      <c r="AT146" s="743"/>
      <c r="AU146" s="743"/>
      <c r="AV146" s="743"/>
      <c r="AW146" s="735"/>
      <c r="AY146" s="167"/>
      <c r="AZ146" s="48"/>
      <c r="BA146" s="48"/>
      <c r="BB146" s="48"/>
      <c r="BC146" s="739"/>
      <c r="BD146" s="160">
        <f t="shared" si="336"/>
        <v>9</v>
      </c>
      <c r="BE146" s="45" t="str">
        <f t="shared" si="308"/>
        <v>N/A</v>
      </c>
      <c r="BF146" s="163"/>
      <c r="BG146" s="160">
        <f t="shared" si="337"/>
        <v>9</v>
      </c>
      <c r="BH146" s="45" t="str">
        <f t="shared" si="310"/>
        <v>N/A</v>
      </c>
      <c r="BI146" s="163"/>
      <c r="BJ146" s="160">
        <f t="shared" si="338"/>
        <v>9</v>
      </c>
      <c r="BK146" s="45" t="str">
        <f t="shared" si="311"/>
        <v>N/A</v>
      </c>
      <c r="BL146" s="739"/>
      <c r="BO146" s="43"/>
      <c r="BP146" s="43"/>
      <c r="BQ146" s="43"/>
      <c r="BR146" s="43">
        <f t="shared" si="198"/>
        <v>9</v>
      </c>
      <c r="BS146" s="43">
        <f t="shared" si="199"/>
        <v>9</v>
      </c>
      <c r="BT146" s="43">
        <f t="shared" si="200"/>
        <v>9</v>
      </c>
      <c r="BW146" s="615"/>
      <c r="BX146" s="615"/>
      <c r="BY146" s="615"/>
      <c r="BZ146" s="615"/>
      <c r="CA146" s="615"/>
      <c r="CB146" s="615"/>
    </row>
    <row r="147" spans="1:81" x14ac:dyDescent="0.25">
      <c r="A147">
        <v>139</v>
      </c>
      <c r="B147" t="str">
        <f t="shared" si="359"/>
        <v>Mat 06c</v>
      </c>
      <c r="C147" t="str">
        <f t="shared" si="344"/>
        <v>Mat 06</v>
      </c>
      <c r="D147" s="146" t="s">
        <v>696</v>
      </c>
      <c r="E147" s="930" t="s">
        <v>660</v>
      </c>
      <c r="F147" s="668">
        <v>1</v>
      </c>
      <c r="G147" s="668">
        <v>1</v>
      </c>
      <c r="H147" s="668">
        <v>1</v>
      </c>
      <c r="I147" s="668">
        <v>1</v>
      </c>
      <c r="J147" s="668">
        <v>1</v>
      </c>
      <c r="K147" s="668">
        <v>1</v>
      </c>
      <c r="L147" s="668">
        <v>1</v>
      </c>
      <c r="M147" s="668">
        <v>1</v>
      </c>
      <c r="N147" s="668">
        <v>1</v>
      </c>
      <c r="O147" s="668">
        <v>1</v>
      </c>
      <c r="P147" s="668">
        <v>1</v>
      </c>
      <c r="Q147" s="668">
        <v>1</v>
      </c>
      <c r="R147" s="668">
        <v>1</v>
      </c>
      <c r="S147" s="121"/>
      <c r="T147" s="148">
        <f t="shared" si="298"/>
        <v>1</v>
      </c>
      <c r="U147" s="167"/>
      <c r="V147" s="48"/>
      <c r="W147" s="48"/>
      <c r="X147" s="43"/>
      <c r="Y147" s="147"/>
      <c r="Z147" s="147">
        <f>VLOOKUP(B147,'Manuell filtrering og justering'!$A$7:$H$253,'Manuell filtrering og justering'!$H$1,FALSE)</f>
        <v>1</v>
      </c>
      <c r="AA147" s="148">
        <f t="shared" si="300"/>
        <v>0</v>
      </c>
      <c r="AB147" s="149">
        <f>IF($AC$5='Manuell filtrering og justering'!$J$2,Z147,(T147-AA147))</f>
        <v>1</v>
      </c>
      <c r="AD147" s="150">
        <f t="shared" si="301"/>
        <v>8.0952380952380963E-3</v>
      </c>
      <c r="AE147" s="150">
        <f t="shared" si="312"/>
        <v>0</v>
      </c>
      <c r="AF147" s="150">
        <f t="shared" si="313"/>
        <v>0</v>
      </c>
      <c r="AG147" s="150">
        <f t="shared" si="314"/>
        <v>0</v>
      </c>
      <c r="AI147" s="151">
        <f>IF(VLOOKUP(E147,'Pre-Assessment Estimator'!$F$11:$AA$226,'Pre-Assessment Estimator'!$H$2,FALSE)&gt;AB147,AB147,VLOOKUP(E147,'Pre-Assessment Estimator'!$F$11:$AA$226,'Pre-Assessment Estimator'!$H$2,FALSE))</f>
        <v>0</v>
      </c>
      <c r="AJ147" s="151">
        <f>IF(VLOOKUP(E147,'Pre-Assessment Estimator'!$F$11:$AA$226,'Pre-Assessment Estimator'!$O$2,FALSE)&gt;AB147,AB147,VLOOKUP(E147,'Pre-Assessment Estimator'!$F$11:$AA$226,'Pre-Assessment Estimator'!$O$2,FALSE))</f>
        <v>0</v>
      </c>
      <c r="AK147" s="151">
        <f>IF(VLOOKUP(E147,'Pre-Assessment Estimator'!$F$11:$AA$226,'Pre-Assessment Estimator'!$V$2,FALSE)&gt;AB147,AB147,VLOOKUP(E147,'Pre-Assessment Estimator'!$F$11:$AA$226,'Pre-Assessment Estimator'!$V$2,FALSE))</f>
        <v>0</v>
      </c>
      <c r="AM147" s="742"/>
      <c r="AN147" s="743"/>
      <c r="AO147" s="743"/>
      <c r="AP147" s="743"/>
      <c r="AQ147" s="735"/>
      <c r="AR147" s="123"/>
      <c r="AS147" s="742"/>
      <c r="AT147" s="743"/>
      <c r="AU147" s="743"/>
      <c r="AV147" s="743"/>
      <c r="AW147" s="735"/>
      <c r="AY147" s="167"/>
      <c r="AZ147" s="48"/>
      <c r="BA147" s="48"/>
      <c r="BB147" s="48"/>
      <c r="BC147" s="739"/>
      <c r="BD147" s="160">
        <f t="shared" si="336"/>
        <v>9</v>
      </c>
      <c r="BE147" s="45" t="str">
        <f t="shared" si="308"/>
        <v>N/A</v>
      </c>
      <c r="BF147" s="163"/>
      <c r="BG147" s="160">
        <f t="shared" si="337"/>
        <v>9</v>
      </c>
      <c r="BH147" s="45" t="str">
        <f t="shared" si="310"/>
        <v>N/A</v>
      </c>
      <c r="BI147" s="163"/>
      <c r="BJ147" s="160">
        <f t="shared" si="338"/>
        <v>9</v>
      </c>
      <c r="BK147" s="45" t="str">
        <f t="shared" si="311"/>
        <v>N/A</v>
      </c>
      <c r="BL147" s="739"/>
      <c r="BO147" s="43"/>
      <c r="BP147" s="43"/>
      <c r="BQ147" s="43" t="str">
        <f t="shared" si="342"/>
        <v/>
      </c>
      <c r="BR147" s="43">
        <f t="shared" si="198"/>
        <v>9</v>
      </c>
      <c r="BS147" s="43">
        <f t="shared" si="199"/>
        <v>9</v>
      </c>
      <c r="BT147" s="43">
        <f t="shared" si="200"/>
        <v>9</v>
      </c>
      <c r="BW147" s="615"/>
      <c r="BX147" s="615"/>
      <c r="BY147" s="615"/>
      <c r="BZ147" s="615"/>
      <c r="CA147" s="615"/>
      <c r="CB147" s="615"/>
    </row>
    <row r="148" spans="1:81" x14ac:dyDescent="0.25">
      <c r="A148">
        <v>140</v>
      </c>
      <c r="B148" s="121" t="str">
        <f>D148</f>
        <v>Mat 07</v>
      </c>
      <c r="C148" s="121" t="str">
        <f>B148</f>
        <v>Mat 07</v>
      </c>
      <c r="D148" s="727" t="s">
        <v>478</v>
      </c>
      <c r="E148" s="725" t="s">
        <v>1009</v>
      </c>
      <c r="F148" s="811">
        <f>SUM(F149:F151)</f>
        <v>3</v>
      </c>
      <c r="G148" s="811">
        <f t="shared" ref="G148:R148" si="363">SUM(G149:G151)</f>
        <v>3</v>
      </c>
      <c r="H148" s="811">
        <f t="shared" si="363"/>
        <v>3</v>
      </c>
      <c r="I148" s="811">
        <f t="shared" si="363"/>
        <v>3</v>
      </c>
      <c r="J148" s="811">
        <f t="shared" si="363"/>
        <v>3</v>
      </c>
      <c r="K148" s="811">
        <f t="shared" si="363"/>
        <v>3</v>
      </c>
      <c r="L148" s="811">
        <f t="shared" si="363"/>
        <v>3</v>
      </c>
      <c r="M148" s="811">
        <f t="shared" si="363"/>
        <v>3</v>
      </c>
      <c r="N148" s="811">
        <f t="shared" si="363"/>
        <v>3</v>
      </c>
      <c r="O148" s="811">
        <f t="shared" si="363"/>
        <v>3</v>
      </c>
      <c r="P148" s="811">
        <f t="shared" si="363"/>
        <v>3</v>
      </c>
      <c r="Q148" s="811">
        <f t="shared" ref="Q148" si="364">SUM(Q149:Q151)</f>
        <v>3</v>
      </c>
      <c r="R148" s="811">
        <f t="shared" si="363"/>
        <v>3</v>
      </c>
      <c r="T148" s="831">
        <f t="shared" si="298"/>
        <v>3</v>
      </c>
      <c r="U148" s="631"/>
      <c r="V148" s="832"/>
      <c r="W148" s="832"/>
      <c r="X148" s="61">
        <f>'Manuell filtrering og justering'!E64</f>
        <v>0</v>
      </c>
      <c r="Y148" s="61"/>
      <c r="Z148" s="826">
        <f t="shared" ref="Z148" si="365">SUM(Z149:Z151)</f>
        <v>3</v>
      </c>
      <c r="AA148" s="831">
        <f t="shared" si="300"/>
        <v>0</v>
      </c>
      <c r="AB148" s="883">
        <f>SUM(AB149:AB151)</f>
        <v>3</v>
      </c>
      <c r="AD148" s="150">
        <f t="shared" si="301"/>
        <v>2.4285714285714289E-2</v>
      </c>
      <c r="AE148" s="799">
        <f>SUM(AE149:AE151)</f>
        <v>0</v>
      </c>
      <c r="AF148" s="799">
        <f t="shared" ref="AF148" si="366">SUM(AF149:AF151)</f>
        <v>0</v>
      </c>
      <c r="AG148" s="799">
        <f t="shared" ref="AG148" si="367">SUM(AG149:AG151)</f>
        <v>0</v>
      </c>
      <c r="AI148" s="826">
        <f t="shared" ref="AI148" si="368">SUM(AI149:AI151)</f>
        <v>0</v>
      </c>
      <c r="AJ148" s="826">
        <f t="shared" ref="AJ148" si="369">SUM(AJ149:AJ151)</f>
        <v>0</v>
      </c>
      <c r="AK148" s="826">
        <f t="shared" ref="AK148" si="370">SUM(AK149:AK151)</f>
        <v>0</v>
      </c>
      <c r="AM148" s="742"/>
      <c r="AN148" s="743"/>
      <c r="AO148" s="743"/>
      <c r="AP148" s="743"/>
      <c r="AQ148" s="735"/>
      <c r="AR148" s="123"/>
      <c r="AS148" s="742"/>
      <c r="AT148" s="743"/>
      <c r="AU148" s="743"/>
      <c r="AV148" s="743"/>
      <c r="AW148" s="735"/>
      <c r="AY148" s="167"/>
      <c r="AZ148" s="48"/>
      <c r="BA148" s="48"/>
      <c r="BB148" s="48"/>
      <c r="BC148" s="163"/>
      <c r="BD148" s="160">
        <f t="shared" ref="BD148:BD151" si="371">IF(BC148=0,9,IF(AI148&gt;=BC148,5,IF(AI148&gt;=BB148,4,IF(AI148&gt;=BA148,3,IF(AI148&gt;=AZ148,2,IF(AI148&lt;AY148,0,1))))))</f>
        <v>9</v>
      </c>
      <c r="BE148" s="45" t="str">
        <f t="shared" si="308"/>
        <v>N/A</v>
      </c>
      <c r="BF148" s="163"/>
      <c r="BG148" s="160">
        <f t="shared" ref="BG148:BG151" si="372">IF(BC148=0,9,IF(AJ148&gt;=BC148,5,IF(AJ148&gt;=BB148,4,IF(AJ148&gt;=BA148,3,IF(AJ148&gt;=AZ148,2,IF(AJ148&lt;AY148,0,1))))))</f>
        <v>9</v>
      </c>
      <c r="BH148" s="45" t="str">
        <f t="shared" si="310"/>
        <v>N/A</v>
      </c>
      <c r="BI148" s="163"/>
      <c r="BJ148" s="160">
        <f t="shared" ref="BJ148:BJ151" si="373">IF(BC148=0,9,IF(AK148&gt;=BC148,5,IF(AK148&gt;=BB148,4,IF(AK148&gt;=BA148,3,IF(AK148&gt;=AZ148,2,IF(AK148&lt;AY148,0,1))))))</f>
        <v>9</v>
      </c>
      <c r="BK148" s="45" t="str">
        <f t="shared" si="311"/>
        <v>N/A</v>
      </c>
      <c r="BL148" s="739"/>
      <c r="BO148" s="43"/>
      <c r="BP148" s="43"/>
      <c r="BQ148" s="43" t="str">
        <f t="shared" si="342"/>
        <v/>
      </c>
      <c r="BR148" s="43">
        <f t="shared" si="198"/>
        <v>9</v>
      </c>
      <c r="BS148" s="43">
        <f t="shared" si="199"/>
        <v>9</v>
      </c>
      <c r="BT148" s="43">
        <f t="shared" si="200"/>
        <v>9</v>
      </c>
      <c r="BW148" s="615" t="str">
        <f>D148</f>
        <v>Mat 07</v>
      </c>
      <c r="BX148" s="615"/>
      <c r="BY148" s="615"/>
      <c r="BZ148" s="615"/>
      <c r="CA148" s="615"/>
      <c r="CB148" s="615"/>
    </row>
    <row r="149" spans="1:81" x14ac:dyDescent="0.25">
      <c r="A149">
        <v>141</v>
      </c>
      <c r="B149" t="str">
        <f t="shared" ref="B149:B151" si="374">$D$148&amp;D149</f>
        <v>Mat 07a</v>
      </c>
      <c r="C149" t="str">
        <f t="shared" si="344"/>
        <v>Mat 07</v>
      </c>
      <c r="D149" s="146" t="s">
        <v>692</v>
      </c>
      <c r="E149" s="930" t="s">
        <v>1010</v>
      </c>
      <c r="F149" s="668">
        <v>1</v>
      </c>
      <c r="G149" s="668">
        <v>1</v>
      </c>
      <c r="H149" s="668">
        <v>1</v>
      </c>
      <c r="I149" s="668">
        <v>1</v>
      </c>
      <c r="J149" s="668">
        <v>1</v>
      </c>
      <c r="K149" s="668">
        <v>1</v>
      </c>
      <c r="L149" s="668">
        <v>1</v>
      </c>
      <c r="M149" s="668">
        <v>1</v>
      </c>
      <c r="N149" s="668">
        <v>1</v>
      </c>
      <c r="O149" s="668">
        <v>1</v>
      </c>
      <c r="P149" s="668">
        <v>1</v>
      </c>
      <c r="Q149" s="668">
        <v>1</v>
      </c>
      <c r="R149" s="668">
        <v>1</v>
      </c>
      <c r="T149" s="148">
        <f t="shared" si="298"/>
        <v>1</v>
      </c>
      <c r="U149" s="167"/>
      <c r="V149" s="48"/>
      <c r="W149" s="48"/>
      <c r="X149" s="48"/>
      <c r="Y149" s="744"/>
      <c r="Z149" s="147">
        <f>VLOOKUP(B149,'Manuell filtrering og justering'!$A$7:$H$253,'Manuell filtrering og justering'!$H$1,FALSE)</f>
        <v>1</v>
      </c>
      <c r="AA149" s="148">
        <f t="shared" si="300"/>
        <v>0</v>
      </c>
      <c r="AB149" s="149">
        <f>IF($AC$5='Manuell filtrering og justering'!$J$2,Z149,(T149-AA149))</f>
        <v>1</v>
      </c>
      <c r="AD149" s="150">
        <f t="shared" si="301"/>
        <v>8.0952380952380963E-3</v>
      </c>
      <c r="AE149" s="150">
        <f t="shared" si="312"/>
        <v>0</v>
      </c>
      <c r="AF149" s="150">
        <f t="shared" si="313"/>
        <v>0</v>
      </c>
      <c r="AG149" s="150">
        <f t="shared" si="314"/>
        <v>0</v>
      </c>
      <c r="AI149" s="151">
        <f>IF(VLOOKUP(E149,'Pre-Assessment Estimator'!$F$11:$AA$226,'Pre-Assessment Estimator'!$H$2,FALSE)&gt;AB149,AB149,VLOOKUP(E149,'Pre-Assessment Estimator'!$F$11:$AA$226,'Pre-Assessment Estimator'!$H$2,FALSE))</f>
        <v>0</v>
      </c>
      <c r="AJ149" s="151">
        <f>IF(VLOOKUP(E149,'Pre-Assessment Estimator'!$F$11:$AA$226,'Pre-Assessment Estimator'!$O$2,FALSE)&gt;AB149,AB149,VLOOKUP(E149,'Pre-Assessment Estimator'!$F$11:$AA$226,'Pre-Assessment Estimator'!$O$2,FALSE))</f>
        <v>0</v>
      </c>
      <c r="AK149" s="151">
        <f>IF(VLOOKUP(E149,'Pre-Assessment Estimator'!$F$11:$AA$226,'Pre-Assessment Estimator'!$V$2,FALSE)&gt;AB149,AB149,VLOOKUP(E149,'Pre-Assessment Estimator'!$F$11:$AA$226,'Pre-Assessment Estimator'!$V$2,FALSE))</f>
        <v>0</v>
      </c>
      <c r="AM149" s="742"/>
      <c r="AN149" s="743"/>
      <c r="AO149" s="743"/>
      <c r="AP149" s="743"/>
      <c r="AQ149" s="735"/>
      <c r="AR149" s="123"/>
      <c r="AS149" s="742"/>
      <c r="AT149" s="743"/>
      <c r="AU149" s="743"/>
      <c r="AV149" s="743"/>
      <c r="AW149" s="735"/>
      <c r="AY149" s="167"/>
      <c r="AZ149" s="48"/>
      <c r="BA149" s="48"/>
      <c r="BB149" s="48"/>
      <c r="BC149" s="739"/>
      <c r="BD149" s="160">
        <f t="shared" si="371"/>
        <v>9</v>
      </c>
      <c r="BE149" s="45" t="str">
        <f t="shared" si="308"/>
        <v>N/A</v>
      </c>
      <c r="BF149" s="163"/>
      <c r="BG149" s="160">
        <f t="shared" si="372"/>
        <v>9</v>
      </c>
      <c r="BH149" s="45" t="str">
        <f t="shared" si="310"/>
        <v>N/A</v>
      </c>
      <c r="BI149" s="163"/>
      <c r="BJ149" s="160">
        <f t="shared" si="373"/>
        <v>9</v>
      </c>
      <c r="BK149" s="45" t="str">
        <f t="shared" si="311"/>
        <v>N/A</v>
      </c>
      <c r="BL149" s="739"/>
      <c r="BO149" s="43"/>
      <c r="BP149" s="43"/>
      <c r="BQ149" s="43"/>
      <c r="BR149" s="43">
        <f t="shared" si="198"/>
        <v>9</v>
      </c>
      <c r="BS149" s="43">
        <f t="shared" si="199"/>
        <v>9</v>
      </c>
      <c r="BT149" s="43">
        <f t="shared" si="200"/>
        <v>9</v>
      </c>
      <c r="BW149" s="615"/>
      <c r="BX149" s="615"/>
      <c r="BY149" s="615"/>
      <c r="BZ149" s="615"/>
      <c r="CA149" s="615"/>
      <c r="CB149" s="615"/>
    </row>
    <row r="150" spans="1:81" x14ac:dyDescent="0.25">
      <c r="A150">
        <v>142</v>
      </c>
      <c r="B150" t="str">
        <f t="shared" si="374"/>
        <v>Mat 07b</v>
      </c>
      <c r="C150" t="str">
        <f t="shared" si="344"/>
        <v>Mat 07</v>
      </c>
      <c r="D150" s="146" t="s">
        <v>695</v>
      </c>
      <c r="E150" s="1040" t="s">
        <v>1061</v>
      </c>
      <c r="F150" s="668">
        <v>1</v>
      </c>
      <c r="G150" s="668">
        <v>1</v>
      </c>
      <c r="H150" s="668">
        <v>1</v>
      </c>
      <c r="I150" s="668">
        <v>1</v>
      </c>
      <c r="J150" s="668">
        <v>1</v>
      </c>
      <c r="K150" s="668">
        <v>1</v>
      </c>
      <c r="L150" s="668">
        <v>1</v>
      </c>
      <c r="M150" s="668">
        <v>1</v>
      </c>
      <c r="N150" s="668">
        <v>1</v>
      </c>
      <c r="O150" s="668">
        <v>1</v>
      </c>
      <c r="P150" s="668">
        <v>1</v>
      </c>
      <c r="Q150" s="668">
        <v>1</v>
      </c>
      <c r="R150" s="668">
        <v>1</v>
      </c>
      <c r="T150" s="148">
        <f t="shared" si="298"/>
        <v>1</v>
      </c>
      <c r="U150" s="167"/>
      <c r="V150" s="48"/>
      <c r="W150" s="48"/>
      <c r="X150" s="48"/>
      <c r="Y150" s="744"/>
      <c r="Z150" s="147">
        <f>VLOOKUP(B150,'Manuell filtrering og justering'!$A$7:$H$253,'Manuell filtrering og justering'!$H$1,FALSE)</f>
        <v>1</v>
      </c>
      <c r="AA150" s="148">
        <f t="shared" si="300"/>
        <v>0</v>
      </c>
      <c r="AB150" s="149">
        <f>IF($AC$5='Manuell filtrering og justering'!$J$2,Z150,(T150-AA150))</f>
        <v>1</v>
      </c>
      <c r="AD150" s="150">
        <f t="shared" si="301"/>
        <v>8.0952380952380963E-3</v>
      </c>
      <c r="AE150" s="150">
        <f t="shared" si="312"/>
        <v>0</v>
      </c>
      <c r="AF150" s="150">
        <f t="shared" si="313"/>
        <v>0</v>
      </c>
      <c r="AG150" s="150">
        <f t="shared" si="314"/>
        <v>0</v>
      </c>
      <c r="AI150" s="151">
        <f>IF(VLOOKUP(E150,'Pre-Assessment Estimator'!$F$11:$AA$226,'Pre-Assessment Estimator'!$H$2,FALSE)&gt;AB150,AB150,VLOOKUP(E150,'Pre-Assessment Estimator'!$F$11:$AA$226,'Pre-Assessment Estimator'!$H$2,FALSE))</f>
        <v>0</v>
      </c>
      <c r="AJ150" s="151">
        <f>IF(VLOOKUP(E150,'Pre-Assessment Estimator'!$F$11:$AA$226,'Pre-Assessment Estimator'!$O$2,FALSE)&gt;AB150,AB150,VLOOKUP(E150,'Pre-Assessment Estimator'!$F$11:$AA$226,'Pre-Assessment Estimator'!$O$2,FALSE))</f>
        <v>0</v>
      </c>
      <c r="AK150" s="151">
        <f>IF(VLOOKUP(E150,'Pre-Assessment Estimator'!$F$11:$AA$226,'Pre-Assessment Estimator'!$V$2,FALSE)&gt;AB150,AB150,VLOOKUP(E150,'Pre-Assessment Estimator'!$F$11:$AA$226,'Pre-Assessment Estimator'!$V$2,FALSE))</f>
        <v>0</v>
      </c>
      <c r="AM150" s="742"/>
      <c r="AN150" s="743"/>
      <c r="AO150" s="743"/>
      <c r="AP150" s="743">
        <v>1</v>
      </c>
      <c r="AQ150" s="735">
        <v>1</v>
      </c>
      <c r="AR150" s="123"/>
      <c r="AS150" s="742"/>
      <c r="AT150" s="743"/>
      <c r="AU150" s="743"/>
      <c r="AV150" s="743">
        <v>1</v>
      </c>
      <c r="AW150" s="735">
        <v>1</v>
      </c>
      <c r="AY150" s="167"/>
      <c r="AZ150" s="48"/>
      <c r="BA150" s="48"/>
      <c r="BB150" s="161">
        <f>IF($AB150=0,0,IF($E$6=$H$9,AV150,AP150))</f>
        <v>1</v>
      </c>
      <c r="BC150" s="161">
        <f>IF($AB150=0,0,IF($E$6=$H$9,AW150,AQ150))</f>
        <v>1</v>
      </c>
      <c r="BD150" s="160">
        <f t="shared" si="371"/>
        <v>3</v>
      </c>
      <c r="BE150" s="45" t="str">
        <f t="shared" si="308"/>
        <v>Very Good</v>
      </c>
      <c r="BF150" s="163"/>
      <c r="BG150" s="160">
        <f t="shared" si="372"/>
        <v>3</v>
      </c>
      <c r="BH150" s="45" t="str">
        <f t="shared" si="310"/>
        <v>Very Good</v>
      </c>
      <c r="BI150" s="163"/>
      <c r="BJ150" s="160">
        <f t="shared" si="373"/>
        <v>3</v>
      </c>
      <c r="BK150" s="45" t="str">
        <f t="shared" si="311"/>
        <v>Very Good</v>
      </c>
      <c r="BL150" s="739"/>
      <c r="BO150" s="43"/>
      <c r="BP150" s="43">
        <v>1</v>
      </c>
      <c r="BQ150" s="43">
        <f t="shared" si="342"/>
        <v>1</v>
      </c>
      <c r="BR150" s="43">
        <f t="shared" si="198"/>
        <v>0</v>
      </c>
      <c r="BS150" s="43">
        <f t="shared" si="199"/>
        <v>0</v>
      </c>
      <c r="BT150" s="43">
        <f t="shared" si="200"/>
        <v>0</v>
      </c>
      <c r="BW150" s="615"/>
      <c r="BX150" s="615"/>
      <c r="BY150" s="615"/>
      <c r="BZ150" s="615"/>
      <c r="CA150" s="615"/>
      <c r="CB150" s="615"/>
    </row>
    <row r="151" spans="1:81" ht="15.75" thickBot="1" x14ac:dyDescent="0.3">
      <c r="A151">
        <v>143</v>
      </c>
      <c r="B151" t="str">
        <f t="shared" si="374"/>
        <v>Mat 07c</v>
      </c>
      <c r="C151" t="str">
        <f t="shared" si="344"/>
        <v>Mat 07</v>
      </c>
      <c r="D151" s="168" t="s">
        <v>696</v>
      </c>
      <c r="E151" s="1041" t="s">
        <v>1062</v>
      </c>
      <c r="F151" s="676">
        <v>1</v>
      </c>
      <c r="G151" s="676">
        <v>1</v>
      </c>
      <c r="H151" s="676">
        <v>1</v>
      </c>
      <c r="I151" s="676">
        <v>1</v>
      </c>
      <c r="J151" s="676">
        <v>1</v>
      </c>
      <c r="K151" s="676">
        <v>1</v>
      </c>
      <c r="L151" s="676">
        <v>1</v>
      </c>
      <c r="M151" s="676">
        <v>1</v>
      </c>
      <c r="N151" s="676">
        <v>1</v>
      </c>
      <c r="O151" s="676">
        <v>1</v>
      </c>
      <c r="P151" s="676">
        <v>1</v>
      </c>
      <c r="Q151" s="676">
        <v>1</v>
      </c>
      <c r="R151" s="676">
        <v>1</v>
      </c>
      <c r="T151" s="148">
        <f t="shared" si="298"/>
        <v>1</v>
      </c>
      <c r="U151" s="167"/>
      <c r="V151" s="48"/>
      <c r="W151" s="48"/>
      <c r="X151" s="48"/>
      <c r="Y151" s="744"/>
      <c r="Z151" s="147">
        <f>VLOOKUP(B151,'Manuell filtrering og justering'!$A$7:$H$253,'Manuell filtrering og justering'!$H$1,FALSE)</f>
        <v>1</v>
      </c>
      <c r="AA151" s="148">
        <f t="shared" si="300"/>
        <v>0</v>
      </c>
      <c r="AB151" s="149">
        <f>IF($AC$5='Manuell filtrering og justering'!$J$2,Z151,(T151-AA151))</f>
        <v>1</v>
      </c>
      <c r="AD151" s="150">
        <f t="shared" si="301"/>
        <v>8.0952380952380963E-3</v>
      </c>
      <c r="AE151" s="150">
        <f t="shared" si="312"/>
        <v>0</v>
      </c>
      <c r="AF151" s="150">
        <f t="shared" si="313"/>
        <v>0</v>
      </c>
      <c r="AG151" s="150">
        <f t="shared" si="314"/>
        <v>0</v>
      </c>
      <c r="AI151" s="151">
        <f>IF(VLOOKUP(E151,'Pre-Assessment Estimator'!$F$11:$AA$226,'Pre-Assessment Estimator'!$H$2,FALSE)&gt;AB151,AB151,VLOOKUP(E151,'Pre-Assessment Estimator'!$F$11:$AA$226,'Pre-Assessment Estimator'!$H$2,FALSE))</f>
        <v>0</v>
      </c>
      <c r="AJ151" s="151">
        <f>IF(VLOOKUP(E151,'Pre-Assessment Estimator'!$F$11:$AA$226,'Pre-Assessment Estimator'!$O$2,FALSE)&gt;AB151,AB151,VLOOKUP(E151,'Pre-Assessment Estimator'!$F$11:$AA$226,'Pre-Assessment Estimator'!$O$2,FALSE))</f>
        <v>0</v>
      </c>
      <c r="AK151" s="151">
        <f>IF(VLOOKUP(E151,'Pre-Assessment Estimator'!$F$11:$AA$226,'Pre-Assessment Estimator'!$V$2,FALSE)&gt;AB151,AB151,VLOOKUP(E151,'Pre-Assessment Estimator'!$F$11:$AA$226,'Pre-Assessment Estimator'!$V$2,FALSE))</f>
        <v>0</v>
      </c>
      <c r="AM151" s="742"/>
      <c r="AN151" s="743"/>
      <c r="AO151" s="743"/>
      <c r="AP151" s="743">
        <v>1</v>
      </c>
      <c r="AQ151" s="735">
        <v>1</v>
      </c>
      <c r="AR151" s="123"/>
      <c r="AS151" s="742"/>
      <c r="AT151" s="743"/>
      <c r="AU151" s="743"/>
      <c r="AV151" s="743">
        <v>1</v>
      </c>
      <c r="AW151" s="735">
        <v>1</v>
      </c>
      <c r="AY151" s="167"/>
      <c r="AZ151" s="48"/>
      <c r="BA151" s="48"/>
      <c r="BB151" s="161">
        <f>IF($AB151=0,0,IF($E$6=$H$9,AV151,AP151))</f>
        <v>1</v>
      </c>
      <c r="BC151" s="161">
        <f>IF($AB151=0,0,IF($E$6=$H$9,AW151,AQ151))</f>
        <v>1</v>
      </c>
      <c r="BD151" s="160">
        <f t="shared" si="371"/>
        <v>3</v>
      </c>
      <c r="BE151" s="45" t="str">
        <f t="shared" si="308"/>
        <v>Very Good</v>
      </c>
      <c r="BF151" s="163"/>
      <c r="BG151" s="160">
        <f t="shared" si="372"/>
        <v>3</v>
      </c>
      <c r="BH151" s="45" t="str">
        <f t="shared" si="310"/>
        <v>Very Good</v>
      </c>
      <c r="BI151" s="163"/>
      <c r="BJ151" s="160">
        <f t="shared" si="373"/>
        <v>3</v>
      </c>
      <c r="BK151" s="45" t="str">
        <f t="shared" si="311"/>
        <v>Very Good</v>
      </c>
      <c r="BL151" s="739"/>
      <c r="BO151" s="43"/>
      <c r="BP151" s="43">
        <v>1</v>
      </c>
      <c r="BQ151" s="43">
        <f t="shared" si="342"/>
        <v>1</v>
      </c>
      <c r="BR151" s="43">
        <f t="shared" si="198"/>
        <v>0</v>
      </c>
      <c r="BS151" s="43">
        <f t="shared" si="199"/>
        <v>0</v>
      </c>
      <c r="BT151" s="43">
        <f t="shared" si="200"/>
        <v>0</v>
      </c>
      <c r="BW151" s="615"/>
      <c r="BX151" s="615"/>
      <c r="BY151" s="615"/>
      <c r="BZ151" s="615"/>
      <c r="CA151" s="615"/>
      <c r="CB151" s="615"/>
    </row>
    <row r="152" spans="1:81" ht="15.75" thickBot="1" x14ac:dyDescent="0.3">
      <c r="A152">
        <v>144</v>
      </c>
      <c r="B152" t="s">
        <v>886</v>
      </c>
      <c r="D152" s="617"/>
      <c r="E152" s="616" t="s">
        <v>213</v>
      </c>
      <c r="F152" s="673">
        <f>F126+F130+F134+F138+F144+F148</f>
        <v>21</v>
      </c>
      <c r="G152" s="673">
        <f t="shared" ref="G152:R152" si="375">G126+G130+G134+G138+G144+G148</f>
        <v>21</v>
      </c>
      <c r="H152" s="673">
        <f t="shared" si="375"/>
        <v>21</v>
      </c>
      <c r="I152" s="673">
        <f t="shared" si="375"/>
        <v>21</v>
      </c>
      <c r="J152" s="673">
        <f t="shared" si="375"/>
        <v>21</v>
      </c>
      <c r="K152" s="673">
        <f t="shared" si="375"/>
        <v>21</v>
      </c>
      <c r="L152" s="673">
        <f t="shared" si="375"/>
        <v>21</v>
      </c>
      <c r="M152" s="673">
        <f t="shared" si="375"/>
        <v>21</v>
      </c>
      <c r="N152" s="673">
        <f t="shared" si="375"/>
        <v>21</v>
      </c>
      <c r="O152" s="673">
        <f t="shared" si="375"/>
        <v>21</v>
      </c>
      <c r="P152" s="673">
        <f t="shared" si="375"/>
        <v>21</v>
      </c>
      <c r="Q152" s="673">
        <f t="shared" ref="Q152" si="376">Q126+Q130+Q134+Q138+Q144+Q148</f>
        <v>21</v>
      </c>
      <c r="R152" s="673">
        <f t="shared" si="375"/>
        <v>21</v>
      </c>
      <c r="T152" s="195">
        <f t="shared" si="298"/>
        <v>21</v>
      </c>
      <c r="U152" s="176"/>
      <c r="V152" s="177"/>
      <c r="W152" s="177"/>
      <c r="X152" s="177"/>
      <c r="Y152" s="178"/>
      <c r="Z152" s="178"/>
      <c r="AA152" s="673">
        <f t="shared" ref="AA152:AG152" si="377">AA126+AA130+AA134+AA138+AA144+AA148</f>
        <v>0</v>
      </c>
      <c r="AB152" s="673">
        <f t="shared" si="377"/>
        <v>21</v>
      </c>
      <c r="AD152" s="180">
        <f t="shared" si="377"/>
        <v>0.17000000000000004</v>
      </c>
      <c r="AE152" s="180">
        <f t="shared" si="377"/>
        <v>0</v>
      </c>
      <c r="AF152" s="180">
        <f t="shared" si="377"/>
        <v>0</v>
      </c>
      <c r="AG152" s="180">
        <f t="shared" si="377"/>
        <v>0</v>
      </c>
      <c r="AI152" s="72">
        <f t="shared" ref="AI152:AK152" si="378">AI126+AI130+AI134+AI138+AI144+AI148</f>
        <v>0</v>
      </c>
      <c r="AJ152" s="72">
        <f t="shared" si="378"/>
        <v>0</v>
      </c>
      <c r="AK152" s="72">
        <f t="shared" si="378"/>
        <v>0</v>
      </c>
      <c r="AM152" s="123"/>
      <c r="AN152" s="123"/>
      <c r="AO152" s="123"/>
      <c r="AP152" s="123"/>
      <c r="AQ152" s="123"/>
      <c r="AR152" s="123"/>
      <c r="AS152" s="123"/>
      <c r="AT152" s="123"/>
      <c r="AU152" s="123"/>
      <c r="AV152" s="123"/>
      <c r="AW152" s="123"/>
      <c r="AZ152" s="181"/>
      <c r="BW152" s="50"/>
      <c r="BX152" s="50" t="str">
        <f>IFERROR(VLOOKUP($E152,'Pre-Assessment Estimator'!$F$11:$AC$226,'Pre-Assessment Estimator'!AC$2,FALSE),"")</f>
        <v/>
      </c>
      <c r="BY152" s="50" t="str">
        <f>IFERROR(VLOOKUP($E152,'Pre-Assessment Estimator'!$F$11:$AJ$226,'Pre-Assessment Estimator'!AJ$2,FALSE),"")</f>
        <v/>
      </c>
      <c r="BZ152" s="50" t="str">
        <f t="shared" ref="BZ152:CA155" si="379">IFERROR(VLOOKUP($BX152,$E$293:$H$326,F$291,FALSE),"")</f>
        <v/>
      </c>
      <c r="CA152" s="50" t="str">
        <f t="shared" si="379"/>
        <v/>
      </c>
      <c r="CB152" s="50"/>
      <c r="CC152" t="str">
        <f>IFERROR(VLOOKUP($BX152,$E$293:$H$326,I$291,FALSE),"")</f>
        <v/>
      </c>
    </row>
    <row r="153" spans="1:81" ht="15.75" thickBot="1" x14ac:dyDescent="0.3">
      <c r="A153">
        <v>145</v>
      </c>
      <c r="AI153" s="1"/>
      <c r="AJ153" s="1"/>
      <c r="AK153" s="1"/>
      <c r="AM153" s="123"/>
      <c r="AN153" s="123"/>
      <c r="AO153" s="123"/>
      <c r="AP153" s="123"/>
      <c r="AQ153" s="123"/>
      <c r="AR153" s="123"/>
      <c r="AS153" s="123"/>
      <c r="AT153" s="123"/>
      <c r="AU153" s="123"/>
      <c r="AV153" s="123"/>
      <c r="AW153" s="123"/>
      <c r="BX153" t="str">
        <f>IFERROR(VLOOKUP($E153,'Pre-Assessment Estimator'!$F$11:$AC$226,'Pre-Assessment Estimator'!AC$2,FALSE),"")</f>
        <v/>
      </c>
      <c r="BY153" t="str">
        <f>IFERROR(VLOOKUP($E153,'Pre-Assessment Estimator'!$F$11:$AJ$226,'Pre-Assessment Estimator'!AJ$2,FALSE),"")</f>
        <v/>
      </c>
      <c r="BZ153" t="str">
        <f t="shared" si="379"/>
        <v/>
      </c>
      <c r="CA153" t="str">
        <f t="shared" si="379"/>
        <v/>
      </c>
      <c r="CC153" t="str">
        <f>IFERROR(VLOOKUP($BX153,$E$293:$H$326,I$291,FALSE),"")</f>
        <v/>
      </c>
    </row>
    <row r="154" spans="1:81" ht="60.75" thickBot="1" x14ac:dyDescent="0.3">
      <c r="A154">
        <v>146</v>
      </c>
      <c r="D154" s="127"/>
      <c r="E154" s="47" t="s">
        <v>68</v>
      </c>
      <c r="F154" s="1028" t="str">
        <f>$F$9</f>
        <v>Office</v>
      </c>
      <c r="G154" s="1028" t="str">
        <f>$G$9</f>
        <v>Retail</v>
      </c>
      <c r="H154" s="1032" t="str">
        <f>$H$9</f>
        <v>Residential</v>
      </c>
      <c r="I154" s="1028" t="str">
        <f>$I$9</f>
        <v>Industrial</v>
      </c>
      <c r="J154" s="1030" t="str">
        <f>$J$9</f>
        <v>Healthcare</v>
      </c>
      <c r="K154" s="1030" t="str">
        <f>$K$9</f>
        <v>Prison</v>
      </c>
      <c r="L154" s="1030" t="str">
        <f>$L$9</f>
        <v>Law Court</v>
      </c>
      <c r="M154" s="1034" t="str">
        <f>$M$9</f>
        <v>Residential institution (long term stay)</v>
      </c>
      <c r="N154" s="796" t="str">
        <f>$N$9</f>
        <v>Residential institution (short term stay)</v>
      </c>
      <c r="O154" s="796" t="str">
        <f>$O$9</f>
        <v>Non-residential institution</v>
      </c>
      <c r="P154" s="796" t="str">
        <f>$P$9</f>
        <v>Assembly and leisure</v>
      </c>
      <c r="Q154" s="1030" t="str">
        <f>$Q$9</f>
        <v>Education</v>
      </c>
      <c r="R154" s="747" t="str">
        <f>$R$9</f>
        <v>Other</v>
      </c>
      <c r="T154" s="122" t="str">
        <f>$E$6</f>
        <v>Office</v>
      </c>
      <c r="U154" s="182"/>
      <c r="V154" s="183"/>
      <c r="W154" s="183"/>
      <c r="X154" s="183"/>
      <c r="Y154" s="964" t="s">
        <v>411</v>
      </c>
      <c r="Z154" s="304" t="s">
        <v>334</v>
      </c>
      <c r="AA154" s="131" t="s">
        <v>213</v>
      </c>
      <c r="AB154" s="53" t="s">
        <v>14</v>
      </c>
      <c r="AI154" s="36"/>
      <c r="AJ154" s="54"/>
      <c r="AK154" s="54"/>
      <c r="AM154" s="123"/>
      <c r="AN154" s="123"/>
      <c r="AO154" s="123"/>
      <c r="AP154" s="123"/>
      <c r="AQ154" s="123"/>
      <c r="AR154" s="123"/>
      <c r="AS154" s="123"/>
      <c r="AT154" s="123"/>
      <c r="AU154" s="123"/>
      <c r="AV154" s="123"/>
      <c r="AW154" s="123"/>
      <c r="BO154" s="54"/>
      <c r="BP154" s="54"/>
      <c r="BQ154" s="54"/>
      <c r="BR154" s="54"/>
      <c r="BS154" s="54"/>
      <c r="BT154" s="54"/>
      <c r="BW154" s="47"/>
      <c r="BX154" s="47" t="str">
        <f>E154</f>
        <v>Waste</v>
      </c>
      <c r="BY154" s="47">
        <f>IFERROR(VLOOKUP($E154,'Pre-Assessment Estimator'!$F$11:$AJ$226,'Pre-Assessment Estimator'!AJ$2,FALSE),"")</f>
        <v>0</v>
      </c>
      <c r="BZ154" s="47" t="str">
        <f t="shared" si="379"/>
        <v/>
      </c>
      <c r="CA154" s="47" t="str">
        <f t="shared" si="379"/>
        <v/>
      </c>
      <c r="CB154" s="47"/>
      <c r="CC154" t="str">
        <f>IFERROR(VLOOKUP($BX154,$E$293:$H$326,I$291,FALSE),"")</f>
        <v/>
      </c>
    </row>
    <row r="155" spans="1:81" x14ac:dyDescent="0.25">
      <c r="A155">
        <v>147</v>
      </c>
      <c r="B155" s="121" t="str">
        <f>D155</f>
        <v>Wst 01</v>
      </c>
      <c r="C155" s="121" t="str">
        <f>B155</f>
        <v>Wst 01</v>
      </c>
      <c r="D155" s="726" t="s">
        <v>176</v>
      </c>
      <c r="E155" s="724" t="s">
        <v>158</v>
      </c>
      <c r="F155" s="811">
        <f>SUM(F156:F158)</f>
        <v>5</v>
      </c>
      <c r="G155" s="811">
        <f t="shared" ref="G155:R155" si="380">SUM(G156:G158)</f>
        <v>5</v>
      </c>
      <c r="H155" s="811">
        <f t="shared" si="380"/>
        <v>5</v>
      </c>
      <c r="I155" s="811">
        <f t="shared" si="380"/>
        <v>5</v>
      </c>
      <c r="J155" s="811">
        <f t="shared" si="380"/>
        <v>5</v>
      </c>
      <c r="K155" s="811">
        <f t="shared" si="380"/>
        <v>5</v>
      </c>
      <c r="L155" s="811">
        <f t="shared" si="380"/>
        <v>5</v>
      </c>
      <c r="M155" s="811">
        <f t="shared" si="380"/>
        <v>5</v>
      </c>
      <c r="N155" s="811">
        <f t="shared" si="380"/>
        <v>5</v>
      </c>
      <c r="O155" s="811">
        <f t="shared" si="380"/>
        <v>5</v>
      </c>
      <c r="P155" s="811">
        <f t="shared" si="380"/>
        <v>5</v>
      </c>
      <c r="Q155" s="811">
        <f t="shared" ref="Q155" si="381">SUM(Q156:Q158)</f>
        <v>5</v>
      </c>
      <c r="R155" s="811">
        <f t="shared" si="380"/>
        <v>5</v>
      </c>
      <c r="T155" s="829">
        <f>HLOOKUP($E$6,$F$9:$R$231,$A155,FALSE)</f>
        <v>5</v>
      </c>
      <c r="U155" s="191"/>
      <c r="V155" s="61"/>
      <c r="W155" s="61"/>
      <c r="X155" s="61">
        <f>'Manuell filtrering og justering'!E68</f>
        <v>0</v>
      </c>
      <c r="Y155" s="61"/>
      <c r="Z155" s="811">
        <f t="shared" ref="Z155" si="382">SUM(Z156:Z158)</f>
        <v>5</v>
      </c>
      <c r="AA155" s="831">
        <f>IF(SUM(U155:Y155)&gt;T155,T155,SUM(U155:Y155))</f>
        <v>0</v>
      </c>
      <c r="AB155" s="883">
        <f>SUM(AB156:AB158)</f>
        <v>5</v>
      </c>
      <c r="AD155" s="150">
        <f t="shared" ref="AD155:AD165" si="383">(Wst_Weight/Wst_Credits)*AB155</f>
        <v>0.05</v>
      </c>
      <c r="AE155" s="799">
        <f>SUM(AE156:AE158)</f>
        <v>0</v>
      </c>
      <c r="AF155" s="799">
        <f t="shared" ref="AF155" si="384">SUM(AF156:AF158)</f>
        <v>0</v>
      </c>
      <c r="AG155" s="799">
        <f t="shared" ref="AG155" si="385">SUM(AG156:AG158)</f>
        <v>0</v>
      </c>
      <c r="AI155" s="811">
        <f t="shared" ref="AI155" si="386">SUM(AI156:AI158)</f>
        <v>0</v>
      </c>
      <c r="AJ155" s="811">
        <f t="shared" ref="AJ155" si="387">SUM(AJ156:AJ158)</f>
        <v>0</v>
      </c>
      <c r="AK155" s="811">
        <f t="shared" ref="AK155" si="388">SUM(AK156:AK158)</f>
        <v>0</v>
      </c>
      <c r="AM155" s="258"/>
      <c r="AN155" s="259"/>
      <c r="AO155" s="259"/>
      <c r="AP155" s="259"/>
      <c r="AQ155" s="260"/>
      <c r="AR155" s="123"/>
      <c r="AS155" s="258"/>
      <c r="AT155" s="259"/>
      <c r="AU155" s="259"/>
      <c r="AV155" s="259"/>
      <c r="AW155" s="260"/>
      <c r="AY155" s="153"/>
      <c r="AZ155" s="154"/>
      <c r="BA155" s="154"/>
      <c r="BB155" s="154"/>
      <c r="BC155" s="197"/>
      <c r="BD155" s="153">
        <f t="shared" si="60"/>
        <v>9</v>
      </c>
      <c r="BE155" s="45" t="str">
        <f t="shared" ref="BE155:BE165" si="389">VLOOKUP(BD155,$BO$284:$BT$290,6,FALSE)</f>
        <v>N/A</v>
      </c>
      <c r="BF155" s="157"/>
      <c r="BG155" s="153">
        <f>IF(BC155=0,9,IF(AJ155&gt;=BC155,5,IF(AJ155&gt;=BB155,4,IF(AJ155&gt;=BA155,3,IF(AJ155&gt;=AZ155,2,IF(AJ155&lt;AY155,0,1))))))</f>
        <v>9</v>
      </c>
      <c r="BH155" s="45" t="str">
        <f t="shared" ref="BH155:BH165" si="390">VLOOKUP(BG155,$BO$284:$BT$290,6,FALSE)</f>
        <v>N/A</v>
      </c>
      <c r="BI155" s="157"/>
      <c r="BJ155" s="153">
        <f t="shared" si="28"/>
        <v>9</v>
      </c>
      <c r="BK155" s="45" t="str">
        <f t="shared" ref="BK155:BK165" si="391">VLOOKUP(BJ155,$BO$284:$BT$290,6,FALSE)</f>
        <v>N/A</v>
      </c>
      <c r="BL155" s="157"/>
      <c r="BO155" s="43"/>
      <c r="BP155" s="43"/>
      <c r="BQ155" s="43" t="str">
        <f t="shared" si="342"/>
        <v/>
      </c>
      <c r="BR155" s="43">
        <f t="shared" si="198"/>
        <v>9</v>
      </c>
      <c r="BS155" s="43">
        <f t="shared" si="199"/>
        <v>9</v>
      </c>
      <c r="BT155" s="43">
        <f t="shared" si="200"/>
        <v>9</v>
      </c>
      <c r="BW155" s="45" t="str">
        <f>D155</f>
        <v>Wst 01</v>
      </c>
      <c r="BX155" s="45" t="str">
        <f>IFERROR(VLOOKUP($E155,'Pre-Assessment Estimator'!$F$11:$AC$226,'Pre-Assessment Estimator'!AC$2,FALSE),"")</f>
        <v>N/A</v>
      </c>
      <c r="BY155" s="45">
        <f>IFERROR(VLOOKUP($E155,'Pre-Assessment Estimator'!$F$11:$AJ$226,'Pre-Assessment Estimator'!AJ$2,FALSE),"")</f>
        <v>0</v>
      </c>
      <c r="BZ155" s="45">
        <f t="shared" si="379"/>
        <v>1</v>
      </c>
      <c r="CA155" s="45">
        <f t="shared" si="379"/>
        <v>0</v>
      </c>
      <c r="CB155" s="45"/>
      <c r="CC155" t="s">
        <v>429</v>
      </c>
    </row>
    <row r="156" spans="1:81" x14ac:dyDescent="0.25">
      <c r="A156">
        <v>148</v>
      </c>
      <c r="B156" t="str">
        <f t="shared" ref="B156:B158" si="392">$D$155&amp;D156</f>
        <v>Wst 01a</v>
      </c>
      <c r="C156" t="str">
        <f t="shared" si="344"/>
        <v>Wst 01</v>
      </c>
      <c r="D156" s="144" t="s">
        <v>692</v>
      </c>
      <c r="E156" s="930" t="s">
        <v>664</v>
      </c>
      <c r="F156" s="816">
        <v>1</v>
      </c>
      <c r="G156" s="816">
        <v>1</v>
      </c>
      <c r="H156" s="816">
        <v>1</v>
      </c>
      <c r="I156" s="816">
        <v>1</v>
      </c>
      <c r="J156" s="816">
        <v>1</v>
      </c>
      <c r="K156" s="816">
        <v>1</v>
      </c>
      <c r="L156" s="816">
        <v>1</v>
      </c>
      <c r="M156" s="816">
        <v>1</v>
      </c>
      <c r="N156" s="816">
        <v>1</v>
      </c>
      <c r="O156" s="816">
        <v>1</v>
      </c>
      <c r="P156" s="816">
        <v>1</v>
      </c>
      <c r="Q156" s="816">
        <v>1</v>
      </c>
      <c r="R156" s="816">
        <v>1</v>
      </c>
      <c r="T156" s="148">
        <f>HLOOKUP($E$6,$F$9:$R$231,$A156,FALSE)</f>
        <v>1</v>
      </c>
      <c r="U156" s="146"/>
      <c r="V156" s="43"/>
      <c r="W156" s="43"/>
      <c r="X156" s="43"/>
      <c r="Y156" s="147"/>
      <c r="Z156" s="147">
        <f>VLOOKUP(B156,'Manuell filtrering og justering'!$A$7:$H$253,'Manuell filtrering og justering'!$H$1,FALSE)</f>
        <v>1</v>
      </c>
      <c r="AA156" s="148">
        <f>IF(SUM(U156:Y156)&gt;T156,T156,SUM(U156:Y156))</f>
        <v>0</v>
      </c>
      <c r="AB156" s="149">
        <f>IF($AC$5='Manuell filtrering og justering'!$J$2,Z156,(T156-AA156))</f>
        <v>1</v>
      </c>
      <c r="AD156" s="150">
        <f t="shared" si="383"/>
        <v>0.01</v>
      </c>
      <c r="AE156" s="150">
        <f t="shared" ref="AE156:AE165" si="393">IF(AB156=0,0,(AD156/AB156)*AI156)</f>
        <v>0</v>
      </c>
      <c r="AF156" s="150">
        <f t="shared" ref="AF156:AF165" si="394">IF(AB156=0,0,(AD156/AB156)*AJ156)</f>
        <v>0</v>
      </c>
      <c r="AG156" s="150">
        <f t="shared" ref="AG156:AG165" si="395">IF(AB156=0,0,(AD156/AB156)*AK156)</f>
        <v>0</v>
      </c>
      <c r="AI156" s="151">
        <f>IF(VLOOKUP(E156,'Pre-Assessment Estimator'!$F$11:$AA$226,'Pre-Assessment Estimator'!$H$2,FALSE)&gt;AB156,AB156,VLOOKUP(E156,'Pre-Assessment Estimator'!$F$11:$AA$226,'Pre-Assessment Estimator'!$H$2,FALSE))</f>
        <v>0</v>
      </c>
      <c r="AJ156" s="151">
        <f>IF(VLOOKUP(E156,'Pre-Assessment Estimator'!$F$11:$AA$226,'Pre-Assessment Estimator'!$O$2,FALSE)&gt;AB156,AB156,VLOOKUP(E156,'Pre-Assessment Estimator'!$F$11:$AA$226,'Pre-Assessment Estimator'!$O$2,FALSE))</f>
        <v>0</v>
      </c>
      <c r="AK156" s="151">
        <f>IF(VLOOKUP(E156,'Pre-Assessment Estimator'!$F$11:$AA$226,'Pre-Assessment Estimator'!$V$2,FALSE)&gt;AB156,AB156,VLOOKUP(E156,'Pre-Assessment Estimator'!$F$11:$AA$226,'Pre-Assessment Estimator'!$V$2,FALSE))</f>
        <v>0</v>
      </c>
      <c r="AM156" s="728"/>
      <c r="AN156" s="729"/>
      <c r="AO156" s="729">
        <v>1</v>
      </c>
      <c r="AP156" s="729">
        <v>1</v>
      </c>
      <c r="AQ156" s="730">
        <v>1</v>
      </c>
      <c r="AR156" s="123"/>
      <c r="AS156" s="728"/>
      <c r="AT156" s="729"/>
      <c r="AU156" s="729">
        <v>1</v>
      </c>
      <c r="AV156" s="729">
        <v>1</v>
      </c>
      <c r="AW156" s="730">
        <v>1</v>
      </c>
      <c r="AY156" s="721"/>
      <c r="AZ156" s="722"/>
      <c r="BA156" s="161">
        <f>IF($AB156=0,0,IF($E$6=$H$9,AU156,AO156))</f>
        <v>1</v>
      </c>
      <c r="BB156" s="161">
        <f>IF($AB156=0,0,IF($E$6=$H$9,AV156,AP156))</f>
        <v>1</v>
      </c>
      <c r="BC156" s="161">
        <f>IF($AB156=0,0,IF($E$6=$H$9,AW156,AQ156))</f>
        <v>1</v>
      </c>
      <c r="BD156" s="160">
        <f t="shared" ref="BD156:BD157" si="396">IF(BC156=0,9,IF(AI156&gt;=BC156,5,IF(AI156&gt;=BB156,4,IF(AI156&gt;=BA156,3,IF(AI156&gt;=AZ156,2,IF(AI156&lt;AY156,0,1))))))</f>
        <v>2</v>
      </c>
      <c r="BE156" s="45" t="str">
        <f t="shared" si="389"/>
        <v>Good</v>
      </c>
      <c r="BF156" s="163"/>
      <c r="BG156" s="160">
        <f t="shared" ref="BG156:BG157" si="397">IF(BC156=0,9,IF(AJ156&gt;=BC156,5,IF(AJ156&gt;=BB156,4,IF(AJ156&gt;=BA156,3,IF(AJ156&gt;=AZ156,2,IF(AJ156&lt;AY156,0,1))))))</f>
        <v>2</v>
      </c>
      <c r="BH156" s="45" t="str">
        <f t="shared" si="390"/>
        <v>Good</v>
      </c>
      <c r="BI156" s="163"/>
      <c r="BJ156" s="160">
        <f t="shared" ref="BJ156:BJ157" si="398">IF(BC156=0,9,IF(AK156&gt;=BC156,5,IF(AK156&gt;=BB156,4,IF(AK156&gt;=BA156,3,IF(AK156&gt;=AZ156,2,IF(AK156&lt;AY156,0,1))))))</f>
        <v>2</v>
      </c>
      <c r="BK156" s="45" t="str">
        <f t="shared" si="391"/>
        <v>Good</v>
      </c>
      <c r="BL156" s="723"/>
      <c r="BO156" s="43"/>
      <c r="BP156" s="979">
        <f>1*0</f>
        <v>0</v>
      </c>
      <c r="BQ156" s="43">
        <f t="shared" si="342"/>
        <v>0</v>
      </c>
      <c r="BR156" s="43">
        <f t="shared" si="198"/>
        <v>5</v>
      </c>
      <c r="BS156" s="43">
        <f t="shared" si="199"/>
        <v>5</v>
      </c>
      <c r="BT156" s="43">
        <f t="shared" si="200"/>
        <v>5</v>
      </c>
      <c r="BW156" s="45"/>
      <c r="BX156" s="45"/>
      <c r="BY156" s="45"/>
      <c r="BZ156" s="45"/>
      <c r="CA156" s="45"/>
      <c r="CB156" s="45"/>
    </row>
    <row r="157" spans="1:81" x14ac:dyDescent="0.25">
      <c r="A157">
        <v>149</v>
      </c>
      <c r="B157" t="str">
        <f t="shared" si="392"/>
        <v>Wst 01b</v>
      </c>
      <c r="C157" t="str">
        <f t="shared" si="344"/>
        <v>Wst 01</v>
      </c>
      <c r="D157" s="144" t="s">
        <v>695</v>
      </c>
      <c r="E157" s="930" t="s">
        <v>665</v>
      </c>
      <c r="F157" s="816">
        <v>2</v>
      </c>
      <c r="G157" s="816">
        <v>2</v>
      </c>
      <c r="H157" s="816">
        <v>2</v>
      </c>
      <c r="I157" s="816">
        <v>2</v>
      </c>
      <c r="J157" s="816">
        <v>2</v>
      </c>
      <c r="K157" s="816">
        <v>2</v>
      </c>
      <c r="L157" s="816">
        <v>2</v>
      </c>
      <c r="M157" s="816">
        <v>2</v>
      </c>
      <c r="N157" s="816">
        <v>2</v>
      </c>
      <c r="O157" s="816">
        <v>2</v>
      </c>
      <c r="P157" s="816">
        <v>2</v>
      </c>
      <c r="Q157" s="816">
        <v>2</v>
      </c>
      <c r="R157" s="816">
        <v>2</v>
      </c>
      <c r="T157" s="148">
        <f>HLOOKUP($E$6,$F$9:$R$231,$A157,FALSE)</f>
        <v>2</v>
      </c>
      <c r="U157" s="146"/>
      <c r="V157" s="43"/>
      <c r="W157" s="43"/>
      <c r="X157" s="43"/>
      <c r="Y157" s="147"/>
      <c r="Z157" s="147">
        <f>VLOOKUP(B157,'Manuell filtrering og justering'!$A$7:$H$253,'Manuell filtrering og justering'!$H$1,FALSE)</f>
        <v>2</v>
      </c>
      <c r="AA157" s="148">
        <f>IF(SUM(U157:Y157)&gt;T157,T157,SUM(U157:Y157))</f>
        <v>0</v>
      </c>
      <c r="AB157" s="149">
        <f>IF($AC$5='Manuell filtrering og justering'!$J$2,Z157,(T157-AA157))</f>
        <v>2</v>
      </c>
      <c r="AD157" s="150">
        <f t="shared" si="383"/>
        <v>0.02</v>
      </c>
      <c r="AE157" s="150">
        <f t="shared" si="393"/>
        <v>0</v>
      </c>
      <c r="AF157" s="150">
        <f t="shared" si="394"/>
        <v>0</v>
      </c>
      <c r="AG157" s="150">
        <f t="shared" si="395"/>
        <v>0</v>
      </c>
      <c r="AI157" s="151">
        <f>IF(VLOOKUP(E157,'Pre-Assessment Estimator'!$F$11:$AA$226,'Pre-Assessment Estimator'!$H$2,FALSE)&gt;AB157,AB157,VLOOKUP(E157,'Pre-Assessment Estimator'!$F$11:$AA$226,'Pre-Assessment Estimator'!$H$2,FALSE))</f>
        <v>0</v>
      </c>
      <c r="AJ157" s="151">
        <f>IF(VLOOKUP(E157,'Pre-Assessment Estimator'!$F$11:$AA$226,'Pre-Assessment Estimator'!$O$2,FALSE)&gt;AB157,AB157,VLOOKUP(E157,'Pre-Assessment Estimator'!$F$11:$AA$226,'Pre-Assessment Estimator'!$O$2,FALSE))</f>
        <v>0</v>
      </c>
      <c r="AK157" s="151">
        <f>IF(VLOOKUP(E157,'Pre-Assessment Estimator'!$F$11:$AA$226,'Pre-Assessment Estimator'!$V$2,FALSE)&gt;AB157,AB157,VLOOKUP(E157,'Pre-Assessment Estimator'!$F$11:$AA$226,'Pre-Assessment Estimator'!$V$2,FALSE))</f>
        <v>0</v>
      </c>
      <c r="AM157" s="728"/>
      <c r="AN157" s="729"/>
      <c r="AO157" s="729"/>
      <c r="AP157" s="729"/>
      <c r="AQ157" s="730">
        <v>1</v>
      </c>
      <c r="AR157" s="123"/>
      <c r="AS157" s="728"/>
      <c r="AT157" s="729"/>
      <c r="AU157" s="729"/>
      <c r="AV157" s="729"/>
      <c r="AW157" s="730">
        <v>1</v>
      </c>
      <c r="AY157" s="721"/>
      <c r="AZ157" s="722"/>
      <c r="BA157" s="722"/>
      <c r="BB157" s="722"/>
      <c r="BC157" s="161">
        <f>IF($AB157=0,0,IF($E$6=$H$9,AW157,AQ157))</f>
        <v>1</v>
      </c>
      <c r="BD157" s="160">
        <f t="shared" si="396"/>
        <v>4</v>
      </c>
      <c r="BE157" s="45" t="str">
        <f t="shared" si="389"/>
        <v>Excellent</v>
      </c>
      <c r="BF157" s="163"/>
      <c r="BG157" s="160">
        <f t="shared" si="397"/>
        <v>4</v>
      </c>
      <c r="BH157" s="45" t="str">
        <f t="shared" si="390"/>
        <v>Excellent</v>
      </c>
      <c r="BI157" s="163"/>
      <c r="BJ157" s="160">
        <f t="shared" si="398"/>
        <v>4</v>
      </c>
      <c r="BK157" s="45" t="str">
        <f t="shared" si="391"/>
        <v>Excellent</v>
      </c>
      <c r="BL157" s="723"/>
      <c r="BO157" s="43"/>
      <c r="BP157" s="43"/>
      <c r="BQ157" s="43" t="str">
        <f t="shared" si="342"/>
        <v/>
      </c>
      <c r="BR157" s="43">
        <f t="shared" si="198"/>
        <v>9</v>
      </c>
      <c r="BS157" s="43">
        <f t="shared" si="199"/>
        <v>9</v>
      </c>
      <c r="BT157" s="43">
        <f t="shared" si="200"/>
        <v>9</v>
      </c>
      <c r="BW157" s="45"/>
      <c r="BX157" s="45"/>
      <c r="BY157" s="45"/>
      <c r="BZ157" s="45"/>
      <c r="CA157" s="45"/>
      <c r="CB157" s="45"/>
    </row>
    <row r="158" spans="1:81" x14ac:dyDescent="0.25">
      <c r="A158">
        <v>150</v>
      </c>
      <c r="B158" t="str">
        <f t="shared" si="392"/>
        <v>Wst 01c</v>
      </c>
      <c r="C158" t="str">
        <f t="shared" si="344"/>
        <v>Wst 01</v>
      </c>
      <c r="D158" s="144" t="s">
        <v>696</v>
      </c>
      <c r="E158" s="930" t="s">
        <v>666</v>
      </c>
      <c r="F158" s="816">
        <v>2</v>
      </c>
      <c r="G158" s="816">
        <v>2</v>
      </c>
      <c r="H158" s="816">
        <v>2</v>
      </c>
      <c r="I158" s="816">
        <v>2</v>
      </c>
      <c r="J158" s="816">
        <v>2</v>
      </c>
      <c r="K158" s="816">
        <v>2</v>
      </c>
      <c r="L158" s="816">
        <v>2</v>
      </c>
      <c r="M158" s="816">
        <v>2</v>
      </c>
      <c r="N158" s="816">
        <v>2</v>
      </c>
      <c r="O158" s="816">
        <v>2</v>
      </c>
      <c r="P158" s="816">
        <v>2</v>
      </c>
      <c r="Q158" s="816">
        <v>2</v>
      </c>
      <c r="R158" s="816">
        <v>2</v>
      </c>
      <c r="T158" s="148">
        <f>HLOOKUP($E$6,$F$9:$R$231,$A158,FALSE)</f>
        <v>2</v>
      </c>
      <c r="U158" s="146"/>
      <c r="V158" s="43"/>
      <c r="W158" s="43"/>
      <c r="X158" s="43"/>
      <c r="Y158" s="147"/>
      <c r="Z158" s="147">
        <f>VLOOKUP(B158,'Manuell filtrering og justering'!$A$7:$H$253,'Manuell filtrering og justering'!$H$1,FALSE)</f>
        <v>2</v>
      </c>
      <c r="AA158" s="148">
        <f>IF(SUM(U158:Y158)&gt;T158,T158,SUM(U158:Y158))</f>
        <v>0</v>
      </c>
      <c r="AB158" s="149">
        <f>IF($AC$5='Manuell filtrering og justering'!$J$2,Z158,(T158-AA158))</f>
        <v>2</v>
      </c>
      <c r="AD158" s="150">
        <f t="shared" si="383"/>
        <v>0.02</v>
      </c>
      <c r="AE158" s="150">
        <f t="shared" si="393"/>
        <v>0</v>
      </c>
      <c r="AF158" s="150">
        <f t="shared" si="394"/>
        <v>0</v>
      </c>
      <c r="AG158" s="150">
        <f t="shared" si="395"/>
        <v>0</v>
      </c>
      <c r="AI158" s="151">
        <f>IF(VLOOKUP(E158,'Pre-Assessment Estimator'!$F$11:$AA$226,'Pre-Assessment Estimator'!$H$2,FALSE)&gt;AB158,AB158,VLOOKUP(E158,'Pre-Assessment Estimator'!$F$11:$AA$226,'Pre-Assessment Estimator'!$H$2,FALSE))</f>
        <v>0</v>
      </c>
      <c r="AJ158" s="151">
        <f>IF(VLOOKUP(E158,'Pre-Assessment Estimator'!$F$11:$AA$226,'Pre-Assessment Estimator'!$O$2,FALSE)&gt;AB158,AB158,VLOOKUP(E158,'Pre-Assessment Estimator'!$F$11:$AA$226,'Pre-Assessment Estimator'!$O$2,FALSE))</f>
        <v>0</v>
      </c>
      <c r="AK158" s="151">
        <f>IF(VLOOKUP(E158,'Pre-Assessment Estimator'!$F$11:$AA$226,'Pre-Assessment Estimator'!$V$2,FALSE)&gt;AB158,AB158,VLOOKUP(E158,'Pre-Assessment Estimator'!$F$11:$AA$226,'Pre-Assessment Estimator'!$V$2,FALSE))</f>
        <v>0</v>
      </c>
      <c r="AM158" s="728"/>
      <c r="AN158" s="729"/>
      <c r="AO158" s="729"/>
      <c r="AP158" s="729">
        <v>2</v>
      </c>
      <c r="AQ158" s="730">
        <v>2</v>
      </c>
      <c r="AR158" s="123"/>
      <c r="AS158" s="728"/>
      <c r="AT158" s="729"/>
      <c r="AU158" s="729"/>
      <c r="AV158" s="729">
        <v>2</v>
      </c>
      <c r="AW158" s="730">
        <v>2</v>
      </c>
      <c r="AY158" s="721"/>
      <c r="AZ158" s="722"/>
      <c r="BA158" s="722"/>
      <c r="BB158" s="161">
        <f>IF($AB158=0,0,IF($E$6=$H$9,AV158,AP158))</f>
        <v>2</v>
      </c>
      <c r="BC158" s="161">
        <f>IF($AB158=0,0,IF($E$6=$H$9,AW158,AQ158))</f>
        <v>2</v>
      </c>
      <c r="BD158" s="954">
        <f>IF(OR(AI158=0,AI158=1),3,IF(AND(AI158=2,BD251=5),5,3))</f>
        <v>3</v>
      </c>
      <c r="BE158" s="45" t="str">
        <f t="shared" si="389"/>
        <v>Very Good</v>
      </c>
      <c r="BF158" s="163"/>
      <c r="BG158" s="954">
        <f>IF(OR(AJ158=0,AJ158=1),3,IF(AND(AJ158=2,BG251=5),5,3))</f>
        <v>3</v>
      </c>
      <c r="BH158" s="45" t="str">
        <f t="shared" si="390"/>
        <v>Very Good</v>
      </c>
      <c r="BI158" s="163"/>
      <c r="BJ158" s="954">
        <f>IF(OR(AK158=0,AK158=1),3,IF(AND(AK158=2,BJ251=5),5,3))</f>
        <v>3</v>
      </c>
      <c r="BK158" s="45" t="str">
        <f t="shared" si="391"/>
        <v>Very Good</v>
      </c>
      <c r="BL158" s="723"/>
      <c r="BO158" s="43"/>
      <c r="BP158" s="979">
        <f>2*0</f>
        <v>0</v>
      </c>
      <c r="BQ158" s="43">
        <f t="shared" si="342"/>
        <v>0</v>
      </c>
      <c r="BR158" s="43">
        <f t="shared" si="198"/>
        <v>5</v>
      </c>
      <c r="BS158" s="43">
        <f t="shared" si="199"/>
        <v>5</v>
      </c>
      <c r="BT158" s="43">
        <f t="shared" si="200"/>
        <v>5</v>
      </c>
      <c r="BW158" s="45"/>
      <c r="BX158" s="45"/>
      <c r="BY158" s="45"/>
      <c r="BZ158" s="45"/>
      <c r="CA158" s="45"/>
      <c r="CB158" s="45"/>
    </row>
    <row r="159" spans="1:81" x14ac:dyDescent="0.25">
      <c r="A159">
        <v>151</v>
      </c>
      <c r="D159" s="609" t="s">
        <v>177</v>
      </c>
      <c r="E159" s="610"/>
      <c r="F159" s="812"/>
      <c r="G159" s="812"/>
      <c r="H159" s="812"/>
      <c r="I159" s="812"/>
      <c r="J159" s="812"/>
      <c r="K159" s="812"/>
      <c r="L159" s="812"/>
      <c r="M159" s="812"/>
      <c r="N159" s="812"/>
      <c r="O159" s="812"/>
      <c r="P159" s="812"/>
      <c r="Q159" s="812"/>
      <c r="R159" s="812"/>
      <c r="T159" s="824"/>
      <c r="U159" s="609"/>
      <c r="V159" s="608"/>
      <c r="W159" s="608"/>
      <c r="X159" s="608"/>
      <c r="Y159" s="147"/>
      <c r="Z159" s="147"/>
      <c r="AA159" s="824"/>
      <c r="AB159" s="825"/>
      <c r="AD159" s="150">
        <f t="shared" si="383"/>
        <v>0</v>
      </c>
      <c r="AE159" s="828"/>
      <c r="AF159" s="828"/>
      <c r="AG159" s="828"/>
      <c r="AI159" s="623"/>
      <c r="AJ159" s="623"/>
      <c r="AK159" s="623"/>
      <c r="AM159" s="251"/>
      <c r="AN159" s="159"/>
      <c r="AO159" s="159"/>
      <c r="AP159" s="159"/>
      <c r="AQ159" s="164"/>
      <c r="AR159" s="123"/>
      <c r="AS159" s="251"/>
      <c r="AT159" s="159"/>
      <c r="AU159" s="159"/>
      <c r="AV159" s="159"/>
      <c r="AW159" s="164"/>
      <c r="AY159" s="160"/>
      <c r="AZ159" s="161"/>
      <c r="BA159" s="161"/>
      <c r="BB159" s="161"/>
      <c r="BC159" s="165"/>
      <c r="BD159" s="160">
        <f t="shared" si="60"/>
        <v>9</v>
      </c>
      <c r="BE159" s="45" t="str">
        <f t="shared" si="389"/>
        <v>N/A</v>
      </c>
      <c r="BF159" s="163"/>
      <c r="BG159" s="160">
        <f>IF(BC159=0,9,IF(AJ159&gt;=BC159,5,IF(AJ159&gt;=BB159,4,IF(AJ159&gt;=BA159,3,IF(AJ159&gt;=AZ159,2,IF(AJ159&lt;AY159,0,1))))))</f>
        <v>9</v>
      </c>
      <c r="BH159" s="45" t="str">
        <f t="shared" si="390"/>
        <v>N/A</v>
      </c>
      <c r="BI159" s="163"/>
      <c r="BJ159" s="160">
        <f t="shared" si="28"/>
        <v>9</v>
      </c>
      <c r="BK159" s="45" t="str">
        <f t="shared" si="391"/>
        <v>N/A</v>
      </c>
      <c r="BL159" s="163"/>
      <c r="BO159" s="43"/>
      <c r="BP159" s="43"/>
      <c r="BQ159" s="43" t="str">
        <f t="shared" si="342"/>
        <v/>
      </c>
      <c r="BR159" s="43">
        <f t="shared" ref="BR159:BR222" si="399">IF(BQ159="",9,(IF(AI159&gt;=BQ159,5,0)))</f>
        <v>9</v>
      </c>
      <c r="BS159" s="43">
        <f t="shared" ref="BS159:BS222" si="400">IF(BQ159="",9,(IF(AJ159&gt;=BQ159,5,0)))</f>
        <v>9</v>
      </c>
      <c r="BT159" s="43">
        <f t="shared" ref="BT159:BT222" si="401">IF(BQ159="",9,(IF(AK159&gt;=BQ159,5,0)))</f>
        <v>9</v>
      </c>
      <c r="BW159" s="248" t="str">
        <f>D159</f>
        <v>Wst 02</v>
      </c>
      <c r="BX159" s="248" t="str">
        <f>IFERROR(VLOOKUP($E159,'Pre-Assessment Estimator'!$F$11:$AC$226,'Pre-Assessment Estimator'!AC$2,FALSE),"")</f>
        <v/>
      </c>
      <c r="BY159" s="248" t="str">
        <f>IFERROR(VLOOKUP($E159,'Pre-Assessment Estimator'!$F$11:$AJ$226,'Pre-Assessment Estimator'!AJ$2,FALSE),"")</f>
        <v/>
      </c>
      <c r="BZ159" s="248" t="str">
        <f>IFERROR(VLOOKUP($BX159,$E$293:$H$326,F$291,FALSE),"")</f>
        <v/>
      </c>
      <c r="CA159" s="248" t="str">
        <f>IFERROR(VLOOKUP($BX159,$E$293:$H$326,G$291,FALSE),"")</f>
        <v/>
      </c>
      <c r="CB159" s="248"/>
      <c r="CC159" t="s">
        <v>429</v>
      </c>
    </row>
    <row r="160" spans="1:81" x14ac:dyDescent="0.25">
      <c r="A160">
        <v>152</v>
      </c>
      <c r="B160" s="121" t="str">
        <f>D160</f>
        <v>Wst 03a</v>
      </c>
      <c r="C160" s="121" t="str">
        <f>B160</f>
        <v>Wst 03a</v>
      </c>
      <c r="D160" s="727" t="s">
        <v>372</v>
      </c>
      <c r="E160" s="725" t="s">
        <v>794</v>
      </c>
      <c r="F160" s="811">
        <f>SUM(F161)</f>
        <v>1</v>
      </c>
      <c r="G160" s="811">
        <f t="shared" ref="G160:R160" si="402">SUM(G161)</f>
        <v>1</v>
      </c>
      <c r="H160" s="811">
        <f t="shared" si="402"/>
        <v>0</v>
      </c>
      <c r="I160" s="811">
        <f t="shared" si="402"/>
        <v>1</v>
      </c>
      <c r="J160" s="811">
        <f t="shared" si="402"/>
        <v>1</v>
      </c>
      <c r="K160" s="811">
        <f t="shared" si="402"/>
        <v>1</v>
      </c>
      <c r="L160" s="811">
        <f t="shared" si="402"/>
        <v>1</v>
      </c>
      <c r="M160" s="811">
        <f t="shared" si="402"/>
        <v>1</v>
      </c>
      <c r="N160" s="811">
        <f t="shared" si="402"/>
        <v>1</v>
      </c>
      <c r="O160" s="811">
        <f t="shared" si="402"/>
        <v>1</v>
      </c>
      <c r="P160" s="811">
        <f t="shared" si="402"/>
        <v>1</v>
      </c>
      <c r="Q160" s="811">
        <f t="shared" si="402"/>
        <v>1</v>
      </c>
      <c r="R160" s="811">
        <f t="shared" si="402"/>
        <v>1</v>
      </c>
      <c r="T160" s="831">
        <f t="shared" ref="T160:T165" si="403">HLOOKUP($E$6,$F$9:$R$231,$A160,FALSE)</f>
        <v>1</v>
      </c>
      <c r="U160" s="191"/>
      <c r="V160" s="61"/>
      <c r="W160" s="61"/>
      <c r="X160" s="61">
        <f>'Manuell filtrering og justering'!E70</f>
        <v>0</v>
      </c>
      <c r="Y160" s="61"/>
      <c r="Z160" s="811">
        <f t="shared" ref="Z160" si="404">SUM(Z161)</f>
        <v>1</v>
      </c>
      <c r="AA160" s="148">
        <f t="shared" ref="AA160:AA165" si="405">IF(SUM(U160:Y160)&gt;T160,T160,SUM(U160:Y160))</f>
        <v>0</v>
      </c>
      <c r="AB160" s="883">
        <f>SUM(AB161)</f>
        <v>1</v>
      </c>
      <c r="AD160" s="150">
        <f t="shared" si="383"/>
        <v>0.01</v>
      </c>
      <c r="AE160" s="799">
        <f>SUM(AE161)</f>
        <v>0</v>
      </c>
      <c r="AF160" s="799">
        <f t="shared" ref="AF160:AG160" si="406">SUM(AF161)</f>
        <v>0</v>
      </c>
      <c r="AG160" s="799">
        <f t="shared" si="406"/>
        <v>0</v>
      </c>
      <c r="AI160" s="811">
        <f t="shared" ref="AI160" si="407">SUM(AI161)</f>
        <v>0</v>
      </c>
      <c r="AJ160" s="811">
        <f t="shared" ref="AJ160" si="408">SUM(AJ161)</f>
        <v>0</v>
      </c>
      <c r="AK160" s="811">
        <f t="shared" ref="AK160" si="409">SUM(AK161)</f>
        <v>0</v>
      </c>
      <c r="AM160" s="252"/>
      <c r="AN160" s="253"/>
      <c r="AO160" s="253"/>
      <c r="AP160" s="253"/>
      <c r="AQ160" s="254"/>
      <c r="AR160" s="123"/>
      <c r="AS160" s="252"/>
      <c r="AT160" s="253"/>
      <c r="AU160" s="253"/>
      <c r="AV160" s="253"/>
      <c r="AW160" s="254"/>
      <c r="AY160" s="146"/>
      <c r="AZ160" s="43"/>
      <c r="BA160" s="43"/>
      <c r="BB160" s="43"/>
      <c r="BC160" s="147"/>
      <c r="BD160" s="160">
        <f t="shared" si="60"/>
        <v>9</v>
      </c>
      <c r="BE160" s="45" t="str">
        <f t="shared" si="389"/>
        <v>N/A</v>
      </c>
      <c r="BF160" s="163"/>
      <c r="BG160" s="160">
        <f t="shared" ref="BG160:BG162" si="410">IF(BC160=0,9,IF(AJ160&gt;=BC160,5,IF(AJ160&gt;=BB160,4,IF(AJ160&gt;=BA160,3,IF(AJ160&gt;=AZ160,2,IF(AJ160&lt;AY160,0,1))))))</f>
        <v>9</v>
      </c>
      <c r="BH160" s="45" t="str">
        <f t="shared" si="390"/>
        <v>N/A</v>
      </c>
      <c r="BI160" s="163"/>
      <c r="BJ160" s="160">
        <f t="shared" si="28"/>
        <v>9</v>
      </c>
      <c r="BK160" s="45" t="str">
        <f t="shared" si="391"/>
        <v>N/A</v>
      </c>
      <c r="BL160" s="163"/>
      <c r="BO160" s="43"/>
      <c r="BP160" s="43"/>
      <c r="BQ160" s="43" t="str">
        <f t="shared" si="342"/>
        <v/>
      </c>
      <c r="BR160" s="43">
        <f t="shared" si="399"/>
        <v>9</v>
      </c>
      <c r="BS160" s="43">
        <f t="shared" si="400"/>
        <v>9</v>
      </c>
      <c r="BT160" s="43">
        <f t="shared" si="401"/>
        <v>9</v>
      </c>
      <c r="BW160" s="43" t="str">
        <f>D160</f>
        <v>Wst 03a</v>
      </c>
      <c r="BX160" s="43" t="str">
        <f>IFERROR(VLOOKUP($E160,'Pre-Assessment Estimator'!$F$11:$AC$226,'Pre-Assessment Estimator'!AC$2,FALSE),"")</f>
        <v>No</v>
      </c>
      <c r="BY160" s="43">
        <f>IFERROR(VLOOKUP($E160,'Pre-Assessment Estimator'!$F$11:$AJ$226,'Pre-Assessment Estimator'!AJ$2,FALSE),"")</f>
        <v>0</v>
      </c>
      <c r="BZ160" s="43">
        <f>IFERROR(VLOOKUP($BX160,$E$293:$H$326,F$291,FALSE),"")</f>
        <v>1</v>
      </c>
      <c r="CA160" s="43">
        <f>IFERROR(VLOOKUP($BX160,$E$293:$H$326,G$291,FALSE),"")</f>
        <v>0</v>
      </c>
      <c r="CB160" s="43"/>
      <c r="CC160" t="str">
        <f>IFERROR(VLOOKUP($BX160,$E$293:$H$326,I$291,FALSE),"")</f>
        <v/>
      </c>
    </row>
    <row r="161" spans="1:81" x14ac:dyDescent="0.25">
      <c r="A161">
        <v>153</v>
      </c>
      <c r="B161" t="str">
        <f t="shared" ref="B161" si="411">$D$160&amp;D161</f>
        <v>Wst 03aa</v>
      </c>
      <c r="C161" t="str">
        <f t="shared" si="344"/>
        <v>Wst 03a</v>
      </c>
      <c r="D161" s="146" t="s">
        <v>692</v>
      </c>
      <c r="E161" s="916" t="s">
        <v>373</v>
      </c>
      <c r="F161" s="668">
        <v>1</v>
      </c>
      <c r="G161" s="668">
        <v>1</v>
      </c>
      <c r="H161" s="864">
        <v>0</v>
      </c>
      <c r="I161" s="668">
        <v>1</v>
      </c>
      <c r="J161" s="668">
        <v>1</v>
      </c>
      <c r="K161" s="668">
        <v>1</v>
      </c>
      <c r="L161" s="668">
        <v>1</v>
      </c>
      <c r="M161" s="668">
        <v>1</v>
      </c>
      <c r="N161" s="668">
        <v>1</v>
      </c>
      <c r="O161" s="668">
        <v>1</v>
      </c>
      <c r="P161" s="668">
        <v>1</v>
      </c>
      <c r="Q161" s="668">
        <v>1</v>
      </c>
      <c r="R161" s="668">
        <v>1</v>
      </c>
      <c r="T161" s="148">
        <f t="shared" si="403"/>
        <v>1</v>
      </c>
      <c r="U161" s="146"/>
      <c r="V161" s="43"/>
      <c r="W161" s="43"/>
      <c r="X161" s="43"/>
      <c r="Y161" s="147"/>
      <c r="Z161" s="147">
        <f>VLOOKUP(B161,'Manuell filtrering og justering'!$A$7:$H$253,'Manuell filtrering og justering'!$H$1,FALSE)</f>
        <v>1</v>
      </c>
      <c r="AA161" s="148">
        <f t="shared" si="405"/>
        <v>0</v>
      </c>
      <c r="AB161" s="149">
        <f>IF($AC$5='Manuell filtrering og justering'!$J$2,Z161,(T161-AA161))</f>
        <v>1</v>
      </c>
      <c r="AD161" s="150">
        <f t="shared" si="383"/>
        <v>0.01</v>
      </c>
      <c r="AE161" s="150">
        <f t="shared" si="393"/>
        <v>0</v>
      </c>
      <c r="AF161" s="150">
        <f t="shared" si="394"/>
        <v>0</v>
      </c>
      <c r="AG161" s="150">
        <f t="shared" si="395"/>
        <v>0</v>
      </c>
      <c r="AI161" s="151">
        <f>IF(VLOOKUP(E161,'Pre-Assessment Estimator'!$F$11:$AA$226,'Pre-Assessment Estimator'!$H$2,FALSE)&gt;AB161,AB161,VLOOKUP(E161,'Pre-Assessment Estimator'!$F$11:$AA$226,'Pre-Assessment Estimator'!$H$2,FALSE))</f>
        <v>0</v>
      </c>
      <c r="AJ161" s="151">
        <f>IF(VLOOKUP(E161,'Pre-Assessment Estimator'!$F$11:$AA$226,'Pre-Assessment Estimator'!$O$2,FALSE)&gt;AB161,AB161,VLOOKUP(E161,'Pre-Assessment Estimator'!$F$11:$AA$226,'Pre-Assessment Estimator'!$O$2,FALSE))</f>
        <v>0</v>
      </c>
      <c r="AK161" s="151">
        <f>IF(VLOOKUP(E161,'Pre-Assessment Estimator'!$F$11:$AA$226,'Pre-Assessment Estimator'!$V$2,FALSE)&gt;AB161,AB161,VLOOKUP(E161,'Pre-Assessment Estimator'!$F$11:$AA$226,'Pre-Assessment Estimator'!$V$2,FALSE))</f>
        <v>0</v>
      </c>
      <c r="AM161" s="742"/>
      <c r="AN161" s="743"/>
      <c r="AO161" s="743"/>
      <c r="AP161" s="743">
        <v>1</v>
      </c>
      <c r="AQ161" s="735">
        <v>1</v>
      </c>
      <c r="AR161" s="123"/>
      <c r="AS161" s="742"/>
      <c r="AT161" s="743"/>
      <c r="AU161" s="743"/>
      <c r="AV161" s="743"/>
      <c r="AW161" s="735"/>
      <c r="AY161" s="167"/>
      <c r="AZ161" s="48"/>
      <c r="BA161" s="48"/>
      <c r="BB161" s="161">
        <f>IF($AB161=0,0,IF($E$6=$H$9,AV161,AP161))</f>
        <v>1</v>
      </c>
      <c r="BC161" s="161">
        <f>IF($AB161=0,0,IF($E$6=$H$9,AW161,AQ161))</f>
        <v>1</v>
      </c>
      <c r="BD161" s="160">
        <f t="shared" si="60"/>
        <v>3</v>
      </c>
      <c r="BE161" s="45" t="str">
        <f t="shared" si="389"/>
        <v>Very Good</v>
      </c>
      <c r="BF161" s="163"/>
      <c r="BG161" s="160">
        <f>IF(BC161=0,9,IF(AJ161&gt;=BC161,5,IF(AJ161&gt;=BB161,4,IF(AJ161&gt;=BA161,3,IF(AJ161&gt;=AZ161,2,IF(AJ161&lt;AY161,0,1))))))</f>
        <v>3</v>
      </c>
      <c r="BH161" s="45" t="str">
        <f t="shared" si="390"/>
        <v>Very Good</v>
      </c>
      <c r="BI161" s="163"/>
      <c r="BJ161" s="160">
        <f t="shared" si="28"/>
        <v>3</v>
      </c>
      <c r="BK161" s="45" t="str">
        <f t="shared" si="391"/>
        <v>Very Good</v>
      </c>
      <c r="BL161" s="739"/>
      <c r="BO161" s="43"/>
      <c r="BP161" s="43"/>
      <c r="BQ161" s="43" t="str">
        <f t="shared" si="342"/>
        <v/>
      </c>
      <c r="BR161" s="43">
        <f t="shared" si="399"/>
        <v>9</v>
      </c>
      <c r="BS161" s="43">
        <f t="shared" si="400"/>
        <v>9</v>
      </c>
      <c r="BT161" s="43">
        <f t="shared" si="401"/>
        <v>9</v>
      </c>
      <c r="BW161" s="43"/>
      <c r="BX161" s="43"/>
      <c r="BY161" s="43"/>
      <c r="BZ161" s="43"/>
      <c r="CA161" s="43"/>
      <c r="CB161" s="43"/>
    </row>
    <row r="162" spans="1:81" x14ac:dyDescent="0.25">
      <c r="A162">
        <v>154</v>
      </c>
      <c r="B162" s="121" t="str">
        <f>D162</f>
        <v>Wst 03b</v>
      </c>
      <c r="C162" s="121" t="str">
        <f>B162</f>
        <v>Wst 03b</v>
      </c>
      <c r="D162" s="727" t="s">
        <v>374</v>
      </c>
      <c r="E162" s="725" t="s">
        <v>795</v>
      </c>
      <c r="F162" s="811">
        <f>F163</f>
        <v>0</v>
      </c>
      <c r="G162" s="811">
        <f t="shared" ref="G162:R162" si="412">G163</f>
        <v>0</v>
      </c>
      <c r="H162" s="811">
        <f t="shared" si="412"/>
        <v>1</v>
      </c>
      <c r="I162" s="811">
        <f t="shared" si="412"/>
        <v>0</v>
      </c>
      <c r="J162" s="811">
        <f t="shared" si="412"/>
        <v>0</v>
      </c>
      <c r="K162" s="811">
        <f t="shared" si="412"/>
        <v>0</v>
      </c>
      <c r="L162" s="811">
        <f t="shared" si="412"/>
        <v>0</v>
      </c>
      <c r="M162" s="811">
        <f t="shared" si="412"/>
        <v>0</v>
      </c>
      <c r="N162" s="811">
        <f t="shared" si="412"/>
        <v>0</v>
      </c>
      <c r="O162" s="811">
        <f t="shared" si="412"/>
        <v>0</v>
      </c>
      <c r="P162" s="811">
        <f t="shared" si="412"/>
        <v>0</v>
      </c>
      <c r="Q162" s="811">
        <f t="shared" si="412"/>
        <v>0</v>
      </c>
      <c r="R162" s="811">
        <f t="shared" si="412"/>
        <v>0</v>
      </c>
      <c r="T162" s="831">
        <f t="shared" si="403"/>
        <v>0</v>
      </c>
      <c r="U162" s="191"/>
      <c r="V162" s="61"/>
      <c r="W162" s="61"/>
      <c r="X162" s="61"/>
      <c r="Y162" s="61"/>
      <c r="Z162" s="811">
        <f t="shared" ref="Z162" si="413">Z163</f>
        <v>0</v>
      </c>
      <c r="AA162" s="831">
        <f t="shared" si="405"/>
        <v>0</v>
      </c>
      <c r="AB162" s="883">
        <f>SUM(AB163)</f>
        <v>0</v>
      </c>
      <c r="AD162" s="150">
        <f t="shared" si="383"/>
        <v>0</v>
      </c>
      <c r="AE162" s="799">
        <f>SUM(AE163)</f>
        <v>0</v>
      </c>
      <c r="AF162" s="799">
        <f t="shared" ref="AF162:AG162" si="414">SUM(AF163)</f>
        <v>0</v>
      </c>
      <c r="AG162" s="799">
        <f t="shared" si="414"/>
        <v>0</v>
      </c>
      <c r="AI162" s="811">
        <f t="shared" ref="AI162" si="415">AI163</f>
        <v>0</v>
      </c>
      <c r="AJ162" s="811">
        <f t="shared" ref="AJ162" si="416">AJ163</f>
        <v>0</v>
      </c>
      <c r="AK162" s="811">
        <f t="shared" ref="AK162" si="417">AK163</f>
        <v>0</v>
      </c>
      <c r="AM162" s="742"/>
      <c r="AN162" s="743"/>
      <c r="AO162" s="743"/>
      <c r="AP162" s="743"/>
      <c r="AQ162" s="735"/>
      <c r="AR162" s="123"/>
      <c r="AS162" s="742"/>
      <c r="AT162" s="743"/>
      <c r="AU162" s="743"/>
      <c r="AV162" s="743"/>
      <c r="AW162" s="735"/>
      <c r="AY162" s="167"/>
      <c r="AZ162" s="48"/>
      <c r="BA162" s="48"/>
      <c r="BB162" s="48"/>
      <c r="BC162" s="744"/>
      <c r="BD162" s="160">
        <f t="shared" si="60"/>
        <v>9</v>
      </c>
      <c r="BE162" s="45" t="str">
        <f t="shared" si="389"/>
        <v>N/A</v>
      </c>
      <c r="BF162" s="163"/>
      <c r="BG162" s="160">
        <f t="shared" si="410"/>
        <v>9</v>
      </c>
      <c r="BH162" s="45" t="str">
        <f t="shared" si="390"/>
        <v>N/A</v>
      </c>
      <c r="BI162" s="163"/>
      <c r="BJ162" s="160">
        <f t="shared" si="28"/>
        <v>9</v>
      </c>
      <c r="BK162" s="45" t="str">
        <f t="shared" si="391"/>
        <v>N/A</v>
      </c>
      <c r="BL162" s="739"/>
      <c r="BO162" s="43"/>
      <c r="BP162" s="43"/>
      <c r="BQ162" s="43" t="str">
        <f t="shared" si="342"/>
        <v/>
      </c>
      <c r="BR162" s="43">
        <f t="shared" si="399"/>
        <v>9</v>
      </c>
      <c r="BS162" s="43">
        <f t="shared" si="400"/>
        <v>9</v>
      </c>
      <c r="BT162" s="43">
        <f t="shared" si="401"/>
        <v>9</v>
      </c>
      <c r="BW162" s="43"/>
      <c r="BX162" s="43"/>
      <c r="BY162" s="43"/>
      <c r="BZ162" s="43"/>
      <c r="CA162" s="43"/>
      <c r="CB162" s="43"/>
    </row>
    <row r="163" spans="1:81" x14ac:dyDescent="0.25">
      <c r="A163">
        <v>155</v>
      </c>
      <c r="B163" t="str">
        <f t="shared" ref="B163" si="418">$D$162&amp;D163</f>
        <v>Wst 03ba</v>
      </c>
      <c r="C163" t="str">
        <f t="shared" si="344"/>
        <v>Wst 03b</v>
      </c>
      <c r="D163" s="146" t="s">
        <v>692</v>
      </c>
      <c r="E163" s="916" t="s">
        <v>667</v>
      </c>
      <c r="F163" s="668">
        <v>0</v>
      </c>
      <c r="G163" s="668">
        <v>0</v>
      </c>
      <c r="H163" s="864">
        <v>1</v>
      </c>
      <c r="I163" s="668">
        <v>0</v>
      </c>
      <c r="J163" s="668">
        <v>0</v>
      </c>
      <c r="K163" s="668">
        <v>0</v>
      </c>
      <c r="L163" s="668">
        <v>0</v>
      </c>
      <c r="M163" s="668">
        <v>0</v>
      </c>
      <c r="N163" s="668">
        <v>0</v>
      </c>
      <c r="O163" s="668">
        <v>0</v>
      </c>
      <c r="P163" s="668">
        <v>0</v>
      </c>
      <c r="Q163" s="668">
        <v>0</v>
      </c>
      <c r="R163" s="668">
        <v>0</v>
      </c>
      <c r="T163" s="148">
        <f t="shared" si="403"/>
        <v>0</v>
      </c>
      <c r="U163" s="146"/>
      <c r="V163" s="43"/>
      <c r="W163" s="43"/>
      <c r="X163" s="43"/>
      <c r="Y163" s="147"/>
      <c r="Z163" s="147">
        <f>VLOOKUP(B163,'Manuell filtrering og justering'!$A$7:$H$253,'Manuell filtrering og justering'!$H$1,FALSE)</f>
        <v>0</v>
      </c>
      <c r="AA163" s="148">
        <f t="shared" si="405"/>
        <v>0</v>
      </c>
      <c r="AB163" s="149">
        <f>IF($AC$5='Manuell filtrering og justering'!$J$2,Z163,(T163-AA163))</f>
        <v>0</v>
      </c>
      <c r="AD163" s="150">
        <f t="shared" si="383"/>
        <v>0</v>
      </c>
      <c r="AE163" s="150">
        <f t="shared" si="393"/>
        <v>0</v>
      </c>
      <c r="AF163" s="150">
        <f t="shared" si="394"/>
        <v>0</v>
      </c>
      <c r="AG163" s="150">
        <f t="shared" si="395"/>
        <v>0</v>
      </c>
      <c r="AI163" s="151">
        <f>IF(VLOOKUP(E163,'Pre-Assessment Estimator'!$F$11:$AA$226,'Pre-Assessment Estimator'!$H$2,FALSE)&gt;AB163,AB163,VLOOKUP(E163,'Pre-Assessment Estimator'!$F$11:$AA$226,'Pre-Assessment Estimator'!$H$2,FALSE))</f>
        <v>0</v>
      </c>
      <c r="AJ163" s="151">
        <f>IF(VLOOKUP(E163,'Pre-Assessment Estimator'!$F$11:$AA$226,'Pre-Assessment Estimator'!$O$2,FALSE)&gt;AB163,AB163,VLOOKUP(E163,'Pre-Assessment Estimator'!$F$11:$AA$226,'Pre-Assessment Estimator'!$O$2,FALSE))</f>
        <v>0</v>
      </c>
      <c r="AK163" s="151">
        <f>IF(VLOOKUP(E163,'Pre-Assessment Estimator'!$F$11:$AA$226,'Pre-Assessment Estimator'!$V$2,FALSE)&gt;AB163,AB163,VLOOKUP(E163,'Pre-Assessment Estimator'!$F$11:$AA$226,'Pre-Assessment Estimator'!$V$2,FALSE))</f>
        <v>0</v>
      </c>
      <c r="AM163" s="742"/>
      <c r="AN163" s="743"/>
      <c r="AO163" s="743"/>
      <c r="AP163" s="743"/>
      <c r="AQ163" s="735"/>
      <c r="AR163" s="123"/>
      <c r="AS163" s="742"/>
      <c r="AT163" s="743"/>
      <c r="AU163" s="743"/>
      <c r="AV163" s="743">
        <v>1</v>
      </c>
      <c r="AW163" s="735">
        <v>1</v>
      </c>
      <c r="AY163" s="167"/>
      <c r="AZ163" s="48"/>
      <c r="BA163" s="48"/>
      <c r="BB163" s="161">
        <f>IF($AB163=0,0,IF($E$6=$H$9,AV163,AP163))</f>
        <v>0</v>
      </c>
      <c r="BC163" s="161">
        <f>IF($AB163=0,0,IF($E$6=$H$9,AW163,AQ163))</f>
        <v>0</v>
      </c>
      <c r="BD163" s="160">
        <f t="shared" ref="BD163" si="419">IF(BC163=0,9,IF(AI163&gt;=BC163,5,IF(AI163&gt;=BB163,4,IF(AI163&gt;=BA163,3,IF(AI163&gt;=AZ163,2,IF(AI163&lt;AY163,0,1))))))</f>
        <v>9</v>
      </c>
      <c r="BE163" s="45" t="str">
        <f t="shared" si="389"/>
        <v>N/A</v>
      </c>
      <c r="BF163" s="163"/>
      <c r="BG163" s="160">
        <f>IF(BC163=0,9,IF(AJ163&gt;=BC163,5,IF(AJ163&gt;=BB163,4,IF(AJ163&gt;=BA163,3,IF(AJ163&gt;=AZ163,2,IF(AJ163&lt;AY163,0,1))))))</f>
        <v>9</v>
      </c>
      <c r="BH163" s="45" t="str">
        <f t="shared" si="390"/>
        <v>N/A</v>
      </c>
      <c r="BI163" s="163"/>
      <c r="BJ163" s="160">
        <f t="shared" ref="BJ163" si="420">IF(BC163=0,9,IF(AK163&gt;=BC163,5,IF(AK163&gt;=BB163,4,IF(AK163&gt;=BA163,3,IF(AK163&gt;=AZ163,2,IF(AK163&lt;AY163,0,1))))))</f>
        <v>9</v>
      </c>
      <c r="BK163" s="45" t="str">
        <f t="shared" si="391"/>
        <v>N/A</v>
      </c>
      <c r="BL163" s="739"/>
      <c r="BO163" s="43"/>
      <c r="BP163" s="43"/>
      <c r="BQ163" s="43" t="str">
        <f t="shared" si="342"/>
        <v/>
      </c>
      <c r="BR163" s="43">
        <f t="shared" si="399"/>
        <v>9</v>
      </c>
      <c r="BS163" s="43">
        <f t="shared" si="400"/>
        <v>9</v>
      </c>
      <c r="BT163" s="43">
        <f t="shared" si="401"/>
        <v>9</v>
      </c>
      <c r="BW163" s="43"/>
      <c r="BX163" s="43"/>
      <c r="BY163" s="43"/>
      <c r="BZ163" s="43"/>
      <c r="CA163" s="43"/>
      <c r="CB163" s="43"/>
    </row>
    <row r="164" spans="1:81" ht="15.75" thickBot="1" x14ac:dyDescent="0.3">
      <c r="A164">
        <v>156</v>
      </c>
      <c r="B164" s="121" t="str">
        <f>D164</f>
        <v>Wst 04</v>
      </c>
      <c r="C164" s="121" t="str">
        <f>B164</f>
        <v>Wst 04</v>
      </c>
      <c r="D164" s="727" t="s">
        <v>178</v>
      </c>
      <c r="E164" s="725" t="s">
        <v>958</v>
      </c>
      <c r="F164" s="811">
        <f>F165</f>
        <v>1</v>
      </c>
      <c r="G164" s="811">
        <f t="shared" ref="G164:R164" si="421">G165</f>
        <v>0</v>
      </c>
      <c r="H164" s="811">
        <f t="shared" si="421"/>
        <v>1</v>
      </c>
      <c r="I164" s="811">
        <f t="shared" si="421"/>
        <v>0</v>
      </c>
      <c r="J164" s="811">
        <f t="shared" si="421"/>
        <v>0</v>
      </c>
      <c r="K164" s="811">
        <f t="shared" si="421"/>
        <v>0</v>
      </c>
      <c r="L164" s="811">
        <f t="shared" si="421"/>
        <v>0</v>
      </c>
      <c r="M164" s="811">
        <f t="shared" si="421"/>
        <v>0</v>
      </c>
      <c r="N164" s="811">
        <f t="shared" si="421"/>
        <v>0</v>
      </c>
      <c r="O164" s="811">
        <f t="shared" si="421"/>
        <v>0</v>
      </c>
      <c r="P164" s="811">
        <f t="shared" si="421"/>
        <v>0</v>
      </c>
      <c r="Q164" s="811">
        <f t="shared" si="421"/>
        <v>0</v>
      </c>
      <c r="R164" s="811">
        <f t="shared" si="421"/>
        <v>0</v>
      </c>
      <c r="T164" s="831">
        <f t="shared" si="403"/>
        <v>1</v>
      </c>
      <c r="U164" s="191">
        <f>U165</f>
        <v>0</v>
      </c>
      <c r="V164" s="61"/>
      <c r="W164" s="61"/>
      <c r="X164" s="61">
        <f>'Manuell filtrering og justering'!E71</f>
        <v>0</v>
      </c>
      <c r="Y164" s="61"/>
      <c r="Z164" s="811">
        <f t="shared" ref="Z164" si="422">Z165</f>
        <v>0</v>
      </c>
      <c r="AA164" s="831">
        <f t="shared" si="405"/>
        <v>0</v>
      </c>
      <c r="AB164" s="883">
        <f>SUM(AB165)</f>
        <v>1</v>
      </c>
      <c r="AD164" s="150">
        <f t="shared" si="383"/>
        <v>0.01</v>
      </c>
      <c r="AE164" s="799">
        <f>SUM(AE165)</f>
        <v>0</v>
      </c>
      <c r="AF164" s="799">
        <f t="shared" ref="AF164:AG164" si="423">SUM(AF165)</f>
        <v>0</v>
      </c>
      <c r="AG164" s="799">
        <f t="shared" si="423"/>
        <v>0</v>
      </c>
      <c r="AI164" s="811">
        <f t="shared" ref="AI164" si="424">AI165</f>
        <v>0</v>
      </c>
      <c r="AJ164" s="811">
        <f t="shared" ref="AJ164" si="425">AJ165</f>
        <v>0</v>
      </c>
      <c r="AK164" s="811">
        <f t="shared" ref="AK164" si="426">AK165</f>
        <v>0</v>
      </c>
      <c r="AM164" s="255"/>
      <c r="AN164" s="256"/>
      <c r="AO164" s="256"/>
      <c r="AP164" s="256"/>
      <c r="AQ164" s="257"/>
      <c r="AR164" s="123"/>
      <c r="AS164" s="255"/>
      <c r="AT164" s="256"/>
      <c r="AU164" s="256"/>
      <c r="AV164" s="256"/>
      <c r="AW164" s="257"/>
      <c r="AY164" s="168"/>
      <c r="AZ164" s="170"/>
      <c r="BA164" s="170"/>
      <c r="BB164" s="170"/>
      <c r="BC164" s="171"/>
      <c r="BD164" s="172">
        <f t="shared" si="60"/>
        <v>9</v>
      </c>
      <c r="BE164" s="45" t="str">
        <f t="shared" si="389"/>
        <v>N/A</v>
      </c>
      <c r="BF164" s="173"/>
      <c r="BG164" s="172">
        <f>IF(BC164=0,9,IF(AJ164&gt;=BC164,5,IF(AJ164&gt;=BB164,4,IF(AJ164&gt;=BA164,3,IF(AJ164&gt;=AZ164,2,IF(AJ164&lt;AY164,0,1))))))</f>
        <v>9</v>
      </c>
      <c r="BH164" s="45" t="str">
        <f t="shared" si="390"/>
        <v>N/A</v>
      </c>
      <c r="BI164" s="173"/>
      <c r="BJ164" s="172">
        <f t="shared" si="28"/>
        <v>9</v>
      </c>
      <c r="BK164" s="45" t="str">
        <f t="shared" si="391"/>
        <v>N/A</v>
      </c>
      <c r="BL164" s="173"/>
      <c r="BO164" s="43"/>
      <c r="BP164" s="43"/>
      <c r="BQ164" s="43" t="str">
        <f t="shared" si="342"/>
        <v/>
      </c>
      <c r="BR164" s="43">
        <f t="shared" si="399"/>
        <v>9</v>
      </c>
      <c r="BS164" s="43">
        <f t="shared" si="400"/>
        <v>9</v>
      </c>
      <c r="BT164" s="43">
        <f t="shared" si="401"/>
        <v>9</v>
      </c>
      <c r="BW164" s="43" t="str">
        <f>D164</f>
        <v>Wst 04</v>
      </c>
      <c r="BX164" s="43" t="str">
        <f>IFERROR(VLOOKUP($E164,'Pre-Assessment Estimator'!$F$11:$AC$226,'Pre-Assessment Estimator'!AC$2,FALSE),"")</f>
        <v>No</v>
      </c>
      <c r="BY164" s="43">
        <f>IFERROR(VLOOKUP($E164,'Pre-Assessment Estimator'!$F$11:$AJ$226,'Pre-Assessment Estimator'!AJ$2,FALSE),"")</f>
        <v>0</v>
      </c>
      <c r="BZ164" s="43">
        <f>IFERROR(VLOOKUP($BX164,$E$293:$H$326,F$291,FALSE),"")</f>
        <v>1</v>
      </c>
      <c r="CA164" s="43">
        <f>IFERROR(VLOOKUP($BX164,$E$293:$H$326,G$291,FALSE),"")</f>
        <v>0</v>
      </c>
      <c r="CB164" s="43"/>
      <c r="CC164" t="str">
        <f>IFERROR(VLOOKUP($BX164,$E$293:$H$326,I$291,FALSE),"")</f>
        <v/>
      </c>
    </row>
    <row r="165" spans="1:81" ht="15.75" thickBot="1" x14ac:dyDescent="0.3">
      <c r="A165">
        <v>157</v>
      </c>
      <c r="B165" t="str">
        <f>$D$164&amp;D165</f>
        <v>Wst 04a</v>
      </c>
      <c r="C165" t="str">
        <f t="shared" si="344"/>
        <v>Wst 04</v>
      </c>
      <c r="D165" s="198" t="s">
        <v>692</v>
      </c>
      <c r="E165" s="916" t="s">
        <v>668</v>
      </c>
      <c r="F165" s="819">
        <v>1</v>
      </c>
      <c r="G165" s="932">
        <v>0</v>
      </c>
      <c r="H165" s="819">
        <v>1</v>
      </c>
      <c r="I165" s="932">
        <v>0</v>
      </c>
      <c r="J165" s="932">
        <v>0</v>
      </c>
      <c r="K165" s="932">
        <v>0</v>
      </c>
      <c r="L165" s="932">
        <v>0</v>
      </c>
      <c r="M165" s="932">
        <v>0</v>
      </c>
      <c r="N165" s="932">
        <v>0</v>
      </c>
      <c r="O165" s="932">
        <v>0</v>
      </c>
      <c r="P165" s="932">
        <v>0</v>
      </c>
      <c r="Q165" s="932">
        <v>0</v>
      </c>
      <c r="R165" s="932">
        <v>0</v>
      </c>
      <c r="T165" s="148">
        <f t="shared" si="403"/>
        <v>1</v>
      </c>
      <c r="U165" s="167">
        <f>IF(AND(ADBT0=ADBT12,'Assessment Details'!F6&lt;&gt;'Assessment Details'!V8),Poeng!T165,0)</f>
        <v>0</v>
      </c>
      <c r="V165" s="48"/>
      <c r="W165" s="48"/>
      <c r="X165" s="48"/>
      <c r="Y165" s="148">
        <f>IF($Y$4=$Y$6,T165,0)</f>
        <v>0</v>
      </c>
      <c r="Z165" s="147">
        <f>VLOOKUP(B165,'Manuell filtrering og justering'!$A$7:$H$253,'Manuell filtrering og justering'!$H$1,FALSE)</f>
        <v>0</v>
      </c>
      <c r="AA165" s="148">
        <f t="shared" si="405"/>
        <v>0</v>
      </c>
      <c r="AB165" s="149">
        <f>IF($AC$5='Manuell filtrering og justering'!$J$2,Z165,(T165-AA165))</f>
        <v>1</v>
      </c>
      <c r="AD165" s="150">
        <f t="shared" si="383"/>
        <v>0.01</v>
      </c>
      <c r="AE165" s="150">
        <f t="shared" si="393"/>
        <v>0</v>
      </c>
      <c r="AF165" s="150">
        <f t="shared" si="394"/>
        <v>0</v>
      </c>
      <c r="AG165" s="150">
        <f t="shared" si="395"/>
        <v>0</v>
      </c>
      <c r="AI165" s="151">
        <f>IF(VLOOKUP(E165,'Pre-Assessment Estimator'!$F$11:$AA$226,'Pre-Assessment Estimator'!$H$2,FALSE)&gt;AB165,AB165,VLOOKUP(E165,'Pre-Assessment Estimator'!$F$11:$AA$226,'Pre-Assessment Estimator'!$H$2,FALSE))</f>
        <v>0</v>
      </c>
      <c r="AJ165" s="151">
        <f>IF(VLOOKUP(E165,'Pre-Assessment Estimator'!$F$11:$AA$226,'Pre-Assessment Estimator'!$O$2,FALSE)&gt;AB165,AB165,VLOOKUP(E165,'Pre-Assessment Estimator'!$F$11:$AA$226,'Pre-Assessment Estimator'!$O$2,FALSE))</f>
        <v>0</v>
      </c>
      <c r="AK165" s="151">
        <f>IF(VLOOKUP(E165,'Pre-Assessment Estimator'!$F$11:$AA$226,'Pre-Assessment Estimator'!$V$2,FALSE)&gt;AB165,AB165,VLOOKUP(E165,'Pre-Assessment Estimator'!$F$11:$AA$226,'Pre-Assessment Estimator'!$V$2,FALSE))</f>
        <v>0</v>
      </c>
      <c r="AM165" s="255"/>
      <c r="AN165" s="256"/>
      <c r="AO165" s="256"/>
      <c r="AP165" s="256"/>
      <c r="AQ165" s="257"/>
      <c r="AR165" s="123"/>
      <c r="AS165" s="255"/>
      <c r="AT165" s="256"/>
      <c r="AU165" s="256"/>
      <c r="AV165" s="256"/>
      <c r="AW165" s="257"/>
      <c r="AY165" s="168"/>
      <c r="AZ165" s="170"/>
      <c r="BA165" s="170"/>
      <c r="BB165" s="170"/>
      <c r="BC165" s="171"/>
      <c r="BD165" s="172">
        <f t="shared" ref="BD165" si="427">IF(BC165=0,9,IF(AI165&gt;=BC165,5,IF(AI165&gt;=BB165,4,IF(AI165&gt;=BA165,3,IF(AI165&gt;=AZ165,2,IF(AI165&lt;AY165,0,1))))))</f>
        <v>9</v>
      </c>
      <c r="BE165" s="45" t="str">
        <f t="shared" si="389"/>
        <v>N/A</v>
      </c>
      <c r="BF165" s="173"/>
      <c r="BG165" s="172">
        <f>IF(BC165=0,9,IF(AJ165&gt;=BC165,5,IF(AJ165&gt;=BB165,4,IF(AJ165&gt;=BA165,3,IF(AJ165&gt;=AZ165,2,IF(AJ165&lt;AY165,0,1))))))</f>
        <v>9</v>
      </c>
      <c r="BH165" s="45" t="str">
        <f t="shared" si="390"/>
        <v>N/A</v>
      </c>
      <c r="BI165" s="173"/>
      <c r="BJ165" s="172">
        <f t="shared" ref="BJ165" si="428">IF(BC165=0,9,IF(AK165&gt;=BC165,5,IF(AK165&gt;=BB165,4,IF(AK165&gt;=BA165,3,IF(AK165&gt;=AZ165,2,IF(AK165&lt;AY165,0,1))))))</f>
        <v>9</v>
      </c>
      <c r="BK165" s="45" t="str">
        <f t="shared" si="391"/>
        <v>N/A</v>
      </c>
      <c r="BL165" s="173"/>
      <c r="BO165" s="43"/>
      <c r="BP165" s="43"/>
      <c r="BQ165" s="43" t="str">
        <f t="shared" si="342"/>
        <v/>
      </c>
      <c r="BR165" s="43">
        <f t="shared" si="399"/>
        <v>9</v>
      </c>
      <c r="BS165" s="43">
        <f t="shared" si="400"/>
        <v>9</v>
      </c>
      <c r="BT165" s="43">
        <f t="shared" si="401"/>
        <v>9</v>
      </c>
      <c r="BW165" s="63"/>
      <c r="BX165" s="63"/>
      <c r="BY165" s="63"/>
      <c r="BZ165" s="63"/>
      <c r="CA165" s="63"/>
      <c r="CB165" s="63"/>
    </row>
    <row r="166" spans="1:81" ht="15.75" thickBot="1" x14ac:dyDescent="0.3">
      <c r="A166">
        <v>158</v>
      </c>
      <c r="B166" t="s">
        <v>887</v>
      </c>
      <c r="D166" s="174"/>
      <c r="E166" s="50" t="s">
        <v>213</v>
      </c>
      <c r="F166" s="672">
        <f>F155+F160+F162+F164</f>
        <v>7</v>
      </c>
      <c r="G166" s="672">
        <f t="shared" ref="G166:R166" si="429">G155+G160+G162+G164</f>
        <v>6</v>
      </c>
      <c r="H166" s="672">
        <f t="shared" si="429"/>
        <v>7</v>
      </c>
      <c r="I166" s="672">
        <f t="shared" si="429"/>
        <v>6</v>
      </c>
      <c r="J166" s="672">
        <f t="shared" si="429"/>
        <v>6</v>
      </c>
      <c r="K166" s="672">
        <f t="shared" si="429"/>
        <v>6</v>
      </c>
      <c r="L166" s="672">
        <f t="shared" si="429"/>
        <v>6</v>
      </c>
      <c r="M166" s="672">
        <f t="shared" si="429"/>
        <v>6</v>
      </c>
      <c r="N166" s="672">
        <f t="shared" si="429"/>
        <v>6</v>
      </c>
      <c r="O166" s="672">
        <f t="shared" si="429"/>
        <v>6</v>
      </c>
      <c r="P166" s="672">
        <f t="shared" si="429"/>
        <v>6</v>
      </c>
      <c r="Q166" s="672">
        <f t="shared" ref="Q166" si="430">Q155+Q160+Q162+Q164</f>
        <v>6</v>
      </c>
      <c r="R166" s="672">
        <f t="shared" si="429"/>
        <v>6</v>
      </c>
      <c r="T166" s="195">
        <f>HLOOKUP($E$6,$F$9:$R$231,$A166,FALSE)</f>
        <v>7</v>
      </c>
      <c r="U166" s="176"/>
      <c r="V166" s="177"/>
      <c r="W166" s="177"/>
      <c r="X166" s="177"/>
      <c r="Y166" s="178"/>
      <c r="Z166" s="178"/>
      <c r="AA166" s="672">
        <f t="shared" ref="AA166:AG166" si="431">AA155+AA160+AA162+AA164</f>
        <v>0</v>
      </c>
      <c r="AB166" s="672">
        <f t="shared" si="431"/>
        <v>7</v>
      </c>
      <c r="AD166" s="180">
        <f t="shared" si="431"/>
        <v>7.0000000000000007E-2</v>
      </c>
      <c r="AE166" s="180">
        <f t="shared" si="431"/>
        <v>0</v>
      </c>
      <c r="AF166" s="180">
        <f t="shared" si="431"/>
        <v>0</v>
      </c>
      <c r="AG166" s="180">
        <f t="shared" si="431"/>
        <v>0</v>
      </c>
      <c r="AI166" s="72">
        <f t="shared" ref="AI166:AK166" si="432">AI155+AI160+AI162+AI164</f>
        <v>0</v>
      </c>
      <c r="AJ166" s="72">
        <f t="shared" si="432"/>
        <v>0</v>
      </c>
      <c r="AK166" s="72">
        <f t="shared" si="432"/>
        <v>0</v>
      </c>
      <c r="AM166" s="123"/>
      <c r="AN166" s="123"/>
      <c r="AO166" s="123"/>
      <c r="AP166" s="123"/>
      <c r="AQ166" s="123"/>
      <c r="AR166" s="123"/>
      <c r="AS166" s="123"/>
      <c r="AT166" s="123"/>
      <c r="AU166" s="123"/>
      <c r="AV166" s="123"/>
      <c r="AW166" s="123"/>
      <c r="AZ166" s="181"/>
      <c r="BW166" s="50"/>
      <c r="BX166" s="50" t="str">
        <f>IFERROR(VLOOKUP($E166,'Pre-Assessment Estimator'!$F$11:$AC$226,'Pre-Assessment Estimator'!AC$2,FALSE),"")</f>
        <v/>
      </c>
      <c r="BY166" s="50" t="str">
        <f>IFERROR(VLOOKUP($E166,'Pre-Assessment Estimator'!$F$11:$AJ$226,'Pre-Assessment Estimator'!AJ$2,FALSE),"")</f>
        <v/>
      </c>
      <c r="BZ166" s="50" t="str">
        <f t="shared" ref="BZ166:CA169" si="433">IFERROR(VLOOKUP($BX166,$E$293:$H$326,F$291,FALSE),"")</f>
        <v/>
      </c>
      <c r="CA166" s="50" t="str">
        <f t="shared" si="433"/>
        <v/>
      </c>
      <c r="CB166" s="50"/>
      <c r="CC166" t="str">
        <f>IFERROR(VLOOKUP($BX166,$E$293:$H$326,I$291,FALSE),"")</f>
        <v/>
      </c>
    </row>
    <row r="167" spans="1:81" ht="15.75" thickBot="1" x14ac:dyDescent="0.3">
      <c r="A167">
        <v>159</v>
      </c>
      <c r="AI167" s="1"/>
      <c r="AJ167" s="1"/>
      <c r="AK167" s="1"/>
      <c r="AM167" s="123"/>
      <c r="AN167" s="123"/>
      <c r="AO167" s="123"/>
      <c r="AP167" s="123"/>
      <c r="AQ167" s="123"/>
      <c r="AR167" s="123"/>
      <c r="AS167" s="123"/>
      <c r="AT167" s="123"/>
      <c r="AU167" s="123"/>
      <c r="AV167" s="123"/>
      <c r="AW167" s="123"/>
      <c r="BX167" t="str">
        <f>IFERROR(VLOOKUP($E167,'Pre-Assessment Estimator'!$F$11:$AC$226,'Pre-Assessment Estimator'!AC$2,FALSE),"")</f>
        <v/>
      </c>
      <c r="BY167" t="str">
        <f>IFERROR(VLOOKUP($E167,'Pre-Assessment Estimator'!$F$11:$AJ$226,'Pre-Assessment Estimator'!AJ$2,FALSE),"")</f>
        <v/>
      </c>
      <c r="BZ167" t="str">
        <f t="shared" si="433"/>
        <v/>
      </c>
      <c r="CA167" t="str">
        <f t="shared" si="433"/>
        <v/>
      </c>
      <c r="CC167" t="str">
        <f>IFERROR(VLOOKUP($BX167,$E$293:$H$326,I$291,FALSE),"")</f>
        <v/>
      </c>
    </row>
    <row r="168" spans="1:81" ht="60.75" thickBot="1" x14ac:dyDescent="0.3">
      <c r="A168">
        <v>160</v>
      </c>
      <c r="D168" s="132"/>
      <c r="E168" s="133" t="s">
        <v>224</v>
      </c>
      <c r="F168" s="1028" t="str">
        <f>$F$9</f>
        <v>Office</v>
      </c>
      <c r="G168" s="1028" t="str">
        <f>$G$9</f>
        <v>Retail</v>
      </c>
      <c r="H168" s="1032" t="str">
        <f>$H$9</f>
        <v>Residential</v>
      </c>
      <c r="I168" s="1028" t="str">
        <f>$I$9</f>
        <v>Industrial</v>
      </c>
      <c r="J168" s="1030" t="str">
        <f>$J$9</f>
        <v>Healthcare</v>
      </c>
      <c r="K168" s="1030" t="str">
        <f>$K$9</f>
        <v>Prison</v>
      </c>
      <c r="L168" s="1030" t="str">
        <f>$L$9</f>
        <v>Law Court</v>
      </c>
      <c r="M168" s="1034" t="str">
        <f>$M$9</f>
        <v>Residential institution (long term stay)</v>
      </c>
      <c r="N168" s="796" t="str">
        <f>$N$9</f>
        <v>Residential institution (short term stay)</v>
      </c>
      <c r="O168" s="796" t="str">
        <f>$O$9</f>
        <v>Non-residential institution</v>
      </c>
      <c r="P168" s="796" t="str">
        <f>$P$9</f>
        <v>Assembly and leisure</v>
      </c>
      <c r="Q168" s="1030" t="str">
        <f>$Q$9</f>
        <v>Education</v>
      </c>
      <c r="R168" s="747" t="str">
        <f>$R$9</f>
        <v>Other</v>
      </c>
      <c r="T168" s="122" t="str">
        <f>$E$6</f>
        <v>Office</v>
      </c>
      <c r="U168" s="182"/>
      <c r="V168" s="183"/>
      <c r="W168" s="183"/>
      <c r="X168" s="183"/>
      <c r="Y168" s="964" t="s">
        <v>411</v>
      </c>
      <c r="Z168" s="304" t="s">
        <v>334</v>
      </c>
      <c r="AA168" s="131" t="s">
        <v>213</v>
      </c>
      <c r="AB168" s="53" t="s">
        <v>14</v>
      </c>
      <c r="AI168" s="36"/>
      <c r="AJ168" s="54"/>
      <c r="AK168" s="54"/>
      <c r="AM168" s="123"/>
      <c r="AN168" s="123"/>
      <c r="AO168" s="123"/>
      <c r="AP168" s="123"/>
      <c r="AQ168" s="123"/>
      <c r="AR168" s="123"/>
      <c r="AS168" s="123"/>
      <c r="AT168" s="123"/>
      <c r="AU168" s="123"/>
      <c r="AV168" s="123"/>
      <c r="AW168" s="123"/>
      <c r="BO168" s="54"/>
      <c r="BP168" s="54"/>
      <c r="BQ168" s="54"/>
      <c r="BR168" s="54"/>
      <c r="BS168" s="54"/>
      <c r="BT168" s="54"/>
      <c r="BW168" s="47"/>
      <c r="BX168" s="47" t="str">
        <f>E168</f>
        <v>Land &amp; Ecology</v>
      </c>
      <c r="BY168" s="47" t="str">
        <f>IFERROR(VLOOKUP($E168,'Pre-Assessment Estimator'!$F$11:$AJ$226,'Pre-Assessment Estimator'!AJ$2,FALSE),"")</f>
        <v/>
      </c>
      <c r="BZ168" s="47" t="str">
        <f t="shared" si="433"/>
        <v/>
      </c>
      <c r="CA168" s="47" t="str">
        <f t="shared" si="433"/>
        <v/>
      </c>
      <c r="CB168" s="47"/>
      <c r="CC168" t="str">
        <f>IFERROR(VLOOKUP($BX168,$E$293:$H$326,I$291,FALSE),"")</f>
        <v/>
      </c>
    </row>
    <row r="169" spans="1:81" x14ac:dyDescent="0.25">
      <c r="A169">
        <v>161</v>
      </c>
      <c r="B169" s="121" t="str">
        <f>D169</f>
        <v>LE 01</v>
      </c>
      <c r="C169" s="121" t="str">
        <f>B169</f>
        <v>LE 01</v>
      </c>
      <c r="D169" s="748" t="s">
        <v>179</v>
      </c>
      <c r="E169" s="749" t="s">
        <v>159</v>
      </c>
      <c r="F169" s="811">
        <f>F170</f>
        <v>2</v>
      </c>
      <c r="G169" s="811">
        <f t="shared" ref="G169:R169" si="434">G170</f>
        <v>2</v>
      </c>
      <c r="H169" s="811">
        <f t="shared" si="434"/>
        <v>2</v>
      </c>
      <c r="I169" s="811">
        <f t="shared" si="434"/>
        <v>2</v>
      </c>
      <c r="J169" s="811">
        <f t="shared" si="434"/>
        <v>2</v>
      </c>
      <c r="K169" s="811">
        <f t="shared" si="434"/>
        <v>2</v>
      </c>
      <c r="L169" s="811">
        <f t="shared" si="434"/>
        <v>2</v>
      </c>
      <c r="M169" s="811">
        <f t="shared" si="434"/>
        <v>2</v>
      </c>
      <c r="N169" s="811">
        <f t="shared" si="434"/>
        <v>2</v>
      </c>
      <c r="O169" s="811">
        <f t="shared" si="434"/>
        <v>2</v>
      </c>
      <c r="P169" s="811">
        <f t="shared" si="434"/>
        <v>2</v>
      </c>
      <c r="Q169" s="811">
        <f t="shared" si="434"/>
        <v>2</v>
      </c>
      <c r="R169" s="811">
        <f t="shared" si="434"/>
        <v>2</v>
      </c>
      <c r="T169" s="829">
        <f t="shared" ref="T169:T197" si="435">HLOOKUP($E$6,$F$9:$R$231,$A169,FALSE)</f>
        <v>2</v>
      </c>
      <c r="U169" s="191"/>
      <c r="V169" s="61"/>
      <c r="W169" s="61"/>
      <c r="X169" s="61">
        <f>'Manuell filtrering og justering'!E75</f>
        <v>0</v>
      </c>
      <c r="Y169" s="61"/>
      <c r="Z169" s="826">
        <f t="shared" ref="Z169" si="436">Z170</f>
        <v>2</v>
      </c>
      <c r="AA169" s="831">
        <f t="shared" ref="AA169:AA196" si="437">IF(SUM(U169:Y169)&gt;T169,T169,SUM(U169:Y169))</f>
        <v>0</v>
      </c>
      <c r="AB169" s="883">
        <f>SUM(AB170)</f>
        <v>2</v>
      </c>
      <c r="AD169" s="150">
        <f t="shared" ref="AD169:AD196" si="438">(LE_Weight/LE_Credits)*AB169</f>
        <v>1.5789473684210527E-2</v>
      </c>
      <c r="AE169" s="799">
        <f>SUM(AE170)</f>
        <v>0</v>
      </c>
      <c r="AF169" s="799">
        <f t="shared" ref="AF169" si="439">SUM(AF170)</f>
        <v>0</v>
      </c>
      <c r="AG169" s="799">
        <f t="shared" ref="AG169" si="440">SUM(AG170)</f>
        <v>0</v>
      </c>
      <c r="AI169" s="826">
        <f t="shared" ref="AI169" si="441">AI170</f>
        <v>0</v>
      </c>
      <c r="AJ169" s="826">
        <f t="shared" ref="AJ169" si="442">AJ170</f>
        <v>0</v>
      </c>
      <c r="AK169" s="826">
        <f t="shared" ref="AK169" si="443">AK170</f>
        <v>0</v>
      </c>
      <c r="AM169" s="258"/>
      <c r="AN169" s="259"/>
      <c r="AO169" s="259"/>
      <c r="AP169" s="259"/>
      <c r="AQ169" s="260"/>
      <c r="AR169" s="123"/>
      <c r="AS169" s="258"/>
      <c r="AT169" s="259"/>
      <c r="AU169" s="259"/>
      <c r="AV169" s="259"/>
      <c r="AW169" s="260"/>
      <c r="AY169" s="189"/>
      <c r="AZ169" s="156"/>
      <c r="BA169" s="156"/>
      <c r="BB169" s="156"/>
      <c r="BC169" s="190"/>
      <c r="BD169" s="153">
        <f t="shared" si="60"/>
        <v>9</v>
      </c>
      <c r="BE169" s="45" t="str">
        <f t="shared" ref="BE169:BE196" si="444">VLOOKUP(BD169,$BO$284:$BT$290,6,FALSE)</f>
        <v>N/A</v>
      </c>
      <c r="BF169" s="157"/>
      <c r="BG169" s="153">
        <f t="shared" ref="BG169:BG172" si="445">IF(BC169=0,9,IF(AJ169&gt;=BC169,5,IF(AJ169&gt;=BB169,4,IF(AJ169&gt;=BA169,3,IF(AJ169&gt;=AZ169,2,IF(AJ169&lt;AY169,0,1))))))</f>
        <v>9</v>
      </c>
      <c r="BH169" s="45" t="str">
        <f t="shared" ref="BH169:BH196" si="446">VLOOKUP(BG169,$BO$284:$BT$290,6,FALSE)</f>
        <v>N/A</v>
      </c>
      <c r="BI169" s="157"/>
      <c r="BJ169" s="153">
        <f t="shared" ref="BJ169:BJ225" si="447">IF(BC169=0,9,IF(AK169&gt;=BC169,5,IF(AK169&gt;=BB169,4,IF(AK169&gt;=BA169,3,IF(AK169&gt;=AZ169,2,IF(AK169&lt;AY169,0,1))))))</f>
        <v>9</v>
      </c>
      <c r="BK169" s="45" t="str">
        <f t="shared" ref="BK169:BK196" si="448">VLOOKUP(BJ169,$BO$284:$BT$290,6,FALSE)</f>
        <v>N/A</v>
      </c>
      <c r="BL169" s="157"/>
      <c r="BO169" s="43"/>
      <c r="BP169" s="43"/>
      <c r="BQ169" s="43" t="str">
        <f t="shared" si="342"/>
        <v/>
      </c>
      <c r="BR169" s="43">
        <f t="shared" si="399"/>
        <v>9</v>
      </c>
      <c r="BS169" s="43">
        <f t="shared" si="400"/>
        <v>9</v>
      </c>
      <c r="BT169" s="43">
        <f t="shared" si="401"/>
        <v>9</v>
      </c>
      <c r="BW169" s="45" t="str">
        <f>D169</f>
        <v>LE 01</v>
      </c>
      <c r="BX169" s="45" t="str">
        <f>IFERROR(VLOOKUP($E169,'Pre-Assessment Estimator'!$F$11:$AC$226,'Pre-Assessment Estimator'!AC$2,FALSE),"")</f>
        <v>N/A</v>
      </c>
      <c r="BY169" s="45">
        <f>IFERROR(VLOOKUP($E169,'Pre-Assessment Estimator'!$F$11:$AJ$226,'Pre-Assessment Estimator'!AJ$2,FALSE),"")</f>
        <v>0</v>
      </c>
      <c r="BZ169" s="45">
        <f t="shared" si="433"/>
        <v>1</v>
      </c>
      <c r="CA169" s="45">
        <f t="shared" si="433"/>
        <v>0</v>
      </c>
      <c r="CB169" s="45"/>
      <c r="CC169" t="str">
        <f>IFERROR(VLOOKUP($BX169,$E$293:$H$326,I$291,FALSE),"")</f>
        <v/>
      </c>
    </row>
    <row r="170" spans="1:81" x14ac:dyDescent="0.25">
      <c r="A170">
        <v>162</v>
      </c>
      <c r="B170" t="str">
        <f t="shared" ref="B170" si="449">$D$169&amp;D170</f>
        <v>LE 01a</v>
      </c>
      <c r="C170" t="str">
        <f t="shared" si="344"/>
        <v>LE 01</v>
      </c>
      <c r="D170" s="146" t="s">
        <v>692</v>
      </c>
      <c r="E170" s="916" t="s">
        <v>670</v>
      </c>
      <c r="F170" s="668">
        <v>2</v>
      </c>
      <c r="G170" s="668">
        <v>2</v>
      </c>
      <c r="H170" s="668">
        <v>2</v>
      </c>
      <c r="I170" s="668">
        <v>2</v>
      </c>
      <c r="J170" s="668">
        <v>2</v>
      </c>
      <c r="K170" s="668">
        <v>2</v>
      </c>
      <c r="L170" s="668">
        <v>2</v>
      </c>
      <c r="M170" s="668">
        <v>2</v>
      </c>
      <c r="N170" s="668">
        <v>2</v>
      </c>
      <c r="O170" s="668">
        <v>2</v>
      </c>
      <c r="P170" s="668">
        <v>2</v>
      </c>
      <c r="Q170" s="668">
        <v>2</v>
      </c>
      <c r="R170" s="668">
        <v>2</v>
      </c>
      <c r="T170" s="148">
        <f t="shared" si="435"/>
        <v>2</v>
      </c>
      <c r="U170" s="146"/>
      <c r="V170" s="43"/>
      <c r="W170" s="43"/>
      <c r="X170" s="43"/>
      <c r="Y170" s="147"/>
      <c r="Z170" s="147">
        <f>VLOOKUP(B170,'Manuell filtrering og justering'!$A$7:$H$253,'Manuell filtrering og justering'!$H$1,FALSE)</f>
        <v>2</v>
      </c>
      <c r="AA170" s="148">
        <f t="shared" si="437"/>
        <v>0</v>
      </c>
      <c r="AB170" s="149">
        <f>IF($AC$5='Manuell filtrering og justering'!$J$2,Z170,(T170-AA170))</f>
        <v>2</v>
      </c>
      <c r="AD170" s="150">
        <f t="shared" si="438"/>
        <v>1.5789473684210527E-2</v>
      </c>
      <c r="AE170" s="150">
        <f t="shared" ref="AE170:AE196" si="450">IF(AB170=0,0,(AD170/AB170)*AI170)</f>
        <v>0</v>
      </c>
      <c r="AF170" s="150">
        <f t="shared" ref="AF170:AF196" si="451">IF(AB170=0,0,(AD170/AB170)*AJ170)</f>
        <v>0</v>
      </c>
      <c r="AG170" s="150">
        <f t="shared" ref="AG170:AG196" si="452">IF(AB170=0,0,(AD170/AB170)*AK170)</f>
        <v>0</v>
      </c>
      <c r="AI170" s="151">
        <f>IF(VLOOKUP(E170,'Pre-Assessment Estimator'!$F$11:$AA$226,'Pre-Assessment Estimator'!$H$2,FALSE)&gt;AB170,AB170,VLOOKUP(E170,'Pre-Assessment Estimator'!$F$11:$AA$226,'Pre-Assessment Estimator'!$H$2,FALSE))</f>
        <v>0</v>
      </c>
      <c r="AJ170" s="151">
        <f>IF(VLOOKUP(E170,'Pre-Assessment Estimator'!$F$11:$AA$226,'Pre-Assessment Estimator'!$O$2,FALSE)&gt;AB170,AB170,VLOOKUP(E170,'Pre-Assessment Estimator'!$F$11:$AA$226,'Pre-Assessment Estimator'!$O$2,FALSE))</f>
        <v>0</v>
      </c>
      <c r="AK170" s="151">
        <f>IF(VLOOKUP(E170,'Pre-Assessment Estimator'!$F$11:$AA$226,'Pre-Assessment Estimator'!$V$2,FALSE)&gt;AB170,AB170,VLOOKUP(E170,'Pre-Assessment Estimator'!$F$11:$AA$226,'Pre-Assessment Estimator'!$V$2,FALSE))</f>
        <v>0</v>
      </c>
      <c r="AM170" s="728"/>
      <c r="AN170" s="729"/>
      <c r="AO170" s="729"/>
      <c r="AP170" s="729"/>
      <c r="AQ170" s="730"/>
      <c r="AR170" s="123"/>
      <c r="AS170" s="728"/>
      <c r="AT170" s="729"/>
      <c r="AU170" s="729"/>
      <c r="AV170" s="729"/>
      <c r="AW170" s="730"/>
      <c r="AY170" s="144"/>
      <c r="AZ170" s="45"/>
      <c r="BA170" s="45"/>
      <c r="BB170" s="45"/>
      <c r="BC170" s="731"/>
      <c r="BD170" s="160">
        <f t="shared" ref="BD170" si="453">IF(BC170=0,9,IF(AI170&gt;=BC170,5,IF(AI170&gt;=BB170,4,IF(AI170&gt;=BA170,3,IF(AI170&gt;=AZ170,2,IF(AI170&lt;AY170,0,1))))))</f>
        <v>9</v>
      </c>
      <c r="BE170" s="45" t="str">
        <f t="shared" si="444"/>
        <v>N/A</v>
      </c>
      <c r="BF170" s="163"/>
      <c r="BG170" s="160">
        <f t="shared" ref="BG170" si="454">IF(BC170=0,9,IF(AJ170&gt;=BC170,5,IF(AJ170&gt;=BB170,4,IF(AJ170&gt;=BA170,3,IF(AJ170&gt;=AZ170,2,IF(AJ170&lt;AY170,0,1))))))</f>
        <v>9</v>
      </c>
      <c r="BH170" s="45" t="str">
        <f t="shared" si="446"/>
        <v>N/A</v>
      </c>
      <c r="BI170" s="163"/>
      <c r="BJ170" s="160">
        <f t="shared" ref="BJ170" si="455">IF(BC170=0,9,IF(AK170&gt;=BC170,5,IF(AK170&gt;=BB170,4,IF(AK170&gt;=BA170,3,IF(AK170&gt;=AZ170,2,IF(AK170&lt;AY170,0,1))))))</f>
        <v>9</v>
      </c>
      <c r="BK170" s="45" t="str">
        <f t="shared" si="448"/>
        <v>N/A</v>
      </c>
      <c r="BL170" s="723"/>
      <c r="BO170" s="43"/>
      <c r="BP170" s="43"/>
      <c r="BQ170" s="43" t="str">
        <f t="shared" si="342"/>
        <v/>
      </c>
      <c r="BR170" s="43">
        <f t="shared" si="399"/>
        <v>9</v>
      </c>
      <c r="BS170" s="43">
        <f t="shared" si="400"/>
        <v>9</v>
      </c>
      <c r="BT170" s="43">
        <f t="shared" si="401"/>
        <v>9</v>
      </c>
      <c r="BW170" s="45"/>
      <c r="BX170" s="45"/>
      <c r="BY170" s="45"/>
      <c r="BZ170" s="45"/>
      <c r="CA170" s="45"/>
      <c r="CB170" s="45"/>
    </row>
    <row r="171" spans="1:81" x14ac:dyDescent="0.25">
      <c r="A171">
        <v>163</v>
      </c>
      <c r="B171" s="121" t="str">
        <f>D171</f>
        <v>LE 02</v>
      </c>
      <c r="C171" s="121" t="str">
        <f>B171</f>
        <v>LE 02</v>
      </c>
      <c r="D171" s="727" t="s">
        <v>180</v>
      </c>
      <c r="E171" s="725" t="s">
        <v>468</v>
      </c>
      <c r="F171" s="811">
        <f>SUM(F172:F174)</f>
        <v>2</v>
      </c>
      <c r="G171" s="811">
        <f t="shared" ref="G171:R171" si="456">SUM(G172:G174)</f>
        <v>2</v>
      </c>
      <c r="H171" s="811">
        <f t="shared" si="456"/>
        <v>2</v>
      </c>
      <c r="I171" s="811">
        <f t="shared" si="456"/>
        <v>2</v>
      </c>
      <c r="J171" s="811">
        <f t="shared" si="456"/>
        <v>2</v>
      </c>
      <c r="K171" s="811">
        <f t="shared" si="456"/>
        <v>2</v>
      </c>
      <c r="L171" s="811">
        <f t="shared" si="456"/>
        <v>2</v>
      </c>
      <c r="M171" s="811">
        <f t="shared" si="456"/>
        <v>2</v>
      </c>
      <c r="N171" s="811">
        <f t="shared" si="456"/>
        <v>2</v>
      </c>
      <c r="O171" s="811">
        <f t="shared" si="456"/>
        <v>2</v>
      </c>
      <c r="P171" s="811">
        <f t="shared" si="456"/>
        <v>2</v>
      </c>
      <c r="Q171" s="811">
        <f t="shared" ref="Q171" si="457">SUM(Q172:Q174)</f>
        <v>2</v>
      </c>
      <c r="R171" s="811">
        <f t="shared" si="456"/>
        <v>2</v>
      </c>
      <c r="T171" s="831">
        <f t="shared" si="435"/>
        <v>2</v>
      </c>
      <c r="U171" s="191"/>
      <c r="V171" s="61"/>
      <c r="W171" s="61"/>
      <c r="X171" s="61">
        <f>'Manuell filtrering og justering'!E76</f>
        <v>0</v>
      </c>
      <c r="Y171" s="61"/>
      <c r="Z171" s="826">
        <f t="shared" ref="Z171" si="458">SUM(Z172:Z174)</f>
        <v>2</v>
      </c>
      <c r="AA171" s="831">
        <f t="shared" si="437"/>
        <v>0</v>
      </c>
      <c r="AB171" s="883">
        <f>SUM(AB172:AB174)</f>
        <v>2</v>
      </c>
      <c r="AD171" s="150">
        <f t="shared" si="438"/>
        <v>1.5789473684210527E-2</v>
      </c>
      <c r="AE171" s="799">
        <f>SUM(AE172:AE174)</f>
        <v>0</v>
      </c>
      <c r="AF171" s="799">
        <f t="shared" ref="AF171" si="459">SUM(AF172:AF174)</f>
        <v>0</v>
      </c>
      <c r="AG171" s="799">
        <f t="shared" ref="AG171" si="460">SUM(AG172:AG174)</f>
        <v>0</v>
      </c>
      <c r="AI171" s="826">
        <f t="shared" ref="AI171" si="461">SUM(AI172:AI174)</f>
        <v>0</v>
      </c>
      <c r="AJ171" s="826">
        <f t="shared" ref="AJ171" si="462">SUM(AJ172:AJ174)</f>
        <v>0</v>
      </c>
      <c r="AK171" s="826">
        <f t="shared" ref="AK171" si="463">SUM(AK172:AK174)</f>
        <v>0</v>
      </c>
      <c r="AM171" s="252"/>
      <c r="AN171" s="253"/>
      <c r="AO171" s="253"/>
      <c r="AP171" s="159"/>
      <c r="AQ171" s="164"/>
      <c r="AR171" s="123"/>
      <c r="AS171" s="251"/>
      <c r="AT171" s="159"/>
      <c r="AU171" s="159"/>
      <c r="AV171" s="159"/>
      <c r="AW171" s="164"/>
      <c r="AY171" s="146"/>
      <c r="AZ171" s="43"/>
      <c r="BA171" s="43"/>
      <c r="BB171" s="43"/>
      <c r="BC171" s="147"/>
      <c r="BD171" s="160">
        <f t="shared" ref="BD171:BD225" si="464">IF(BC171=0,9,IF(AI171&gt;=BC171,5,IF(AI171&gt;=BB171,4,IF(AI171&gt;=BA171,3,IF(AI171&gt;=AZ171,2,IF(AI171&lt;AY171,0,1))))))</f>
        <v>9</v>
      </c>
      <c r="BE171" s="45" t="str">
        <f t="shared" si="444"/>
        <v>N/A</v>
      </c>
      <c r="BF171" s="163"/>
      <c r="BG171" s="160">
        <f t="shared" si="445"/>
        <v>9</v>
      </c>
      <c r="BH171" s="45" t="str">
        <f t="shared" si="446"/>
        <v>N/A</v>
      </c>
      <c r="BI171" s="163"/>
      <c r="BJ171" s="160">
        <f t="shared" si="447"/>
        <v>9</v>
      </c>
      <c r="BK171" s="45" t="str">
        <f t="shared" si="448"/>
        <v>N/A</v>
      </c>
      <c r="BL171" s="163"/>
      <c r="BO171" s="43"/>
      <c r="BP171" s="43"/>
      <c r="BQ171" s="43" t="str">
        <f t="shared" si="342"/>
        <v/>
      </c>
      <c r="BR171" s="43">
        <f t="shared" si="399"/>
        <v>9</v>
      </c>
      <c r="BS171" s="43">
        <f t="shared" si="400"/>
        <v>9</v>
      </c>
      <c r="BT171" s="43">
        <f t="shared" si="401"/>
        <v>9</v>
      </c>
      <c r="BW171" s="43" t="str">
        <f>D171</f>
        <v>LE 02</v>
      </c>
      <c r="BX171" s="43" t="str">
        <f>IFERROR(VLOOKUP($E171,'Pre-Assessment Estimator'!$F$11:$AC$226,'Pre-Assessment Estimator'!AC$2,FALSE),"")</f>
        <v>N/A</v>
      </c>
      <c r="BY171" s="43">
        <f>IFERROR(VLOOKUP($E171,'Pre-Assessment Estimator'!$F$11:$AJ$226,'Pre-Assessment Estimator'!AJ$2,FALSE),"")</f>
        <v>0</v>
      </c>
      <c r="BZ171" s="43">
        <f>IFERROR(VLOOKUP($BX171,$E$293:$H$326,F$291,FALSE),"")</f>
        <v>1</v>
      </c>
      <c r="CA171" s="43">
        <f>IFERROR(VLOOKUP($BX171,$E$293:$H$326,G$291,FALSE),"")</f>
        <v>0</v>
      </c>
      <c r="CB171" s="43"/>
      <c r="CC171" t="str">
        <f>IFERROR(VLOOKUP($BX171,$E$293:$H$326,I$291,FALSE),"")</f>
        <v/>
      </c>
    </row>
    <row r="172" spans="1:81" x14ac:dyDescent="0.25">
      <c r="A172">
        <v>164</v>
      </c>
      <c r="C172" t="str">
        <f t="shared" si="344"/>
        <v>LE 02</v>
      </c>
      <c r="D172" s="146" t="s">
        <v>692</v>
      </c>
      <c r="E172" s="817" t="s">
        <v>1017</v>
      </c>
      <c r="F172" s="668"/>
      <c r="G172" s="668"/>
      <c r="H172" s="668"/>
      <c r="I172" s="668"/>
      <c r="J172" s="668"/>
      <c r="K172" s="668"/>
      <c r="L172" s="668"/>
      <c r="M172" s="668"/>
      <c r="N172" s="668"/>
      <c r="O172" s="668"/>
      <c r="P172" s="668"/>
      <c r="Q172" s="668"/>
      <c r="R172" s="668"/>
      <c r="T172" s="148">
        <f t="shared" si="435"/>
        <v>0</v>
      </c>
      <c r="U172" s="146"/>
      <c r="V172" s="43"/>
      <c r="W172" s="43"/>
      <c r="X172" s="43"/>
      <c r="Y172" s="147"/>
      <c r="Z172" s="147"/>
      <c r="AA172" s="148">
        <f t="shared" si="437"/>
        <v>0</v>
      </c>
      <c r="AB172" s="149">
        <f>IF($AC$5='Manuell filtrering og justering'!$J$2,Z172,(T172-AA172))</f>
        <v>0</v>
      </c>
      <c r="AD172" s="150">
        <f t="shared" si="438"/>
        <v>0</v>
      </c>
      <c r="AE172" s="150">
        <f t="shared" si="450"/>
        <v>0</v>
      </c>
      <c r="AF172" s="150">
        <f t="shared" si="451"/>
        <v>0</v>
      </c>
      <c r="AG172" s="150">
        <f t="shared" si="452"/>
        <v>0</v>
      </c>
      <c r="AI172" s="151">
        <f>IF(VLOOKUP(E172,'Pre-Assessment Estimator'!$F$11:$AA$226,'Pre-Assessment Estimator'!$H$2,FALSE)&gt;AB172,AB172,VLOOKUP(E172,'Pre-Assessment Estimator'!$F$11:$AA$226,'Pre-Assessment Estimator'!$H$2,FALSE))</f>
        <v>0</v>
      </c>
      <c r="AJ172" s="151">
        <f>IF(VLOOKUP(E172,'Pre-Assessment Estimator'!$F$11:$AA$226,'Pre-Assessment Estimator'!$O$2,FALSE)&gt;AB172,AB172,VLOOKUP(E172,'Pre-Assessment Estimator'!$F$11:$AA$226,'Pre-Assessment Estimator'!$O$2,FALSE))</f>
        <v>0</v>
      </c>
      <c r="AK172" s="151">
        <f>IF(VLOOKUP(E172,'Pre-Assessment Estimator'!$F$11:$AA$226,'Pre-Assessment Estimator'!$V$2,FALSE)&gt;AB172,AB172,VLOOKUP(E172,'Pre-Assessment Estimator'!$F$11:$AA$226,'Pre-Assessment Estimator'!$V$2,FALSE))</f>
        <v>0</v>
      </c>
      <c r="AM172" s="252"/>
      <c r="AN172" s="253"/>
      <c r="AO172" s="253"/>
      <c r="AP172" s="159"/>
      <c r="AQ172" s="164"/>
      <c r="AR172" s="123"/>
      <c r="AS172" s="251"/>
      <c r="AT172" s="159"/>
      <c r="AU172" s="159"/>
      <c r="AV172" s="159"/>
      <c r="AW172" s="164"/>
      <c r="AY172" s="146"/>
      <c r="AZ172" s="43"/>
      <c r="BA172" s="43"/>
      <c r="BB172" s="43"/>
      <c r="BC172" s="147"/>
      <c r="BD172" s="160">
        <f t="shared" si="464"/>
        <v>9</v>
      </c>
      <c r="BE172" s="45" t="str">
        <f t="shared" si="444"/>
        <v>N/A</v>
      </c>
      <c r="BF172" s="163"/>
      <c r="BG172" s="160">
        <f t="shared" si="445"/>
        <v>9</v>
      </c>
      <c r="BH172" s="45" t="str">
        <f t="shared" si="446"/>
        <v>N/A</v>
      </c>
      <c r="BI172" s="163"/>
      <c r="BJ172" s="160">
        <f t="shared" si="447"/>
        <v>9</v>
      </c>
      <c r="BK172" s="45" t="str">
        <f t="shared" si="448"/>
        <v>N/A</v>
      </c>
      <c r="BL172" s="163"/>
      <c r="BO172" s="43"/>
      <c r="BP172" s="43"/>
      <c r="BQ172" s="43" t="str">
        <f t="shared" si="342"/>
        <v/>
      </c>
      <c r="BR172" s="43">
        <f t="shared" si="399"/>
        <v>9</v>
      </c>
      <c r="BS172" s="43">
        <f t="shared" si="400"/>
        <v>9</v>
      </c>
      <c r="BT172" s="43">
        <f t="shared" si="401"/>
        <v>9</v>
      </c>
      <c r="BW172" s="43"/>
      <c r="BX172" s="43"/>
      <c r="BY172" s="43"/>
      <c r="BZ172" s="43"/>
      <c r="CA172" s="43"/>
      <c r="CB172" s="43"/>
    </row>
    <row r="173" spans="1:81" x14ac:dyDescent="0.25">
      <c r="A173">
        <v>165</v>
      </c>
      <c r="B173" t="str">
        <f t="shared" ref="B173:B174" si="465">$D$171&amp;D173</f>
        <v>LE 02b</v>
      </c>
      <c r="C173" t="str">
        <f t="shared" si="344"/>
        <v>LE 02</v>
      </c>
      <c r="D173" s="146" t="s">
        <v>695</v>
      </c>
      <c r="E173" s="1035" t="s">
        <v>1041</v>
      </c>
      <c r="F173" s="668">
        <v>1</v>
      </c>
      <c r="G173" s="668">
        <v>1</v>
      </c>
      <c r="H173" s="668">
        <v>1</v>
      </c>
      <c r="I173" s="668">
        <v>1</v>
      </c>
      <c r="J173" s="668">
        <v>1</v>
      </c>
      <c r="K173" s="668">
        <v>1</v>
      </c>
      <c r="L173" s="668">
        <v>1</v>
      </c>
      <c r="M173" s="668">
        <v>1</v>
      </c>
      <c r="N173" s="668">
        <v>1</v>
      </c>
      <c r="O173" s="668">
        <v>1</v>
      </c>
      <c r="P173" s="668">
        <v>1</v>
      </c>
      <c r="Q173" s="668">
        <v>1</v>
      </c>
      <c r="R173" s="668">
        <v>1</v>
      </c>
      <c r="T173" s="148">
        <f t="shared" si="435"/>
        <v>1</v>
      </c>
      <c r="U173" s="146"/>
      <c r="V173" s="43"/>
      <c r="W173" s="43"/>
      <c r="X173" s="43"/>
      <c r="Y173" s="147"/>
      <c r="Z173" s="147">
        <f>VLOOKUP(B173,'Manuell filtrering og justering'!$A$7:$H$253,'Manuell filtrering og justering'!$H$1,FALSE)</f>
        <v>1</v>
      </c>
      <c r="AA173" s="148">
        <f t="shared" si="437"/>
        <v>0</v>
      </c>
      <c r="AB173" s="149">
        <f>IF($AC$5='Manuell filtrering og justering'!$J$2,Z173,(T173-AA173))</f>
        <v>1</v>
      </c>
      <c r="AD173" s="150">
        <f t="shared" si="438"/>
        <v>7.8947368421052634E-3</v>
      </c>
      <c r="AE173" s="150">
        <f t="shared" si="450"/>
        <v>0</v>
      </c>
      <c r="AF173" s="150">
        <f t="shared" si="451"/>
        <v>0</v>
      </c>
      <c r="AG173" s="150">
        <f t="shared" si="452"/>
        <v>0</v>
      </c>
      <c r="AI173" s="884">
        <f>IF(AI242=AD_no,0,IF(VLOOKUP(E173,'Pre-Assessment Estimator'!$F$11:$AA$226,'Pre-Assessment Estimator'!$H$2,FALSE)&gt;AB173,AB173,VLOOKUP(E173,'Pre-Assessment Estimator'!$F$11:$AA$226,'Pre-Assessment Estimator'!$H$2,FALSE)))</f>
        <v>0</v>
      </c>
      <c r="AJ173" s="884">
        <f>IF(AJ242=AD_no,0,IF(VLOOKUP(E173,'Pre-Assessment Estimator'!$F$11:$AA$226,'Pre-Assessment Estimator'!$O$2,FALSE)&gt;AB173,AB173,VLOOKUP(E173,'Pre-Assessment Estimator'!$F$11:$AA$226,'Pre-Assessment Estimator'!$O$2,FALSE)))</f>
        <v>0</v>
      </c>
      <c r="AK173" s="884">
        <f>IF(AK242=AD_no,0,IF(VLOOKUP(E173,'Pre-Assessment Estimator'!$F$11:$AA$226,'Pre-Assessment Estimator'!$V$2,FALSE)&gt;AB173,AB173,VLOOKUP(E173,'Pre-Assessment Estimator'!$F$11:$AA$226,'Pre-Assessment Estimator'!$V$2,FALSE)))</f>
        <v>0</v>
      </c>
      <c r="AM173" s="252"/>
      <c r="AN173" s="253"/>
      <c r="AO173" s="253">
        <v>1</v>
      </c>
      <c r="AP173" s="159">
        <v>1</v>
      </c>
      <c r="AQ173" s="164">
        <v>1</v>
      </c>
      <c r="AR173" s="123"/>
      <c r="AS173" s="251"/>
      <c r="AT173" s="159"/>
      <c r="AU173" s="159">
        <v>1</v>
      </c>
      <c r="AV173" s="159">
        <v>1</v>
      </c>
      <c r="AW173" s="164">
        <v>1</v>
      </c>
      <c r="AY173" s="146"/>
      <c r="AZ173" s="43"/>
      <c r="BA173" s="161">
        <f>IF($AB173=0,0,IF($E$6=$H$9,AU173,AO173))</f>
        <v>1</v>
      </c>
      <c r="BB173" s="161">
        <f>IF($AB173=0,0,IF($E$6=$H$9,AV173,AP173))</f>
        <v>1</v>
      </c>
      <c r="BC173" s="161">
        <f>IF($AB173=0,0,IF($E$6=$H$9,AW173,AQ173))</f>
        <v>1</v>
      </c>
      <c r="BD173" s="160">
        <f t="shared" ref="BD173:BD191" si="466">IF(BC173=0,9,IF(AI173&gt;=BC173,5,IF(AI173&gt;=BB173,4,IF(AI173&gt;=BA173,3,IF(AI173&gt;=AZ173,2,IF(AI173&lt;AY173,0,1))))))</f>
        <v>2</v>
      </c>
      <c r="BE173" s="45" t="str">
        <f t="shared" si="444"/>
        <v>Good</v>
      </c>
      <c r="BF173" s="163"/>
      <c r="BG173" s="160">
        <f t="shared" ref="BG173:BG191" si="467">IF(BC173=0,9,IF(AJ173&gt;=BC173,5,IF(AJ173&gt;=BB173,4,IF(AJ173&gt;=BA173,3,IF(AJ173&gt;=AZ173,2,IF(AJ173&lt;AY173,0,1))))))</f>
        <v>2</v>
      </c>
      <c r="BH173" s="45" t="str">
        <f t="shared" si="446"/>
        <v>Good</v>
      </c>
      <c r="BI173" s="163"/>
      <c r="BJ173" s="160">
        <f t="shared" ref="BJ173:BJ191" si="468">IF(BC173=0,9,IF(AK173&gt;=BC173,5,IF(AK173&gt;=BB173,4,IF(AK173&gt;=BA173,3,IF(AK173&gt;=AZ173,2,IF(AK173&lt;AY173,0,1))))))</f>
        <v>2</v>
      </c>
      <c r="BK173" s="45" t="str">
        <f t="shared" si="448"/>
        <v>Good</v>
      </c>
      <c r="BL173" s="163"/>
      <c r="BO173" s="43"/>
      <c r="BP173" s="43">
        <v>1</v>
      </c>
      <c r="BQ173" s="43">
        <f t="shared" si="342"/>
        <v>1</v>
      </c>
      <c r="BR173" s="43">
        <f t="shared" si="399"/>
        <v>0</v>
      </c>
      <c r="BS173" s="43">
        <f t="shared" si="400"/>
        <v>0</v>
      </c>
      <c r="BT173" s="43">
        <f t="shared" si="401"/>
        <v>0</v>
      </c>
      <c r="BW173" s="43"/>
      <c r="BX173" s="43"/>
      <c r="BY173" s="43"/>
      <c r="BZ173" s="43"/>
      <c r="CA173" s="43"/>
      <c r="CB173" s="43"/>
    </row>
    <row r="174" spans="1:81" x14ac:dyDescent="0.25">
      <c r="A174">
        <v>166</v>
      </c>
      <c r="B174" t="str">
        <f t="shared" si="465"/>
        <v>LE 02c</v>
      </c>
      <c r="C174" t="str">
        <f t="shared" si="344"/>
        <v>LE 02</v>
      </c>
      <c r="D174" s="146" t="s">
        <v>696</v>
      </c>
      <c r="E174" s="916" t="s">
        <v>673</v>
      </c>
      <c r="F174" s="668">
        <v>1</v>
      </c>
      <c r="G174" s="668">
        <v>1</v>
      </c>
      <c r="H174" s="668">
        <v>1</v>
      </c>
      <c r="I174" s="668">
        <v>1</v>
      </c>
      <c r="J174" s="668">
        <v>1</v>
      </c>
      <c r="K174" s="668">
        <v>1</v>
      </c>
      <c r="L174" s="668">
        <v>1</v>
      </c>
      <c r="M174" s="668">
        <v>1</v>
      </c>
      <c r="N174" s="668">
        <v>1</v>
      </c>
      <c r="O174" s="668">
        <v>1</v>
      </c>
      <c r="P174" s="668">
        <v>1</v>
      </c>
      <c r="Q174" s="668">
        <v>1</v>
      </c>
      <c r="R174" s="668">
        <v>1</v>
      </c>
      <c r="T174" s="148">
        <f t="shared" si="435"/>
        <v>1</v>
      </c>
      <c r="U174" s="146"/>
      <c r="V174" s="43"/>
      <c r="W174" s="43"/>
      <c r="X174" s="43"/>
      <c r="Y174" s="147"/>
      <c r="Z174" s="147">
        <f>VLOOKUP(B174,'Manuell filtrering og justering'!$A$7:$H$253,'Manuell filtrering og justering'!$H$1,FALSE)</f>
        <v>1</v>
      </c>
      <c r="AA174" s="148">
        <f t="shared" si="437"/>
        <v>0</v>
      </c>
      <c r="AB174" s="149">
        <f>IF($AC$5='Manuell filtrering og justering'!$J$2,Z174,(T174-AA174))</f>
        <v>1</v>
      </c>
      <c r="AD174" s="150">
        <f t="shared" si="438"/>
        <v>7.8947368421052634E-3</v>
      </c>
      <c r="AE174" s="150">
        <f t="shared" si="450"/>
        <v>0</v>
      </c>
      <c r="AF174" s="150">
        <f t="shared" si="451"/>
        <v>0</v>
      </c>
      <c r="AG174" s="150">
        <f t="shared" si="452"/>
        <v>0</v>
      </c>
      <c r="AI174" s="884">
        <f>IF(AI242=AD_no,0,IF(VLOOKUP(E174,'Pre-Assessment Estimator'!$F$11:$AA$226,'Pre-Assessment Estimator'!$H$2,FALSE)&gt;AB174,AB174,VLOOKUP(E174,'Pre-Assessment Estimator'!$F$11:$AA$226,'Pre-Assessment Estimator'!$H$2,FALSE)))</f>
        <v>0</v>
      </c>
      <c r="AJ174" s="884">
        <f>IF(AJ242=AD_no,0,IF(VLOOKUP(E174,'Pre-Assessment Estimator'!$F$11:$AA$226,'Pre-Assessment Estimator'!$O$2,FALSE)&gt;AB174,AB174,VLOOKUP(E174,'Pre-Assessment Estimator'!$F$11:$AA$226,'Pre-Assessment Estimator'!$O$2,FALSE)))</f>
        <v>0</v>
      </c>
      <c r="AK174" s="884">
        <f>IF(AK242=AD_no,0,IF(VLOOKUP(E174,'Pre-Assessment Estimator'!$F$11:$AA$226,'Pre-Assessment Estimator'!$V$2,FALSE)&gt;AB174,AB174,VLOOKUP(E174,'Pre-Assessment Estimator'!$F$11:$AA$226,'Pre-Assessment Estimator'!$V$2,FALSE)))</f>
        <v>0</v>
      </c>
      <c r="AM174" s="252"/>
      <c r="AN174" s="253"/>
      <c r="AO174" s="253"/>
      <c r="AP174" s="159"/>
      <c r="AQ174" s="164"/>
      <c r="AR174" s="123"/>
      <c r="AS174" s="251"/>
      <c r="AT174" s="159"/>
      <c r="AU174" s="159"/>
      <c r="AV174" s="159"/>
      <c r="AW174" s="164"/>
      <c r="AY174" s="146"/>
      <c r="AZ174" s="43"/>
      <c r="BA174" s="43"/>
      <c r="BB174" s="43"/>
      <c r="BC174" s="147"/>
      <c r="BD174" s="160">
        <f t="shared" si="466"/>
        <v>9</v>
      </c>
      <c r="BE174" s="45" t="str">
        <f t="shared" si="444"/>
        <v>N/A</v>
      </c>
      <c r="BF174" s="163"/>
      <c r="BG174" s="160">
        <f t="shared" si="467"/>
        <v>9</v>
      </c>
      <c r="BH174" s="45" t="str">
        <f t="shared" si="446"/>
        <v>N/A</v>
      </c>
      <c r="BI174" s="163"/>
      <c r="BJ174" s="160">
        <f t="shared" si="468"/>
        <v>9</v>
      </c>
      <c r="BK174" s="45" t="str">
        <f t="shared" si="448"/>
        <v>N/A</v>
      </c>
      <c r="BL174" s="163"/>
      <c r="BO174" s="43"/>
      <c r="BP174" s="43"/>
      <c r="BQ174" s="43"/>
      <c r="BR174" s="43">
        <f t="shared" si="399"/>
        <v>9</v>
      </c>
      <c r="BS174" s="43">
        <f t="shared" si="400"/>
        <v>9</v>
      </c>
      <c r="BT174" s="43">
        <f t="shared" si="401"/>
        <v>9</v>
      </c>
      <c r="BW174" s="43"/>
      <c r="BX174" s="43"/>
      <c r="BY174" s="43"/>
      <c r="BZ174" s="43"/>
      <c r="CA174" s="43"/>
      <c r="CB174" s="43"/>
    </row>
    <row r="175" spans="1:81" x14ac:dyDescent="0.25">
      <c r="A175">
        <v>167</v>
      </c>
      <c r="B175" s="121" t="str">
        <f>D175</f>
        <v>LE 03</v>
      </c>
      <c r="C175" s="121" t="str">
        <f>B175</f>
        <v>LE 03</v>
      </c>
      <c r="D175" s="727" t="s">
        <v>479</v>
      </c>
      <c r="E175" s="725" t="s">
        <v>469</v>
      </c>
      <c r="F175" s="811">
        <f>SUM(F176:F178)</f>
        <v>3</v>
      </c>
      <c r="G175" s="811">
        <f t="shared" ref="G175:R175" si="469">SUM(G176:G178)</f>
        <v>3</v>
      </c>
      <c r="H175" s="811">
        <f t="shared" si="469"/>
        <v>3</v>
      </c>
      <c r="I175" s="811">
        <f t="shared" si="469"/>
        <v>3</v>
      </c>
      <c r="J175" s="811">
        <f t="shared" si="469"/>
        <v>3</v>
      </c>
      <c r="K175" s="811">
        <f t="shared" si="469"/>
        <v>3</v>
      </c>
      <c r="L175" s="811">
        <f t="shared" si="469"/>
        <v>3</v>
      </c>
      <c r="M175" s="811">
        <f t="shared" si="469"/>
        <v>3</v>
      </c>
      <c r="N175" s="811">
        <f t="shared" si="469"/>
        <v>3</v>
      </c>
      <c r="O175" s="811">
        <f t="shared" si="469"/>
        <v>3</v>
      </c>
      <c r="P175" s="811">
        <f t="shared" si="469"/>
        <v>3</v>
      </c>
      <c r="Q175" s="811">
        <f t="shared" ref="Q175" si="470">SUM(Q176:Q178)</f>
        <v>3</v>
      </c>
      <c r="R175" s="811">
        <f t="shared" si="469"/>
        <v>3</v>
      </c>
      <c r="T175" s="831">
        <f t="shared" si="435"/>
        <v>3</v>
      </c>
      <c r="U175" s="191"/>
      <c r="V175" s="61"/>
      <c r="W175" s="61"/>
      <c r="X175" s="61">
        <f>'Manuell filtrering og justering'!E77</f>
        <v>0</v>
      </c>
      <c r="Y175" s="61"/>
      <c r="Z175" s="826">
        <f t="shared" ref="Z175" si="471">SUM(Z176:Z178)</f>
        <v>0</v>
      </c>
      <c r="AA175" s="831">
        <f t="shared" si="437"/>
        <v>0</v>
      </c>
      <c r="AB175" s="883">
        <f>SUM(AB176:AB178)</f>
        <v>3</v>
      </c>
      <c r="AD175" s="150">
        <f t="shared" si="438"/>
        <v>2.368421052631579E-2</v>
      </c>
      <c r="AE175" s="799">
        <f>SUM(AE176:AE178)</f>
        <v>0</v>
      </c>
      <c r="AF175" s="799">
        <f t="shared" ref="AF175" si="472">SUM(AF176:AF178)</f>
        <v>0</v>
      </c>
      <c r="AG175" s="799">
        <f t="shared" ref="AG175" si="473">SUM(AG176:AG178)</f>
        <v>0</v>
      </c>
      <c r="AI175" s="826">
        <f t="shared" ref="AI175" si="474">SUM(AI176:AI178)</f>
        <v>0</v>
      </c>
      <c r="AJ175" s="826">
        <f t="shared" ref="AJ175" si="475">SUM(AJ176:AJ178)</f>
        <v>0</v>
      </c>
      <c r="AK175" s="826">
        <f t="shared" ref="AK175" si="476">SUM(AK176:AK178)</f>
        <v>0</v>
      </c>
      <c r="AM175" s="252"/>
      <c r="AN175" s="253"/>
      <c r="AO175" s="253"/>
      <c r="AP175" s="159"/>
      <c r="AQ175" s="164"/>
      <c r="AR175" s="123"/>
      <c r="AS175" s="251"/>
      <c r="AT175" s="159"/>
      <c r="AU175" s="159"/>
      <c r="AV175" s="159"/>
      <c r="AW175" s="164"/>
      <c r="AY175" s="146"/>
      <c r="AZ175" s="43"/>
      <c r="BA175" s="43"/>
      <c r="BB175" s="43"/>
      <c r="BC175" s="147"/>
      <c r="BD175" s="160">
        <f t="shared" si="466"/>
        <v>9</v>
      </c>
      <c r="BE175" s="45" t="str">
        <f t="shared" si="444"/>
        <v>N/A</v>
      </c>
      <c r="BF175" s="163"/>
      <c r="BG175" s="160">
        <f t="shared" si="467"/>
        <v>9</v>
      </c>
      <c r="BH175" s="45" t="str">
        <f t="shared" si="446"/>
        <v>N/A</v>
      </c>
      <c r="BI175" s="163"/>
      <c r="BJ175" s="160">
        <f t="shared" si="468"/>
        <v>9</v>
      </c>
      <c r="BK175" s="45" t="str">
        <f t="shared" si="448"/>
        <v>N/A</v>
      </c>
      <c r="BL175" s="163"/>
      <c r="BO175" s="43"/>
      <c r="BP175" s="43"/>
      <c r="BQ175" s="43" t="str">
        <f t="shared" si="342"/>
        <v/>
      </c>
      <c r="BR175" s="43">
        <f t="shared" si="399"/>
        <v>9</v>
      </c>
      <c r="BS175" s="43">
        <f t="shared" si="400"/>
        <v>9</v>
      </c>
      <c r="BT175" s="43">
        <f t="shared" si="401"/>
        <v>9</v>
      </c>
      <c r="BW175" s="43" t="str">
        <f>D175</f>
        <v>LE 03</v>
      </c>
      <c r="BX175" s="43"/>
      <c r="BY175" s="43"/>
      <c r="BZ175" s="43"/>
      <c r="CA175" s="43"/>
      <c r="CB175" s="43"/>
    </row>
    <row r="176" spans="1:81" x14ac:dyDescent="0.25">
      <c r="A176">
        <v>168</v>
      </c>
      <c r="C176" t="str">
        <f t="shared" si="344"/>
        <v>LE 03</v>
      </c>
      <c r="D176" s="146" t="s">
        <v>692</v>
      </c>
      <c r="E176" s="817" t="s">
        <v>674</v>
      </c>
      <c r="F176" s="668"/>
      <c r="G176" s="668"/>
      <c r="H176" s="668"/>
      <c r="I176" s="668"/>
      <c r="J176" s="668"/>
      <c r="K176" s="668"/>
      <c r="L176" s="668"/>
      <c r="M176" s="668"/>
      <c r="N176" s="668"/>
      <c r="O176" s="668"/>
      <c r="P176" s="668"/>
      <c r="Q176" s="668"/>
      <c r="R176" s="668"/>
      <c r="T176" s="148">
        <f t="shared" si="435"/>
        <v>0</v>
      </c>
      <c r="U176" s="146"/>
      <c r="V176" s="43"/>
      <c r="W176" s="43"/>
      <c r="X176" s="43"/>
      <c r="Y176" s="147"/>
      <c r="Z176" s="147"/>
      <c r="AA176" s="148">
        <f t="shared" si="437"/>
        <v>0</v>
      </c>
      <c r="AB176" s="149">
        <f>IF($AC$5='Manuell filtrering og justering'!$J$2,Z176,(T176-AA176))</f>
        <v>0</v>
      </c>
      <c r="AD176" s="150">
        <f t="shared" si="438"/>
        <v>0</v>
      </c>
      <c r="AE176" s="150">
        <f t="shared" si="450"/>
        <v>0</v>
      </c>
      <c r="AF176" s="150">
        <f t="shared" si="451"/>
        <v>0</v>
      </c>
      <c r="AG176" s="150">
        <f t="shared" si="452"/>
        <v>0</v>
      </c>
      <c r="AI176" s="151"/>
      <c r="AJ176" s="151"/>
      <c r="AK176" s="151"/>
      <c r="AM176" s="252"/>
      <c r="AN176" s="253"/>
      <c r="AO176" s="253"/>
      <c r="AP176" s="159"/>
      <c r="AQ176" s="164"/>
      <c r="AR176" s="123"/>
      <c r="AS176" s="251"/>
      <c r="AT176" s="159"/>
      <c r="AU176" s="159"/>
      <c r="AV176" s="159"/>
      <c r="AW176" s="164"/>
      <c r="AY176" s="146"/>
      <c r="AZ176" s="43"/>
      <c r="BA176" s="43"/>
      <c r="BB176" s="43"/>
      <c r="BC176" s="147"/>
      <c r="BD176" s="160">
        <f t="shared" si="466"/>
        <v>9</v>
      </c>
      <c r="BE176" s="45" t="str">
        <f t="shared" si="444"/>
        <v>N/A</v>
      </c>
      <c r="BF176" s="163"/>
      <c r="BG176" s="160">
        <f t="shared" si="467"/>
        <v>9</v>
      </c>
      <c r="BH176" s="45" t="str">
        <f t="shared" si="446"/>
        <v>N/A</v>
      </c>
      <c r="BI176" s="163"/>
      <c r="BJ176" s="160">
        <f t="shared" si="468"/>
        <v>9</v>
      </c>
      <c r="BK176" s="45" t="str">
        <f t="shared" si="448"/>
        <v>N/A</v>
      </c>
      <c r="BL176" s="163"/>
      <c r="BO176" s="43"/>
      <c r="BP176" s="43"/>
      <c r="BQ176" s="43" t="str">
        <f t="shared" si="342"/>
        <v/>
      </c>
      <c r="BR176" s="43">
        <f t="shared" si="399"/>
        <v>9</v>
      </c>
      <c r="BS176" s="43">
        <f t="shared" si="400"/>
        <v>9</v>
      </c>
      <c r="BT176" s="43">
        <f t="shared" si="401"/>
        <v>9</v>
      </c>
      <c r="BW176" s="43"/>
      <c r="BX176" s="43"/>
      <c r="BY176" s="43"/>
      <c r="BZ176" s="43"/>
      <c r="CA176" s="43"/>
      <c r="CB176" s="43"/>
    </row>
    <row r="177" spans="1:81" x14ac:dyDescent="0.25">
      <c r="A177">
        <v>169</v>
      </c>
      <c r="B177" t="str">
        <f t="shared" ref="B177:B178" si="477">$D$175&amp;D177</f>
        <v>LE 03b</v>
      </c>
      <c r="C177" t="str">
        <f t="shared" si="344"/>
        <v>LE 03</v>
      </c>
      <c r="D177" s="146" t="s">
        <v>695</v>
      </c>
      <c r="E177" s="1035" t="s">
        <v>675</v>
      </c>
      <c r="F177" s="668">
        <v>1</v>
      </c>
      <c r="G177" s="668">
        <v>1</v>
      </c>
      <c r="H177" s="668">
        <v>1</v>
      </c>
      <c r="I177" s="668">
        <v>1</v>
      </c>
      <c r="J177" s="668">
        <v>1</v>
      </c>
      <c r="K177" s="668">
        <v>1</v>
      </c>
      <c r="L177" s="668">
        <v>1</v>
      </c>
      <c r="M177" s="668">
        <v>1</v>
      </c>
      <c r="N177" s="668">
        <v>1</v>
      </c>
      <c r="O177" s="668">
        <v>1</v>
      </c>
      <c r="P177" s="668">
        <v>1</v>
      </c>
      <c r="Q177" s="668">
        <v>1</v>
      </c>
      <c r="R177" s="668">
        <v>1</v>
      </c>
      <c r="T177" s="148">
        <f t="shared" si="435"/>
        <v>1</v>
      </c>
      <c r="U177" s="146"/>
      <c r="V177" s="43"/>
      <c r="W177" s="43"/>
      <c r="X177" s="43"/>
      <c r="Y177" s="147"/>
      <c r="Z177" s="147">
        <f>VLOOKUP(B177,'Manuell filtrering og justering'!$A$7:$H$253,'Manuell filtrering og justering'!$H$1,FALSE)</f>
        <v>0</v>
      </c>
      <c r="AA177" s="148">
        <f t="shared" si="437"/>
        <v>0</v>
      </c>
      <c r="AB177" s="149">
        <f>IF($AC$5='Manuell filtrering og justering'!$J$2,Z177,(T177-AA177))</f>
        <v>1</v>
      </c>
      <c r="AD177" s="150">
        <f t="shared" si="438"/>
        <v>7.8947368421052634E-3</v>
      </c>
      <c r="AE177" s="150">
        <f t="shared" si="450"/>
        <v>0</v>
      </c>
      <c r="AF177" s="150">
        <f t="shared" si="451"/>
        <v>0</v>
      </c>
      <c r="AG177" s="150">
        <f t="shared" si="452"/>
        <v>0</v>
      </c>
      <c r="AI177" s="884">
        <f>IF(AI243=AD_no,0,IF(VLOOKUP(E177,'Pre-Assessment Estimator'!$F$11:$AA$226,'Pre-Assessment Estimator'!$H$2,FALSE)&gt;AB177,AB177,VLOOKUP(E177,'Pre-Assessment Estimator'!$F$11:$AA$226,'Pre-Assessment Estimator'!$H$2,FALSE)))</f>
        <v>0</v>
      </c>
      <c r="AJ177" s="884">
        <f>IF(AJ243=AD_no,0,IF(VLOOKUP(E177,'Pre-Assessment Estimator'!$F$11:$AA$226,'Pre-Assessment Estimator'!$O$2,FALSE)&gt;AB177,AB177,VLOOKUP(E177,'Pre-Assessment Estimator'!$F$11:$AA$226,'Pre-Assessment Estimator'!$O$2,FALSE)))</f>
        <v>0</v>
      </c>
      <c r="AK177" s="884">
        <f>IF(AK243=AD_no,0,IF(VLOOKUP(E177,'Pre-Assessment Estimator'!$F$11:$AA$226,'Pre-Assessment Estimator'!$V$2,FALSE)&gt;AB177,AB177,VLOOKUP(E177,'Pre-Assessment Estimator'!$F$11:$AA$226,'Pre-Assessment Estimator'!$V$2,FALSE)))</f>
        <v>0</v>
      </c>
      <c r="AM177" s="252"/>
      <c r="AN177" s="253"/>
      <c r="AO177" s="253"/>
      <c r="AP177" s="159"/>
      <c r="AQ177" s="164"/>
      <c r="AR177" s="123"/>
      <c r="AS177" s="251"/>
      <c r="AT177" s="159"/>
      <c r="AU177" s="159"/>
      <c r="AV177" s="159"/>
      <c r="AW177" s="164"/>
      <c r="AY177" s="161"/>
      <c r="AZ177" s="161"/>
      <c r="BA177" s="161"/>
      <c r="BB177" s="161"/>
      <c r="BC177" s="161"/>
      <c r="BD177" s="160">
        <f t="shared" ref="BD177:BD178" si="478">IF(BC177=0,9,IF(AI177&gt;=BC177,5,IF(AI177&gt;=BB177,4,IF(AI177&gt;=BA177,3,IF(AI177&gt;=AZ177,2,IF(AI177&lt;AY177,0,1))))))</f>
        <v>9</v>
      </c>
      <c r="BE177" s="45" t="str">
        <f t="shared" si="444"/>
        <v>N/A</v>
      </c>
      <c r="BF177" s="163"/>
      <c r="BG177" s="160">
        <f t="shared" ref="BG177:BG178" si="479">IF(BC177=0,9,IF(AJ177&gt;=BC177,5,IF(AJ177&gt;=BB177,4,IF(AJ177&gt;=BA177,3,IF(AJ177&gt;=AZ177,2,IF(AJ177&lt;AY177,0,1))))))</f>
        <v>9</v>
      </c>
      <c r="BH177" s="45" t="str">
        <f t="shared" si="446"/>
        <v>N/A</v>
      </c>
      <c r="BI177" s="163"/>
      <c r="BJ177" s="160">
        <f t="shared" ref="BJ177:BJ178" si="480">IF(BC177=0,9,IF(AK177&gt;=BC177,5,IF(AK177&gt;=BB177,4,IF(AK177&gt;=BA177,3,IF(AK177&gt;=AZ177,2,IF(AK177&lt;AY177,0,1))))))</f>
        <v>9</v>
      </c>
      <c r="BK177" s="45" t="str">
        <f t="shared" si="448"/>
        <v>N/A</v>
      </c>
      <c r="BL177" s="163"/>
      <c r="BO177" s="43"/>
      <c r="BP177" s="43"/>
      <c r="BQ177" s="43" t="str">
        <f t="shared" si="342"/>
        <v/>
      </c>
      <c r="BR177" s="43">
        <f t="shared" si="399"/>
        <v>9</v>
      </c>
      <c r="BS177" s="43">
        <f t="shared" si="400"/>
        <v>9</v>
      </c>
      <c r="BT177" s="43">
        <f t="shared" si="401"/>
        <v>9</v>
      </c>
      <c r="BW177" s="43"/>
      <c r="BX177" s="43"/>
      <c r="BY177" s="43"/>
      <c r="BZ177" s="43"/>
      <c r="CA177" s="43"/>
      <c r="CB177" s="43"/>
    </row>
    <row r="178" spans="1:81" x14ac:dyDescent="0.25">
      <c r="A178">
        <v>170</v>
      </c>
      <c r="B178" t="str">
        <f t="shared" si="477"/>
        <v>LE 03c</v>
      </c>
      <c r="C178" t="str">
        <f t="shared" si="344"/>
        <v>LE 03</v>
      </c>
      <c r="D178" s="146" t="s">
        <v>696</v>
      </c>
      <c r="E178" s="1035" t="s">
        <v>676</v>
      </c>
      <c r="F178" s="668">
        <v>2</v>
      </c>
      <c r="G178" s="668">
        <v>2</v>
      </c>
      <c r="H178" s="668">
        <v>2</v>
      </c>
      <c r="I178" s="668">
        <v>2</v>
      </c>
      <c r="J178" s="668">
        <v>2</v>
      </c>
      <c r="K178" s="668">
        <v>2</v>
      </c>
      <c r="L178" s="668">
        <v>2</v>
      </c>
      <c r="M178" s="668">
        <v>2</v>
      </c>
      <c r="N178" s="668">
        <v>2</v>
      </c>
      <c r="O178" s="668">
        <v>2</v>
      </c>
      <c r="P178" s="668">
        <v>2</v>
      </c>
      <c r="Q178" s="668">
        <v>2</v>
      </c>
      <c r="R178" s="668">
        <v>2</v>
      </c>
      <c r="T178" s="148">
        <f t="shared" si="435"/>
        <v>2</v>
      </c>
      <c r="U178" s="146"/>
      <c r="V178" s="43"/>
      <c r="W178" s="43"/>
      <c r="X178" s="43"/>
      <c r="Y178" s="147"/>
      <c r="Z178" s="147">
        <f>VLOOKUP(B178,'Manuell filtrering og justering'!$A$7:$H$253,'Manuell filtrering og justering'!$H$1,FALSE)</f>
        <v>0</v>
      </c>
      <c r="AA178" s="148">
        <f t="shared" si="437"/>
        <v>0</v>
      </c>
      <c r="AB178" s="149">
        <f>IF($AC$5='Manuell filtrering og justering'!$J$2,Z178,(T178-AA178))</f>
        <v>2</v>
      </c>
      <c r="AD178" s="150">
        <f t="shared" si="438"/>
        <v>1.5789473684210527E-2</v>
      </c>
      <c r="AE178" s="150">
        <f t="shared" si="450"/>
        <v>0</v>
      </c>
      <c r="AF178" s="150">
        <f t="shared" si="451"/>
        <v>0</v>
      </c>
      <c r="AG178" s="150">
        <f t="shared" si="452"/>
        <v>0</v>
      </c>
      <c r="AI178" s="884">
        <f>IF(AI243=AD_no,0,IF(VLOOKUP(E178,'Pre-Assessment Estimator'!$F$11:$AA$226,'Pre-Assessment Estimator'!$H$2,FALSE)&gt;AB178,AB178,VLOOKUP(E178,'Pre-Assessment Estimator'!$F$11:$AA$226,'Pre-Assessment Estimator'!$H$2,FALSE)))</f>
        <v>0</v>
      </c>
      <c r="AJ178" s="884">
        <f>IF(AJ243=AD_no,0,IF(VLOOKUP(E178,'Pre-Assessment Estimator'!$F$11:$AA$226,'Pre-Assessment Estimator'!$O$2,FALSE)&gt;AB178,AB178,VLOOKUP(E178,'Pre-Assessment Estimator'!$F$11:$AA$226,'Pre-Assessment Estimator'!$O$2,FALSE)))</f>
        <v>0</v>
      </c>
      <c r="AK178" s="884">
        <f>IF(AK243=AD_no,0,IF(VLOOKUP(E178,'Pre-Assessment Estimator'!$F$11:$AA$226,'Pre-Assessment Estimator'!$V$2,FALSE)&gt;AB178,AB178,VLOOKUP(E178,'Pre-Assessment Estimator'!$F$11:$AA$226,'Pre-Assessment Estimator'!$V$2,FALSE)))</f>
        <v>0</v>
      </c>
      <c r="AM178" s="252"/>
      <c r="AN178" s="253"/>
      <c r="AO178" s="253"/>
      <c r="AP178" s="159"/>
      <c r="AQ178" s="164"/>
      <c r="AR178" s="123"/>
      <c r="AS178" s="251"/>
      <c r="AT178" s="159"/>
      <c r="AU178" s="159"/>
      <c r="AV178" s="159"/>
      <c r="AW178" s="164"/>
      <c r="AY178" s="146"/>
      <c r="AZ178" s="43"/>
      <c r="BA178" s="43"/>
      <c r="BB178" s="43"/>
      <c r="BC178" s="147"/>
      <c r="BD178" s="160">
        <f t="shared" si="478"/>
        <v>9</v>
      </c>
      <c r="BE178" s="45" t="str">
        <f t="shared" si="444"/>
        <v>N/A</v>
      </c>
      <c r="BF178" s="163"/>
      <c r="BG178" s="160">
        <f t="shared" si="479"/>
        <v>9</v>
      </c>
      <c r="BH178" s="45" t="str">
        <f t="shared" si="446"/>
        <v>N/A</v>
      </c>
      <c r="BI178" s="163"/>
      <c r="BJ178" s="160">
        <f t="shared" si="480"/>
        <v>9</v>
      </c>
      <c r="BK178" s="45" t="str">
        <f t="shared" si="448"/>
        <v>N/A</v>
      </c>
      <c r="BL178" s="163"/>
      <c r="BO178" s="43"/>
      <c r="BP178" s="43"/>
      <c r="BQ178" s="43" t="str">
        <f t="shared" si="342"/>
        <v/>
      </c>
      <c r="BR178" s="43">
        <f t="shared" si="399"/>
        <v>9</v>
      </c>
      <c r="BS178" s="43">
        <f t="shared" si="400"/>
        <v>9</v>
      </c>
      <c r="BT178" s="43">
        <f t="shared" si="401"/>
        <v>9</v>
      </c>
      <c r="BW178" s="43"/>
      <c r="BX178" s="43"/>
      <c r="BY178" s="43"/>
      <c r="BZ178" s="43"/>
      <c r="CA178" s="43"/>
      <c r="CB178" s="43"/>
    </row>
    <row r="179" spans="1:81" x14ac:dyDescent="0.25">
      <c r="A179">
        <v>171</v>
      </c>
      <c r="B179" s="121" t="str">
        <f>D179</f>
        <v>LE 04</v>
      </c>
      <c r="C179" s="121" t="str">
        <f>B179</f>
        <v>LE 04</v>
      </c>
      <c r="D179" s="727" t="s">
        <v>181</v>
      </c>
      <c r="E179" s="725" t="s">
        <v>470</v>
      </c>
      <c r="F179" s="811">
        <f>SUM(F180:F182)</f>
        <v>4</v>
      </c>
      <c r="G179" s="811">
        <f t="shared" ref="G179:R179" si="481">SUM(G180:G182)</f>
        <v>4</v>
      </c>
      <c r="H179" s="811">
        <f t="shared" si="481"/>
        <v>4</v>
      </c>
      <c r="I179" s="811">
        <f t="shared" si="481"/>
        <v>4</v>
      </c>
      <c r="J179" s="811">
        <f t="shared" si="481"/>
        <v>4</v>
      </c>
      <c r="K179" s="811">
        <f t="shared" si="481"/>
        <v>4</v>
      </c>
      <c r="L179" s="811">
        <f t="shared" si="481"/>
        <v>4</v>
      </c>
      <c r="M179" s="811">
        <f t="shared" si="481"/>
        <v>4</v>
      </c>
      <c r="N179" s="811">
        <f t="shared" si="481"/>
        <v>4</v>
      </c>
      <c r="O179" s="811">
        <f t="shared" si="481"/>
        <v>4</v>
      </c>
      <c r="P179" s="811">
        <f t="shared" si="481"/>
        <v>4</v>
      </c>
      <c r="Q179" s="811">
        <f t="shared" ref="Q179" si="482">SUM(Q180:Q182)</f>
        <v>4</v>
      </c>
      <c r="R179" s="811">
        <f t="shared" si="481"/>
        <v>4</v>
      </c>
      <c r="T179" s="831">
        <f t="shared" si="435"/>
        <v>4</v>
      </c>
      <c r="U179" s="191"/>
      <c r="V179" s="61"/>
      <c r="W179" s="61"/>
      <c r="X179" s="61">
        <f>'Manuell filtrering og justering'!E78</f>
        <v>0</v>
      </c>
      <c r="Y179" s="61"/>
      <c r="Z179" s="826">
        <f t="shared" ref="Z179" si="483">SUM(Z180:Z182)</f>
        <v>4</v>
      </c>
      <c r="AA179" s="831">
        <f t="shared" si="437"/>
        <v>0</v>
      </c>
      <c r="AB179" s="883">
        <f>SUM(AB180:AB182)</f>
        <v>4</v>
      </c>
      <c r="AD179" s="150">
        <f t="shared" si="438"/>
        <v>3.1578947368421054E-2</v>
      </c>
      <c r="AE179" s="799">
        <f>SUM(AE180:AE182)</f>
        <v>0</v>
      </c>
      <c r="AF179" s="799">
        <f t="shared" ref="AF179" si="484">SUM(AF180:AF182)</f>
        <v>0</v>
      </c>
      <c r="AG179" s="799">
        <f t="shared" ref="AG179" si="485">SUM(AG180:AG182)</f>
        <v>0</v>
      </c>
      <c r="AI179" s="826">
        <f t="shared" ref="AI179" si="486">SUM(AI180:AI182)</f>
        <v>0</v>
      </c>
      <c r="AJ179" s="826">
        <f t="shared" ref="AJ179" si="487">SUM(AJ180:AJ182)</f>
        <v>0</v>
      </c>
      <c r="AK179" s="826">
        <f t="shared" ref="AK179" si="488">SUM(AK180:AK182)</f>
        <v>0</v>
      </c>
      <c r="AM179" s="252"/>
      <c r="AN179" s="253"/>
      <c r="AO179" s="253"/>
      <c r="AP179" s="159"/>
      <c r="AQ179" s="164"/>
      <c r="AR179" s="123"/>
      <c r="AS179" s="251"/>
      <c r="AT179" s="159"/>
      <c r="AU179" s="159"/>
      <c r="AV179" s="159"/>
      <c r="AW179" s="164"/>
      <c r="AY179" s="146"/>
      <c r="AZ179" s="43"/>
      <c r="BA179" s="43"/>
      <c r="BB179" s="43"/>
      <c r="BC179" s="147"/>
      <c r="BD179" s="160">
        <f t="shared" si="466"/>
        <v>9</v>
      </c>
      <c r="BE179" s="45" t="str">
        <f t="shared" si="444"/>
        <v>N/A</v>
      </c>
      <c r="BF179" s="163"/>
      <c r="BG179" s="160">
        <f t="shared" si="467"/>
        <v>9</v>
      </c>
      <c r="BH179" s="45" t="str">
        <f t="shared" si="446"/>
        <v>N/A</v>
      </c>
      <c r="BI179" s="163"/>
      <c r="BJ179" s="160">
        <f t="shared" si="468"/>
        <v>9</v>
      </c>
      <c r="BK179" s="45" t="str">
        <f t="shared" si="448"/>
        <v>N/A</v>
      </c>
      <c r="BL179" s="163"/>
      <c r="BO179" s="43"/>
      <c r="BP179" s="43"/>
      <c r="BQ179" s="43" t="str">
        <f t="shared" si="342"/>
        <v/>
      </c>
      <c r="BR179" s="43">
        <f t="shared" si="399"/>
        <v>9</v>
      </c>
      <c r="BS179" s="43">
        <f t="shared" si="400"/>
        <v>9</v>
      </c>
      <c r="BT179" s="43">
        <f t="shared" si="401"/>
        <v>9</v>
      </c>
      <c r="BW179" s="43" t="str">
        <f>D179</f>
        <v>LE 04</v>
      </c>
      <c r="BX179" s="43" t="str">
        <f>IFERROR(VLOOKUP($E179,'Pre-Assessment Estimator'!$F$11:$AC$226,'Pre-Assessment Estimator'!AC$2,FALSE),"")</f>
        <v>N/A</v>
      </c>
      <c r="BY179" s="43">
        <f>IFERROR(VLOOKUP($E179,'Pre-Assessment Estimator'!$F$11:$AJ$226,'Pre-Assessment Estimator'!AJ$2,FALSE),"")</f>
        <v>0</v>
      </c>
      <c r="BZ179" s="43">
        <f>IFERROR(VLOOKUP($BX179,$E$293:$H$326,F$291,FALSE),"")</f>
        <v>1</v>
      </c>
      <c r="CA179" s="43">
        <f>IFERROR(VLOOKUP($BX179,$E$293:$H$326,G$291,FALSE),"")</f>
        <v>0</v>
      </c>
      <c r="CB179" s="43"/>
      <c r="CC179" t="str">
        <f>IFERROR(VLOOKUP($BX179,$E$293:$H$326,I$291,FALSE),"")</f>
        <v/>
      </c>
    </row>
    <row r="180" spans="1:81" x14ac:dyDescent="0.25">
      <c r="A180">
        <v>172</v>
      </c>
      <c r="C180" t="str">
        <f t="shared" si="344"/>
        <v>LE 04</v>
      </c>
      <c r="D180" s="146" t="s">
        <v>692</v>
      </c>
      <c r="E180" s="817" t="s">
        <v>982</v>
      </c>
      <c r="F180" s="668"/>
      <c r="G180" s="668"/>
      <c r="H180" s="668"/>
      <c r="I180" s="668"/>
      <c r="J180" s="668"/>
      <c r="K180" s="668"/>
      <c r="L180" s="668"/>
      <c r="M180" s="668"/>
      <c r="N180" s="668"/>
      <c r="O180" s="668"/>
      <c r="P180" s="668"/>
      <c r="Q180" s="668"/>
      <c r="R180" s="668"/>
      <c r="T180" s="148">
        <f t="shared" si="435"/>
        <v>0</v>
      </c>
      <c r="U180" s="146"/>
      <c r="V180" s="43"/>
      <c r="W180" s="43"/>
      <c r="X180" s="43"/>
      <c r="Y180" s="147"/>
      <c r="Z180" s="147"/>
      <c r="AA180" s="148">
        <f t="shared" si="437"/>
        <v>0</v>
      </c>
      <c r="AB180" s="149">
        <f>IF($AC$5='Manuell filtrering og justering'!$J$2,Z180,(T180-AA180))</f>
        <v>0</v>
      </c>
      <c r="AD180" s="150">
        <f t="shared" si="438"/>
        <v>0</v>
      </c>
      <c r="AE180" s="150">
        <f t="shared" si="450"/>
        <v>0</v>
      </c>
      <c r="AF180" s="150">
        <f t="shared" si="451"/>
        <v>0</v>
      </c>
      <c r="AG180" s="150">
        <f t="shared" si="452"/>
        <v>0</v>
      </c>
      <c r="AI180" s="151">
        <f>IF(VLOOKUP(E180,'Pre-Assessment Estimator'!$F$11:$AA$226,'Pre-Assessment Estimator'!$H$2,FALSE)&gt;AB180,AB180,VLOOKUP(E180,'Pre-Assessment Estimator'!$F$11:$AA$226,'Pre-Assessment Estimator'!$H$2,FALSE))</f>
        <v>0</v>
      </c>
      <c r="AJ180" s="151">
        <f>IF(VLOOKUP(E180,'Pre-Assessment Estimator'!$F$11:$AA$226,'Pre-Assessment Estimator'!$O$2,FALSE)&gt;AB180,AB180,VLOOKUP(E180,'Pre-Assessment Estimator'!$F$11:$AA$226,'Pre-Assessment Estimator'!$O$2,FALSE))</f>
        <v>0</v>
      </c>
      <c r="AK180" s="151">
        <f>IF(VLOOKUP(E180,'Pre-Assessment Estimator'!$F$11:$AA$226,'Pre-Assessment Estimator'!$V$2,FALSE)&gt;AB180,AB180,VLOOKUP(E180,'Pre-Assessment Estimator'!$F$11:$AA$226,'Pre-Assessment Estimator'!$V$2,FALSE))</f>
        <v>0</v>
      </c>
      <c r="AM180" s="252"/>
      <c r="AN180" s="253"/>
      <c r="AO180" s="253"/>
      <c r="AP180" s="159"/>
      <c r="AQ180" s="164"/>
      <c r="AR180" s="123"/>
      <c r="AS180" s="251"/>
      <c r="AT180" s="159"/>
      <c r="AU180" s="159"/>
      <c r="AV180" s="159"/>
      <c r="AW180" s="164"/>
      <c r="AY180" s="146"/>
      <c r="AZ180" s="43"/>
      <c r="BA180" s="43"/>
      <c r="BB180" s="43"/>
      <c r="BC180" s="147"/>
      <c r="BD180" s="160">
        <f t="shared" si="466"/>
        <v>9</v>
      </c>
      <c r="BE180" s="45" t="str">
        <f t="shared" si="444"/>
        <v>N/A</v>
      </c>
      <c r="BF180" s="163"/>
      <c r="BG180" s="160">
        <f t="shared" si="467"/>
        <v>9</v>
      </c>
      <c r="BH180" s="45" t="str">
        <f t="shared" si="446"/>
        <v>N/A</v>
      </c>
      <c r="BI180" s="163"/>
      <c r="BJ180" s="160">
        <f t="shared" si="468"/>
        <v>9</v>
      </c>
      <c r="BK180" s="45" t="str">
        <f t="shared" si="448"/>
        <v>N/A</v>
      </c>
      <c r="BL180" s="163"/>
      <c r="BO180" s="43"/>
      <c r="BP180" s="43"/>
      <c r="BQ180" s="43" t="str">
        <f t="shared" si="342"/>
        <v/>
      </c>
      <c r="BR180" s="43">
        <f t="shared" si="399"/>
        <v>9</v>
      </c>
      <c r="BS180" s="43">
        <f t="shared" si="400"/>
        <v>9</v>
      </c>
      <c r="BT180" s="43">
        <f t="shared" si="401"/>
        <v>9</v>
      </c>
      <c r="BW180" s="43"/>
      <c r="BX180" s="43"/>
      <c r="BY180" s="43"/>
      <c r="BZ180" s="43"/>
      <c r="CA180" s="43"/>
      <c r="CB180" s="43"/>
    </row>
    <row r="181" spans="1:81" x14ac:dyDescent="0.25">
      <c r="A181">
        <v>173</v>
      </c>
      <c r="B181" t="str">
        <f t="shared" ref="B181:B182" si="489">$D$179&amp;D181</f>
        <v>LE 04b</v>
      </c>
      <c r="C181" t="str">
        <f t="shared" si="344"/>
        <v>LE 04</v>
      </c>
      <c r="D181" s="146" t="s">
        <v>695</v>
      </c>
      <c r="E181" s="916" t="s">
        <v>678</v>
      </c>
      <c r="F181" s="668">
        <v>1</v>
      </c>
      <c r="G181" s="668">
        <v>1</v>
      </c>
      <c r="H181" s="668">
        <v>1</v>
      </c>
      <c r="I181" s="668">
        <v>1</v>
      </c>
      <c r="J181" s="668">
        <v>1</v>
      </c>
      <c r="K181" s="668">
        <v>1</v>
      </c>
      <c r="L181" s="668">
        <v>1</v>
      </c>
      <c r="M181" s="668">
        <v>1</v>
      </c>
      <c r="N181" s="668">
        <v>1</v>
      </c>
      <c r="O181" s="668">
        <v>1</v>
      </c>
      <c r="P181" s="668">
        <v>1</v>
      </c>
      <c r="Q181" s="668">
        <v>1</v>
      </c>
      <c r="R181" s="668">
        <v>1</v>
      </c>
      <c r="T181" s="148">
        <f t="shared" si="435"/>
        <v>1</v>
      </c>
      <c r="U181" s="146"/>
      <c r="V181" s="43"/>
      <c r="W181" s="43"/>
      <c r="X181" s="43"/>
      <c r="Y181" s="147"/>
      <c r="Z181" s="147">
        <f>VLOOKUP(B181,'Manuell filtrering og justering'!$A$7:$H$253,'Manuell filtrering og justering'!$H$1,FALSE)</f>
        <v>1</v>
      </c>
      <c r="AA181" s="148">
        <f t="shared" si="437"/>
        <v>0</v>
      </c>
      <c r="AB181" s="149">
        <f>IF($AC$5='Manuell filtrering og justering'!$J$2,Z181,(T181-AA181))</f>
        <v>1</v>
      </c>
      <c r="AD181" s="150">
        <f t="shared" si="438"/>
        <v>7.8947368421052634E-3</v>
      </c>
      <c r="AE181" s="150">
        <f t="shared" si="450"/>
        <v>0</v>
      </c>
      <c r="AF181" s="150">
        <f t="shared" si="451"/>
        <v>0</v>
      </c>
      <c r="AG181" s="150">
        <f t="shared" si="452"/>
        <v>0</v>
      </c>
      <c r="AI181" s="884">
        <f>IF(AI244=AD_no,0,IF(VLOOKUP(E181,'Pre-Assessment Estimator'!$F$11:$AA$226,'Pre-Assessment Estimator'!$H$2,FALSE)&gt;AB181,AB181,VLOOKUP(E181,'Pre-Assessment Estimator'!$F$11:$AA$226,'Pre-Assessment Estimator'!$H$2,FALSE)))</f>
        <v>0</v>
      </c>
      <c r="AJ181" s="884">
        <f>IF(AJ244=AD_no,0,IF(VLOOKUP(E181,'Pre-Assessment Estimator'!$F$11:$AA$226,'Pre-Assessment Estimator'!$O$2,FALSE)&gt;AB181,AB181,VLOOKUP(E181,'Pre-Assessment Estimator'!$F$11:$AA$226,'Pre-Assessment Estimator'!$O$2,FALSE)))</f>
        <v>0</v>
      </c>
      <c r="AK181" s="884">
        <f>IF(AK244=AD_no,0,IF(VLOOKUP(E181,'Pre-Assessment Estimator'!$F$11:$AA$226,'Pre-Assessment Estimator'!$V$2,FALSE)&gt;AB181,AB181,VLOOKUP(E181,'Pre-Assessment Estimator'!$F$11:$AA$226,'Pre-Assessment Estimator'!$V$2,FALSE)))</f>
        <v>0</v>
      </c>
      <c r="AM181" s="252"/>
      <c r="AN181" s="253"/>
      <c r="AO181" s="253"/>
      <c r="AP181" s="159"/>
      <c r="AQ181" s="164">
        <v>1</v>
      </c>
      <c r="AR181" s="123"/>
      <c r="AS181" s="251"/>
      <c r="AT181" s="159"/>
      <c r="AU181" s="159"/>
      <c r="AV181" s="159"/>
      <c r="AW181" s="164">
        <v>1</v>
      </c>
      <c r="AY181" s="146"/>
      <c r="AZ181" s="43"/>
      <c r="BA181" s="43"/>
      <c r="BB181" s="43"/>
      <c r="BC181" s="161">
        <f>IF($AB181=0,0,IF($E$6=$H$9,AW181,AQ181))</f>
        <v>1</v>
      </c>
      <c r="BD181" s="160">
        <f t="shared" si="466"/>
        <v>4</v>
      </c>
      <c r="BE181" s="45" t="str">
        <f t="shared" si="444"/>
        <v>Excellent</v>
      </c>
      <c r="BF181" s="163"/>
      <c r="BG181" s="160">
        <f t="shared" si="467"/>
        <v>4</v>
      </c>
      <c r="BH181" s="45" t="str">
        <f t="shared" si="446"/>
        <v>Excellent</v>
      </c>
      <c r="BI181" s="163"/>
      <c r="BJ181" s="160">
        <f t="shared" si="468"/>
        <v>4</v>
      </c>
      <c r="BK181" s="45" t="str">
        <f t="shared" si="448"/>
        <v>Excellent</v>
      </c>
      <c r="BL181" s="163"/>
      <c r="BO181" s="43"/>
      <c r="BP181" s="43"/>
      <c r="BQ181" s="43" t="str">
        <f t="shared" si="342"/>
        <v/>
      </c>
      <c r="BR181" s="43">
        <f t="shared" si="399"/>
        <v>9</v>
      </c>
      <c r="BS181" s="43">
        <f t="shared" si="400"/>
        <v>9</v>
      </c>
      <c r="BT181" s="43">
        <f t="shared" si="401"/>
        <v>9</v>
      </c>
      <c r="BW181" s="43"/>
      <c r="BX181" s="43"/>
      <c r="BY181" s="43"/>
      <c r="BZ181" s="43"/>
      <c r="CA181" s="43"/>
      <c r="CB181" s="43"/>
    </row>
    <row r="182" spans="1:81" x14ac:dyDescent="0.25">
      <c r="A182">
        <v>174</v>
      </c>
      <c r="B182" t="str">
        <f t="shared" si="489"/>
        <v>LE 04c</v>
      </c>
      <c r="C182" t="str">
        <f t="shared" si="344"/>
        <v>LE 04</v>
      </c>
      <c r="D182" s="146" t="s">
        <v>696</v>
      </c>
      <c r="E182" s="916" t="s">
        <v>679</v>
      </c>
      <c r="F182" s="668">
        <v>3</v>
      </c>
      <c r="G182" s="668">
        <v>3</v>
      </c>
      <c r="H182" s="668">
        <v>3</v>
      </c>
      <c r="I182" s="668">
        <v>3</v>
      </c>
      <c r="J182" s="668">
        <v>3</v>
      </c>
      <c r="K182" s="668">
        <v>3</v>
      </c>
      <c r="L182" s="668">
        <v>3</v>
      </c>
      <c r="M182" s="668">
        <v>3</v>
      </c>
      <c r="N182" s="668">
        <v>3</v>
      </c>
      <c r="O182" s="668">
        <v>3</v>
      </c>
      <c r="P182" s="668">
        <v>3</v>
      </c>
      <c r="Q182" s="668">
        <v>3</v>
      </c>
      <c r="R182" s="668">
        <v>3</v>
      </c>
      <c r="T182" s="148">
        <f t="shared" si="435"/>
        <v>3</v>
      </c>
      <c r="U182" s="146"/>
      <c r="V182" s="43"/>
      <c r="W182" s="43"/>
      <c r="X182" s="43"/>
      <c r="Y182" s="147"/>
      <c r="Z182" s="147">
        <f>VLOOKUP(B182,'Manuell filtrering og justering'!$A$7:$H$253,'Manuell filtrering og justering'!$H$1,FALSE)</f>
        <v>3</v>
      </c>
      <c r="AA182" s="148">
        <f t="shared" si="437"/>
        <v>0</v>
      </c>
      <c r="AB182" s="149">
        <f>IF($AC$5='Manuell filtrering og justering'!$J$2,Z182,(T182-AA182))</f>
        <v>3</v>
      </c>
      <c r="AD182" s="150">
        <f t="shared" si="438"/>
        <v>2.368421052631579E-2</v>
      </c>
      <c r="AE182" s="150">
        <f t="shared" si="450"/>
        <v>0</v>
      </c>
      <c r="AF182" s="150">
        <f t="shared" si="451"/>
        <v>0</v>
      </c>
      <c r="AG182" s="150">
        <f t="shared" si="452"/>
        <v>0</v>
      </c>
      <c r="AI182" s="884">
        <f>IF(AI244=AD_no,0,IF(VLOOKUP(E182,'Pre-Assessment Estimator'!$F$11:$AA$226,'Pre-Assessment Estimator'!$H$2,FALSE)&gt;AB182,AB182,VLOOKUP(E182,'Pre-Assessment Estimator'!$F$11:$AA$226,'Pre-Assessment Estimator'!$H$2,FALSE)))</f>
        <v>0</v>
      </c>
      <c r="AJ182" s="884">
        <f>IF(AJ244=AD_no,0,IF(VLOOKUP(E182,'Pre-Assessment Estimator'!$F$11:$AA$226,'Pre-Assessment Estimator'!$O$2,FALSE)&gt;AB182,AB182,VLOOKUP(E182,'Pre-Assessment Estimator'!$F$11:$AA$226,'Pre-Assessment Estimator'!$O$2,FALSE)))</f>
        <v>0</v>
      </c>
      <c r="AK182" s="884">
        <f>IF(AK244=AD_no,0,IF(VLOOKUP(E182,'Pre-Assessment Estimator'!$F$11:$AA$226,'Pre-Assessment Estimator'!$V$2,FALSE)&gt;AB182,AB182,VLOOKUP(E182,'Pre-Assessment Estimator'!$F$11:$AA$226,'Pre-Assessment Estimator'!$V$2,FALSE)))</f>
        <v>0</v>
      </c>
      <c r="AM182" s="252"/>
      <c r="AN182" s="253"/>
      <c r="AO182" s="253"/>
      <c r="AP182" s="159"/>
      <c r="AQ182" s="164"/>
      <c r="AR182" s="123"/>
      <c r="AS182" s="251"/>
      <c r="AT182" s="159"/>
      <c r="AU182" s="159"/>
      <c r="AV182" s="159"/>
      <c r="AW182" s="164"/>
      <c r="AY182" s="146"/>
      <c r="AZ182" s="43"/>
      <c r="BA182" s="43"/>
      <c r="BB182" s="43"/>
      <c r="BC182" s="147"/>
      <c r="BD182" s="160">
        <f t="shared" si="466"/>
        <v>9</v>
      </c>
      <c r="BE182" s="45" t="str">
        <f t="shared" si="444"/>
        <v>N/A</v>
      </c>
      <c r="BF182" s="163"/>
      <c r="BG182" s="160">
        <f t="shared" si="467"/>
        <v>9</v>
      </c>
      <c r="BH182" s="45" t="str">
        <f t="shared" si="446"/>
        <v>N/A</v>
      </c>
      <c r="BI182" s="163"/>
      <c r="BJ182" s="160">
        <f t="shared" si="468"/>
        <v>9</v>
      </c>
      <c r="BK182" s="45" t="str">
        <f t="shared" si="448"/>
        <v>N/A</v>
      </c>
      <c r="BL182" s="163"/>
      <c r="BO182" s="43"/>
      <c r="BP182" s="43"/>
      <c r="BQ182" s="43" t="str">
        <f t="shared" si="342"/>
        <v/>
      </c>
      <c r="BR182" s="43">
        <f t="shared" si="399"/>
        <v>9</v>
      </c>
      <c r="BS182" s="43">
        <f t="shared" si="400"/>
        <v>9</v>
      </c>
      <c r="BT182" s="43">
        <f t="shared" si="401"/>
        <v>9</v>
      </c>
      <c r="BW182" s="43"/>
      <c r="BX182" s="43"/>
      <c r="BY182" s="43"/>
      <c r="BZ182" s="43"/>
      <c r="CA182" s="43"/>
      <c r="CB182" s="43"/>
    </row>
    <row r="183" spans="1:81" x14ac:dyDescent="0.25">
      <c r="A183">
        <v>175</v>
      </c>
      <c r="B183" s="121" t="str">
        <f>D183</f>
        <v>LE 05</v>
      </c>
      <c r="C183" s="121" t="str">
        <f>B183</f>
        <v>LE 05</v>
      </c>
      <c r="D183" s="727" t="s">
        <v>182</v>
      </c>
      <c r="E183" s="725" t="s">
        <v>471</v>
      </c>
      <c r="F183" s="811">
        <f>SUM(F184:F186)</f>
        <v>2</v>
      </c>
      <c r="G183" s="811">
        <f t="shared" ref="G183:R183" si="490">SUM(G184:G186)</f>
        <v>2</v>
      </c>
      <c r="H183" s="811">
        <f t="shared" si="490"/>
        <v>2</v>
      </c>
      <c r="I183" s="811">
        <f t="shared" si="490"/>
        <v>2</v>
      </c>
      <c r="J183" s="811">
        <f t="shared" si="490"/>
        <v>2</v>
      </c>
      <c r="K183" s="811">
        <f t="shared" si="490"/>
        <v>2</v>
      </c>
      <c r="L183" s="811">
        <f t="shared" si="490"/>
        <v>2</v>
      </c>
      <c r="M183" s="811">
        <f t="shared" si="490"/>
        <v>2</v>
      </c>
      <c r="N183" s="811">
        <f t="shared" si="490"/>
        <v>2</v>
      </c>
      <c r="O183" s="811">
        <f t="shared" si="490"/>
        <v>2</v>
      </c>
      <c r="P183" s="811">
        <f t="shared" si="490"/>
        <v>2</v>
      </c>
      <c r="Q183" s="811">
        <f t="shared" ref="Q183" si="491">SUM(Q184:Q186)</f>
        <v>2</v>
      </c>
      <c r="R183" s="811">
        <f t="shared" si="490"/>
        <v>2</v>
      </c>
      <c r="T183" s="831">
        <f t="shared" si="435"/>
        <v>2</v>
      </c>
      <c r="U183" s="191"/>
      <c r="V183" s="61"/>
      <c r="W183" s="61"/>
      <c r="X183" s="61">
        <f>'Manuell filtrering og justering'!E79</f>
        <v>0</v>
      </c>
      <c r="Y183" s="61"/>
      <c r="Z183" s="826">
        <f t="shared" ref="Z183" si="492">SUM(Z184:Z186)</f>
        <v>2</v>
      </c>
      <c r="AA183" s="831">
        <f t="shared" si="437"/>
        <v>0</v>
      </c>
      <c r="AB183" s="883">
        <f>SUM(AB184:AB186)</f>
        <v>2</v>
      </c>
      <c r="AD183" s="150">
        <f t="shared" si="438"/>
        <v>1.5789473684210527E-2</v>
      </c>
      <c r="AE183" s="799">
        <f>SUM(AE184:AE186)</f>
        <v>0</v>
      </c>
      <c r="AF183" s="799">
        <f t="shared" ref="AF183" si="493">SUM(AF184:AF186)</f>
        <v>0</v>
      </c>
      <c r="AG183" s="799">
        <f t="shared" ref="AG183" si="494">SUM(AG184:AG186)</f>
        <v>0</v>
      </c>
      <c r="AI183" s="826">
        <f t="shared" ref="AI183" si="495">SUM(AI184:AI186)</f>
        <v>0</v>
      </c>
      <c r="AJ183" s="826">
        <f t="shared" ref="AJ183" si="496">SUM(AJ184:AJ186)</f>
        <v>0</v>
      </c>
      <c r="AK183" s="826">
        <f t="shared" ref="AK183" si="497">SUM(AK184:AK186)</f>
        <v>0</v>
      </c>
      <c r="AM183" s="252"/>
      <c r="AN183" s="253"/>
      <c r="AO183" s="253"/>
      <c r="AP183" s="159"/>
      <c r="AQ183" s="164"/>
      <c r="AR183" s="123"/>
      <c r="AS183" s="251"/>
      <c r="AT183" s="159"/>
      <c r="AU183" s="159"/>
      <c r="AV183" s="159"/>
      <c r="AW183" s="164"/>
      <c r="AY183" s="146"/>
      <c r="AZ183" s="43"/>
      <c r="BA183" s="43"/>
      <c r="BB183" s="43"/>
      <c r="BC183" s="147"/>
      <c r="BD183" s="160">
        <f t="shared" si="466"/>
        <v>9</v>
      </c>
      <c r="BE183" s="45" t="str">
        <f t="shared" si="444"/>
        <v>N/A</v>
      </c>
      <c r="BF183" s="163"/>
      <c r="BG183" s="160">
        <f t="shared" si="467"/>
        <v>9</v>
      </c>
      <c r="BH183" s="45" t="str">
        <f t="shared" si="446"/>
        <v>N/A</v>
      </c>
      <c r="BI183" s="163"/>
      <c r="BJ183" s="160">
        <f t="shared" si="468"/>
        <v>9</v>
      </c>
      <c r="BK183" s="45" t="str">
        <f t="shared" si="448"/>
        <v>N/A</v>
      </c>
      <c r="BL183" s="163"/>
      <c r="BO183" s="43"/>
      <c r="BP183" s="43"/>
      <c r="BQ183" s="43" t="str">
        <f t="shared" si="342"/>
        <v/>
      </c>
      <c r="BR183" s="43">
        <f t="shared" si="399"/>
        <v>9</v>
      </c>
      <c r="BS183" s="43">
        <f t="shared" si="400"/>
        <v>9</v>
      </c>
      <c r="BT183" s="43">
        <f t="shared" si="401"/>
        <v>9</v>
      </c>
      <c r="BW183" s="43" t="str">
        <f>D183</f>
        <v>LE 05</v>
      </c>
      <c r="BX183" s="43" t="str">
        <f>IFERROR(VLOOKUP($E183,'Pre-Assessment Estimator'!$F$11:$AC$226,'Pre-Assessment Estimator'!AC$2,FALSE),"")</f>
        <v>N/A</v>
      </c>
      <c r="BY183" s="43">
        <f>IFERROR(VLOOKUP($E183,'Pre-Assessment Estimator'!$F$11:$AJ$226,'Pre-Assessment Estimator'!AJ$2,FALSE),"")</f>
        <v>0</v>
      </c>
      <c r="BZ183" s="43">
        <f>IFERROR(VLOOKUP($BX183,$E$293:$H$326,F$291,FALSE),"")</f>
        <v>1</v>
      </c>
      <c r="CA183" s="43">
        <f>IFERROR(VLOOKUP($BX183,$E$293:$H$326,G$291,FALSE),"")</f>
        <v>0</v>
      </c>
      <c r="CB183" s="43"/>
      <c r="CC183" t="str">
        <f>IFERROR(VLOOKUP($BX183,$E$293:$H$326,I$291,FALSE),"")</f>
        <v/>
      </c>
    </row>
    <row r="184" spans="1:81" x14ac:dyDescent="0.25">
      <c r="A184">
        <v>176</v>
      </c>
      <c r="C184" t="str">
        <f t="shared" si="344"/>
        <v>LE 05</v>
      </c>
      <c r="D184" s="146" t="s">
        <v>692</v>
      </c>
      <c r="E184" s="817" t="s">
        <v>680</v>
      </c>
      <c r="F184" s="668"/>
      <c r="G184" s="668"/>
      <c r="H184" s="668"/>
      <c r="I184" s="668"/>
      <c r="J184" s="668"/>
      <c r="K184" s="668"/>
      <c r="L184" s="668"/>
      <c r="M184" s="668"/>
      <c r="N184" s="668"/>
      <c r="O184" s="668"/>
      <c r="P184" s="668"/>
      <c r="Q184" s="668"/>
      <c r="R184" s="668"/>
      <c r="T184" s="148">
        <f t="shared" si="435"/>
        <v>0</v>
      </c>
      <c r="U184" s="146"/>
      <c r="V184" s="43"/>
      <c r="W184" s="43"/>
      <c r="X184" s="43"/>
      <c r="Y184" s="147"/>
      <c r="Z184" s="147"/>
      <c r="AA184" s="148">
        <f t="shared" si="437"/>
        <v>0</v>
      </c>
      <c r="AB184" s="149">
        <f>IF($AC$5='Manuell filtrering og justering'!$J$2,Z184,(T184-AA184))</f>
        <v>0</v>
      </c>
      <c r="AD184" s="150">
        <f t="shared" si="438"/>
        <v>0</v>
      </c>
      <c r="AE184" s="150">
        <f t="shared" si="450"/>
        <v>0</v>
      </c>
      <c r="AF184" s="150">
        <f t="shared" si="451"/>
        <v>0</v>
      </c>
      <c r="AG184" s="150">
        <f t="shared" si="452"/>
        <v>0</v>
      </c>
      <c r="AI184" s="151">
        <f>IF(VLOOKUP(E184,'Pre-Assessment Estimator'!$F$11:$AA$226,'Pre-Assessment Estimator'!$H$2,FALSE)&gt;AB184,AB184,VLOOKUP(E184,'Pre-Assessment Estimator'!$F$11:$AA$226,'Pre-Assessment Estimator'!$H$2,FALSE))</f>
        <v>0</v>
      </c>
      <c r="AJ184" s="151">
        <f>IF(VLOOKUP(E184,'Pre-Assessment Estimator'!$F$11:$AA$226,'Pre-Assessment Estimator'!$O$2,FALSE)&gt;AB184,AB184,VLOOKUP(E184,'Pre-Assessment Estimator'!$F$11:$AA$226,'Pre-Assessment Estimator'!$O$2,FALSE))</f>
        <v>0</v>
      </c>
      <c r="AK184" s="151">
        <f>IF(VLOOKUP(E184,'Pre-Assessment Estimator'!$F$11:$AA$226,'Pre-Assessment Estimator'!$V$2,FALSE)&gt;AB184,AB184,VLOOKUP(E184,'Pre-Assessment Estimator'!$F$11:$AA$226,'Pre-Assessment Estimator'!$V$2,FALSE))</f>
        <v>0</v>
      </c>
      <c r="AM184" s="252"/>
      <c r="AN184" s="253"/>
      <c r="AO184" s="253"/>
      <c r="AP184" s="159"/>
      <c r="AQ184" s="164"/>
      <c r="AR184" s="123"/>
      <c r="AS184" s="251"/>
      <c r="AT184" s="159"/>
      <c r="AU184" s="159"/>
      <c r="AV184" s="159"/>
      <c r="AW184" s="164"/>
      <c r="AY184" s="146"/>
      <c r="AZ184" s="43"/>
      <c r="BA184" s="43"/>
      <c r="BB184" s="147"/>
      <c r="BC184" s="147"/>
      <c r="BD184" s="160">
        <f t="shared" si="466"/>
        <v>9</v>
      </c>
      <c r="BE184" s="45" t="str">
        <f t="shared" si="444"/>
        <v>N/A</v>
      </c>
      <c r="BF184" s="163"/>
      <c r="BG184" s="160">
        <f t="shared" si="467"/>
        <v>9</v>
      </c>
      <c r="BH184" s="45" t="str">
        <f t="shared" si="446"/>
        <v>N/A</v>
      </c>
      <c r="BI184" s="163"/>
      <c r="BJ184" s="160">
        <f t="shared" si="468"/>
        <v>9</v>
      </c>
      <c r="BK184" s="45" t="str">
        <f t="shared" si="448"/>
        <v>N/A</v>
      </c>
      <c r="BL184" s="163"/>
      <c r="BO184" s="43"/>
      <c r="BP184" s="43"/>
      <c r="BQ184" s="43" t="str">
        <f t="shared" si="342"/>
        <v/>
      </c>
      <c r="BR184" s="43">
        <f t="shared" si="399"/>
        <v>9</v>
      </c>
      <c r="BS184" s="43">
        <f t="shared" si="400"/>
        <v>9</v>
      </c>
      <c r="BT184" s="43">
        <f t="shared" si="401"/>
        <v>9</v>
      </c>
      <c r="BW184" s="43"/>
      <c r="BX184" s="43"/>
      <c r="BY184" s="43"/>
      <c r="BZ184" s="43"/>
      <c r="CA184" s="43"/>
      <c r="CB184" s="43"/>
    </row>
    <row r="185" spans="1:81" x14ac:dyDescent="0.25">
      <c r="A185">
        <v>177</v>
      </c>
      <c r="B185" t="str">
        <f t="shared" ref="B185:B186" si="498">$D$183&amp;D185</f>
        <v>LE 05b</v>
      </c>
      <c r="C185" t="str">
        <f t="shared" si="344"/>
        <v>LE 05</v>
      </c>
      <c r="D185" s="146" t="s">
        <v>695</v>
      </c>
      <c r="E185" s="916" t="s">
        <v>681</v>
      </c>
      <c r="F185" s="668">
        <v>1</v>
      </c>
      <c r="G185" s="668">
        <v>1</v>
      </c>
      <c r="H185" s="668">
        <v>1</v>
      </c>
      <c r="I185" s="668">
        <v>1</v>
      </c>
      <c r="J185" s="668">
        <v>1</v>
      </c>
      <c r="K185" s="668">
        <v>1</v>
      </c>
      <c r="L185" s="668">
        <v>1</v>
      </c>
      <c r="M185" s="668">
        <v>1</v>
      </c>
      <c r="N185" s="668">
        <v>1</v>
      </c>
      <c r="O185" s="668">
        <v>1</v>
      </c>
      <c r="P185" s="668">
        <v>1</v>
      </c>
      <c r="Q185" s="668">
        <v>1</v>
      </c>
      <c r="R185" s="668">
        <v>1</v>
      </c>
      <c r="T185" s="148">
        <f t="shared" si="435"/>
        <v>1</v>
      </c>
      <c r="U185" s="146"/>
      <c r="V185" s="43"/>
      <c r="W185" s="43"/>
      <c r="X185" s="43"/>
      <c r="Y185" s="147"/>
      <c r="Z185" s="147">
        <f>VLOOKUP(B185,'Manuell filtrering og justering'!$A$7:$H$253,'Manuell filtrering og justering'!$H$1,FALSE)</f>
        <v>1</v>
      </c>
      <c r="AA185" s="148">
        <f t="shared" si="437"/>
        <v>0</v>
      </c>
      <c r="AB185" s="149">
        <f>IF($AC$5='Manuell filtrering og justering'!$J$2,Z185,(T185-AA185))</f>
        <v>1</v>
      </c>
      <c r="AD185" s="150">
        <f t="shared" si="438"/>
        <v>7.8947368421052634E-3</v>
      </c>
      <c r="AE185" s="150">
        <f t="shared" si="450"/>
        <v>0</v>
      </c>
      <c r="AF185" s="150">
        <f t="shared" si="451"/>
        <v>0</v>
      </c>
      <c r="AG185" s="150">
        <f t="shared" si="452"/>
        <v>0</v>
      </c>
      <c r="AI185" s="884">
        <f>IF(AI245=AD_no,0,IF(VLOOKUP(E185,'Pre-Assessment Estimator'!$F$11:$AA$226,'Pre-Assessment Estimator'!$H$2,FALSE)&gt;AB185,AB185,VLOOKUP(E185,'Pre-Assessment Estimator'!$F$11:$AA$226,'Pre-Assessment Estimator'!$H$2,FALSE)))</f>
        <v>0</v>
      </c>
      <c r="AJ185" s="884">
        <f>IF(AJ245=AD_no,0,IF(VLOOKUP(E185,'Pre-Assessment Estimator'!$F$11:$AA$226,'Pre-Assessment Estimator'!$O$2,FALSE)&gt;AB185,AB185,VLOOKUP(E185,'Pre-Assessment Estimator'!$F$11:$AA$226,'Pre-Assessment Estimator'!$O$2,FALSE)))</f>
        <v>0</v>
      </c>
      <c r="AK185" s="884">
        <f>IF(AK245=AD_no,0,IF(VLOOKUP(E185,'Pre-Assessment Estimator'!$F$11:$AA$226,'Pre-Assessment Estimator'!$V$2,FALSE)&gt;AB185,AB185,VLOOKUP(E185,'Pre-Assessment Estimator'!$F$11:$AA$226,'Pre-Assessment Estimator'!$V$2,FALSE)))</f>
        <v>0</v>
      </c>
      <c r="AM185" s="252"/>
      <c r="AN185" s="253"/>
      <c r="AO185" s="253"/>
      <c r="AP185" s="159"/>
      <c r="AQ185" s="164"/>
      <c r="AR185" s="123"/>
      <c r="AS185" s="251"/>
      <c r="AT185" s="159"/>
      <c r="AU185" s="159"/>
      <c r="AV185" s="159"/>
      <c r="AW185" s="164"/>
      <c r="AY185" s="146"/>
      <c r="AZ185" s="43"/>
      <c r="BA185" s="43"/>
      <c r="BB185" s="147"/>
      <c r="BC185" s="147"/>
      <c r="BD185" s="160">
        <f t="shared" si="466"/>
        <v>9</v>
      </c>
      <c r="BE185" s="45" t="str">
        <f t="shared" si="444"/>
        <v>N/A</v>
      </c>
      <c r="BF185" s="163"/>
      <c r="BG185" s="160">
        <f t="shared" si="467"/>
        <v>9</v>
      </c>
      <c r="BH185" s="45" t="str">
        <f t="shared" si="446"/>
        <v>N/A</v>
      </c>
      <c r="BI185" s="163"/>
      <c r="BJ185" s="160">
        <f t="shared" si="468"/>
        <v>9</v>
      </c>
      <c r="BK185" s="45" t="str">
        <f t="shared" si="448"/>
        <v>N/A</v>
      </c>
      <c r="BL185" s="163"/>
      <c r="BO185" s="43"/>
      <c r="BP185" s="43"/>
      <c r="BQ185" s="43" t="str">
        <f t="shared" si="342"/>
        <v/>
      </c>
      <c r="BR185" s="43">
        <f t="shared" si="399"/>
        <v>9</v>
      </c>
      <c r="BS185" s="43">
        <f t="shared" si="400"/>
        <v>9</v>
      </c>
      <c r="BT185" s="43">
        <f t="shared" si="401"/>
        <v>9</v>
      </c>
      <c r="BW185" s="43"/>
      <c r="BX185" s="43"/>
      <c r="BY185" s="43"/>
      <c r="BZ185" s="43"/>
      <c r="CA185" s="43"/>
      <c r="CB185" s="43"/>
    </row>
    <row r="186" spans="1:81" x14ac:dyDescent="0.25">
      <c r="A186">
        <v>178</v>
      </c>
      <c r="B186" t="str">
        <f t="shared" si="498"/>
        <v>LE 05c</v>
      </c>
      <c r="C186" t="str">
        <f t="shared" si="344"/>
        <v>LE 05</v>
      </c>
      <c r="D186" s="146" t="s">
        <v>696</v>
      </c>
      <c r="E186" s="916" t="s">
        <v>682</v>
      </c>
      <c r="F186" s="668">
        <v>1</v>
      </c>
      <c r="G186" s="668">
        <v>1</v>
      </c>
      <c r="H186" s="668">
        <v>1</v>
      </c>
      <c r="I186" s="668">
        <v>1</v>
      </c>
      <c r="J186" s="668">
        <v>1</v>
      </c>
      <c r="K186" s="668">
        <v>1</v>
      </c>
      <c r="L186" s="668">
        <v>1</v>
      </c>
      <c r="M186" s="668">
        <v>1</v>
      </c>
      <c r="N186" s="668">
        <v>1</v>
      </c>
      <c r="O186" s="668">
        <v>1</v>
      </c>
      <c r="P186" s="668">
        <v>1</v>
      </c>
      <c r="Q186" s="668">
        <v>1</v>
      </c>
      <c r="R186" s="668">
        <v>1</v>
      </c>
      <c r="T186" s="148">
        <f t="shared" si="435"/>
        <v>1</v>
      </c>
      <c r="U186" s="146"/>
      <c r="V186" s="43"/>
      <c r="W186" s="43"/>
      <c r="X186" s="43"/>
      <c r="Y186" s="147"/>
      <c r="Z186" s="147">
        <f>VLOOKUP(B186,'Manuell filtrering og justering'!$A$7:$H$253,'Manuell filtrering og justering'!$H$1,FALSE)</f>
        <v>1</v>
      </c>
      <c r="AA186" s="148">
        <f t="shared" si="437"/>
        <v>0</v>
      </c>
      <c r="AB186" s="149">
        <f>IF($AC$5='Manuell filtrering og justering'!$J$2,Z186,(T186-AA186))</f>
        <v>1</v>
      </c>
      <c r="AD186" s="150">
        <f t="shared" si="438"/>
        <v>7.8947368421052634E-3</v>
      </c>
      <c r="AE186" s="150">
        <f t="shared" si="450"/>
        <v>0</v>
      </c>
      <c r="AF186" s="150">
        <f t="shared" si="451"/>
        <v>0</v>
      </c>
      <c r="AG186" s="150">
        <f t="shared" si="452"/>
        <v>0</v>
      </c>
      <c r="AI186" s="884">
        <f>IF(AI245=AD_no,0,IF(VLOOKUP(E186,'Pre-Assessment Estimator'!$F$11:$AA$226,'Pre-Assessment Estimator'!$H$2,FALSE)&gt;AB186,AB186,VLOOKUP(E186,'Pre-Assessment Estimator'!$F$11:$AA$226,'Pre-Assessment Estimator'!$H$2,FALSE)))</f>
        <v>0</v>
      </c>
      <c r="AJ186" s="884">
        <f>IF(AJ245=AD_no,0,IF(VLOOKUP(E186,'Pre-Assessment Estimator'!$F$11:$AA$226,'Pre-Assessment Estimator'!$O$2,FALSE)&gt;AB186,AB186,VLOOKUP(E186,'Pre-Assessment Estimator'!$F$11:$AA$226,'Pre-Assessment Estimator'!$O$2,FALSE)))</f>
        <v>0</v>
      </c>
      <c r="AK186" s="884">
        <f>IF(AK245=AD_no,0,IF(VLOOKUP(E186,'Pre-Assessment Estimator'!$F$11:$AA$226,'Pre-Assessment Estimator'!$V$2,FALSE)&gt;AB186,AB186,VLOOKUP(E186,'Pre-Assessment Estimator'!$F$11:$AA$226,'Pre-Assessment Estimator'!$V$2,FALSE)))</f>
        <v>0</v>
      </c>
      <c r="AM186" s="252"/>
      <c r="AN186" s="253"/>
      <c r="AO186" s="253"/>
      <c r="AP186" s="159"/>
      <c r="AQ186" s="164"/>
      <c r="AR186" s="123"/>
      <c r="AS186" s="251"/>
      <c r="AT186" s="159"/>
      <c r="AU186" s="159"/>
      <c r="AV186" s="159"/>
      <c r="AW186" s="164"/>
      <c r="AY186" s="146"/>
      <c r="AZ186" s="43"/>
      <c r="BA186" s="43"/>
      <c r="BB186" s="147"/>
      <c r="BC186" s="147"/>
      <c r="BD186" s="160">
        <f t="shared" si="466"/>
        <v>9</v>
      </c>
      <c r="BE186" s="45" t="str">
        <f t="shared" si="444"/>
        <v>N/A</v>
      </c>
      <c r="BF186" s="163"/>
      <c r="BG186" s="160">
        <f t="shared" si="467"/>
        <v>9</v>
      </c>
      <c r="BH186" s="45" t="str">
        <f t="shared" si="446"/>
        <v>N/A</v>
      </c>
      <c r="BI186" s="163"/>
      <c r="BJ186" s="160">
        <f t="shared" si="468"/>
        <v>9</v>
      </c>
      <c r="BK186" s="45" t="str">
        <f t="shared" si="448"/>
        <v>N/A</v>
      </c>
      <c r="BL186" s="163"/>
      <c r="BO186" s="43"/>
      <c r="BP186" s="43"/>
      <c r="BQ186" s="43" t="str">
        <f t="shared" si="342"/>
        <v/>
      </c>
      <c r="BR186" s="43">
        <f t="shared" si="399"/>
        <v>9</v>
      </c>
      <c r="BS186" s="43">
        <f t="shared" si="400"/>
        <v>9</v>
      </c>
      <c r="BT186" s="43">
        <f t="shared" si="401"/>
        <v>9</v>
      </c>
      <c r="BW186" s="43"/>
      <c r="BX186" s="43"/>
      <c r="BY186" s="43"/>
      <c r="BZ186" s="43"/>
      <c r="CA186" s="43"/>
      <c r="CB186" s="43"/>
    </row>
    <row r="187" spans="1:81" x14ac:dyDescent="0.25">
      <c r="A187">
        <v>179</v>
      </c>
      <c r="B187" s="121" t="str">
        <f>D187</f>
        <v>LE 06</v>
      </c>
      <c r="C187" s="121" t="str">
        <f>B187</f>
        <v>LE 06</v>
      </c>
      <c r="D187" s="727" t="s">
        <v>183</v>
      </c>
      <c r="E187" s="725" t="s">
        <v>689</v>
      </c>
      <c r="F187" s="811">
        <f>F188</f>
        <v>1</v>
      </c>
      <c r="G187" s="811">
        <f t="shared" ref="G187:R187" si="499">G188</f>
        <v>1</v>
      </c>
      <c r="H187" s="811">
        <f t="shared" si="499"/>
        <v>1</v>
      </c>
      <c r="I187" s="811">
        <f t="shared" si="499"/>
        <v>1</v>
      </c>
      <c r="J187" s="811">
        <f t="shared" si="499"/>
        <v>1</v>
      </c>
      <c r="K187" s="811">
        <f t="shared" si="499"/>
        <v>1</v>
      </c>
      <c r="L187" s="811">
        <f>L188</f>
        <v>1</v>
      </c>
      <c r="M187" s="811">
        <f t="shared" si="499"/>
        <v>1</v>
      </c>
      <c r="N187" s="811">
        <f t="shared" si="499"/>
        <v>1</v>
      </c>
      <c r="O187" s="811">
        <f t="shared" si="499"/>
        <v>1</v>
      </c>
      <c r="P187" s="811">
        <f t="shared" si="499"/>
        <v>1</v>
      </c>
      <c r="Q187" s="811">
        <f t="shared" si="499"/>
        <v>1</v>
      </c>
      <c r="R187" s="811">
        <f t="shared" si="499"/>
        <v>1</v>
      </c>
      <c r="T187" s="831">
        <f t="shared" si="435"/>
        <v>1</v>
      </c>
      <c r="U187" s="191"/>
      <c r="V187" s="61"/>
      <c r="W187" s="61"/>
      <c r="X187" s="61">
        <f>'Manuell filtrering og justering'!E80</f>
        <v>0</v>
      </c>
      <c r="Y187" s="61"/>
      <c r="Z187" s="826">
        <f t="shared" ref="Z187" si="500">Z188</f>
        <v>1</v>
      </c>
      <c r="AA187" s="831">
        <f t="shared" si="437"/>
        <v>0</v>
      </c>
      <c r="AB187" s="883">
        <f>SUM(AB188)</f>
        <v>1</v>
      </c>
      <c r="AD187" s="150">
        <f t="shared" si="438"/>
        <v>7.8947368421052634E-3</v>
      </c>
      <c r="AE187" s="799">
        <f>SUM(AE188)</f>
        <v>0</v>
      </c>
      <c r="AF187" s="799">
        <f t="shared" ref="AF187" si="501">SUM(AF188)</f>
        <v>0</v>
      </c>
      <c r="AG187" s="799">
        <f t="shared" ref="AG187" si="502">SUM(AG188)</f>
        <v>0</v>
      </c>
      <c r="AI187" s="826">
        <f t="shared" ref="AI187" si="503">AI188</f>
        <v>0</v>
      </c>
      <c r="AJ187" s="826">
        <f t="shared" ref="AJ187" si="504">AJ188</f>
        <v>0</v>
      </c>
      <c r="AK187" s="826">
        <f t="shared" ref="AK187" si="505">AK188</f>
        <v>0</v>
      </c>
      <c r="AM187" s="252"/>
      <c r="AN187" s="253"/>
      <c r="AO187" s="253"/>
      <c r="AP187" s="159"/>
      <c r="AQ187" s="164"/>
      <c r="AR187" s="123"/>
      <c r="AS187" s="251"/>
      <c r="AT187" s="159"/>
      <c r="AU187" s="159"/>
      <c r="AV187" s="159"/>
      <c r="AW187" s="164"/>
      <c r="AY187" s="146"/>
      <c r="AZ187" s="43"/>
      <c r="BA187" s="43"/>
      <c r="BB187" s="147"/>
      <c r="BC187" s="147"/>
      <c r="BD187" s="160">
        <f t="shared" si="466"/>
        <v>9</v>
      </c>
      <c r="BE187" s="45" t="str">
        <f t="shared" si="444"/>
        <v>N/A</v>
      </c>
      <c r="BF187" s="163"/>
      <c r="BG187" s="160">
        <f t="shared" si="467"/>
        <v>9</v>
      </c>
      <c r="BH187" s="45" t="str">
        <f t="shared" si="446"/>
        <v>N/A</v>
      </c>
      <c r="BI187" s="163"/>
      <c r="BJ187" s="160">
        <f t="shared" si="468"/>
        <v>9</v>
      </c>
      <c r="BK187" s="45" t="str">
        <f t="shared" si="448"/>
        <v>N/A</v>
      </c>
      <c r="BL187" s="163"/>
      <c r="BO187" s="43"/>
      <c r="BP187" s="43"/>
      <c r="BQ187" s="43" t="str">
        <f t="shared" si="342"/>
        <v/>
      </c>
      <c r="BR187" s="43">
        <f t="shared" si="399"/>
        <v>9</v>
      </c>
      <c r="BS187" s="43">
        <f t="shared" si="400"/>
        <v>9</v>
      </c>
      <c r="BT187" s="43">
        <f t="shared" si="401"/>
        <v>9</v>
      </c>
      <c r="BW187" s="43" t="str">
        <f>D187</f>
        <v>LE 06</v>
      </c>
      <c r="BX187" s="43" t="str">
        <f>IFERROR(VLOOKUP($E187,'Pre-Assessment Estimator'!$F$11:$AC$226,'Pre-Assessment Estimator'!AC$2,FALSE),"")</f>
        <v>N/A</v>
      </c>
      <c r="BY187" s="43">
        <f>IFERROR(VLOOKUP($E187,'Pre-Assessment Estimator'!$F$11:$AJ$226,'Pre-Assessment Estimator'!AJ$2,FALSE),"")</f>
        <v>0</v>
      </c>
      <c r="BZ187" s="43">
        <f>IFERROR(VLOOKUP($BX187,$E$293:$H$326,F$291,FALSE),"")</f>
        <v>1</v>
      </c>
      <c r="CA187" s="43">
        <f>IFERROR(VLOOKUP($BX187,$E$293:$H$326,G$291,FALSE),"")</f>
        <v>0</v>
      </c>
      <c r="CB187" s="43"/>
      <c r="CC187" t="str">
        <f>IFERROR(VLOOKUP($BX187,$E$293:$H$326,I$291,FALSE),"")</f>
        <v/>
      </c>
    </row>
    <row r="188" spans="1:81" x14ac:dyDescent="0.25">
      <c r="A188">
        <v>180</v>
      </c>
      <c r="B188" t="str">
        <f t="shared" ref="B188" si="506">$D$187&amp;D188</f>
        <v>LE 06a</v>
      </c>
      <c r="C188" t="str">
        <f t="shared" si="344"/>
        <v>LE 06</v>
      </c>
      <c r="D188" s="146" t="s">
        <v>692</v>
      </c>
      <c r="E188" s="1035" t="s">
        <v>1042</v>
      </c>
      <c r="F188" s="668">
        <v>1</v>
      </c>
      <c r="G188" s="668">
        <v>1</v>
      </c>
      <c r="H188" s="668">
        <v>1</v>
      </c>
      <c r="I188" s="668">
        <v>1</v>
      </c>
      <c r="J188" s="668">
        <v>1</v>
      </c>
      <c r="K188" s="668">
        <v>1</v>
      </c>
      <c r="L188" s="668">
        <v>1</v>
      </c>
      <c r="M188" s="668">
        <v>1</v>
      </c>
      <c r="N188" s="668">
        <v>1</v>
      </c>
      <c r="O188" s="668">
        <v>1</v>
      </c>
      <c r="P188" s="668">
        <v>1</v>
      </c>
      <c r="Q188" s="668">
        <v>1</v>
      </c>
      <c r="R188" s="668">
        <v>1</v>
      </c>
      <c r="T188" s="148">
        <f t="shared" si="435"/>
        <v>1</v>
      </c>
      <c r="U188" s="167"/>
      <c r="V188" s="48"/>
      <c r="W188" s="48"/>
      <c r="X188" s="43"/>
      <c r="Y188" s="147"/>
      <c r="Z188" s="147">
        <f>VLOOKUP(B188,'Manuell filtrering og justering'!$A$7:$H$253,'Manuell filtrering og justering'!$H$1,FALSE)</f>
        <v>1</v>
      </c>
      <c r="AA188" s="148">
        <f t="shared" si="437"/>
        <v>0</v>
      </c>
      <c r="AB188" s="149">
        <f>IF($AC$5='Manuell filtrering og justering'!$J$2,Z188,(T188-AA188))</f>
        <v>1</v>
      </c>
      <c r="AD188" s="150">
        <f t="shared" si="438"/>
        <v>7.8947368421052634E-3</v>
      </c>
      <c r="AE188" s="150">
        <f t="shared" si="450"/>
        <v>0</v>
      </c>
      <c r="AF188" s="150">
        <f t="shared" si="451"/>
        <v>0</v>
      </c>
      <c r="AG188" s="150">
        <f t="shared" si="452"/>
        <v>0</v>
      </c>
      <c r="AI188" s="151">
        <f>IF(VLOOKUP(E188,'Pre-Assessment Estimator'!$F$11:$AA$226,'Pre-Assessment Estimator'!$H$2,FALSE)&gt;AB188,AB188,VLOOKUP(E188,'Pre-Assessment Estimator'!$F$11:$AA$226,'Pre-Assessment Estimator'!$H$2,FALSE))</f>
        <v>0</v>
      </c>
      <c r="AJ188" s="151">
        <f>IF(VLOOKUP(E188,'Pre-Assessment Estimator'!$F$11:$AA$226,'Pre-Assessment Estimator'!$O$2,FALSE)&gt;AB188,AB188,VLOOKUP(E188,'Pre-Assessment Estimator'!$F$11:$AA$226,'Pre-Assessment Estimator'!$O$2,FALSE))</f>
        <v>0</v>
      </c>
      <c r="AK188" s="151">
        <f>IF(VLOOKUP(E188,'Pre-Assessment Estimator'!$F$11:$AA$226,'Pre-Assessment Estimator'!$V$2,FALSE)&gt;AB188,AB188,VLOOKUP(E188,'Pre-Assessment Estimator'!$F$11:$AA$226,'Pre-Assessment Estimator'!$V$2,FALSE))</f>
        <v>0</v>
      </c>
      <c r="AM188" s="252"/>
      <c r="AN188" s="253"/>
      <c r="AO188" s="253"/>
      <c r="AP188" s="159">
        <v>1</v>
      </c>
      <c r="AQ188" s="164">
        <v>1</v>
      </c>
      <c r="AR188" s="123"/>
      <c r="AS188" s="251"/>
      <c r="AT188" s="159"/>
      <c r="AU188" s="159"/>
      <c r="AV188" s="159">
        <v>1</v>
      </c>
      <c r="AW188" s="164">
        <v>1</v>
      </c>
      <c r="AY188" s="146"/>
      <c r="AZ188" s="43"/>
      <c r="BA188" s="43"/>
      <c r="BB188" s="161">
        <f>IF($AB188=0,0,IF($E$6=$H$9,AV188,AP188))</f>
        <v>1</v>
      </c>
      <c r="BC188" s="161">
        <f>IF($AB188=0,0,IF($E$6=$H$9,AW188,AQ188))</f>
        <v>1</v>
      </c>
      <c r="BD188" s="160">
        <f t="shared" si="466"/>
        <v>3</v>
      </c>
      <c r="BE188" s="45" t="str">
        <f t="shared" si="444"/>
        <v>Very Good</v>
      </c>
      <c r="BF188" s="163"/>
      <c r="BG188" s="160">
        <f t="shared" si="467"/>
        <v>3</v>
      </c>
      <c r="BH188" s="45" t="str">
        <f t="shared" si="446"/>
        <v>Very Good</v>
      </c>
      <c r="BI188" s="163"/>
      <c r="BJ188" s="160">
        <f t="shared" si="468"/>
        <v>3</v>
      </c>
      <c r="BK188" s="45" t="str">
        <f t="shared" si="448"/>
        <v>Very Good</v>
      </c>
      <c r="BL188" s="163"/>
      <c r="BO188" s="43"/>
      <c r="BP188" s="43">
        <v>1</v>
      </c>
      <c r="BQ188" s="43">
        <f t="shared" si="342"/>
        <v>1</v>
      </c>
      <c r="BR188" s="43">
        <f t="shared" si="399"/>
        <v>0</v>
      </c>
      <c r="BS188" s="43">
        <f t="shared" si="400"/>
        <v>0</v>
      </c>
      <c r="BT188" s="43">
        <f t="shared" si="401"/>
        <v>0</v>
      </c>
      <c r="BW188" s="63"/>
      <c r="BX188" s="63"/>
      <c r="BY188" s="63"/>
      <c r="BZ188" s="63"/>
      <c r="CA188" s="63"/>
      <c r="CB188" s="63"/>
    </row>
    <row r="189" spans="1:81" x14ac:dyDescent="0.25">
      <c r="A189">
        <v>181</v>
      </c>
      <c r="B189" s="121" t="str">
        <f>D189</f>
        <v>LE 07</v>
      </c>
      <c r="C189" s="121" t="str">
        <f>B189</f>
        <v>LE 07</v>
      </c>
      <c r="D189" s="727" t="s">
        <v>480</v>
      </c>
      <c r="E189" s="725" t="s">
        <v>690</v>
      </c>
      <c r="F189" s="811">
        <f>SUM(F190:F191)</f>
        <v>2</v>
      </c>
      <c r="G189" s="811">
        <f t="shared" ref="G189:R189" si="507">SUM(G190:G191)</f>
        <v>2</v>
      </c>
      <c r="H189" s="811">
        <f t="shared" si="507"/>
        <v>2</v>
      </c>
      <c r="I189" s="811">
        <f t="shared" si="507"/>
        <v>2</v>
      </c>
      <c r="J189" s="811">
        <f t="shared" si="507"/>
        <v>2</v>
      </c>
      <c r="K189" s="811">
        <f t="shared" si="507"/>
        <v>2</v>
      </c>
      <c r="L189" s="811">
        <f t="shared" si="507"/>
        <v>2</v>
      </c>
      <c r="M189" s="811">
        <f t="shared" si="507"/>
        <v>2</v>
      </c>
      <c r="N189" s="811">
        <f t="shared" si="507"/>
        <v>2</v>
      </c>
      <c r="O189" s="811">
        <f t="shared" si="507"/>
        <v>2</v>
      </c>
      <c r="P189" s="811">
        <f t="shared" si="507"/>
        <v>2</v>
      </c>
      <c r="Q189" s="811">
        <f t="shared" ref="Q189" si="508">SUM(Q190:Q191)</f>
        <v>2</v>
      </c>
      <c r="R189" s="811">
        <f t="shared" si="507"/>
        <v>2</v>
      </c>
      <c r="T189" s="831">
        <f t="shared" si="435"/>
        <v>2</v>
      </c>
      <c r="U189" s="631"/>
      <c r="V189" s="832"/>
      <c r="W189" s="832"/>
      <c r="X189" s="61">
        <f>'Manuell filtrering og justering'!E81</f>
        <v>0</v>
      </c>
      <c r="Y189" s="61"/>
      <c r="Z189" s="826">
        <f t="shared" ref="Z189" si="509">SUM(Z190:Z191)</f>
        <v>2</v>
      </c>
      <c r="AA189" s="831">
        <f t="shared" si="437"/>
        <v>0</v>
      </c>
      <c r="AB189" s="883">
        <f t="shared" ref="AB189" si="510">SUM(AB190:AB191)</f>
        <v>2</v>
      </c>
      <c r="AD189" s="150">
        <f t="shared" si="438"/>
        <v>1.5789473684210527E-2</v>
      </c>
      <c r="AE189" s="799">
        <f>SUM(AE190:AE191)</f>
        <v>0</v>
      </c>
      <c r="AF189" s="799">
        <f t="shared" ref="AF189:AG189" si="511">SUM(AF190:AF191)</f>
        <v>0</v>
      </c>
      <c r="AG189" s="799">
        <f t="shared" si="511"/>
        <v>0</v>
      </c>
      <c r="AI189" s="826">
        <f t="shared" ref="AI189" si="512">SUM(AI190:AI191)</f>
        <v>0</v>
      </c>
      <c r="AJ189" s="826">
        <f t="shared" ref="AJ189" si="513">SUM(AJ190:AJ191)</f>
        <v>0</v>
      </c>
      <c r="AK189" s="826">
        <f t="shared" ref="AK189" si="514">SUM(AK190:AK191)</f>
        <v>0</v>
      </c>
      <c r="AM189" s="252"/>
      <c r="AN189" s="253"/>
      <c r="AO189" s="253"/>
      <c r="AP189" s="253"/>
      <c r="AQ189" s="254"/>
      <c r="AR189" s="123"/>
      <c r="AS189" s="252"/>
      <c r="AT189" s="253"/>
      <c r="AU189" s="253"/>
      <c r="AV189" s="253"/>
      <c r="AW189" s="254"/>
      <c r="AY189" s="146"/>
      <c r="AZ189" s="43"/>
      <c r="BA189" s="43"/>
      <c r="BB189" s="43"/>
      <c r="BC189" s="147"/>
      <c r="BD189" s="160">
        <f t="shared" si="466"/>
        <v>9</v>
      </c>
      <c r="BE189" s="45" t="str">
        <f t="shared" si="444"/>
        <v>N/A</v>
      </c>
      <c r="BF189" s="163"/>
      <c r="BG189" s="160">
        <f t="shared" si="467"/>
        <v>9</v>
      </c>
      <c r="BH189" s="45" t="str">
        <f t="shared" si="446"/>
        <v>N/A</v>
      </c>
      <c r="BI189" s="163"/>
      <c r="BJ189" s="160">
        <f t="shared" si="468"/>
        <v>9</v>
      </c>
      <c r="BK189" s="45" t="str">
        <f t="shared" si="448"/>
        <v>N/A</v>
      </c>
      <c r="BL189" s="163"/>
      <c r="BO189" s="43"/>
      <c r="BP189" s="43"/>
      <c r="BQ189" s="43" t="str">
        <f t="shared" si="342"/>
        <v/>
      </c>
      <c r="BR189" s="43">
        <f t="shared" si="399"/>
        <v>9</v>
      </c>
      <c r="BS189" s="43">
        <f t="shared" si="400"/>
        <v>9</v>
      </c>
      <c r="BT189" s="43">
        <f t="shared" si="401"/>
        <v>9</v>
      </c>
      <c r="BW189" s="63" t="str">
        <f>D189</f>
        <v>LE 07</v>
      </c>
      <c r="BX189" s="63"/>
      <c r="BY189" s="63"/>
      <c r="BZ189" s="63"/>
      <c r="CA189" s="63"/>
      <c r="CB189" s="63"/>
    </row>
    <row r="190" spans="1:81" x14ac:dyDescent="0.25">
      <c r="A190">
        <v>182</v>
      </c>
      <c r="C190" t="str">
        <f t="shared" si="344"/>
        <v>LE 07</v>
      </c>
      <c r="D190" s="146" t="s">
        <v>692</v>
      </c>
      <c r="E190" s="817" t="s">
        <v>983</v>
      </c>
      <c r="F190" s="668"/>
      <c r="G190" s="668"/>
      <c r="H190" s="668"/>
      <c r="I190" s="668"/>
      <c r="J190" s="668"/>
      <c r="K190" s="668"/>
      <c r="L190" s="668"/>
      <c r="M190" s="668"/>
      <c r="N190" s="668"/>
      <c r="O190" s="668"/>
      <c r="P190" s="668"/>
      <c r="Q190" s="668"/>
      <c r="R190" s="668"/>
      <c r="T190" s="148">
        <f t="shared" si="435"/>
        <v>0</v>
      </c>
      <c r="U190" s="167"/>
      <c r="V190" s="48"/>
      <c r="W190" s="48"/>
      <c r="X190" s="43"/>
      <c r="Y190" s="147"/>
      <c r="Z190" s="147"/>
      <c r="AA190" s="148">
        <f t="shared" si="437"/>
        <v>0</v>
      </c>
      <c r="AB190" s="149">
        <f>IF($AC$5='Manuell filtrering og justering'!$J$2,Z190,(T190-AA190))</f>
        <v>0</v>
      </c>
      <c r="AD190" s="150">
        <f t="shared" si="438"/>
        <v>0</v>
      </c>
      <c r="AE190" s="150">
        <f t="shared" si="450"/>
        <v>0</v>
      </c>
      <c r="AF190" s="150">
        <f t="shared" si="451"/>
        <v>0</v>
      </c>
      <c r="AG190" s="150">
        <f t="shared" si="452"/>
        <v>0</v>
      </c>
      <c r="AI190" s="151">
        <f>IF(VLOOKUP(E190,'Pre-Assessment Estimator'!$F$11:$AA$226,'Pre-Assessment Estimator'!$H$2,FALSE)&gt;AB190,AB190,VLOOKUP(E190,'Pre-Assessment Estimator'!$F$11:$AA$226,'Pre-Assessment Estimator'!$H$2,FALSE))</f>
        <v>0</v>
      </c>
      <c r="AJ190" s="151">
        <f>IF(VLOOKUP(E190,'Pre-Assessment Estimator'!$F$11:$AA$226,'Pre-Assessment Estimator'!$O$2,FALSE)&gt;AB190,AB190,VLOOKUP(E190,'Pre-Assessment Estimator'!$F$11:$AA$226,'Pre-Assessment Estimator'!$O$2,FALSE))</f>
        <v>0</v>
      </c>
      <c r="AK190" s="151">
        <f>IF(VLOOKUP(E190,'Pre-Assessment Estimator'!$F$11:$AA$226,'Pre-Assessment Estimator'!$V$2,FALSE)&gt;AB190,AB190,VLOOKUP(E190,'Pre-Assessment Estimator'!$F$11:$AA$226,'Pre-Assessment Estimator'!$V$2,FALSE))</f>
        <v>0</v>
      </c>
      <c r="AM190" s="742"/>
      <c r="AN190" s="743"/>
      <c r="AO190" s="743"/>
      <c r="AP190" s="743"/>
      <c r="AQ190" s="735"/>
      <c r="AR190" s="123"/>
      <c r="AS190" s="742"/>
      <c r="AT190" s="743"/>
      <c r="AU190" s="743"/>
      <c r="AV190" s="743"/>
      <c r="AW190" s="735"/>
      <c r="AY190" s="167"/>
      <c r="AZ190" s="48"/>
      <c r="BA190" s="48"/>
      <c r="BB190" s="48"/>
      <c r="BC190" s="744"/>
      <c r="BD190" s="160">
        <f t="shared" si="466"/>
        <v>9</v>
      </c>
      <c r="BE190" s="45" t="str">
        <f t="shared" si="444"/>
        <v>N/A</v>
      </c>
      <c r="BF190" s="163"/>
      <c r="BG190" s="160">
        <f t="shared" si="467"/>
        <v>9</v>
      </c>
      <c r="BH190" s="45" t="str">
        <f t="shared" si="446"/>
        <v>N/A</v>
      </c>
      <c r="BI190" s="163"/>
      <c r="BJ190" s="160">
        <f t="shared" si="468"/>
        <v>9</v>
      </c>
      <c r="BK190" s="45" t="str">
        <f t="shared" si="448"/>
        <v>N/A</v>
      </c>
      <c r="BL190" s="739"/>
      <c r="BO190" s="43"/>
      <c r="BP190" s="43"/>
      <c r="BQ190" s="43" t="str">
        <f t="shared" si="342"/>
        <v/>
      </c>
      <c r="BR190" s="43">
        <f t="shared" si="399"/>
        <v>9</v>
      </c>
      <c r="BS190" s="43">
        <f t="shared" si="400"/>
        <v>9</v>
      </c>
      <c r="BT190" s="43">
        <f t="shared" si="401"/>
        <v>9</v>
      </c>
      <c r="BW190" s="63"/>
      <c r="BX190" s="63"/>
      <c r="BY190" s="63"/>
      <c r="BZ190" s="63"/>
      <c r="CA190" s="63"/>
      <c r="CB190" s="63"/>
    </row>
    <row r="191" spans="1:81" x14ac:dyDescent="0.25">
      <c r="A191">
        <v>183</v>
      </c>
      <c r="B191" t="str">
        <f t="shared" ref="B191" si="515">$D$189&amp;D191</f>
        <v>LE 07b</v>
      </c>
      <c r="C191" t="str">
        <f t="shared" si="344"/>
        <v>LE 07</v>
      </c>
      <c r="D191" s="146" t="s">
        <v>695</v>
      </c>
      <c r="E191" s="916" t="s">
        <v>685</v>
      </c>
      <c r="F191" s="668">
        <v>2</v>
      </c>
      <c r="G191" s="668">
        <v>2</v>
      </c>
      <c r="H191" s="668">
        <v>2</v>
      </c>
      <c r="I191" s="668">
        <v>2</v>
      </c>
      <c r="J191" s="668">
        <v>2</v>
      </c>
      <c r="K191" s="668">
        <v>2</v>
      </c>
      <c r="L191" s="668">
        <v>2</v>
      </c>
      <c r="M191" s="668">
        <v>2</v>
      </c>
      <c r="N191" s="668">
        <v>2</v>
      </c>
      <c r="O191" s="668">
        <v>2</v>
      </c>
      <c r="P191" s="668">
        <v>2</v>
      </c>
      <c r="Q191" s="668">
        <v>2</v>
      </c>
      <c r="R191" s="668">
        <v>2</v>
      </c>
      <c r="T191" s="148">
        <f t="shared" si="435"/>
        <v>2</v>
      </c>
      <c r="U191" s="167"/>
      <c r="V191" s="48"/>
      <c r="W191" s="48"/>
      <c r="X191" s="43"/>
      <c r="Y191" s="147"/>
      <c r="Z191" s="147">
        <f>VLOOKUP(B191,'Manuell filtrering og justering'!$A$7:$H$253,'Manuell filtrering og justering'!$H$1,FALSE)</f>
        <v>2</v>
      </c>
      <c r="AA191" s="148">
        <f t="shared" si="437"/>
        <v>0</v>
      </c>
      <c r="AB191" s="149">
        <f>IF($AC$5='Manuell filtrering og justering'!$J$2,Z191,(T191-AA191))</f>
        <v>2</v>
      </c>
      <c r="AD191" s="150">
        <f t="shared" si="438"/>
        <v>1.5789473684210527E-2</v>
      </c>
      <c r="AE191" s="150">
        <f t="shared" si="450"/>
        <v>0</v>
      </c>
      <c r="AF191" s="150">
        <f t="shared" si="451"/>
        <v>0</v>
      </c>
      <c r="AG191" s="150">
        <f t="shared" si="452"/>
        <v>0</v>
      </c>
      <c r="AI191" s="884">
        <f>IF(AI247=AD_no,0,IF(VLOOKUP(E191,'Pre-Assessment Estimator'!$F$11:$AA$226,'Pre-Assessment Estimator'!$H$2,FALSE)&gt;AB191,AB191,VLOOKUP(E191,'Pre-Assessment Estimator'!$F$11:$AA$226,'Pre-Assessment Estimator'!$H$2,FALSE)))</f>
        <v>0</v>
      </c>
      <c r="AJ191" s="884">
        <f>IF(AJ247=AD_no,0,IF(VLOOKUP(E191,'Pre-Assessment Estimator'!$F$11:$AA$226,'Pre-Assessment Estimator'!$O$2,FALSE)&gt;AB191,AB191,VLOOKUP(E191,'Pre-Assessment Estimator'!$F$11:$AA$226,'Pre-Assessment Estimator'!$O$2,FALSE)))</f>
        <v>0</v>
      </c>
      <c r="AK191" s="884">
        <f>IF(AK247=AD_no,0,IF(VLOOKUP(E191,'Pre-Assessment Estimator'!$F$11:$AA$226,'Pre-Assessment Estimator'!$V$2,FALSE)&gt;AB191,AB191,VLOOKUP(E191,'Pre-Assessment Estimator'!$F$11:$AA$226,'Pre-Assessment Estimator'!$V$2,FALSE)))</f>
        <v>0</v>
      </c>
      <c r="AM191" s="742"/>
      <c r="AN191" s="743"/>
      <c r="AO191" s="743"/>
      <c r="AP191" s="743"/>
      <c r="AQ191" s="735"/>
      <c r="AR191" s="123"/>
      <c r="AS191" s="742"/>
      <c r="AT191" s="743"/>
      <c r="AU191" s="743"/>
      <c r="AV191" s="743"/>
      <c r="AW191" s="735"/>
      <c r="AY191" s="167"/>
      <c r="AZ191" s="48"/>
      <c r="BA191" s="48"/>
      <c r="BB191" s="48"/>
      <c r="BC191" s="744"/>
      <c r="BD191" s="160">
        <f t="shared" si="466"/>
        <v>9</v>
      </c>
      <c r="BE191" s="45" t="str">
        <f t="shared" si="444"/>
        <v>N/A</v>
      </c>
      <c r="BF191" s="163"/>
      <c r="BG191" s="160">
        <f t="shared" si="467"/>
        <v>9</v>
      </c>
      <c r="BH191" s="45" t="str">
        <f t="shared" si="446"/>
        <v>N/A</v>
      </c>
      <c r="BI191" s="163"/>
      <c r="BJ191" s="160">
        <f t="shared" si="468"/>
        <v>9</v>
      </c>
      <c r="BK191" s="45" t="str">
        <f t="shared" si="448"/>
        <v>N/A</v>
      </c>
      <c r="BL191" s="739"/>
      <c r="BO191" s="43"/>
      <c r="BP191" s="43"/>
      <c r="BQ191" s="43" t="str">
        <f t="shared" si="342"/>
        <v/>
      </c>
      <c r="BR191" s="43">
        <f t="shared" si="399"/>
        <v>9</v>
      </c>
      <c r="BS191" s="43">
        <f t="shared" si="400"/>
        <v>9</v>
      </c>
      <c r="BT191" s="43">
        <f t="shared" si="401"/>
        <v>9</v>
      </c>
      <c r="BW191" s="63"/>
      <c r="BX191" s="63"/>
      <c r="BY191" s="63"/>
      <c r="BZ191" s="63"/>
      <c r="CA191" s="63"/>
      <c r="CB191" s="63"/>
    </row>
    <row r="192" spans="1:81" ht="15.75" thickBot="1" x14ac:dyDescent="0.3">
      <c r="A192">
        <v>184</v>
      </c>
      <c r="B192" s="121" t="str">
        <f>D192</f>
        <v>LE 08</v>
      </c>
      <c r="C192" s="121" t="str">
        <f>B192</f>
        <v>LE 08</v>
      </c>
      <c r="D192" s="727" t="s">
        <v>481</v>
      </c>
      <c r="E192" s="725" t="s">
        <v>691</v>
      </c>
      <c r="F192" s="811">
        <f>SUM(F193:F196)</f>
        <v>3</v>
      </c>
      <c r="G192" s="811">
        <f t="shared" ref="G192:R192" si="516">SUM(G193:G196)</f>
        <v>3</v>
      </c>
      <c r="H192" s="811">
        <f t="shared" si="516"/>
        <v>3</v>
      </c>
      <c r="I192" s="811">
        <f t="shared" si="516"/>
        <v>3</v>
      </c>
      <c r="J192" s="811">
        <f t="shared" si="516"/>
        <v>3</v>
      </c>
      <c r="K192" s="811">
        <f t="shared" si="516"/>
        <v>3</v>
      </c>
      <c r="L192" s="811">
        <f t="shared" si="516"/>
        <v>3</v>
      </c>
      <c r="M192" s="811">
        <f t="shared" si="516"/>
        <v>3</v>
      </c>
      <c r="N192" s="811">
        <f t="shared" si="516"/>
        <v>3</v>
      </c>
      <c r="O192" s="811">
        <f t="shared" si="516"/>
        <v>3</v>
      </c>
      <c r="P192" s="811">
        <f t="shared" si="516"/>
        <v>3</v>
      </c>
      <c r="Q192" s="811">
        <f t="shared" ref="Q192" si="517">SUM(Q193:Q196)</f>
        <v>3</v>
      </c>
      <c r="R192" s="811">
        <f t="shared" si="516"/>
        <v>3</v>
      </c>
      <c r="T192" s="831">
        <f t="shared" si="435"/>
        <v>3</v>
      </c>
      <c r="U192" s="631"/>
      <c r="V192" s="832"/>
      <c r="W192" s="832"/>
      <c r="X192" s="61">
        <f>'Manuell filtrering og justering'!E82</f>
        <v>0</v>
      </c>
      <c r="Y192" s="61"/>
      <c r="Z192" s="826">
        <f t="shared" ref="Z192" si="518">SUM(Z193:Z196)</f>
        <v>2</v>
      </c>
      <c r="AA192" s="831">
        <f t="shared" si="437"/>
        <v>0</v>
      </c>
      <c r="AB192" s="883">
        <f>SUM(AB193:AB196)</f>
        <v>3</v>
      </c>
      <c r="AD192" s="150">
        <f t="shared" si="438"/>
        <v>2.368421052631579E-2</v>
      </c>
      <c r="AE192" s="799">
        <f>SUM(AE193:AE196)</f>
        <v>0</v>
      </c>
      <c r="AF192" s="799">
        <f t="shared" ref="AF192" si="519">SUM(AF193:AF196)</f>
        <v>0</v>
      </c>
      <c r="AG192" s="799">
        <f t="shared" ref="AG192" si="520">SUM(AG193:AG196)</f>
        <v>0</v>
      </c>
      <c r="AI192" s="826">
        <f t="shared" ref="AI192" si="521">SUM(AI193:AI196)</f>
        <v>0</v>
      </c>
      <c r="AJ192" s="826">
        <f t="shared" ref="AJ192" si="522">SUM(AJ193:AJ196)</f>
        <v>0</v>
      </c>
      <c r="AK192" s="826">
        <f t="shared" ref="AK192" si="523">SUM(AK193:AK196)</f>
        <v>0</v>
      </c>
      <c r="AM192" s="255"/>
      <c r="AN192" s="256"/>
      <c r="AO192" s="256"/>
      <c r="AP192" s="256"/>
      <c r="AQ192" s="257"/>
      <c r="AR192" s="123"/>
      <c r="AS192" s="255"/>
      <c r="AT192" s="256"/>
      <c r="AU192" s="256"/>
      <c r="AV192" s="256"/>
      <c r="AW192" s="257"/>
      <c r="AY192" s="168"/>
      <c r="AZ192" s="170"/>
      <c r="BA192" s="170"/>
      <c r="BB192" s="170"/>
      <c r="BC192" s="171"/>
      <c r="BD192" s="172">
        <f t="shared" ref="BD192:BD196" si="524">IF(BC192=0,9,IF(AI192&gt;=BC192,5,IF(AI192&gt;=BB192,4,IF(AI192&gt;=BA192,3,IF(AI192&gt;=AZ192,2,IF(AI192&lt;AY192,0,1))))))</f>
        <v>9</v>
      </c>
      <c r="BE192" s="45" t="str">
        <f t="shared" si="444"/>
        <v>N/A</v>
      </c>
      <c r="BF192" s="173"/>
      <c r="BG192" s="172">
        <f t="shared" ref="BG192:BG196" si="525">IF(BC192=0,9,IF(AJ192&gt;=BC192,5,IF(AJ192&gt;=BB192,4,IF(AJ192&gt;=BA192,3,IF(AJ192&gt;=AZ192,2,IF(AJ192&lt;AY192,0,1))))))</f>
        <v>9</v>
      </c>
      <c r="BH192" s="45" t="str">
        <f t="shared" si="446"/>
        <v>N/A</v>
      </c>
      <c r="BI192" s="173"/>
      <c r="BJ192" s="172">
        <f t="shared" ref="BJ192:BJ196" si="526">IF(BC192=0,9,IF(AK192&gt;=BC192,5,IF(AK192&gt;=BB192,4,IF(AK192&gt;=BA192,3,IF(AK192&gt;=AZ192,2,IF(AK192&lt;AY192,0,1))))))</f>
        <v>9</v>
      </c>
      <c r="BK192" s="45" t="str">
        <f t="shared" si="448"/>
        <v>N/A</v>
      </c>
      <c r="BL192" s="173"/>
      <c r="BO192" s="43"/>
      <c r="BP192" s="43"/>
      <c r="BQ192" s="43" t="str">
        <f t="shared" si="342"/>
        <v/>
      </c>
      <c r="BR192" s="43">
        <f t="shared" si="399"/>
        <v>9</v>
      </c>
      <c r="BS192" s="43">
        <f t="shared" si="400"/>
        <v>9</v>
      </c>
      <c r="BT192" s="43">
        <f t="shared" si="401"/>
        <v>9</v>
      </c>
      <c r="BW192" s="63" t="str">
        <f>D192</f>
        <v>LE 08</v>
      </c>
      <c r="BX192" s="63"/>
      <c r="BY192" s="63"/>
      <c r="BZ192" s="63"/>
      <c r="CA192" s="63"/>
      <c r="CB192" s="63"/>
    </row>
    <row r="193" spans="1:85" x14ac:dyDescent="0.25">
      <c r="A193">
        <v>185</v>
      </c>
      <c r="C193" t="str">
        <f t="shared" si="344"/>
        <v>LE 08</v>
      </c>
      <c r="D193" s="146" t="s">
        <v>692</v>
      </c>
      <c r="E193" s="817" t="s">
        <v>984</v>
      </c>
      <c r="F193" s="668"/>
      <c r="G193" s="668"/>
      <c r="H193" s="668"/>
      <c r="I193" s="668"/>
      <c r="J193" s="668"/>
      <c r="K193" s="668"/>
      <c r="L193" s="668"/>
      <c r="M193" s="668"/>
      <c r="N193" s="668"/>
      <c r="O193" s="668"/>
      <c r="P193" s="668"/>
      <c r="Q193" s="668"/>
      <c r="R193" s="668"/>
      <c r="T193" s="148">
        <f t="shared" si="435"/>
        <v>0</v>
      </c>
      <c r="U193" s="167"/>
      <c r="V193" s="48"/>
      <c r="W193" s="48"/>
      <c r="X193" s="48"/>
      <c r="Y193" s="744"/>
      <c r="Z193" s="147"/>
      <c r="AA193" s="148">
        <f t="shared" si="437"/>
        <v>0</v>
      </c>
      <c r="AB193" s="149">
        <f>IF($AC$5='Manuell filtrering og justering'!$J$2,Z193,(T193-AA193))</f>
        <v>0</v>
      </c>
      <c r="AD193" s="150">
        <f t="shared" si="438"/>
        <v>0</v>
      </c>
      <c r="AE193" s="150">
        <f t="shared" si="450"/>
        <v>0</v>
      </c>
      <c r="AF193" s="150">
        <f t="shared" si="451"/>
        <v>0</v>
      </c>
      <c r="AG193" s="150">
        <f t="shared" si="452"/>
        <v>0</v>
      </c>
      <c r="AI193" s="151">
        <f>IF(VLOOKUP(E193,'Pre-Assessment Estimator'!$F$11:$AA$226,'Pre-Assessment Estimator'!$H$2,FALSE)&gt;AB193,AB193,VLOOKUP(E193,'Pre-Assessment Estimator'!$F$11:$AA$226,'Pre-Assessment Estimator'!$H$2,FALSE))</f>
        <v>0</v>
      </c>
      <c r="AJ193" s="151">
        <f>IF(VLOOKUP(E193,'Pre-Assessment Estimator'!$F$11:$AA$226,'Pre-Assessment Estimator'!$O$2,FALSE)&gt;AB193,AB193,VLOOKUP(E193,'Pre-Assessment Estimator'!$F$11:$AA$226,'Pre-Assessment Estimator'!$O$2,FALSE))</f>
        <v>0</v>
      </c>
      <c r="AK193" s="151">
        <f>IF(VLOOKUP(E193,'Pre-Assessment Estimator'!$F$11:$AA$226,'Pre-Assessment Estimator'!$V$2,FALSE)&gt;AB193,AB193,VLOOKUP(E193,'Pre-Assessment Estimator'!$F$11:$AA$226,'Pre-Assessment Estimator'!$V$2,FALSE))</f>
        <v>0</v>
      </c>
      <c r="AM193" s="742"/>
      <c r="AN193" s="743"/>
      <c r="AO193" s="743"/>
      <c r="AP193" s="743"/>
      <c r="AQ193" s="735"/>
      <c r="AR193" s="123"/>
      <c r="AS193" s="742"/>
      <c r="AT193" s="743"/>
      <c r="AU193" s="743"/>
      <c r="AV193" s="743"/>
      <c r="AW193" s="735"/>
      <c r="AY193" s="167"/>
      <c r="AZ193" s="48"/>
      <c r="BA193" s="48"/>
      <c r="BB193" s="48"/>
      <c r="BC193" s="744"/>
      <c r="BD193" s="160">
        <f t="shared" si="524"/>
        <v>9</v>
      </c>
      <c r="BE193" s="45" t="str">
        <f t="shared" si="444"/>
        <v>N/A</v>
      </c>
      <c r="BF193" s="163"/>
      <c r="BG193" s="160">
        <f t="shared" si="525"/>
        <v>9</v>
      </c>
      <c r="BH193" s="45" t="str">
        <f t="shared" si="446"/>
        <v>N/A</v>
      </c>
      <c r="BI193" s="163"/>
      <c r="BJ193" s="160">
        <f t="shared" si="526"/>
        <v>9</v>
      </c>
      <c r="BK193" s="45" t="str">
        <f t="shared" si="448"/>
        <v>N/A</v>
      </c>
      <c r="BL193" s="739"/>
      <c r="BO193" s="43"/>
      <c r="BP193" s="43"/>
      <c r="BQ193" s="43" t="str">
        <f t="shared" si="342"/>
        <v/>
      </c>
      <c r="BR193" s="43">
        <f t="shared" si="399"/>
        <v>9</v>
      </c>
      <c r="BS193" s="43">
        <f t="shared" si="400"/>
        <v>9</v>
      </c>
      <c r="BT193" s="43">
        <f t="shared" si="401"/>
        <v>9</v>
      </c>
      <c r="BW193" s="63"/>
      <c r="BX193" s="63"/>
      <c r="BY193" s="63"/>
      <c r="BZ193" s="63"/>
      <c r="CA193" s="63"/>
      <c r="CB193" s="63"/>
    </row>
    <row r="194" spans="1:85" x14ac:dyDescent="0.25">
      <c r="A194">
        <v>186</v>
      </c>
      <c r="B194" t="str">
        <f t="shared" ref="B194:B196" si="527">$D$192&amp;D194</f>
        <v>LE 08b</v>
      </c>
      <c r="C194" t="str">
        <f t="shared" si="344"/>
        <v>LE 08</v>
      </c>
      <c r="D194" s="146" t="s">
        <v>695</v>
      </c>
      <c r="E194" s="916" t="s">
        <v>959</v>
      </c>
      <c r="F194" s="668">
        <v>1</v>
      </c>
      <c r="G194" s="668">
        <v>1</v>
      </c>
      <c r="H194" s="668">
        <v>1</v>
      </c>
      <c r="I194" s="668">
        <v>1</v>
      </c>
      <c r="J194" s="668">
        <v>1</v>
      </c>
      <c r="K194" s="668">
        <v>1</v>
      </c>
      <c r="L194" s="668">
        <v>1</v>
      </c>
      <c r="M194" s="668">
        <v>1</v>
      </c>
      <c r="N194" s="668">
        <v>1</v>
      </c>
      <c r="O194" s="668">
        <v>1</v>
      </c>
      <c r="P194" s="668">
        <v>1</v>
      </c>
      <c r="Q194" s="668">
        <v>1</v>
      </c>
      <c r="R194" s="668">
        <v>1</v>
      </c>
      <c r="T194" s="148">
        <f t="shared" si="435"/>
        <v>1</v>
      </c>
      <c r="U194" s="167"/>
      <c r="V194" s="48"/>
      <c r="W194" s="48"/>
      <c r="X194" s="48"/>
      <c r="Y194" s="744"/>
      <c r="Z194" s="147">
        <f>VLOOKUP(B194,'Manuell filtrering og justering'!$A$7:$H$253,'Manuell filtrering og justering'!$H$1,FALSE)</f>
        <v>1</v>
      </c>
      <c r="AA194" s="148">
        <f t="shared" si="437"/>
        <v>0</v>
      </c>
      <c r="AB194" s="149">
        <f>IF($AC$5='Manuell filtrering og justering'!$J$2,Z194,(T194-AA194))</f>
        <v>1</v>
      </c>
      <c r="AD194" s="150">
        <f t="shared" si="438"/>
        <v>7.8947368421052634E-3</v>
      </c>
      <c r="AE194" s="150">
        <f t="shared" si="450"/>
        <v>0</v>
      </c>
      <c r="AF194" s="150">
        <f t="shared" si="451"/>
        <v>0</v>
      </c>
      <c r="AG194" s="150">
        <f t="shared" si="452"/>
        <v>0</v>
      </c>
      <c r="AI194" s="884">
        <f>IF(AI248=AD_no,0,IF(VLOOKUP(E194,'Pre-Assessment Estimator'!$F$11:$AA$226,'Pre-Assessment Estimator'!$H$2,FALSE)&gt;AB194,AB194,VLOOKUP(E194,'Pre-Assessment Estimator'!$F$11:$AA$226,'Pre-Assessment Estimator'!$H$2,FALSE)))</f>
        <v>0</v>
      </c>
      <c r="AJ194" s="884">
        <f>IF(AJ248=AD_no,0,IF(VLOOKUP(E194,'Pre-Assessment Estimator'!$F$11:$AA$226,'Pre-Assessment Estimator'!$O$2,FALSE)&gt;AB194,AB194,VLOOKUP(E194,'Pre-Assessment Estimator'!$F$11:$AA$226,'Pre-Assessment Estimator'!$O$2,FALSE)))</f>
        <v>0</v>
      </c>
      <c r="AK194" s="884">
        <f>IF(AK248=AD_no,0,IF(VLOOKUP(E194,'Pre-Assessment Estimator'!$F$11:$AA$226,'Pre-Assessment Estimator'!$V$2,FALSE)&gt;AB194,AB194,VLOOKUP(E194,'Pre-Assessment Estimator'!$F$11:$AA$226,'Pre-Assessment Estimator'!$V$2,FALSE)))</f>
        <v>0</v>
      </c>
      <c r="AM194" s="742"/>
      <c r="AN194" s="743"/>
      <c r="AO194" s="743"/>
      <c r="AP194" s="743"/>
      <c r="AQ194" s="735"/>
      <c r="AR194" s="123"/>
      <c r="AS194" s="742"/>
      <c r="AT194" s="743"/>
      <c r="AU194" s="743"/>
      <c r="AV194" s="743"/>
      <c r="AW194" s="735"/>
      <c r="AY194" s="167"/>
      <c r="AZ194" s="48"/>
      <c r="BA194" s="48"/>
      <c r="BB194" s="48"/>
      <c r="BC194" s="744"/>
      <c r="BD194" s="160">
        <f t="shared" si="524"/>
        <v>9</v>
      </c>
      <c r="BE194" s="45" t="str">
        <f t="shared" si="444"/>
        <v>N/A</v>
      </c>
      <c r="BF194" s="163"/>
      <c r="BG194" s="160">
        <f t="shared" si="525"/>
        <v>9</v>
      </c>
      <c r="BH194" s="45" t="str">
        <f t="shared" si="446"/>
        <v>N/A</v>
      </c>
      <c r="BI194" s="163"/>
      <c r="BJ194" s="160">
        <f t="shared" si="526"/>
        <v>9</v>
      </c>
      <c r="BK194" s="45" t="str">
        <f t="shared" si="448"/>
        <v>N/A</v>
      </c>
      <c r="BL194" s="739"/>
      <c r="BO194" s="43"/>
      <c r="BP194" s="43"/>
      <c r="BQ194" s="43" t="str">
        <f t="shared" si="342"/>
        <v/>
      </c>
      <c r="BR194" s="43">
        <f t="shared" si="399"/>
        <v>9</v>
      </c>
      <c r="BS194" s="43">
        <f t="shared" si="400"/>
        <v>9</v>
      </c>
      <c r="BT194" s="43">
        <f t="shared" si="401"/>
        <v>9</v>
      </c>
      <c r="BW194" s="63"/>
      <c r="BX194" s="63"/>
      <c r="BY194" s="63"/>
      <c r="BZ194" s="63"/>
      <c r="CA194" s="63"/>
      <c r="CB194" s="63"/>
    </row>
    <row r="195" spans="1:85" x14ac:dyDescent="0.25">
      <c r="A195">
        <v>187</v>
      </c>
      <c r="B195" t="str">
        <f t="shared" si="527"/>
        <v>LE 08c</v>
      </c>
      <c r="C195" t="str">
        <f t="shared" si="344"/>
        <v>LE 08</v>
      </c>
      <c r="D195" s="167" t="s">
        <v>696</v>
      </c>
      <c r="E195" s="934" t="s">
        <v>687</v>
      </c>
      <c r="F195" s="670">
        <v>1</v>
      </c>
      <c r="G195" s="670">
        <v>1</v>
      </c>
      <c r="H195" s="670">
        <v>1</v>
      </c>
      <c r="I195" s="670">
        <v>1</v>
      </c>
      <c r="J195" s="670">
        <v>1</v>
      </c>
      <c r="K195" s="670">
        <v>1</v>
      </c>
      <c r="L195" s="670">
        <v>1</v>
      </c>
      <c r="M195" s="670">
        <v>1</v>
      </c>
      <c r="N195" s="670">
        <v>1</v>
      </c>
      <c r="O195" s="670">
        <v>1</v>
      </c>
      <c r="P195" s="670">
        <v>1</v>
      </c>
      <c r="Q195" s="670">
        <v>1</v>
      </c>
      <c r="R195" s="670">
        <v>1</v>
      </c>
      <c r="T195" s="148">
        <f t="shared" si="435"/>
        <v>1</v>
      </c>
      <c r="U195" s="167"/>
      <c r="V195" s="48"/>
      <c r="W195" s="48"/>
      <c r="X195" s="48"/>
      <c r="Y195" s="744"/>
      <c r="Z195" s="147">
        <f>VLOOKUP(B195,'Manuell filtrering og justering'!$A$7:$H$253,'Manuell filtrering og justering'!$H$1,FALSE)</f>
        <v>1</v>
      </c>
      <c r="AA195" s="148">
        <f t="shared" si="437"/>
        <v>0</v>
      </c>
      <c r="AB195" s="149">
        <f>IF($AC$5='Manuell filtrering og justering'!$J$2,Z195,(T195-AA195))</f>
        <v>1</v>
      </c>
      <c r="AD195" s="150">
        <f t="shared" ref="AD195" si="528">(LE_Weight/LE_Credits)*AB195</f>
        <v>7.8947368421052634E-3</v>
      </c>
      <c r="AE195" s="150">
        <f t="shared" ref="AE195" si="529">IF(AB195=0,0,(AD195/AB195)*AI195)</f>
        <v>0</v>
      </c>
      <c r="AF195" s="150">
        <f t="shared" ref="AF195" si="530">IF(AB195=0,0,(AD195/AB195)*AJ195)</f>
        <v>0</v>
      </c>
      <c r="AG195" s="150">
        <f t="shared" ref="AG195" si="531">IF(AB195=0,0,(AD195/AB195)*AK195)</f>
        <v>0</v>
      </c>
      <c r="AI195" s="884">
        <f>IF(AI248=AD_no,0,IF(VLOOKUP(E195,'Pre-Assessment Estimator'!$F$11:$AA$226,'Pre-Assessment Estimator'!$H$2,FALSE)&gt;AB195,AB195,VLOOKUP(E195,'Pre-Assessment Estimator'!$F$11:$AA$226,'Pre-Assessment Estimator'!$H$2,FALSE)))</f>
        <v>0</v>
      </c>
      <c r="AJ195" s="884">
        <f>IF(AJ248=AD_no,0,IF(VLOOKUP(E195,'Pre-Assessment Estimator'!$F$11:$AA$226,'Pre-Assessment Estimator'!$O$2,FALSE)&gt;AB195,AB195,VLOOKUP(E195,'Pre-Assessment Estimator'!$F$11:$AA$226,'Pre-Assessment Estimator'!$O$2,FALSE)))</f>
        <v>0</v>
      </c>
      <c r="AK195" s="884">
        <f>IF(AK248=AD_no,0,IF(VLOOKUP(E195,'Pre-Assessment Estimator'!$F$11:$AA$226,'Pre-Assessment Estimator'!$V$2,FALSE)&gt;AB195,AB195,VLOOKUP(E195,'Pre-Assessment Estimator'!$F$11:$AA$226,'Pre-Assessment Estimator'!$V$2,FALSE)))</f>
        <v>0</v>
      </c>
      <c r="AM195" s="742"/>
      <c r="AN195" s="743"/>
      <c r="AO195" s="743"/>
      <c r="AP195" s="743"/>
      <c r="AQ195" s="735"/>
      <c r="AR195" s="123"/>
      <c r="AS195" s="742"/>
      <c r="AT195" s="743"/>
      <c r="AU195" s="743"/>
      <c r="AV195" s="743"/>
      <c r="AW195" s="735"/>
      <c r="AY195" s="167"/>
      <c r="AZ195" s="48"/>
      <c r="BA195" s="48"/>
      <c r="BB195" s="48"/>
      <c r="BC195" s="744"/>
      <c r="BD195" s="160">
        <f t="shared" ref="BD195" si="532">IF(BC195=0,9,IF(AI195&gt;=BC195,5,IF(AI195&gt;=BB195,4,IF(AI195&gt;=BA195,3,IF(AI195&gt;=AZ195,2,IF(AI195&lt;AY195,0,1))))))</f>
        <v>9</v>
      </c>
      <c r="BE195" s="45" t="str">
        <f t="shared" si="444"/>
        <v>N/A</v>
      </c>
      <c r="BF195" s="163"/>
      <c r="BG195" s="160">
        <f t="shared" ref="BG195" si="533">IF(BC195=0,9,IF(AJ195&gt;=BC195,5,IF(AJ195&gt;=BB195,4,IF(AJ195&gt;=BA195,3,IF(AJ195&gt;=AZ195,2,IF(AJ195&lt;AY195,0,1))))))</f>
        <v>9</v>
      </c>
      <c r="BH195" s="45" t="str">
        <f t="shared" si="446"/>
        <v>N/A</v>
      </c>
      <c r="BI195" s="163"/>
      <c r="BJ195" s="160">
        <f t="shared" ref="BJ195" si="534">IF(BC195=0,9,IF(AK195&gt;=BC195,5,IF(AK195&gt;=BB195,4,IF(AK195&gt;=BA195,3,IF(AK195&gt;=AZ195,2,IF(AK195&lt;AY195,0,1))))))</f>
        <v>9</v>
      </c>
      <c r="BK195" s="45" t="str">
        <f t="shared" si="448"/>
        <v>N/A</v>
      </c>
      <c r="BL195" s="739"/>
      <c r="BO195" s="43"/>
      <c r="BP195" s="43"/>
      <c r="BQ195" s="43" t="str">
        <f t="shared" si="342"/>
        <v/>
      </c>
      <c r="BR195" s="43">
        <f t="shared" si="399"/>
        <v>9</v>
      </c>
      <c r="BS195" s="43">
        <f t="shared" si="400"/>
        <v>9</v>
      </c>
      <c r="BT195" s="43">
        <f t="shared" si="401"/>
        <v>9</v>
      </c>
      <c r="BW195" s="63"/>
      <c r="BX195" s="63"/>
      <c r="BY195" s="63"/>
      <c r="BZ195" s="63"/>
      <c r="CA195" s="63"/>
      <c r="CB195" s="63"/>
    </row>
    <row r="196" spans="1:85" ht="15.75" thickBot="1" x14ac:dyDescent="0.3">
      <c r="A196">
        <v>188</v>
      </c>
      <c r="B196" t="str">
        <f t="shared" si="527"/>
        <v>LE 08d</v>
      </c>
      <c r="C196" t="str">
        <f t="shared" si="344"/>
        <v>LE 08</v>
      </c>
      <c r="D196" s="167" t="s">
        <v>694</v>
      </c>
      <c r="E196" s="934" t="s">
        <v>688</v>
      </c>
      <c r="F196" s="670">
        <v>1</v>
      </c>
      <c r="G196" s="670">
        <v>1</v>
      </c>
      <c r="H196" s="670">
        <v>1</v>
      </c>
      <c r="I196" s="670">
        <v>1</v>
      </c>
      <c r="J196" s="670">
        <v>1</v>
      </c>
      <c r="K196" s="670">
        <v>1</v>
      </c>
      <c r="L196" s="670">
        <v>1</v>
      </c>
      <c r="M196" s="670">
        <v>1</v>
      </c>
      <c r="N196" s="670">
        <v>1</v>
      </c>
      <c r="O196" s="670">
        <v>1</v>
      </c>
      <c r="P196" s="670">
        <v>1</v>
      </c>
      <c r="Q196" s="670">
        <v>1</v>
      </c>
      <c r="R196" s="670">
        <v>1</v>
      </c>
      <c r="T196" s="148">
        <f t="shared" si="435"/>
        <v>1</v>
      </c>
      <c r="U196" s="167"/>
      <c r="V196" s="48"/>
      <c r="W196" s="48"/>
      <c r="X196" s="48"/>
      <c r="Y196" s="744"/>
      <c r="Z196" s="147">
        <f>VLOOKUP(B196,'Manuell filtrering og justering'!$A$7:$H$253,'Manuell filtrering og justering'!$H$1,FALSE)</f>
        <v>0</v>
      </c>
      <c r="AA196" s="148">
        <f t="shared" si="437"/>
        <v>0</v>
      </c>
      <c r="AB196" s="149">
        <f>IF($AC$5='Manuell filtrering og justering'!$J$2,Z196,(T196-AA196))</f>
        <v>1</v>
      </c>
      <c r="AD196" s="150">
        <f t="shared" si="438"/>
        <v>7.8947368421052634E-3</v>
      </c>
      <c r="AE196" s="150">
        <f t="shared" si="450"/>
        <v>0</v>
      </c>
      <c r="AF196" s="150">
        <f t="shared" si="451"/>
        <v>0</v>
      </c>
      <c r="AG196" s="150">
        <f t="shared" si="452"/>
        <v>0</v>
      </c>
      <c r="AI196" s="884">
        <f>IF(AI248=AD_no,0,IF(VLOOKUP(E196,'Pre-Assessment Estimator'!$F$11:$AA$226,'Pre-Assessment Estimator'!$H$2,FALSE)&gt;AB196,AB196,VLOOKUP(E196,'Pre-Assessment Estimator'!$F$11:$AA$226,'Pre-Assessment Estimator'!$H$2,FALSE)))</f>
        <v>0</v>
      </c>
      <c r="AJ196" s="884">
        <f>IF(AJ248=AD_no,0,IF(VLOOKUP(E196,'Pre-Assessment Estimator'!$F$11:$AA$226,'Pre-Assessment Estimator'!$O$2,FALSE)&gt;AB196,AB196,VLOOKUP(E196,'Pre-Assessment Estimator'!$F$11:$AA$226,'Pre-Assessment Estimator'!$O$2,FALSE)))</f>
        <v>0</v>
      </c>
      <c r="AK196" s="884">
        <f>IF(AK248=AD_no,0,IF(VLOOKUP(E196,'Pre-Assessment Estimator'!$F$11:$AA$226,'Pre-Assessment Estimator'!$V$2,FALSE)&gt;AB196,AB196,VLOOKUP(E196,'Pre-Assessment Estimator'!$F$11:$AA$226,'Pre-Assessment Estimator'!$V$2,FALSE)))</f>
        <v>0</v>
      </c>
      <c r="AM196" s="742"/>
      <c r="AN196" s="743"/>
      <c r="AO196" s="743"/>
      <c r="AP196" s="743"/>
      <c r="AQ196" s="735"/>
      <c r="AR196" s="123"/>
      <c r="AS196" s="742"/>
      <c r="AT196" s="743"/>
      <c r="AU196" s="743"/>
      <c r="AV196" s="743"/>
      <c r="AW196" s="735"/>
      <c r="AY196" s="167"/>
      <c r="AZ196" s="48"/>
      <c r="BA196" s="48"/>
      <c r="BB196" s="48"/>
      <c r="BC196" s="744"/>
      <c r="BD196" s="160">
        <f t="shared" si="524"/>
        <v>9</v>
      </c>
      <c r="BE196" s="45" t="str">
        <f t="shared" si="444"/>
        <v>N/A</v>
      </c>
      <c r="BF196" s="163"/>
      <c r="BG196" s="160">
        <f t="shared" si="525"/>
        <v>9</v>
      </c>
      <c r="BH196" s="45" t="str">
        <f t="shared" si="446"/>
        <v>N/A</v>
      </c>
      <c r="BI196" s="163"/>
      <c r="BJ196" s="160">
        <f t="shared" si="526"/>
        <v>9</v>
      </c>
      <c r="BK196" s="45" t="str">
        <f t="shared" si="448"/>
        <v>N/A</v>
      </c>
      <c r="BL196" s="739"/>
      <c r="BO196" s="43"/>
      <c r="BP196" s="43"/>
      <c r="BQ196" s="43" t="str">
        <f t="shared" si="342"/>
        <v/>
      </c>
      <c r="BR196" s="43">
        <f t="shared" si="399"/>
        <v>9</v>
      </c>
      <c r="BS196" s="43">
        <f t="shared" si="400"/>
        <v>9</v>
      </c>
      <c r="BT196" s="43">
        <f t="shared" si="401"/>
        <v>9</v>
      </c>
      <c r="BW196" s="63"/>
      <c r="BX196" s="63"/>
      <c r="BY196" s="63"/>
      <c r="BZ196" s="63"/>
      <c r="CA196" s="63"/>
      <c r="CB196" s="63"/>
    </row>
    <row r="197" spans="1:85" ht="15.75" thickBot="1" x14ac:dyDescent="0.3">
      <c r="A197">
        <v>189</v>
      </c>
      <c r="B197" t="s">
        <v>888</v>
      </c>
      <c r="D197" s="174"/>
      <c r="E197" s="50" t="s">
        <v>213</v>
      </c>
      <c r="F197" s="672">
        <f>F169+F171+F175+F179+F183+F187+F189+F192</f>
        <v>19</v>
      </c>
      <c r="G197" s="672">
        <f t="shared" ref="G197:R197" si="535">G169+G171+G175+G179+G183+G187+G189+G192</f>
        <v>19</v>
      </c>
      <c r="H197" s="672">
        <f t="shared" si="535"/>
        <v>19</v>
      </c>
      <c r="I197" s="672">
        <f t="shared" si="535"/>
        <v>19</v>
      </c>
      <c r="J197" s="672">
        <f t="shared" si="535"/>
        <v>19</v>
      </c>
      <c r="K197" s="672">
        <f t="shared" si="535"/>
        <v>19</v>
      </c>
      <c r="L197" s="672">
        <f t="shared" si="535"/>
        <v>19</v>
      </c>
      <c r="M197" s="672">
        <f t="shared" si="535"/>
        <v>19</v>
      </c>
      <c r="N197" s="672">
        <f t="shared" si="535"/>
        <v>19</v>
      </c>
      <c r="O197" s="672">
        <f t="shared" si="535"/>
        <v>19</v>
      </c>
      <c r="P197" s="672">
        <f t="shared" si="535"/>
        <v>19</v>
      </c>
      <c r="Q197" s="933">
        <f t="shared" ref="Q197" si="536">Q169+Q171+Q175+Q179+Q183+Q187+Q189+Q192</f>
        <v>19</v>
      </c>
      <c r="R197" s="933">
        <f t="shared" si="535"/>
        <v>19</v>
      </c>
      <c r="T197" s="195">
        <f t="shared" si="435"/>
        <v>19</v>
      </c>
      <c r="U197" s="176"/>
      <c r="V197" s="177"/>
      <c r="W197" s="177"/>
      <c r="X197" s="177"/>
      <c r="Y197" s="178"/>
      <c r="Z197" s="178"/>
      <c r="AA197" s="673">
        <f t="shared" ref="AA197:AG197" si="537">AA169+AA171+AA175+AA179+AA183+AA187+AA189+AA192</f>
        <v>0</v>
      </c>
      <c r="AB197" s="673">
        <f t="shared" si="537"/>
        <v>19</v>
      </c>
      <c r="AD197" s="180">
        <f t="shared" si="537"/>
        <v>0.15</v>
      </c>
      <c r="AE197" s="180">
        <f t="shared" si="537"/>
        <v>0</v>
      </c>
      <c r="AF197" s="180">
        <f t="shared" si="537"/>
        <v>0</v>
      </c>
      <c r="AG197" s="180">
        <f t="shared" si="537"/>
        <v>0</v>
      </c>
      <c r="AI197" s="72">
        <f t="shared" ref="AI197:AK197" si="538">AI169+AI171+AI175+AI179+AI183+AI187+AI189+AI192</f>
        <v>0</v>
      </c>
      <c r="AJ197" s="72">
        <f t="shared" si="538"/>
        <v>0</v>
      </c>
      <c r="AK197" s="72">
        <f t="shared" si="538"/>
        <v>0</v>
      </c>
      <c r="AM197" s="123"/>
      <c r="AN197" s="123"/>
      <c r="AO197" s="123"/>
      <c r="AP197" s="123"/>
      <c r="AQ197" s="123"/>
      <c r="AR197" s="123"/>
      <c r="AS197" s="123"/>
      <c r="AT197" s="123"/>
      <c r="AU197" s="123"/>
      <c r="AV197" s="123"/>
      <c r="AW197" s="123"/>
      <c r="AZ197" s="181"/>
      <c r="BW197" s="50"/>
      <c r="BX197" s="50" t="str">
        <f>IFERROR(VLOOKUP($E197,'Pre-Assessment Estimator'!$F$11:$AC$226,'Pre-Assessment Estimator'!AC$2,FALSE),"")</f>
        <v/>
      </c>
      <c r="BY197" s="50" t="str">
        <f>IFERROR(VLOOKUP($E197,'Pre-Assessment Estimator'!$F$11:$AJ$226,'Pre-Assessment Estimator'!AJ$2,FALSE),"")</f>
        <v/>
      </c>
      <c r="BZ197" s="50" t="str">
        <f t="shared" ref="BZ197:CA199" si="539">IFERROR(VLOOKUP($BX197,$E$293:$H$326,F$291,FALSE),"")</f>
        <v/>
      </c>
      <c r="CA197" s="50" t="str">
        <f t="shared" si="539"/>
        <v/>
      </c>
      <c r="CB197" s="50"/>
      <c r="CC197" t="str">
        <f>IFERROR(VLOOKUP($BX197,$E$293:$H$326,I$291,FALSE),"")</f>
        <v/>
      </c>
    </row>
    <row r="198" spans="1:85" ht="15.75" thickBot="1" x14ac:dyDescent="0.3">
      <c r="A198">
        <v>190</v>
      </c>
      <c r="AI198" s="1"/>
      <c r="AJ198" s="1"/>
      <c r="AK198" s="1"/>
      <c r="AM198" s="123"/>
      <c r="AN198" s="123"/>
      <c r="AO198" s="123"/>
      <c r="AP198" s="123"/>
      <c r="AQ198" s="123"/>
      <c r="AR198" s="123"/>
      <c r="AS198" s="123"/>
      <c r="AT198" s="123"/>
      <c r="AU198" s="123"/>
      <c r="AV198" s="123"/>
      <c r="AW198" s="123"/>
      <c r="BX198" t="str">
        <f>IFERROR(VLOOKUP($E198,'Pre-Assessment Estimator'!$F$11:$AC$226,'Pre-Assessment Estimator'!AC$2,FALSE),"")</f>
        <v/>
      </c>
      <c r="BY198" t="str">
        <f>IFERROR(VLOOKUP($E198,'Pre-Assessment Estimator'!$F$11:$AJ$226,'Pre-Assessment Estimator'!AJ$2,FALSE),"")</f>
        <v/>
      </c>
      <c r="BZ198" t="str">
        <f t="shared" si="539"/>
        <v/>
      </c>
      <c r="CA198" t="str">
        <f t="shared" si="539"/>
        <v/>
      </c>
      <c r="CC198" t="str">
        <f>IFERROR(VLOOKUP($BX198,$E$293:$H$326,I$291,FALSE),"")</f>
        <v/>
      </c>
    </row>
    <row r="199" spans="1:85" ht="60.75" thickBot="1" x14ac:dyDescent="0.3">
      <c r="A199">
        <v>191</v>
      </c>
      <c r="D199" s="132"/>
      <c r="E199" s="133" t="s">
        <v>70</v>
      </c>
      <c r="F199" s="1028" t="str">
        <f>$F$9</f>
        <v>Office</v>
      </c>
      <c r="G199" s="1028" t="str">
        <f>$G$9</f>
        <v>Retail</v>
      </c>
      <c r="H199" s="1032" t="str">
        <f>$H$9</f>
        <v>Residential</v>
      </c>
      <c r="I199" s="1028" t="str">
        <f>$I$9</f>
        <v>Industrial</v>
      </c>
      <c r="J199" s="1030" t="str">
        <f>$J$9</f>
        <v>Healthcare</v>
      </c>
      <c r="K199" s="1030" t="str">
        <f>$K$9</f>
        <v>Prison</v>
      </c>
      <c r="L199" s="1030" t="str">
        <f>$L$9</f>
        <v>Law Court</v>
      </c>
      <c r="M199" s="1034" t="str">
        <f>$M$9</f>
        <v>Residential institution (long term stay)</v>
      </c>
      <c r="N199" s="796" t="str">
        <f>$N$9</f>
        <v>Residential institution (short term stay)</v>
      </c>
      <c r="O199" s="796" t="str">
        <f>$O$9</f>
        <v>Non-residential institution</v>
      </c>
      <c r="P199" s="796" t="str">
        <f>$P$9</f>
        <v>Assembly and leisure</v>
      </c>
      <c r="Q199" s="1030" t="str">
        <f>$Q$9</f>
        <v>Education</v>
      </c>
      <c r="R199" s="747" t="str">
        <f>$R$9</f>
        <v>Other</v>
      </c>
      <c r="T199" s="122" t="str">
        <f>$E$6</f>
        <v>Office</v>
      </c>
      <c r="U199" s="182"/>
      <c r="V199" s="183"/>
      <c r="W199" s="914"/>
      <c r="X199" s="183"/>
      <c r="Y199" s="964" t="s">
        <v>411</v>
      </c>
      <c r="Z199" s="304" t="s">
        <v>334</v>
      </c>
      <c r="AA199" s="131" t="s">
        <v>213</v>
      </c>
      <c r="AB199" s="53" t="s">
        <v>14</v>
      </c>
      <c r="AI199" s="36"/>
      <c r="AJ199" s="54"/>
      <c r="AK199" s="54"/>
      <c r="AM199" s="123"/>
      <c r="AN199" s="123"/>
      <c r="AO199" s="123"/>
      <c r="AP199" s="123"/>
      <c r="AQ199" s="123"/>
      <c r="AR199" s="123"/>
      <c r="AS199" s="123"/>
      <c r="AT199" s="123"/>
      <c r="AU199" s="123"/>
      <c r="AV199" s="123"/>
      <c r="AW199" s="123"/>
      <c r="BO199" s="54"/>
      <c r="BP199" s="54"/>
      <c r="BQ199" s="54"/>
      <c r="BR199" s="54"/>
      <c r="BS199" s="54"/>
      <c r="BT199" s="54"/>
      <c r="BW199" s="47"/>
      <c r="BX199" s="47" t="str">
        <f>E199</f>
        <v>Pollution</v>
      </c>
      <c r="BY199" s="47">
        <f>IFERROR(VLOOKUP($E199,'Pre-Assessment Estimator'!$F$11:$AJ$226,'Pre-Assessment Estimator'!AJ$2,FALSE),"")</f>
        <v>0</v>
      </c>
      <c r="BZ199" s="47" t="str">
        <f t="shared" si="539"/>
        <v/>
      </c>
      <c r="CA199" s="47" t="str">
        <f t="shared" si="539"/>
        <v/>
      </c>
      <c r="CB199" s="47"/>
      <c r="CC199" t="str">
        <f>IFERROR(VLOOKUP($BX199,$E$293:$H$326,I$291,FALSE),"")</f>
        <v/>
      </c>
    </row>
    <row r="200" spans="1:85" x14ac:dyDescent="0.25">
      <c r="A200">
        <v>192</v>
      </c>
      <c r="B200" s="121" t="str">
        <f>D200</f>
        <v>POL 01</v>
      </c>
      <c r="C200" s="121" t="str">
        <f>B200</f>
        <v>POL 01</v>
      </c>
      <c r="D200" s="748" t="s">
        <v>184</v>
      </c>
      <c r="E200" s="749" t="s">
        <v>163</v>
      </c>
      <c r="F200" s="821">
        <v>3</v>
      </c>
      <c r="G200" s="821">
        <v>3</v>
      </c>
      <c r="H200" s="821">
        <v>3</v>
      </c>
      <c r="I200" s="821">
        <v>3</v>
      </c>
      <c r="J200" s="821">
        <v>3</v>
      </c>
      <c r="K200" s="821">
        <v>3</v>
      </c>
      <c r="L200" s="821">
        <v>3</v>
      </c>
      <c r="M200" s="821">
        <v>3</v>
      </c>
      <c r="N200" s="821">
        <v>3</v>
      </c>
      <c r="O200" s="821">
        <v>3</v>
      </c>
      <c r="P200" s="821">
        <v>3</v>
      </c>
      <c r="Q200" s="821">
        <v>3</v>
      </c>
      <c r="R200" s="821">
        <v>3</v>
      </c>
      <c r="T200" s="829">
        <f t="shared" ref="T200:T206" si="540">HLOOKUP($E$6,$F$9:$R$231,$A200,FALSE)</f>
        <v>3</v>
      </c>
      <c r="U200" s="191"/>
      <c r="V200" s="908"/>
      <c r="W200" s="131" t="s">
        <v>389</v>
      </c>
      <c r="X200" s="909">
        <f>'Manuell filtrering og justering'!E86</f>
        <v>0</v>
      </c>
      <c r="Y200" s="959"/>
      <c r="Z200" s="845">
        <f>SUM(AB201:AB203)</f>
        <v>3</v>
      </c>
      <c r="AA200" s="831">
        <f t="shared" ref="AA200:AA206" si="541">IF(SUM(U200:Y200)&gt;T200,T200,SUM(U200:Y200))</f>
        <v>0</v>
      </c>
      <c r="AB200" s="883">
        <f>SUM(AB201:AB203)</f>
        <v>3</v>
      </c>
      <c r="AD200" s="150">
        <f t="shared" ref="AD200:AD213" si="542">(Pol_Weight/Pol_Credits)*AB200</f>
        <v>1.7142857142857144E-2</v>
      </c>
      <c r="AE200" s="799">
        <f>IF(SUM(AE201:AE203)&gt;$AD$200,$AD$200,SUM(AE201:AE203))</f>
        <v>0</v>
      </c>
      <c r="AF200" s="799">
        <f>IF(SUM(AF201:AF203)&gt;$AD$200,$AD$200,SUM(AF201:AF203))</f>
        <v>0</v>
      </c>
      <c r="AG200" s="799">
        <f>IF(SUM(AG201:AG203)&gt;$AD$200,$AD$200,SUM(AG201:AG203))</f>
        <v>0</v>
      </c>
      <c r="AI200" s="826">
        <f>IF(SUM(AI201:AI203)&gt;Pol01_credits,Pol01_credits,SUM(AI201:AI203))</f>
        <v>0</v>
      </c>
      <c r="AJ200" s="826">
        <f>IF(SUM(AJ201:AJ203)&gt;Pol01_credits,Pol01_credits,SUM(AJ201:AJ203))</f>
        <v>0</v>
      </c>
      <c r="AK200" s="826">
        <f>IF(SUM(AK201:AK203)&gt;Pol01_credits,Pol01_credits,SUM(AK201:AK203))</f>
        <v>0</v>
      </c>
      <c r="AL200" t="s">
        <v>425</v>
      </c>
      <c r="AM200" s="258"/>
      <c r="AN200" s="259"/>
      <c r="AO200" s="259"/>
      <c r="AP200" s="259"/>
      <c r="AQ200" s="260"/>
      <c r="AR200" s="123"/>
      <c r="AS200" s="258"/>
      <c r="AT200" s="259"/>
      <c r="AU200" s="259"/>
      <c r="AV200" s="259"/>
      <c r="AW200" s="260"/>
      <c r="AY200" s="189"/>
      <c r="AZ200" s="156"/>
      <c r="BA200" s="156"/>
      <c r="BB200" s="156"/>
      <c r="BC200" s="190">
        <f t="shared" ref="BC200:BC223" si="543">IF($E$6=$H$9,AW200,AQ200)</f>
        <v>0</v>
      </c>
      <c r="BD200" s="153">
        <f t="shared" si="464"/>
        <v>9</v>
      </c>
      <c r="BE200" s="45" t="str">
        <f t="shared" ref="BE200:BE213" si="544">VLOOKUP(BD200,$BO$284:$BT$290,6,FALSE)</f>
        <v>N/A</v>
      </c>
      <c r="BF200" s="157"/>
      <c r="BG200" s="153">
        <f>IF(BC200=0,9,IF(AJ200&gt;=BC200,5,IF(AJ200&gt;=BB200,4,IF(AJ200&gt;=BA200,3,IF(AJ200&gt;=AZ200,2,IF(AJ200&lt;AY200,0,1))))))</f>
        <v>9</v>
      </c>
      <c r="BH200" s="45" t="str">
        <f t="shared" ref="BH200:BH213" si="545">VLOOKUP(BG200,$BO$284:$BT$290,6,FALSE)</f>
        <v>N/A</v>
      </c>
      <c r="BI200" s="157"/>
      <c r="BJ200" s="153">
        <f t="shared" si="447"/>
        <v>9</v>
      </c>
      <c r="BK200" s="45" t="str">
        <f t="shared" ref="BK200:BK213" si="546">VLOOKUP(BJ200,$BO$284:$BT$290,6,FALSE)</f>
        <v>N/A</v>
      </c>
      <c r="BL200" s="157"/>
      <c r="BO200" s="43"/>
      <c r="BP200" s="43"/>
      <c r="BQ200" s="43" t="str">
        <f t="shared" si="342"/>
        <v/>
      </c>
      <c r="BR200" s="43">
        <f t="shared" si="399"/>
        <v>9</v>
      </c>
      <c r="BS200" s="43">
        <f t="shared" si="400"/>
        <v>9</v>
      </c>
      <c r="BT200" s="43">
        <f t="shared" si="401"/>
        <v>9</v>
      </c>
      <c r="BW200" s="45" t="str">
        <f>D200</f>
        <v>POL 01</v>
      </c>
      <c r="BX200" s="45" t="str">
        <f>IFERROR(VLOOKUP($E200,'Pre-Assessment Estimator'!$F$11:$AC$226,'Pre-Assessment Estimator'!AC$2,FALSE),"")</f>
        <v>No</v>
      </c>
      <c r="BY200" s="586" t="str">
        <f>IFERROR(VLOOKUP($E200,'Pre-Assessment Estimator'!$F$11:$AJ$226,'Pre-Assessment Estimator'!AJ$2,FALSE),"")</f>
        <v>Ja</v>
      </c>
      <c r="BZ200" s="45">
        <f>IFERROR(VLOOKUP($BX200,$E$293:$H$326,F$291,FALSE),"")</f>
        <v>1</v>
      </c>
      <c r="CA200" s="590" t="s">
        <v>430</v>
      </c>
      <c r="CB200" s="45"/>
      <c r="CC200" t="str">
        <f>IFERROR(VLOOKUP($BX200,$E$293:$H$326,I$291,FALSE),"")</f>
        <v/>
      </c>
      <c r="CD200" t="s">
        <v>436</v>
      </c>
      <c r="CE200" s="43">
        <f>VLOOKUP(CA200,$CA$4:$CB$5,2,FALSE)</f>
        <v>1</v>
      </c>
      <c r="CG200" s="62">
        <f>IF($BX$5=ais_nei,CE200,IF(AND(CA200=$CA$4,BX200=$CC$4),0,BZ200))</f>
        <v>1</v>
      </c>
    </row>
    <row r="201" spans="1:85" x14ac:dyDescent="0.25">
      <c r="A201">
        <v>193</v>
      </c>
      <c r="B201" t="str">
        <f t="shared" ref="B201:B203" si="547">$D$200&amp;D201</f>
        <v>POL 01a</v>
      </c>
      <c r="C201" t="str">
        <f t="shared" si="344"/>
        <v>POL 01</v>
      </c>
      <c r="D201" s="146" t="s">
        <v>692</v>
      </c>
      <c r="E201" s="795" t="s">
        <v>898</v>
      </c>
      <c r="F201" s="668">
        <v>3</v>
      </c>
      <c r="G201" s="668">
        <v>3</v>
      </c>
      <c r="H201" s="668">
        <v>3</v>
      </c>
      <c r="I201" s="668">
        <v>3</v>
      </c>
      <c r="J201" s="668">
        <v>3</v>
      </c>
      <c r="K201" s="668">
        <v>3</v>
      </c>
      <c r="L201" s="668">
        <v>3</v>
      </c>
      <c r="M201" s="668">
        <v>3</v>
      </c>
      <c r="N201" s="668">
        <v>3</v>
      </c>
      <c r="O201" s="668">
        <v>3</v>
      </c>
      <c r="P201" s="668">
        <v>3</v>
      </c>
      <c r="Q201" s="668">
        <v>3</v>
      </c>
      <c r="R201" s="668">
        <v>3</v>
      </c>
      <c r="T201" s="148">
        <f t="shared" si="540"/>
        <v>3</v>
      </c>
      <c r="U201" s="191">
        <f>IF('Assessment Details'!F24=AD_Yes,Poeng!T201,0)</f>
        <v>0</v>
      </c>
      <c r="V201" s="147"/>
      <c r="W201" s="831">
        <f>IF('Assessment Details'!F24=AD_Yes,Poeng!Z201,0)</f>
        <v>0</v>
      </c>
      <c r="X201" s="204"/>
      <c r="Y201" s="148">
        <f>IF($Y$4=$Y$6,T201,0)</f>
        <v>0</v>
      </c>
      <c r="Z201" s="147">
        <f>VLOOKUP(B201,'Manuell filtrering og justering'!$A$7:$H$253,'Manuell filtrering og justering'!$H$1,FALSE)</f>
        <v>3</v>
      </c>
      <c r="AA201" s="148">
        <f t="shared" si="541"/>
        <v>0</v>
      </c>
      <c r="AB201" s="876">
        <f>IF($AC$5='Manuell filtrering og justering'!$J$2,Z201-W201,(T201-AA201))</f>
        <v>3</v>
      </c>
      <c r="AD201" s="150">
        <f t="shared" si="542"/>
        <v>1.7142857142857144E-2</v>
      </c>
      <c r="AE201" s="150">
        <f t="shared" ref="AE201:AE213" si="548">IF(AB201=0,0,(AD201/AB201)*AI201)</f>
        <v>0</v>
      </c>
      <c r="AF201" s="150">
        <f t="shared" ref="AF201:AF213" si="549">IF(AB201=0,0,(AD201/AB201)*AJ201)</f>
        <v>0</v>
      </c>
      <c r="AG201" s="150">
        <f t="shared" ref="AG201:AG213" si="550">IF(AB201=0,0,(AD201/AB201)*AK201)</f>
        <v>0</v>
      </c>
      <c r="AI201" s="151">
        <f>IF(VLOOKUP(E201,'Pre-Assessment Estimator'!$F$11:$AA$226,'Pre-Assessment Estimator'!$H$2,FALSE)&gt;AB201,AB201,VLOOKUP(E201,'Pre-Assessment Estimator'!$F$11:$AA$226,'Pre-Assessment Estimator'!$H$2,FALSE))</f>
        <v>0</v>
      </c>
      <c r="AJ201" s="151">
        <f>IF(VLOOKUP(E201,'Pre-Assessment Estimator'!$F$11:$AA$226,'Pre-Assessment Estimator'!$O$2,FALSE)&gt;AB201,AB201,VLOOKUP(E201,'Pre-Assessment Estimator'!$F$11:$AA$226,'Pre-Assessment Estimator'!$O$2,FALSE))</f>
        <v>0</v>
      </c>
      <c r="AK201" s="151">
        <f>IF(VLOOKUP(E201,'Pre-Assessment Estimator'!$F$11:$AA$226,'Pre-Assessment Estimator'!$V$2,FALSE)&gt;AB201,AB201,VLOOKUP(E201,'Pre-Assessment Estimator'!$F$11:$AA$226,'Pre-Assessment Estimator'!$V$2,FALSE))</f>
        <v>0</v>
      </c>
      <c r="AM201" s="728"/>
      <c r="AN201" s="729"/>
      <c r="AO201" s="729"/>
      <c r="AP201" s="729"/>
      <c r="AQ201" s="730"/>
      <c r="AR201" s="123"/>
      <c r="AS201" s="728"/>
      <c r="AT201" s="729"/>
      <c r="AU201" s="729"/>
      <c r="AV201" s="729"/>
      <c r="AW201" s="730"/>
      <c r="AY201" s="144"/>
      <c r="AZ201" s="45"/>
      <c r="BA201" s="45"/>
      <c r="BB201" s="45"/>
      <c r="BC201" s="731"/>
      <c r="BD201" s="160">
        <f t="shared" ref="BD201:BD203" si="551">IF(BC201=0,9,IF(AI201&gt;=BC201,5,IF(AI201&gt;=BB201,4,IF(AI201&gt;=BA201,3,IF(AI201&gt;=AZ201,2,IF(AI201&lt;AY201,0,1))))))</f>
        <v>9</v>
      </c>
      <c r="BE201" s="45" t="str">
        <f t="shared" si="544"/>
        <v>N/A</v>
      </c>
      <c r="BF201" s="163"/>
      <c r="BG201" s="160">
        <f t="shared" ref="BG201:BG203" si="552">IF(BC201=0,9,IF(AJ201&gt;=BC201,5,IF(AJ201&gt;=BB201,4,IF(AJ201&gt;=BA201,3,IF(AJ201&gt;=AZ201,2,IF(AJ201&lt;AY201,0,1))))))</f>
        <v>9</v>
      </c>
      <c r="BH201" s="45" t="str">
        <f t="shared" si="545"/>
        <v>N/A</v>
      </c>
      <c r="BI201" s="163"/>
      <c r="BJ201" s="160">
        <f t="shared" ref="BJ201:BJ203" si="553">IF(BC201=0,9,IF(AK201&gt;=BC201,5,IF(AK201&gt;=BB201,4,IF(AK201&gt;=BA201,3,IF(AK201&gt;=AZ201,2,IF(AK201&lt;AY201,0,1))))))</f>
        <v>9</v>
      </c>
      <c r="BK201" s="45" t="str">
        <f t="shared" si="546"/>
        <v>N/A</v>
      </c>
      <c r="BL201" s="723"/>
      <c r="BO201" s="43"/>
      <c r="BP201" s="43"/>
      <c r="BQ201" s="43" t="str">
        <f t="shared" si="342"/>
        <v/>
      </c>
      <c r="BR201" s="43">
        <f t="shared" si="399"/>
        <v>9</v>
      </c>
      <c r="BS201" s="43">
        <f t="shared" si="400"/>
        <v>9</v>
      </c>
      <c r="BT201" s="43">
        <f t="shared" si="401"/>
        <v>9</v>
      </c>
      <c r="BW201" s="45"/>
      <c r="BX201" s="45"/>
      <c r="BY201" s="586"/>
      <c r="BZ201" s="45"/>
      <c r="CA201" s="590"/>
      <c r="CB201" s="45"/>
      <c r="CE201" s="43"/>
      <c r="CG201" s="62"/>
    </row>
    <row r="202" spans="1:85" x14ac:dyDescent="0.25">
      <c r="A202">
        <v>194</v>
      </c>
      <c r="B202" t="str">
        <f t="shared" si="547"/>
        <v>POL 01c</v>
      </c>
      <c r="C202" t="str">
        <f t="shared" si="344"/>
        <v>POL 01</v>
      </c>
      <c r="D202" s="146" t="s">
        <v>696</v>
      </c>
      <c r="E202" s="795" t="s">
        <v>381</v>
      </c>
      <c r="F202" s="668">
        <v>2</v>
      </c>
      <c r="G202" s="668">
        <v>2</v>
      </c>
      <c r="H202" s="668">
        <v>2</v>
      </c>
      <c r="I202" s="668">
        <v>2</v>
      </c>
      <c r="J202" s="668">
        <v>2</v>
      </c>
      <c r="K202" s="668">
        <v>2</v>
      </c>
      <c r="L202" s="668">
        <v>2</v>
      </c>
      <c r="M202" s="668">
        <v>2</v>
      </c>
      <c r="N202" s="668">
        <v>2</v>
      </c>
      <c r="O202" s="668">
        <v>2</v>
      </c>
      <c r="P202" s="668">
        <v>2</v>
      </c>
      <c r="Q202" s="668">
        <v>2</v>
      </c>
      <c r="R202" s="668">
        <v>2</v>
      </c>
      <c r="T202" s="148">
        <f t="shared" si="540"/>
        <v>2</v>
      </c>
      <c r="U202" s="191">
        <f>IF(U201&gt;0,0,T202)</f>
        <v>2</v>
      </c>
      <c r="V202" s="147"/>
      <c r="W202" s="831">
        <f>IF(W201&gt;0,0,Z202)</f>
        <v>2</v>
      </c>
      <c r="X202" s="204"/>
      <c r="Y202" s="148">
        <f>IF($Y$4=$Y$6,T202,0)</f>
        <v>0</v>
      </c>
      <c r="Z202" s="147">
        <f>VLOOKUP(B202,'Manuell filtrering og justering'!$A$7:$H$253,'Manuell filtrering og justering'!$H$1,FALSE)</f>
        <v>2</v>
      </c>
      <c r="AA202" s="148">
        <f t="shared" si="541"/>
        <v>2</v>
      </c>
      <c r="AB202" s="876">
        <f>IF($AC$5='Manuell filtrering og justering'!$J$2,Z202-W202,(T202-AA202))</f>
        <v>0</v>
      </c>
      <c r="AD202" s="150">
        <f t="shared" si="542"/>
        <v>0</v>
      </c>
      <c r="AE202" s="150">
        <f t="shared" si="548"/>
        <v>0</v>
      </c>
      <c r="AF202" s="150">
        <f t="shared" si="549"/>
        <v>0</v>
      </c>
      <c r="AG202" s="150">
        <f t="shared" si="550"/>
        <v>0</v>
      </c>
      <c r="AI202" s="884">
        <f>IF(AI249=AD_no,0,IF(VLOOKUP(E202,'Pre-Assessment Estimator'!$F$11:$AA$226,'Pre-Assessment Estimator'!$H$2,FALSE)&gt;AB202,AB202,VLOOKUP(E202,'Pre-Assessment Estimator'!$F$11:$AA$226,'Pre-Assessment Estimator'!$H$2,FALSE)))</f>
        <v>0</v>
      </c>
      <c r="AJ202" s="884">
        <f>IF(AJ249=AD_no,0,IF(VLOOKUP(E202,'Pre-Assessment Estimator'!$F$11:$AA$226,'Pre-Assessment Estimator'!$O$2,FALSE)&gt;AB202,AB202,VLOOKUP(E202,'Pre-Assessment Estimator'!$F$11:$AA$226,'Pre-Assessment Estimator'!$O$2,FALSE)))</f>
        <v>0</v>
      </c>
      <c r="AK202" s="884">
        <f>IF(AK249=AD_no,0,IF(VLOOKUP(E202,'Pre-Assessment Estimator'!$F$11:$AA$226,'Pre-Assessment Estimator'!$V$2,FALSE)&gt;AB202,AB202,VLOOKUP(E202,'Pre-Assessment Estimator'!$F$11:$AA$226,'Pre-Assessment Estimator'!$V$2,FALSE)))</f>
        <v>0</v>
      </c>
      <c r="AM202" s="728"/>
      <c r="AN202" s="729"/>
      <c r="AO202" s="729"/>
      <c r="AP202" s="729"/>
      <c r="AQ202" s="730"/>
      <c r="AR202" s="123"/>
      <c r="AS202" s="728"/>
      <c r="AT202" s="729"/>
      <c r="AU202" s="729"/>
      <c r="AV202" s="729"/>
      <c r="AW202" s="730"/>
      <c r="AY202" s="144"/>
      <c r="AZ202" s="45"/>
      <c r="BA202" s="45"/>
      <c r="BB202" s="45"/>
      <c r="BC202" s="731"/>
      <c r="BD202" s="160">
        <f t="shared" si="551"/>
        <v>9</v>
      </c>
      <c r="BE202" s="45" t="str">
        <f t="shared" si="544"/>
        <v>N/A</v>
      </c>
      <c r="BF202" s="163"/>
      <c r="BG202" s="160">
        <f t="shared" si="552"/>
        <v>9</v>
      </c>
      <c r="BH202" s="45" t="str">
        <f t="shared" si="545"/>
        <v>N/A</v>
      </c>
      <c r="BI202" s="163"/>
      <c r="BJ202" s="160">
        <f t="shared" si="553"/>
        <v>9</v>
      </c>
      <c r="BK202" s="45" t="str">
        <f t="shared" si="546"/>
        <v>N/A</v>
      </c>
      <c r="BL202" s="723"/>
      <c r="BO202" s="43"/>
      <c r="BP202" s="43"/>
      <c r="BQ202" s="43" t="str">
        <f t="shared" si="342"/>
        <v/>
      </c>
      <c r="BR202" s="43">
        <f t="shared" si="399"/>
        <v>9</v>
      </c>
      <c r="BS202" s="43">
        <f t="shared" si="400"/>
        <v>9</v>
      </c>
      <c r="BT202" s="43">
        <f t="shared" si="401"/>
        <v>9</v>
      </c>
      <c r="BW202" s="45"/>
      <c r="BX202" s="45"/>
      <c r="BY202" s="586"/>
      <c r="BZ202" s="45"/>
      <c r="CA202" s="590"/>
      <c r="CB202" s="45"/>
      <c r="CE202" s="43"/>
      <c r="CG202" s="62"/>
    </row>
    <row r="203" spans="1:85" x14ac:dyDescent="0.25">
      <c r="A203">
        <v>195</v>
      </c>
      <c r="B203" t="str">
        <f t="shared" si="547"/>
        <v>POL 01d</v>
      </c>
      <c r="C203" t="str">
        <f t="shared" si="344"/>
        <v>POL 01</v>
      </c>
      <c r="D203" s="146" t="s">
        <v>694</v>
      </c>
      <c r="E203" s="795" t="s">
        <v>899</v>
      </c>
      <c r="F203" s="668">
        <v>1</v>
      </c>
      <c r="G203" s="668">
        <v>1</v>
      </c>
      <c r="H203" s="668">
        <v>1</v>
      </c>
      <c r="I203" s="668">
        <v>1</v>
      </c>
      <c r="J203" s="668">
        <v>1</v>
      </c>
      <c r="K203" s="668">
        <v>1</v>
      </c>
      <c r="L203" s="668">
        <v>1</v>
      </c>
      <c r="M203" s="668">
        <v>1</v>
      </c>
      <c r="N203" s="668">
        <v>1</v>
      </c>
      <c r="O203" s="668">
        <v>1</v>
      </c>
      <c r="P203" s="668">
        <v>1</v>
      </c>
      <c r="Q203" s="668">
        <v>1</v>
      </c>
      <c r="R203" s="668">
        <v>1</v>
      </c>
      <c r="T203" s="148">
        <f t="shared" si="540"/>
        <v>1</v>
      </c>
      <c r="U203" s="191">
        <f>IF(U201&gt;0,0,T203)</f>
        <v>1</v>
      </c>
      <c r="V203" s="147"/>
      <c r="W203" s="831">
        <f>IF(W201&gt;0,0,Z203)</f>
        <v>1</v>
      </c>
      <c r="X203" s="204"/>
      <c r="Y203" s="148">
        <f>IF($Y$4=$Y$6,T203,0)</f>
        <v>0</v>
      </c>
      <c r="Z203" s="147">
        <f>VLOOKUP(B203,'Manuell filtrering og justering'!$A$7:$H$253,'Manuell filtrering og justering'!$H$1,FALSE)</f>
        <v>1</v>
      </c>
      <c r="AA203" s="148">
        <f t="shared" si="541"/>
        <v>1</v>
      </c>
      <c r="AB203" s="876">
        <f>IF($AC$5='Manuell filtrering og justering'!$J$2,Z203-W203,(T203-AA203))</f>
        <v>0</v>
      </c>
      <c r="AD203" s="150">
        <f t="shared" si="542"/>
        <v>0</v>
      </c>
      <c r="AE203" s="150">
        <f t="shared" si="548"/>
        <v>0</v>
      </c>
      <c r="AF203" s="150">
        <f t="shared" si="549"/>
        <v>0</v>
      </c>
      <c r="AG203" s="150">
        <f t="shared" si="550"/>
        <v>0</v>
      </c>
      <c r="AI203" s="884">
        <f>IF(AI249=AD_no,0,IF(VLOOKUP(E203,'Pre-Assessment Estimator'!$F$11:$AA$226,'Pre-Assessment Estimator'!$H$2,FALSE)&gt;AB203,AB203,VLOOKUP(E203,'Pre-Assessment Estimator'!$F$11:$AA$226,'Pre-Assessment Estimator'!$H$2,FALSE)))</f>
        <v>0</v>
      </c>
      <c r="AJ203" s="884">
        <f>IF(AJ249=AD_no,0,IF(VLOOKUP(E203,'Pre-Assessment Estimator'!$F$11:$AA$226,'Pre-Assessment Estimator'!$O$2,FALSE)&gt;AB203,AB203,VLOOKUP(E203,'Pre-Assessment Estimator'!$F$11:$AA$226,'Pre-Assessment Estimator'!$O$2,FALSE)))</f>
        <v>0</v>
      </c>
      <c r="AK203" s="884">
        <f>IF(AK249=AD_no,0,IF(VLOOKUP(E203,'Pre-Assessment Estimator'!$F$11:$AA$226,'Pre-Assessment Estimator'!$V$2,FALSE)&gt;AB203,AB203,VLOOKUP(E203,'Pre-Assessment Estimator'!$F$11:$AA$226,'Pre-Assessment Estimator'!$V$2,FALSE)))</f>
        <v>0</v>
      </c>
      <c r="AM203" s="728"/>
      <c r="AN203" s="729"/>
      <c r="AO203" s="729"/>
      <c r="AP203" s="729"/>
      <c r="AQ203" s="730"/>
      <c r="AR203" s="123"/>
      <c r="AS203" s="728"/>
      <c r="AT203" s="729"/>
      <c r="AU203" s="729"/>
      <c r="AV203" s="729"/>
      <c r="AW203" s="730"/>
      <c r="AY203" s="144"/>
      <c r="AZ203" s="45"/>
      <c r="BA203" s="45"/>
      <c r="BB203" s="45"/>
      <c r="BC203" s="731"/>
      <c r="BD203" s="160">
        <f t="shared" si="551"/>
        <v>9</v>
      </c>
      <c r="BE203" s="45" t="str">
        <f t="shared" si="544"/>
        <v>N/A</v>
      </c>
      <c r="BF203" s="163"/>
      <c r="BG203" s="160">
        <f t="shared" si="552"/>
        <v>9</v>
      </c>
      <c r="BH203" s="45" t="str">
        <f t="shared" si="545"/>
        <v>N/A</v>
      </c>
      <c r="BI203" s="163"/>
      <c r="BJ203" s="160">
        <f t="shared" si="553"/>
        <v>9</v>
      </c>
      <c r="BK203" s="45" t="str">
        <f t="shared" si="546"/>
        <v>N/A</v>
      </c>
      <c r="BL203" s="723"/>
      <c r="BO203" s="43"/>
      <c r="BP203" s="43"/>
      <c r="BQ203" s="43" t="str">
        <f t="shared" ref="BQ203:BQ251" si="554">IF(BO203&lt;&gt;"",BO203,IF(BP203&lt;&gt;"",BP203,""))</f>
        <v/>
      </c>
      <c r="BR203" s="43">
        <f t="shared" si="399"/>
        <v>9</v>
      </c>
      <c r="BS203" s="43">
        <f t="shared" si="400"/>
        <v>9</v>
      </c>
      <c r="BT203" s="43">
        <f t="shared" si="401"/>
        <v>9</v>
      </c>
      <c r="BW203" s="45"/>
      <c r="BX203" s="45"/>
      <c r="BY203" s="586"/>
      <c r="BZ203" s="45"/>
      <c r="CA203" s="590"/>
      <c r="CB203" s="45"/>
      <c r="CE203" s="43"/>
      <c r="CG203" s="62"/>
    </row>
    <row r="204" spans="1:85" x14ac:dyDescent="0.25">
      <c r="A204">
        <v>196</v>
      </c>
      <c r="B204" s="121" t="str">
        <f>D204</f>
        <v>POL 02</v>
      </c>
      <c r="C204" s="121" t="str">
        <f>B204</f>
        <v>POL 02</v>
      </c>
      <c r="D204" s="727" t="s">
        <v>185</v>
      </c>
      <c r="E204" s="725" t="s">
        <v>472</v>
      </c>
      <c r="F204" s="821">
        <v>2</v>
      </c>
      <c r="G204" s="821">
        <v>2</v>
      </c>
      <c r="H204" s="821">
        <v>2</v>
      </c>
      <c r="I204" s="821">
        <v>2</v>
      </c>
      <c r="J204" s="821">
        <v>2</v>
      </c>
      <c r="K204" s="821">
        <v>2</v>
      </c>
      <c r="L204" s="821">
        <v>2</v>
      </c>
      <c r="M204" s="821">
        <v>2</v>
      </c>
      <c r="N204" s="821">
        <v>2</v>
      </c>
      <c r="O204" s="821">
        <v>2</v>
      </c>
      <c r="P204" s="821">
        <v>2</v>
      </c>
      <c r="Q204" s="821">
        <v>2</v>
      </c>
      <c r="R204" s="821">
        <v>2</v>
      </c>
      <c r="T204" s="831">
        <f t="shared" si="540"/>
        <v>2</v>
      </c>
      <c r="U204" s="191"/>
      <c r="V204" s="908"/>
      <c r="W204" s="831"/>
      <c r="X204" s="909">
        <f>'Manuell filtrering og justering'!E87</f>
        <v>0</v>
      </c>
      <c r="Y204" s="959"/>
      <c r="Z204" s="845">
        <f>SUM(AB205:AB206)</f>
        <v>2</v>
      </c>
      <c r="AA204" s="831">
        <f t="shared" si="541"/>
        <v>0</v>
      </c>
      <c r="AB204" s="883">
        <f>SUM(AB205:AB206)</f>
        <v>2</v>
      </c>
      <c r="AD204" s="150">
        <f t="shared" si="542"/>
        <v>1.1428571428571429E-2</v>
      </c>
      <c r="AE204" s="799">
        <f>IF(SUM(AE205:AE206)&gt;$AD$204,$AD$204,SUM(AE205:AE206))</f>
        <v>0</v>
      </c>
      <c r="AF204" s="799">
        <f>IF(SUM(AF205:AF206)&gt;$AD$204,$AD$204,SUM(AF205:AF206))</f>
        <v>0</v>
      </c>
      <c r="AG204" s="799">
        <f>IF(SUM(AG205:AG206)&gt;$AD$204,$AD$204,SUM(AG205:AG206))</f>
        <v>0</v>
      </c>
      <c r="AI204" s="826">
        <f>IF(SUM(AI205:AI206)&gt;Pol02_credits,Pol02_credits,SUM(AI205:AI206))</f>
        <v>0</v>
      </c>
      <c r="AJ204" s="826">
        <f>IF(SUM(AJ205:AJ206)&gt;Pol02_credits,Pol02_credits,SUM(AJ205:AJ206))</f>
        <v>0</v>
      </c>
      <c r="AK204" s="826">
        <f>IF(SUM(AK205:AK206)&gt;Pol02_credits,Pol02_credits,SUM(AK205:AK206))</f>
        <v>0</v>
      </c>
      <c r="AL204" t="s">
        <v>425</v>
      </c>
      <c r="AM204" s="252"/>
      <c r="AN204" s="253"/>
      <c r="AO204" s="253"/>
      <c r="AP204" s="253"/>
      <c r="AQ204" s="254"/>
      <c r="AR204" s="123"/>
      <c r="AS204" s="252"/>
      <c r="AT204" s="253"/>
      <c r="AU204" s="253"/>
      <c r="AV204" s="253"/>
      <c r="AW204" s="254"/>
      <c r="AY204" s="146"/>
      <c r="AZ204" s="43"/>
      <c r="BA204" s="43"/>
      <c r="BB204" s="43"/>
      <c r="BC204" s="147">
        <f t="shared" si="543"/>
        <v>0</v>
      </c>
      <c r="BD204" s="160">
        <f t="shared" si="464"/>
        <v>9</v>
      </c>
      <c r="BE204" s="45" t="str">
        <f t="shared" si="544"/>
        <v>N/A</v>
      </c>
      <c r="BF204" s="163"/>
      <c r="BG204" s="160">
        <f>IF(BC204=0,9,IF(AJ204&gt;=BC204,5,IF(AJ204&gt;=BB204,4,IF(AJ204&gt;=BA204,3,IF(AJ204&gt;=AZ204,2,IF(AJ204&lt;AY204,0,1))))))</f>
        <v>9</v>
      </c>
      <c r="BH204" s="45" t="str">
        <f t="shared" si="545"/>
        <v>N/A</v>
      </c>
      <c r="BI204" s="163"/>
      <c r="BJ204" s="160">
        <f t="shared" si="447"/>
        <v>9</v>
      </c>
      <c r="BK204" s="45" t="str">
        <f t="shared" si="546"/>
        <v>N/A</v>
      </c>
      <c r="BL204" s="163"/>
      <c r="BO204" s="43"/>
      <c r="BP204" s="43"/>
      <c r="BQ204" s="43" t="str">
        <f t="shared" si="554"/>
        <v/>
      </c>
      <c r="BR204" s="43">
        <f t="shared" si="399"/>
        <v>9</v>
      </c>
      <c r="BS204" s="43">
        <f t="shared" si="400"/>
        <v>9</v>
      </c>
      <c r="BT204" s="43">
        <f t="shared" si="401"/>
        <v>9</v>
      </c>
      <c r="BW204" s="43" t="str">
        <f>D204</f>
        <v>POL 02</v>
      </c>
      <c r="BX204" s="43" t="str">
        <f>IFERROR(VLOOKUP($E204,'Pre-Assessment Estimator'!$F$11:$AC$226,'Pre-Assessment Estimator'!AC$2,FALSE),"")</f>
        <v>No</v>
      </c>
      <c r="BY204" s="61" t="str">
        <f>IFERROR(VLOOKUP($E204,'Pre-Assessment Estimator'!$F$11:$AJ$226,'Pre-Assessment Estimator'!AJ$2,FALSE),"")</f>
        <v>Ja</v>
      </c>
      <c r="BZ204" s="43">
        <f>IFERROR(VLOOKUP($BX204,$E$293:$H$326,F$291,FALSE),"")</f>
        <v>1</v>
      </c>
      <c r="CA204" s="590" t="s">
        <v>430</v>
      </c>
      <c r="CB204" s="43"/>
      <c r="CC204" t="str">
        <f>IFERROR(VLOOKUP($BX204,$E$293:$H$326,I$291,FALSE),"")</f>
        <v/>
      </c>
      <c r="CD204" t="s">
        <v>436</v>
      </c>
      <c r="CE204" s="43">
        <f>VLOOKUP(CA204,$CA$4:$CB$5,2,FALSE)</f>
        <v>1</v>
      </c>
      <c r="CG204" s="62">
        <f>IF($BX$5=ais_nei,CE204,IF(AND(CA204=$CA$4,BX204=$CC$4),0,BZ204))</f>
        <v>1</v>
      </c>
    </row>
    <row r="205" spans="1:85" x14ac:dyDescent="0.25">
      <c r="A205">
        <v>197</v>
      </c>
      <c r="B205" t="str">
        <f t="shared" ref="B205:B206" si="555">$D$204&amp;D205</f>
        <v>POL 02a</v>
      </c>
      <c r="C205" t="str">
        <f t="shared" ref="C205:C213" si="556">C204</f>
        <v>POL 02</v>
      </c>
      <c r="D205" s="146" t="s">
        <v>692</v>
      </c>
      <c r="E205" s="795" t="s">
        <v>961</v>
      </c>
      <c r="F205" s="668">
        <v>2</v>
      </c>
      <c r="G205" s="668">
        <v>2</v>
      </c>
      <c r="H205" s="668">
        <v>2</v>
      </c>
      <c r="I205" s="668">
        <v>2</v>
      </c>
      <c r="J205" s="668">
        <v>2</v>
      </c>
      <c r="K205" s="668">
        <v>2</v>
      </c>
      <c r="L205" s="668">
        <v>2</v>
      </c>
      <c r="M205" s="668">
        <v>2</v>
      </c>
      <c r="N205" s="668">
        <v>2</v>
      </c>
      <c r="O205" s="668">
        <v>2</v>
      </c>
      <c r="P205" s="668">
        <v>2</v>
      </c>
      <c r="Q205" s="668">
        <v>2</v>
      </c>
      <c r="R205" s="668">
        <v>2</v>
      </c>
      <c r="T205" s="148">
        <f t="shared" si="540"/>
        <v>2</v>
      </c>
      <c r="U205" s="1018">
        <f>IF('Assessment Details'!F25='Assessment Details'!J30,0,IF('Assessment Details'!F25="",0,Poeng!T205))</f>
        <v>0</v>
      </c>
      <c r="V205" s="147"/>
      <c r="W205" s="875">
        <f>IF('Assessment Details'!F25='Assessment Details'!J30,0,IF('Assessment Details'!F25="",0,Poeng!Z205))</f>
        <v>0</v>
      </c>
      <c r="X205" s="204"/>
      <c r="Y205" s="148">
        <f>IF($Y$4=$Y$6,T205,0)</f>
        <v>0</v>
      </c>
      <c r="Z205" s="147">
        <f>VLOOKUP(B205,'Manuell filtrering og justering'!$A$7:$H$253,'Manuell filtrering og justering'!$H$1,FALSE)</f>
        <v>2</v>
      </c>
      <c r="AA205" s="148">
        <f t="shared" si="541"/>
        <v>0</v>
      </c>
      <c r="AB205" s="876">
        <f>IF($AC$5='Manuell filtrering og justering'!$J$2,Z205-W205,(T205-AA205))</f>
        <v>2</v>
      </c>
      <c r="AD205" s="150">
        <f t="shared" si="542"/>
        <v>1.1428571428571429E-2</v>
      </c>
      <c r="AE205" s="150">
        <f t="shared" si="548"/>
        <v>0</v>
      </c>
      <c r="AF205" s="150">
        <f t="shared" si="549"/>
        <v>0</v>
      </c>
      <c r="AG205" s="150">
        <f t="shared" si="550"/>
        <v>0</v>
      </c>
      <c r="AI205" s="151">
        <f>IF(VLOOKUP(E205,'Pre-Assessment Estimator'!$F$11:$AA$226,'Pre-Assessment Estimator'!$H$2,FALSE)&gt;AB205,AB205,VLOOKUP(E205,'Pre-Assessment Estimator'!$F$11:$AA$226,'Pre-Assessment Estimator'!$H$2,FALSE))</f>
        <v>0</v>
      </c>
      <c r="AJ205" s="151">
        <f>IF(VLOOKUP(E205,'Pre-Assessment Estimator'!$F$11:$AA$226,'Pre-Assessment Estimator'!$O$2,FALSE)&gt;AB205,AB205,VLOOKUP(E205,'Pre-Assessment Estimator'!$F$11:$AA$226,'Pre-Assessment Estimator'!$O$2,FALSE))</f>
        <v>0</v>
      </c>
      <c r="AK205" s="151">
        <f>IF(VLOOKUP(E205,'Pre-Assessment Estimator'!$F$11:$AA$226,'Pre-Assessment Estimator'!$V$2,FALSE)&gt;AB205,AB205,VLOOKUP(E205,'Pre-Assessment Estimator'!$F$11:$AA$226,'Pre-Assessment Estimator'!$V$2,FALSE))</f>
        <v>0</v>
      </c>
      <c r="AM205" s="252"/>
      <c r="AN205" s="253"/>
      <c r="AO205" s="253"/>
      <c r="AP205" s="253"/>
      <c r="AQ205" s="254"/>
      <c r="AR205" s="123"/>
      <c r="AS205" s="252"/>
      <c r="AT205" s="253"/>
      <c r="AU205" s="253"/>
      <c r="AV205" s="253"/>
      <c r="AW205" s="254"/>
      <c r="AY205" s="146"/>
      <c r="AZ205" s="43"/>
      <c r="BA205" s="43"/>
      <c r="BB205" s="43"/>
      <c r="BC205" s="147"/>
      <c r="BD205" s="160">
        <f t="shared" si="464"/>
        <v>9</v>
      </c>
      <c r="BE205" s="45" t="str">
        <f t="shared" si="544"/>
        <v>N/A</v>
      </c>
      <c r="BF205" s="163"/>
      <c r="BG205" s="160">
        <f t="shared" ref="BG205:BG210" si="557">IF(BC205=0,9,IF(AJ205&gt;=BC205,5,IF(AJ205&gt;=BB205,4,IF(AJ205&gt;=BA205,3,IF(AJ205&gt;=AZ205,2,IF(AJ205&lt;AY205,0,1))))))</f>
        <v>9</v>
      </c>
      <c r="BH205" s="45" t="str">
        <f t="shared" si="545"/>
        <v>N/A</v>
      </c>
      <c r="BI205" s="163"/>
      <c r="BJ205" s="160">
        <f t="shared" si="447"/>
        <v>9</v>
      </c>
      <c r="BK205" s="45" t="str">
        <f t="shared" si="546"/>
        <v>N/A</v>
      </c>
      <c r="BL205" s="163"/>
      <c r="BO205" s="43"/>
      <c r="BP205" s="43"/>
      <c r="BQ205" s="43" t="str">
        <f t="shared" si="554"/>
        <v/>
      </c>
      <c r="BR205" s="43">
        <f t="shared" si="399"/>
        <v>9</v>
      </c>
      <c r="BS205" s="43">
        <f t="shared" si="400"/>
        <v>9</v>
      </c>
      <c r="BT205" s="43">
        <f t="shared" si="401"/>
        <v>9</v>
      </c>
      <c r="BW205" s="43"/>
      <c r="BX205" s="43"/>
      <c r="BY205" s="61"/>
      <c r="BZ205" s="43"/>
      <c r="CA205" s="590"/>
      <c r="CB205" s="43"/>
      <c r="CG205" s="62"/>
    </row>
    <row r="206" spans="1:85" x14ac:dyDescent="0.25">
      <c r="A206">
        <v>198</v>
      </c>
      <c r="B206" t="str">
        <f t="shared" si="555"/>
        <v>POL 02b</v>
      </c>
      <c r="C206" t="str">
        <f t="shared" si="556"/>
        <v>POL 02</v>
      </c>
      <c r="D206" s="146" t="s">
        <v>695</v>
      </c>
      <c r="E206" s="795" t="s">
        <v>962</v>
      </c>
      <c r="F206" s="668">
        <v>2</v>
      </c>
      <c r="G206" s="668">
        <v>2</v>
      </c>
      <c r="H206" s="668">
        <v>2</v>
      </c>
      <c r="I206" s="668">
        <v>2</v>
      </c>
      <c r="J206" s="668">
        <v>2</v>
      </c>
      <c r="K206" s="668">
        <v>2</v>
      </c>
      <c r="L206" s="668">
        <v>2</v>
      </c>
      <c r="M206" s="668">
        <v>2</v>
      </c>
      <c r="N206" s="668">
        <v>2</v>
      </c>
      <c r="O206" s="668">
        <v>2</v>
      </c>
      <c r="P206" s="668">
        <v>2</v>
      </c>
      <c r="Q206" s="668">
        <v>2</v>
      </c>
      <c r="R206" s="668">
        <v>2</v>
      </c>
      <c r="T206" s="148">
        <f t="shared" si="540"/>
        <v>2</v>
      </c>
      <c r="U206" s="191">
        <f>IF('Assessment Details'!F25='Assessment Details'!J31,0,Poeng!T206)</f>
        <v>2</v>
      </c>
      <c r="V206" s="147"/>
      <c r="W206" s="831">
        <f>IF('Assessment Details'!F25='Assessment Details'!J31,0,Poeng!Z206)</f>
        <v>2</v>
      </c>
      <c r="X206" s="204"/>
      <c r="Y206" s="148">
        <f>IF($Y$4=$Y$6,T206,0)</f>
        <v>0</v>
      </c>
      <c r="Z206" s="147">
        <f>VLOOKUP(B206,'Manuell filtrering og justering'!$A$7:$H$253,'Manuell filtrering og justering'!$H$1,FALSE)</f>
        <v>2</v>
      </c>
      <c r="AA206" s="148">
        <f t="shared" si="541"/>
        <v>2</v>
      </c>
      <c r="AB206" s="876">
        <f>IF($AC$5='Manuell filtrering og justering'!$J$2,Z206-W206,(T206-AA206))</f>
        <v>0</v>
      </c>
      <c r="AD206" s="150">
        <f t="shared" si="542"/>
        <v>0</v>
      </c>
      <c r="AE206" s="150">
        <f t="shared" si="548"/>
        <v>0</v>
      </c>
      <c r="AF206" s="150">
        <f t="shared" si="549"/>
        <v>0</v>
      </c>
      <c r="AG206" s="150">
        <f t="shared" si="550"/>
        <v>0</v>
      </c>
      <c r="AI206" s="151">
        <f>IF(VLOOKUP(E206,'Pre-Assessment Estimator'!$F$11:$AA$226,'Pre-Assessment Estimator'!$H$2,FALSE)&gt;AB206,AB206,VLOOKUP(E206,'Pre-Assessment Estimator'!$F$11:$AA$226,'Pre-Assessment Estimator'!$H$2,FALSE))</f>
        <v>0</v>
      </c>
      <c r="AJ206" s="151">
        <f>IF(VLOOKUP(E206,'Pre-Assessment Estimator'!$F$11:$AA$226,'Pre-Assessment Estimator'!$O$2,FALSE)&gt;AB206,AB206,VLOOKUP(E206,'Pre-Assessment Estimator'!$F$11:$AA$226,'Pre-Assessment Estimator'!$O$2,FALSE))</f>
        <v>0</v>
      </c>
      <c r="AK206" s="151">
        <f>IF(VLOOKUP(E206,'Pre-Assessment Estimator'!$F$11:$AA$226,'Pre-Assessment Estimator'!$V$2,FALSE)&gt;AB206,AB206,VLOOKUP(E206,'Pre-Assessment Estimator'!$F$11:$AA$226,'Pre-Assessment Estimator'!$V$2,FALSE))</f>
        <v>0</v>
      </c>
      <c r="AM206" s="252"/>
      <c r="AN206" s="253"/>
      <c r="AO206" s="253"/>
      <c r="AP206" s="253"/>
      <c r="AQ206" s="254"/>
      <c r="AR206" s="123"/>
      <c r="AS206" s="252"/>
      <c r="AT206" s="253"/>
      <c r="AU206" s="253"/>
      <c r="AV206" s="253"/>
      <c r="AW206" s="254"/>
      <c r="AY206" s="146"/>
      <c r="AZ206" s="43"/>
      <c r="BA206" s="43"/>
      <c r="BB206" s="43"/>
      <c r="BC206" s="147"/>
      <c r="BD206" s="160">
        <f t="shared" si="464"/>
        <v>9</v>
      </c>
      <c r="BE206" s="45" t="str">
        <f t="shared" si="544"/>
        <v>N/A</v>
      </c>
      <c r="BF206" s="163"/>
      <c r="BG206" s="160">
        <f t="shared" si="557"/>
        <v>9</v>
      </c>
      <c r="BH206" s="45" t="str">
        <f t="shared" si="545"/>
        <v>N/A</v>
      </c>
      <c r="BI206" s="163"/>
      <c r="BJ206" s="160">
        <f t="shared" si="447"/>
        <v>9</v>
      </c>
      <c r="BK206" s="45" t="str">
        <f t="shared" si="546"/>
        <v>N/A</v>
      </c>
      <c r="BL206" s="163"/>
      <c r="BO206" s="43"/>
      <c r="BP206" s="43"/>
      <c r="BQ206" s="43" t="str">
        <f t="shared" si="554"/>
        <v/>
      </c>
      <c r="BR206" s="43">
        <f t="shared" si="399"/>
        <v>9</v>
      </c>
      <c r="BS206" s="43">
        <f t="shared" si="400"/>
        <v>9</v>
      </c>
      <c r="BT206" s="43">
        <f t="shared" si="401"/>
        <v>9</v>
      </c>
      <c r="BW206" s="43"/>
      <c r="BX206" s="43"/>
      <c r="BY206" s="61"/>
      <c r="BZ206" s="43"/>
      <c r="CA206" s="590"/>
      <c r="CB206" s="43"/>
      <c r="CG206" s="62"/>
    </row>
    <row r="207" spans="1:85" x14ac:dyDescent="0.25">
      <c r="A207">
        <v>199</v>
      </c>
      <c r="D207" s="609" t="s">
        <v>186</v>
      </c>
      <c r="E207" s="608"/>
      <c r="F207" s="812"/>
      <c r="G207" s="812"/>
      <c r="H207" s="812"/>
      <c r="I207" s="812"/>
      <c r="J207" s="812"/>
      <c r="K207" s="812"/>
      <c r="L207" s="812"/>
      <c r="M207" s="812"/>
      <c r="N207" s="812"/>
      <c r="O207" s="812"/>
      <c r="P207" s="812"/>
      <c r="Q207" s="812"/>
      <c r="R207" s="812"/>
      <c r="T207" s="824"/>
      <c r="U207" s="609"/>
      <c r="V207" s="823"/>
      <c r="W207" s="824"/>
      <c r="X207" s="911"/>
      <c r="Y207" s="958"/>
      <c r="Z207" s="147"/>
      <c r="AA207" s="824"/>
      <c r="AB207" s="825"/>
      <c r="AD207" s="150">
        <f t="shared" si="542"/>
        <v>0</v>
      </c>
      <c r="AE207" s="828"/>
      <c r="AF207" s="828"/>
      <c r="AG207" s="828"/>
      <c r="AI207" s="623"/>
      <c r="AJ207" s="623"/>
      <c r="AK207" s="623"/>
      <c r="AM207" s="252"/>
      <c r="AN207" s="253"/>
      <c r="AO207" s="253"/>
      <c r="AP207" s="253"/>
      <c r="AQ207" s="254"/>
      <c r="AR207" s="123"/>
      <c r="AS207" s="252"/>
      <c r="AT207" s="253"/>
      <c r="AU207" s="253"/>
      <c r="AV207" s="253"/>
      <c r="AW207" s="254"/>
      <c r="AY207" s="146"/>
      <c r="AZ207" s="43"/>
      <c r="BA207" s="43"/>
      <c r="BB207" s="43"/>
      <c r="BC207" s="147">
        <f t="shared" si="543"/>
        <v>0</v>
      </c>
      <c r="BD207" s="160">
        <f t="shared" si="464"/>
        <v>9</v>
      </c>
      <c r="BE207" s="45" t="str">
        <f t="shared" si="544"/>
        <v>N/A</v>
      </c>
      <c r="BF207" s="163"/>
      <c r="BG207" s="160">
        <f t="shared" si="557"/>
        <v>9</v>
      </c>
      <c r="BH207" s="45" t="str">
        <f t="shared" si="545"/>
        <v>N/A</v>
      </c>
      <c r="BI207" s="163"/>
      <c r="BJ207" s="160">
        <f t="shared" si="447"/>
        <v>9</v>
      </c>
      <c r="BK207" s="45" t="str">
        <f t="shared" si="546"/>
        <v>N/A</v>
      </c>
      <c r="BL207" s="163"/>
      <c r="BO207" s="43"/>
      <c r="BP207" s="43"/>
      <c r="BQ207" s="43" t="str">
        <f t="shared" si="554"/>
        <v/>
      </c>
      <c r="BR207" s="43">
        <f t="shared" si="399"/>
        <v>9</v>
      </c>
      <c r="BS207" s="43">
        <f t="shared" si="400"/>
        <v>9</v>
      </c>
      <c r="BT207" s="43">
        <f t="shared" si="401"/>
        <v>9</v>
      </c>
      <c r="BW207" s="43" t="str">
        <f>D207</f>
        <v>POL 03</v>
      </c>
      <c r="BX207" s="43" t="str">
        <f>IFERROR(VLOOKUP($E207,'Pre-Assessment Estimator'!$F$11:$AC$226,'Pre-Assessment Estimator'!AC$2,FALSE),"")</f>
        <v/>
      </c>
      <c r="BY207" s="43" t="str">
        <f>IFERROR(VLOOKUP($E207,'Pre-Assessment Estimator'!$F$11:$AJ$226,'Pre-Assessment Estimator'!AJ$2,FALSE),"")</f>
        <v/>
      </c>
      <c r="BZ207" s="43" t="str">
        <f>IFERROR(VLOOKUP($BX207,$E$293:$H$326,F$291,FALSE),"")</f>
        <v/>
      </c>
      <c r="CA207" s="43" t="str">
        <f>IFERROR(VLOOKUP($BX207,$E$293:$H$326,G$291,FALSE),"")</f>
        <v/>
      </c>
      <c r="CB207" s="43"/>
      <c r="CC207" t="str">
        <f>IFERROR(VLOOKUP($BX207,$E$293:$H$326,I$291,FALSE),"")</f>
        <v/>
      </c>
    </row>
    <row r="208" spans="1:85" x14ac:dyDescent="0.25">
      <c r="A208">
        <v>200</v>
      </c>
      <c r="B208" s="121" t="str">
        <f>D208</f>
        <v>POL 04</v>
      </c>
      <c r="C208" s="121" t="str">
        <f>B208</f>
        <v>POL 04</v>
      </c>
      <c r="D208" s="727" t="s">
        <v>187</v>
      </c>
      <c r="E208" s="725" t="s">
        <v>164</v>
      </c>
      <c r="F208" s="821">
        <v>1</v>
      </c>
      <c r="G208" s="821">
        <v>1</v>
      </c>
      <c r="H208" s="821">
        <v>1</v>
      </c>
      <c r="I208" s="821">
        <v>1</v>
      </c>
      <c r="J208" s="821">
        <v>1</v>
      </c>
      <c r="K208" s="821">
        <v>1</v>
      </c>
      <c r="L208" s="821">
        <v>1</v>
      </c>
      <c r="M208" s="821">
        <v>1</v>
      </c>
      <c r="N208" s="821">
        <v>1</v>
      </c>
      <c r="O208" s="821">
        <v>1</v>
      </c>
      <c r="P208" s="821">
        <v>1</v>
      </c>
      <c r="Q208" s="821">
        <v>1</v>
      </c>
      <c r="R208" s="821">
        <v>1</v>
      </c>
      <c r="T208" s="831">
        <f t="shared" ref="T208:T214" si="558">HLOOKUP($E$6,$F$9:$R$231,$A208,FALSE)</f>
        <v>1</v>
      </c>
      <c r="U208" s="191"/>
      <c r="V208" s="908"/>
      <c r="W208" s="831"/>
      <c r="X208" s="909">
        <f>'Manuell filtrering og justering'!E89</f>
        <v>0</v>
      </c>
      <c r="Y208" s="959"/>
      <c r="Z208" s="845">
        <f>SUM(AB209:AB210)</f>
        <v>1</v>
      </c>
      <c r="AA208" s="831">
        <f t="shared" ref="AA208:AA213" si="559">IF(SUM(U208:Y208)&gt;T208,T208,SUM(U208:Y208))</f>
        <v>0</v>
      </c>
      <c r="AB208" s="883">
        <f>SUM(AB209:AB210)</f>
        <v>1</v>
      </c>
      <c r="AD208" s="150">
        <f t="shared" si="542"/>
        <v>5.7142857142857143E-3</v>
      </c>
      <c r="AE208" s="799">
        <f>IF(SUM(AE209:AE210)&gt;$AD$208,$AD$208,SUM(AE209:AE210))</f>
        <v>0</v>
      </c>
      <c r="AF208" s="799">
        <f>IF(SUM(AF209:AF210)&gt;$AD$208,$AD$208,SUM(AF209:AF210))</f>
        <v>0</v>
      </c>
      <c r="AG208" s="799">
        <f>IF(SUM(AG209:AG210)&gt;$AD$208,$AD$208,SUM(AG209:AG210))</f>
        <v>0</v>
      </c>
      <c r="AI208" s="826">
        <f>IF(SUM(AI209:AI210)&gt;Pol04_credits,Pol04_credits,SUM(AI209:AI210))</f>
        <v>0</v>
      </c>
      <c r="AJ208" s="826">
        <f>IF(SUM(AJ209:AJ210)&gt;Pol04_credits,Pol04_credits,SUM(AJ209:AJ210))</f>
        <v>0</v>
      </c>
      <c r="AK208" s="826">
        <f>IF(SUM(AK209:AK210)&gt;Pol04_credits,Pol04_credits,SUM(AK209:AK210))</f>
        <v>0</v>
      </c>
      <c r="AL208" t="s">
        <v>425</v>
      </c>
      <c r="AM208" s="252"/>
      <c r="AN208" s="253"/>
      <c r="AO208" s="253"/>
      <c r="AP208" s="253"/>
      <c r="AQ208" s="254"/>
      <c r="AR208" s="123"/>
      <c r="AS208" s="252"/>
      <c r="AT208" s="253"/>
      <c r="AU208" s="253"/>
      <c r="AV208" s="253"/>
      <c r="AW208" s="254"/>
      <c r="AY208" s="146"/>
      <c r="AZ208" s="43"/>
      <c r="BA208" s="43"/>
      <c r="BB208" s="43"/>
      <c r="BC208" s="147">
        <f t="shared" si="543"/>
        <v>0</v>
      </c>
      <c r="BD208" s="160">
        <f t="shared" ref="BD208:BD210" si="560">IF(BC208=0,9,IF(AI208&gt;=BC208,5,IF(AI208&gt;=BB208,4,IF(AI208&gt;=BA208,3,IF(AI208&gt;=AZ208,2,IF(AI208&lt;AY208,0,1))))))</f>
        <v>9</v>
      </c>
      <c r="BE208" s="45" t="str">
        <f t="shared" si="544"/>
        <v>N/A</v>
      </c>
      <c r="BF208" s="163"/>
      <c r="BG208" s="160">
        <f t="shared" si="557"/>
        <v>9</v>
      </c>
      <c r="BH208" s="45" t="str">
        <f t="shared" si="545"/>
        <v>N/A</v>
      </c>
      <c r="BI208" s="163"/>
      <c r="BJ208" s="160">
        <f t="shared" ref="BJ208:BJ210" si="561">IF(BC208=0,9,IF(AK208&gt;=BC208,5,IF(AK208&gt;=BB208,4,IF(AK208&gt;=BA208,3,IF(AK208&gt;=AZ208,2,IF(AK208&lt;AY208,0,1))))))</f>
        <v>9</v>
      </c>
      <c r="BK208" s="45" t="str">
        <f t="shared" si="546"/>
        <v>N/A</v>
      </c>
      <c r="BL208" s="163"/>
      <c r="BO208" s="43"/>
      <c r="BP208" s="43"/>
      <c r="BQ208" s="43" t="str">
        <f t="shared" si="554"/>
        <v/>
      </c>
      <c r="BR208" s="43">
        <f t="shared" si="399"/>
        <v>9</v>
      </c>
      <c r="BS208" s="43">
        <f t="shared" si="400"/>
        <v>9</v>
      </c>
      <c r="BT208" s="43">
        <f t="shared" si="401"/>
        <v>9</v>
      </c>
      <c r="BW208" s="43" t="str">
        <f>D208</f>
        <v>POL 04</v>
      </c>
      <c r="BX208" s="43" t="str">
        <f>IFERROR(VLOOKUP($E208,'Pre-Assessment Estimator'!$F$11:$AC$226,'Pre-Assessment Estimator'!AC$2,FALSE),"")</f>
        <v>No</v>
      </c>
      <c r="BY208" s="61" t="str">
        <f>IFERROR(VLOOKUP($E208,'Pre-Assessment Estimator'!$F$11:$AJ$226,'Pre-Assessment Estimator'!AJ$2,FALSE),"")</f>
        <v>Ja</v>
      </c>
      <c r="BZ208" s="43">
        <f>IFERROR(VLOOKUP($BX208,$E$293:$H$326,F$291,FALSE),"")</f>
        <v>1</v>
      </c>
      <c r="CA208" s="590" t="s">
        <v>430</v>
      </c>
      <c r="CB208" s="43"/>
      <c r="CC208" t="str">
        <f>IFERROR(VLOOKUP($BX208,$E$293:$H$326,I$291,FALSE),"")</f>
        <v/>
      </c>
      <c r="CD208" t="s">
        <v>436</v>
      </c>
      <c r="CE208" s="43">
        <f>VLOOKUP(CA208,$CA$4:$CB$5,2,FALSE)</f>
        <v>1</v>
      </c>
      <c r="CG208" s="62">
        <f>IF($BX$5=ais_nei,CE208,IF(AND(CA208=$CA$4,BX208=$CC$4),0,BZ208))</f>
        <v>1</v>
      </c>
    </row>
    <row r="209" spans="1:85" x14ac:dyDescent="0.25">
      <c r="A209">
        <v>201</v>
      </c>
      <c r="B209" t="str">
        <f t="shared" ref="B209:B210" si="562">$D$208&amp;D209</f>
        <v>POL 04a</v>
      </c>
      <c r="C209" t="str">
        <f t="shared" si="556"/>
        <v>POL 04</v>
      </c>
      <c r="D209" s="146" t="s">
        <v>692</v>
      </c>
      <c r="E209" s="795" t="s">
        <v>903</v>
      </c>
      <c r="F209" s="668">
        <v>1</v>
      </c>
      <c r="G209" s="668">
        <v>1</v>
      </c>
      <c r="H209" s="668">
        <v>1</v>
      </c>
      <c r="I209" s="668">
        <v>1</v>
      </c>
      <c r="J209" s="668">
        <v>1</v>
      </c>
      <c r="K209" s="668">
        <v>1</v>
      </c>
      <c r="L209" s="668">
        <v>1</v>
      </c>
      <c r="M209" s="668">
        <v>1</v>
      </c>
      <c r="N209" s="668">
        <v>1</v>
      </c>
      <c r="O209" s="668">
        <v>1</v>
      </c>
      <c r="P209" s="668">
        <v>1</v>
      </c>
      <c r="Q209" s="668">
        <v>1</v>
      </c>
      <c r="R209" s="668">
        <v>1</v>
      </c>
      <c r="T209" s="148">
        <f t="shared" si="558"/>
        <v>1</v>
      </c>
      <c r="U209" s="191">
        <f>IF('Assessment Details'!F18=AD_Yes,Poeng!T209,0)</f>
        <v>0</v>
      </c>
      <c r="V209" s="147"/>
      <c r="W209" s="831">
        <f>IF('Assessment Details'!F18=AD_Yes,Poeng!Z209,0)</f>
        <v>0</v>
      </c>
      <c r="X209" s="204"/>
      <c r="Y209" s="958"/>
      <c r="Z209" s="147">
        <f>VLOOKUP(B209,'Manuell filtrering og justering'!$A$7:$H$253,'Manuell filtrering og justering'!$H$1,FALSE)</f>
        <v>1</v>
      </c>
      <c r="AA209" s="148">
        <f t="shared" si="559"/>
        <v>0</v>
      </c>
      <c r="AB209" s="876">
        <f>IF($AC$5='Manuell filtrering og justering'!$J$2,Z209-W209,(T209-AA209))</f>
        <v>1</v>
      </c>
      <c r="AD209" s="150">
        <f t="shared" si="542"/>
        <v>5.7142857142857143E-3</v>
      </c>
      <c r="AE209" s="150">
        <f t="shared" si="548"/>
        <v>0</v>
      </c>
      <c r="AF209" s="150">
        <f t="shared" si="549"/>
        <v>0</v>
      </c>
      <c r="AG209" s="150">
        <f t="shared" si="550"/>
        <v>0</v>
      </c>
      <c r="AI209" s="151">
        <f>IF(VLOOKUP(E209,'Pre-Assessment Estimator'!$F$11:$AA$226,'Pre-Assessment Estimator'!$H$2,FALSE)&gt;AB209,AB209,VLOOKUP(E209,'Pre-Assessment Estimator'!$F$11:$AA$226,'Pre-Assessment Estimator'!$H$2,FALSE))</f>
        <v>0</v>
      </c>
      <c r="AJ209" s="151">
        <f>IF(VLOOKUP(E209,'Pre-Assessment Estimator'!$F$11:$AA$226,'Pre-Assessment Estimator'!$O$2,FALSE)&gt;AB209,AB209,VLOOKUP(E209,'Pre-Assessment Estimator'!$F$11:$AA$226,'Pre-Assessment Estimator'!$O$2,FALSE))</f>
        <v>0</v>
      </c>
      <c r="AK209" s="151">
        <f>IF(VLOOKUP(E209,'Pre-Assessment Estimator'!$F$11:$AA$226,'Pre-Assessment Estimator'!$V$2,FALSE)&gt;AB209,AB209,VLOOKUP(E209,'Pre-Assessment Estimator'!$F$11:$AA$226,'Pre-Assessment Estimator'!$V$2,FALSE))</f>
        <v>0</v>
      </c>
      <c r="AM209" s="742"/>
      <c r="AN209" s="743"/>
      <c r="AO209" s="743"/>
      <c r="AP209" s="743"/>
      <c r="AQ209" s="735"/>
      <c r="AR209" s="123"/>
      <c r="AS209" s="742"/>
      <c r="AT209" s="743"/>
      <c r="AU209" s="743"/>
      <c r="AV209" s="743"/>
      <c r="AW209" s="735"/>
      <c r="AY209" s="167"/>
      <c r="AZ209" s="48"/>
      <c r="BA209" s="48"/>
      <c r="BB209" s="48"/>
      <c r="BC209" s="744"/>
      <c r="BD209" s="160">
        <f t="shared" si="560"/>
        <v>9</v>
      </c>
      <c r="BE209" s="45" t="str">
        <f t="shared" si="544"/>
        <v>N/A</v>
      </c>
      <c r="BF209" s="163"/>
      <c r="BG209" s="160">
        <f t="shared" si="557"/>
        <v>9</v>
      </c>
      <c r="BH209" s="45" t="str">
        <f t="shared" si="545"/>
        <v>N/A</v>
      </c>
      <c r="BI209" s="163"/>
      <c r="BJ209" s="160">
        <f t="shared" si="561"/>
        <v>9</v>
      </c>
      <c r="BK209" s="45" t="str">
        <f t="shared" si="546"/>
        <v>N/A</v>
      </c>
      <c r="BL209" s="739"/>
      <c r="BO209" s="43"/>
      <c r="BP209" s="43"/>
      <c r="BQ209" s="43" t="str">
        <f t="shared" si="554"/>
        <v/>
      </c>
      <c r="BR209" s="43">
        <f t="shared" si="399"/>
        <v>9</v>
      </c>
      <c r="BS209" s="43">
        <f t="shared" si="400"/>
        <v>9</v>
      </c>
      <c r="BT209" s="43">
        <f t="shared" si="401"/>
        <v>9</v>
      </c>
      <c r="BW209" s="43"/>
      <c r="BX209" s="43"/>
      <c r="BY209" s="61"/>
      <c r="BZ209" s="43"/>
      <c r="CA209" s="590"/>
      <c r="CB209" s="43"/>
      <c r="CE209" s="43"/>
      <c r="CG209" s="62"/>
    </row>
    <row r="210" spans="1:85" x14ac:dyDescent="0.25">
      <c r="A210">
        <v>202</v>
      </c>
      <c r="B210" t="str">
        <f t="shared" si="562"/>
        <v>POL 04b</v>
      </c>
      <c r="C210" t="str">
        <f t="shared" si="556"/>
        <v>POL 04</v>
      </c>
      <c r="D210" s="146" t="s">
        <v>695</v>
      </c>
      <c r="E210" s="795" t="s">
        <v>904</v>
      </c>
      <c r="F210" s="668">
        <v>1</v>
      </c>
      <c r="G210" s="668">
        <v>1</v>
      </c>
      <c r="H210" s="668">
        <v>1</v>
      </c>
      <c r="I210" s="668">
        <v>1</v>
      </c>
      <c r="J210" s="668">
        <v>1</v>
      </c>
      <c r="K210" s="668">
        <v>1</v>
      </c>
      <c r="L210" s="668">
        <v>1</v>
      </c>
      <c r="M210" s="668">
        <v>1</v>
      </c>
      <c r="N210" s="668">
        <v>1</v>
      </c>
      <c r="O210" s="668">
        <v>1</v>
      </c>
      <c r="P210" s="668">
        <v>1</v>
      </c>
      <c r="Q210" s="668">
        <v>1</v>
      </c>
      <c r="R210" s="668">
        <v>1</v>
      </c>
      <c r="T210" s="148">
        <f t="shared" si="558"/>
        <v>1</v>
      </c>
      <c r="U210" s="191">
        <f>IF(U209=1,0,T210)</f>
        <v>1</v>
      </c>
      <c r="V210" s="147"/>
      <c r="W210" s="831">
        <f>IF(W209=1,0,Z210)</f>
        <v>1</v>
      </c>
      <c r="X210" s="204"/>
      <c r="Y210" s="958"/>
      <c r="Z210" s="147">
        <f>VLOOKUP(B210,'Manuell filtrering og justering'!$A$7:$H$253,'Manuell filtrering og justering'!$H$1,FALSE)</f>
        <v>1</v>
      </c>
      <c r="AA210" s="148">
        <f t="shared" si="559"/>
        <v>1</v>
      </c>
      <c r="AB210" s="876">
        <f>IF($AC$5='Manuell filtrering og justering'!$J$2,Z210-W210,(T210-AA210))</f>
        <v>0</v>
      </c>
      <c r="AD210" s="150">
        <f t="shared" si="542"/>
        <v>0</v>
      </c>
      <c r="AE210" s="150">
        <f t="shared" si="548"/>
        <v>0</v>
      </c>
      <c r="AF210" s="150">
        <f t="shared" si="549"/>
        <v>0</v>
      </c>
      <c r="AG210" s="150">
        <f t="shared" si="550"/>
        <v>0</v>
      </c>
      <c r="AI210" s="151">
        <f>IF(VLOOKUP(E210,'Pre-Assessment Estimator'!$F$11:$AA$226,'Pre-Assessment Estimator'!$H$2,FALSE)&gt;AB210,AB210,VLOOKUP(E210,'Pre-Assessment Estimator'!$F$11:$AA$226,'Pre-Assessment Estimator'!$H$2,FALSE))</f>
        <v>0</v>
      </c>
      <c r="AJ210" s="151">
        <f>IF(VLOOKUP(E210,'Pre-Assessment Estimator'!$F$11:$AA$226,'Pre-Assessment Estimator'!$O$2,FALSE)&gt;AB210,AB210,VLOOKUP(E210,'Pre-Assessment Estimator'!$F$11:$AA$226,'Pre-Assessment Estimator'!$O$2,FALSE))</f>
        <v>0</v>
      </c>
      <c r="AK210" s="151">
        <f>IF(VLOOKUP(E210,'Pre-Assessment Estimator'!$F$11:$AA$226,'Pre-Assessment Estimator'!$V$2,FALSE)&gt;AB210,AB210,VLOOKUP(E210,'Pre-Assessment Estimator'!$F$11:$AA$226,'Pre-Assessment Estimator'!$V$2,FALSE))</f>
        <v>0</v>
      </c>
      <c r="AM210" s="742"/>
      <c r="AN210" s="743"/>
      <c r="AO210" s="743"/>
      <c r="AP210" s="743"/>
      <c r="AQ210" s="735"/>
      <c r="AR210" s="123"/>
      <c r="AS210" s="742"/>
      <c r="AT210" s="743"/>
      <c r="AU210" s="743"/>
      <c r="AV210" s="743"/>
      <c r="AW210" s="735"/>
      <c r="AY210" s="167"/>
      <c r="AZ210" s="48"/>
      <c r="BA210" s="48"/>
      <c r="BB210" s="48"/>
      <c r="BC210" s="744"/>
      <c r="BD210" s="160">
        <f t="shared" si="560"/>
        <v>9</v>
      </c>
      <c r="BE210" s="45" t="str">
        <f t="shared" si="544"/>
        <v>N/A</v>
      </c>
      <c r="BF210" s="163"/>
      <c r="BG210" s="160">
        <f t="shared" si="557"/>
        <v>9</v>
      </c>
      <c r="BH210" s="45" t="str">
        <f t="shared" si="545"/>
        <v>N/A</v>
      </c>
      <c r="BI210" s="163"/>
      <c r="BJ210" s="160">
        <f t="shared" si="561"/>
        <v>9</v>
      </c>
      <c r="BK210" s="45" t="str">
        <f t="shared" si="546"/>
        <v>N/A</v>
      </c>
      <c r="BL210" s="739"/>
      <c r="BO210" s="43"/>
      <c r="BP210" s="43"/>
      <c r="BQ210" s="43" t="str">
        <f t="shared" si="554"/>
        <v/>
      </c>
      <c r="BR210" s="43">
        <f t="shared" si="399"/>
        <v>9</v>
      </c>
      <c r="BS210" s="43">
        <f t="shared" si="400"/>
        <v>9</v>
      </c>
      <c r="BT210" s="43">
        <f t="shared" si="401"/>
        <v>9</v>
      </c>
      <c r="BW210" s="43"/>
      <c r="BX210" s="43"/>
      <c r="BY210" s="61"/>
      <c r="BZ210" s="43"/>
      <c r="CA210" s="590"/>
      <c r="CB210" s="43"/>
      <c r="CE210" s="43"/>
      <c r="CG210" s="62"/>
    </row>
    <row r="211" spans="1:85" ht="15.75" thickBot="1" x14ac:dyDescent="0.3">
      <c r="A211">
        <v>203</v>
      </c>
      <c r="B211" s="121" t="str">
        <f>D211</f>
        <v>POL 05</v>
      </c>
      <c r="C211" s="121" t="str">
        <f>B211</f>
        <v>POL 05</v>
      </c>
      <c r="D211" s="727" t="s">
        <v>188</v>
      </c>
      <c r="E211" s="725" t="s">
        <v>907</v>
      </c>
      <c r="F211" s="821">
        <v>1</v>
      </c>
      <c r="G211" s="821">
        <v>1</v>
      </c>
      <c r="H211" s="1020">
        <v>0</v>
      </c>
      <c r="I211" s="821">
        <v>1</v>
      </c>
      <c r="J211" s="821">
        <v>1</v>
      </c>
      <c r="K211" s="821">
        <v>1</v>
      </c>
      <c r="L211" s="821">
        <v>1</v>
      </c>
      <c r="M211" s="821">
        <v>1</v>
      </c>
      <c r="N211" s="821">
        <v>1</v>
      </c>
      <c r="O211" s="821">
        <v>1</v>
      </c>
      <c r="P211" s="821">
        <v>1</v>
      </c>
      <c r="Q211" s="821">
        <v>1</v>
      </c>
      <c r="R211" s="821">
        <v>1</v>
      </c>
      <c r="T211" s="831">
        <f t="shared" si="558"/>
        <v>1</v>
      </c>
      <c r="U211" s="191">
        <f>IF(ADIND_option02n=AD_no,Poeng!T211,0)</f>
        <v>0</v>
      </c>
      <c r="V211" s="908"/>
      <c r="W211" s="831"/>
      <c r="X211" s="909">
        <f>'Manuell filtrering og justering'!E90</f>
        <v>0</v>
      </c>
      <c r="Y211" s="959"/>
      <c r="Z211" s="845">
        <f>SUM(AB212:AB213)</f>
        <v>1</v>
      </c>
      <c r="AA211" s="831">
        <f t="shared" si="559"/>
        <v>0</v>
      </c>
      <c r="AB211" s="883">
        <f>SUM(AB212:AB213)</f>
        <v>1</v>
      </c>
      <c r="AD211" s="150">
        <f t="shared" si="542"/>
        <v>5.7142857142857143E-3</v>
      </c>
      <c r="AE211" s="799">
        <f>IF(SUM(AE212:AE213)&gt;$AD$211,$AD$211,SUM(AE212:AE213))</f>
        <v>0</v>
      </c>
      <c r="AF211" s="799">
        <f>IF(SUM(AF212:AF213)&gt;$AD$211,$AD$211,SUM(AF212:AF213))</f>
        <v>0</v>
      </c>
      <c r="AG211" s="799">
        <f>IF(SUM(AG212:AG213)&gt;$AD$211,$AD$211,SUM(AG212:AG213))</f>
        <v>0</v>
      </c>
      <c r="AI211" s="826">
        <f>IF(SUM(AI212:AI213)&gt;Pol05_credits,Pol05_credits,SUM(AI212:AI213))</f>
        <v>0</v>
      </c>
      <c r="AJ211" s="826">
        <f>IF(SUM(AJ212:AJ213)&gt;Pol05_credits,Pol05_credits,SUM(AJ212:AJ213))</f>
        <v>0</v>
      </c>
      <c r="AK211" s="826">
        <f>IF(SUM(AK212:AK213)&gt;Pol05_credits,Pol05_credits,SUM(AK212:AK213))</f>
        <v>0</v>
      </c>
      <c r="AL211" t="s">
        <v>425</v>
      </c>
      <c r="AM211" s="255"/>
      <c r="AN211" s="256"/>
      <c r="AO211" s="256"/>
      <c r="AP211" s="256"/>
      <c r="AQ211" s="257"/>
      <c r="AR211" s="123"/>
      <c r="AS211" s="255"/>
      <c r="AT211" s="256"/>
      <c r="AU211" s="256"/>
      <c r="AV211" s="256"/>
      <c r="AW211" s="257"/>
      <c r="AY211" s="168"/>
      <c r="AZ211" s="170"/>
      <c r="BA211" s="170"/>
      <c r="BB211" s="170"/>
      <c r="BC211" s="171">
        <f t="shared" si="543"/>
        <v>0</v>
      </c>
      <c r="BD211" s="172">
        <f t="shared" si="464"/>
        <v>9</v>
      </c>
      <c r="BE211" s="45" t="str">
        <f t="shared" si="544"/>
        <v>N/A</v>
      </c>
      <c r="BF211" s="173"/>
      <c r="BG211" s="172">
        <f>IF(BC211=0,9,IF(AJ211&gt;=BC211,5,IF(AJ211&gt;=BB211,4,IF(AJ211&gt;=BA211,3,IF(AJ211&gt;=AZ211,2,IF(AJ211&lt;AY211,0,1))))))</f>
        <v>9</v>
      </c>
      <c r="BH211" s="45" t="str">
        <f t="shared" si="545"/>
        <v>N/A</v>
      </c>
      <c r="BI211" s="173"/>
      <c r="BJ211" s="172">
        <f t="shared" si="447"/>
        <v>9</v>
      </c>
      <c r="BK211" s="45" t="str">
        <f t="shared" si="546"/>
        <v>N/A</v>
      </c>
      <c r="BL211" s="173"/>
      <c r="BO211" s="43"/>
      <c r="BP211" s="43"/>
      <c r="BQ211" s="43" t="str">
        <f t="shared" si="554"/>
        <v/>
      </c>
      <c r="BR211" s="43">
        <f t="shared" si="399"/>
        <v>9</v>
      </c>
      <c r="BS211" s="43">
        <f t="shared" si="400"/>
        <v>9</v>
      </c>
      <c r="BT211" s="43">
        <f t="shared" si="401"/>
        <v>9</v>
      </c>
      <c r="BW211" s="43" t="str">
        <f>D211</f>
        <v>POL 05</v>
      </c>
      <c r="BX211" s="43" t="str">
        <f>IFERROR(VLOOKUP($E211,'Pre-Assessment Estimator'!$F$11:$AC$226,'Pre-Assessment Estimator'!AC$2,FALSE),"")</f>
        <v>No</v>
      </c>
      <c r="BY211" s="61" t="str">
        <f>IFERROR(VLOOKUP($E211,'Pre-Assessment Estimator'!$F$11:$AJ$226,'Pre-Assessment Estimator'!AJ$2,FALSE),"")</f>
        <v>Ja</v>
      </c>
      <c r="BZ211" s="43">
        <f>IFERROR(VLOOKUP($BX211,$E$293:$H$326,F$291,FALSE),"")</f>
        <v>1</v>
      </c>
      <c r="CA211" s="590" t="s">
        <v>430</v>
      </c>
      <c r="CB211" s="43"/>
      <c r="CC211" t="str">
        <f>IFERROR(VLOOKUP($BX211,$E$293:$H$326,I$291,FALSE),"")</f>
        <v/>
      </c>
      <c r="CD211" t="s">
        <v>403</v>
      </c>
      <c r="CE211" s="43">
        <f>VLOOKUP(CA211,$CA$4:$CB$5,2,FALSE)</f>
        <v>1</v>
      </c>
      <c r="CG211" s="62">
        <f>IF($BX$5=ais_nei,CE211,IF(AND(CA211=$CA$4,BX211=$CC$4),0,BZ211))</f>
        <v>1</v>
      </c>
    </row>
    <row r="212" spans="1:85" x14ac:dyDescent="0.25">
      <c r="A212">
        <v>204</v>
      </c>
      <c r="B212" t="str">
        <f t="shared" ref="B212:B213" si="563">$D$211&amp;D212</f>
        <v>POL 05a</v>
      </c>
      <c r="C212" t="str">
        <f t="shared" si="556"/>
        <v>POL 05</v>
      </c>
      <c r="D212" s="146" t="s">
        <v>692</v>
      </c>
      <c r="E212" s="795" t="s">
        <v>905</v>
      </c>
      <c r="F212" s="668">
        <v>1</v>
      </c>
      <c r="G212" s="668">
        <v>1</v>
      </c>
      <c r="H212" s="864">
        <v>0</v>
      </c>
      <c r="I212" s="668">
        <v>1</v>
      </c>
      <c r="J212" s="668">
        <v>1</v>
      </c>
      <c r="K212" s="668">
        <v>1</v>
      </c>
      <c r="L212" s="668">
        <v>1</v>
      </c>
      <c r="M212" s="668">
        <v>1</v>
      </c>
      <c r="N212" s="668">
        <v>1</v>
      </c>
      <c r="O212" s="668">
        <v>1</v>
      </c>
      <c r="P212" s="668">
        <v>1</v>
      </c>
      <c r="Q212" s="668">
        <v>1</v>
      </c>
      <c r="R212" s="668">
        <v>1</v>
      </c>
      <c r="T212" s="148">
        <f t="shared" si="558"/>
        <v>1</v>
      </c>
      <c r="U212" s="631">
        <f>IF('Assessment Details'!F27=AD_Yes,Poeng!T212,0)</f>
        <v>0</v>
      </c>
      <c r="V212" s="910">
        <f>IF(ADIND_option02n=AD_no,T212,0)</f>
        <v>0</v>
      </c>
      <c r="W212" s="915">
        <f>IF('Assessment Details'!F27=AD_Yes,Poeng!Z212,0)</f>
        <v>0</v>
      </c>
      <c r="X212" s="912"/>
      <c r="Y212" s="148">
        <f>IF($Y$4=$Y$6,T212,0)</f>
        <v>0</v>
      </c>
      <c r="Z212" s="147">
        <f>VLOOKUP(B212,'Manuell filtrering og justering'!$A$7:$H$253,'Manuell filtrering og justering'!$H$1,FALSE)</f>
        <v>1</v>
      </c>
      <c r="AA212" s="148">
        <f t="shared" si="559"/>
        <v>0</v>
      </c>
      <c r="AB212" s="876">
        <f>IF($AC$5='Manuell filtrering og justering'!$J$2,Z212-W212,(T212-AA212))</f>
        <v>1</v>
      </c>
      <c r="AD212" s="150">
        <f t="shared" si="542"/>
        <v>5.7142857142857143E-3</v>
      </c>
      <c r="AE212" s="150">
        <f t="shared" si="548"/>
        <v>0</v>
      </c>
      <c r="AF212" s="150">
        <f t="shared" si="549"/>
        <v>0</v>
      </c>
      <c r="AG212" s="150">
        <f t="shared" si="550"/>
        <v>0</v>
      </c>
      <c r="AI212" s="151">
        <f>IF(VLOOKUP(E212,'Pre-Assessment Estimator'!$F$11:$AA$226,'Pre-Assessment Estimator'!$H$2,FALSE)&gt;AB212,AB212,VLOOKUP(E212,'Pre-Assessment Estimator'!$F$11:$AA$226,'Pre-Assessment Estimator'!$H$2,FALSE))</f>
        <v>0</v>
      </c>
      <c r="AJ212" s="151">
        <f>IF(VLOOKUP(E212,'Pre-Assessment Estimator'!$F$11:$AA$226,'Pre-Assessment Estimator'!$O$2,FALSE)&gt;AB212,AB212,VLOOKUP(E212,'Pre-Assessment Estimator'!$F$11:$AA$226,'Pre-Assessment Estimator'!$O$2,FALSE))</f>
        <v>0</v>
      </c>
      <c r="AK212" s="151">
        <f>IF(VLOOKUP(E212,'Pre-Assessment Estimator'!$F$11:$AA$226,'Pre-Assessment Estimator'!$V$2,FALSE)&gt;AB212,AB212,VLOOKUP(E212,'Pre-Assessment Estimator'!$F$11:$AA$226,'Pre-Assessment Estimator'!$V$2,FALSE))</f>
        <v>0</v>
      </c>
      <c r="AM212" s="742"/>
      <c r="AN212" s="743"/>
      <c r="AO212" s="743"/>
      <c r="AP212" s="743"/>
      <c r="AQ212" s="735"/>
      <c r="AR212" s="123"/>
      <c r="AS212" s="742"/>
      <c r="AT212" s="743"/>
      <c r="AU212" s="743"/>
      <c r="AV212" s="743"/>
      <c r="AW212" s="735"/>
      <c r="AY212" s="167"/>
      <c r="AZ212" s="48"/>
      <c r="BA212" s="48"/>
      <c r="BB212" s="48"/>
      <c r="BC212" s="744"/>
      <c r="BD212" s="160">
        <f t="shared" si="464"/>
        <v>9</v>
      </c>
      <c r="BE212" s="45" t="str">
        <f t="shared" si="544"/>
        <v>N/A</v>
      </c>
      <c r="BF212" s="163"/>
      <c r="BG212" s="160">
        <f t="shared" ref="BG212:BG213" si="564">IF(BC212=0,9,IF(AJ212&gt;=BC212,5,IF(AJ212&gt;=BB212,4,IF(AJ212&gt;=BA212,3,IF(AJ212&gt;=AZ212,2,IF(AJ212&lt;AY212,0,1))))))</f>
        <v>9</v>
      </c>
      <c r="BH212" s="45" t="str">
        <f t="shared" si="545"/>
        <v>N/A</v>
      </c>
      <c r="BI212" s="163"/>
      <c r="BJ212" s="160">
        <f t="shared" si="447"/>
        <v>9</v>
      </c>
      <c r="BK212" s="45" t="str">
        <f t="shared" si="546"/>
        <v>N/A</v>
      </c>
      <c r="BL212" s="739"/>
      <c r="BO212" s="43"/>
      <c r="BP212" s="43"/>
      <c r="BQ212" s="43" t="str">
        <f t="shared" si="554"/>
        <v/>
      </c>
      <c r="BR212" s="43">
        <f t="shared" si="399"/>
        <v>9</v>
      </c>
      <c r="BS212" s="43">
        <f t="shared" si="400"/>
        <v>9</v>
      </c>
      <c r="BT212" s="43">
        <f t="shared" si="401"/>
        <v>9</v>
      </c>
      <c r="BW212" s="63"/>
      <c r="BX212" s="63"/>
      <c r="BY212" s="745"/>
      <c r="BZ212" s="63"/>
      <c r="CA212" s="590"/>
      <c r="CB212" s="63"/>
      <c r="CG212" s="62"/>
    </row>
    <row r="213" spans="1:85" ht="15.75" thickBot="1" x14ac:dyDescent="0.3">
      <c r="A213">
        <v>205</v>
      </c>
      <c r="B213" t="str">
        <f t="shared" si="563"/>
        <v>POL 05b</v>
      </c>
      <c r="C213" t="str">
        <f t="shared" si="556"/>
        <v>POL 05</v>
      </c>
      <c r="D213" s="168" t="s">
        <v>695</v>
      </c>
      <c r="E213" s="795" t="s">
        <v>906</v>
      </c>
      <c r="F213" s="676">
        <v>1</v>
      </c>
      <c r="G213" s="676">
        <v>1</v>
      </c>
      <c r="H213" s="1019">
        <v>0</v>
      </c>
      <c r="I213" s="676">
        <v>1</v>
      </c>
      <c r="J213" s="676">
        <v>1</v>
      </c>
      <c r="K213" s="676">
        <v>1</v>
      </c>
      <c r="L213" s="676">
        <v>1</v>
      </c>
      <c r="M213" s="676">
        <v>1</v>
      </c>
      <c r="N213" s="676">
        <v>1</v>
      </c>
      <c r="O213" s="676">
        <v>1</v>
      </c>
      <c r="P213" s="676">
        <v>1</v>
      </c>
      <c r="Q213" s="676">
        <v>1</v>
      </c>
      <c r="R213" s="676">
        <v>1</v>
      </c>
      <c r="T213" s="148">
        <f t="shared" si="558"/>
        <v>1</v>
      </c>
      <c r="U213" s="191">
        <f>IF(U212=1,0,T213)</f>
        <v>1</v>
      </c>
      <c r="V213" s="910">
        <f>IF(ADIND_option02n=AD_no,T213,0)</f>
        <v>0</v>
      </c>
      <c r="W213" s="915">
        <f>IF(W212=1,0,Z213)</f>
        <v>1</v>
      </c>
      <c r="X213" s="912"/>
      <c r="Y213" s="148">
        <f>IF($Y$4=$Y$6,T213,0)</f>
        <v>0</v>
      </c>
      <c r="Z213" s="147">
        <f>VLOOKUP(B213,'Manuell filtrering og justering'!$A$7:$H$253,'Manuell filtrering og justering'!$H$1,FALSE)</f>
        <v>1</v>
      </c>
      <c r="AA213" s="148">
        <f t="shared" si="559"/>
        <v>1</v>
      </c>
      <c r="AB213" s="876">
        <f>IF($AC$5='Manuell filtrering og justering'!$J$2,Z213-W213,(T213-AA213))</f>
        <v>0</v>
      </c>
      <c r="AD213" s="150">
        <f t="shared" si="542"/>
        <v>0</v>
      </c>
      <c r="AE213" s="150">
        <f t="shared" si="548"/>
        <v>0</v>
      </c>
      <c r="AF213" s="150">
        <f t="shared" si="549"/>
        <v>0</v>
      </c>
      <c r="AG213" s="150">
        <f t="shared" si="550"/>
        <v>0</v>
      </c>
      <c r="AI213" s="151">
        <f>IF(VLOOKUP(E213,'Pre-Assessment Estimator'!$F$11:$AA$226,'Pre-Assessment Estimator'!$H$2,FALSE)&gt;AB213,AB213,VLOOKUP(E213,'Pre-Assessment Estimator'!$F$11:$AA$226,'Pre-Assessment Estimator'!$H$2,FALSE))</f>
        <v>0</v>
      </c>
      <c r="AJ213" s="151">
        <f>IF(VLOOKUP(E213,'Pre-Assessment Estimator'!$F$11:$AA$226,'Pre-Assessment Estimator'!$O$2,FALSE)&gt;AB213,AB213,VLOOKUP(E213,'Pre-Assessment Estimator'!$F$11:$AA$226,'Pre-Assessment Estimator'!$O$2,FALSE))</f>
        <v>0</v>
      </c>
      <c r="AK213" s="151">
        <f>IF(VLOOKUP(E213,'Pre-Assessment Estimator'!$F$11:$AA$226,'Pre-Assessment Estimator'!$V$2,FALSE)&gt;AB213,AB213,VLOOKUP(E213,'Pre-Assessment Estimator'!$F$11:$AA$226,'Pre-Assessment Estimator'!$V$2,FALSE))</f>
        <v>0</v>
      </c>
      <c r="AM213" s="742"/>
      <c r="AN213" s="743"/>
      <c r="AO213" s="743"/>
      <c r="AP213" s="743"/>
      <c r="AQ213" s="735"/>
      <c r="AR213" s="123"/>
      <c r="AS213" s="742"/>
      <c r="AT213" s="743"/>
      <c r="AU213" s="743"/>
      <c r="AV213" s="743"/>
      <c r="AW213" s="735"/>
      <c r="AY213" s="167"/>
      <c r="AZ213" s="48"/>
      <c r="BA213" s="48"/>
      <c r="BB213" s="48"/>
      <c r="BC213" s="744"/>
      <c r="BD213" s="160">
        <f t="shared" si="464"/>
        <v>9</v>
      </c>
      <c r="BE213" s="45" t="str">
        <f t="shared" si="544"/>
        <v>N/A</v>
      </c>
      <c r="BF213" s="163"/>
      <c r="BG213" s="160">
        <f t="shared" si="564"/>
        <v>9</v>
      </c>
      <c r="BH213" s="45" t="str">
        <f t="shared" si="545"/>
        <v>N/A</v>
      </c>
      <c r="BI213" s="163"/>
      <c r="BJ213" s="160">
        <f t="shared" si="447"/>
        <v>9</v>
      </c>
      <c r="BK213" s="45" t="str">
        <f t="shared" si="546"/>
        <v>N/A</v>
      </c>
      <c r="BL213" s="739"/>
      <c r="BO213" s="43"/>
      <c r="BP213" s="43"/>
      <c r="BQ213" s="43" t="str">
        <f t="shared" si="554"/>
        <v/>
      </c>
      <c r="BR213" s="43">
        <f t="shared" si="399"/>
        <v>9</v>
      </c>
      <c r="BS213" s="43">
        <f t="shared" si="400"/>
        <v>9</v>
      </c>
      <c r="BT213" s="43">
        <f t="shared" si="401"/>
        <v>9</v>
      </c>
      <c r="BW213" s="63"/>
      <c r="BX213" s="63"/>
      <c r="BY213" s="745"/>
      <c r="BZ213" s="63"/>
      <c r="CA213" s="590"/>
      <c r="CB213" s="63"/>
      <c r="CG213" s="62"/>
    </row>
    <row r="214" spans="1:85" ht="15.75" thickBot="1" x14ac:dyDescent="0.3">
      <c r="A214">
        <v>206</v>
      </c>
      <c r="B214" t="s">
        <v>889</v>
      </c>
      <c r="D214" s="617"/>
      <c r="E214" s="616" t="s">
        <v>213</v>
      </c>
      <c r="F214" s="673">
        <f t="shared" ref="F214:R214" si="565">F200+F204+F208+F211</f>
        <v>7</v>
      </c>
      <c r="G214" s="673">
        <f t="shared" si="565"/>
        <v>7</v>
      </c>
      <c r="H214" s="673">
        <f t="shared" si="565"/>
        <v>6</v>
      </c>
      <c r="I214" s="673">
        <f t="shared" si="565"/>
        <v>7</v>
      </c>
      <c r="J214" s="673">
        <f t="shared" si="565"/>
        <v>7</v>
      </c>
      <c r="K214" s="673">
        <f t="shared" si="565"/>
        <v>7</v>
      </c>
      <c r="L214" s="673">
        <f t="shared" si="565"/>
        <v>7</v>
      </c>
      <c r="M214" s="673">
        <f t="shared" si="565"/>
        <v>7</v>
      </c>
      <c r="N214" s="673">
        <f t="shared" si="565"/>
        <v>7</v>
      </c>
      <c r="O214" s="673">
        <f t="shared" si="565"/>
        <v>7</v>
      </c>
      <c r="P214" s="673">
        <f t="shared" si="565"/>
        <v>7</v>
      </c>
      <c r="Q214" s="673">
        <f t="shared" ref="Q214" si="566">Q200+Q204+Q208+Q211</f>
        <v>7</v>
      </c>
      <c r="R214" s="673">
        <f t="shared" si="565"/>
        <v>7</v>
      </c>
      <c r="T214" s="195">
        <f t="shared" si="558"/>
        <v>7</v>
      </c>
      <c r="U214" s="176"/>
      <c r="V214" s="178"/>
      <c r="W214" s="179"/>
      <c r="X214" s="913"/>
      <c r="Y214" s="961"/>
      <c r="Z214" s="178"/>
      <c r="AA214" s="673">
        <f>AA200+AA204+AA208+AA211</f>
        <v>0</v>
      </c>
      <c r="AB214" s="673">
        <f>AB200+AB204+AB208+AB211</f>
        <v>7</v>
      </c>
      <c r="AD214" s="180">
        <f>AD200+AD204+AD208+AD211</f>
        <v>0.04</v>
      </c>
      <c r="AE214" s="180">
        <f>AE200+AE204+AE208+AE211</f>
        <v>0</v>
      </c>
      <c r="AF214" s="180">
        <f>AF200+AF204+AF208+AF211</f>
        <v>0</v>
      </c>
      <c r="AG214" s="180">
        <f>AG200+AG204+AG208+AG211</f>
        <v>0</v>
      </c>
      <c r="AI214" s="38">
        <f>AI200+AI204+AI208+AI211</f>
        <v>0</v>
      </c>
      <c r="AJ214" s="38">
        <f>AJ200+AJ204+AJ208+AJ211</f>
        <v>0</v>
      </c>
      <c r="AK214" s="38">
        <f>AK200+AK204+AK208+AK211</f>
        <v>0</v>
      </c>
      <c r="AM214" s="123"/>
      <c r="AN214" s="123"/>
      <c r="AO214" s="123"/>
      <c r="AP214" s="123"/>
      <c r="AQ214" s="123"/>
      <c r="AR214" s="123"/>
      <c r="AS214" s="123"/>
      <c r="AT214" s="123"/>
      <c r="AU214" s="123"/>
      <c r="AV214" s="123"/>
      <c r="AW214" s="123"/>
      <c r="AZ214" s="181"/>
      <c r="BW214" s="50"/>
      <c r="BX214" s="50" t="str">
        <f>IFERROR(VLOOKUP($E214,'Pre-Assessment Estimator'!$F$11:$AC$226,'Pre-Assessment Estimator'!AC$2,FALSE),"")</f>
        <v/>
      </c>
      <c r="BY214" s="50" t="str">
        <f>IFERROR(VLOOKUP($E214,'Pre-Assessment Estimator'!$F$11:$AJ$226,'Pre-Assessment Estimator'!AJ$2,FALSE),"")</f>
        <v/>
      </c>
      <c r="BZ214" s="50" t="str">
        <f t="shared" ref="BZ214:BZ225" si="567">IFERROR(VLOOKUP($BX214,$E$293:$H$326,F$291,FALSE),"")</f>
        <v/>
      </c>
      <c r="CA214" s="50" t="str">
        <f t="shared" ref="CA214:CA225" si="568">IFERROR(VLOOKUP($BX214,$E$293:$H$326,G$291,FALSE),"")</f>
        <v/>
      </c>
      <c r="CB214" s="50"/>
      <c r="CC214" t="str">
        <f t="shared" ref="CC214:CC225" si="569">IFERROR(VLOOKUP($BX214,$E$293:$H$326,I$291,FALSE),"")</f>
        <v/>
      </c>
    </row>
    <row r="215" spans="1:85" ht="15.75" thickBot="1" x14ac:dyDescent="0.3">
      <c r="A215">
        <v>207</v>
      </c>
      <c r="AI215" s="1"/>
      <c r="AJ215" s="1"/>
      <c r="AK215" s="1"/>
      <c r="AM215" s="123"/>
      <c r="AN215" s="123"/>
      <c r="AO215" s="123"/>
      <c r="AP215" s="123"/>
      <c r="AQ215" s="123"/>
      <c r="AR215" s="123"/>
      <c r="AS215" s="123"/>
      <c r="AT215" s="123"/>
      <c r="AU215" s="123"/>
      <c r="AV215" s="123"/>
      <c r="AW215" s="123"/>
      <c r="BX215" t="str">
        <f>IFERROR(VLOOKUP($E215,'Pre-Assessment Estimator'!$F$11:$AC$226,'Pre-Assessment Estimator'!AC$2,FALSE),"")</f>
        <v/>
      </c>
      <c r="BY215" t="str">
        <f>IFERROR(VLOOKUP($E215,'Pre-Assessment Estimator'!$F$11:$AJ$226,'Pre-Assessment Estimator'!AJ$2,FALSE),"")</f>
        <v/>
      </c>
      <c r="BZ215" t="str">
        <f t="shared" si="567"/>
        <v/>
      </c>
      <c r="CA215" t="str">
        <f t="shared" si="568"/>
        <v/>
      </c>
      <c r="CC215" t="str">
        <f t="shared" si="569"/>
        <v/>
      </c>
    </row>
    <row r="216" spans="1:85" ht="60.75" thickBot="1" x14ac:dyDescent="0.3">
      <c r="A216">
        <v>208</v>
      </c>
      <c r="D216" s="132"/>
      <c r="E216" s="133" t="s">
        <v>225</v>
      </c>
      <c r="F216" s="1028" t="str">
        <f>$F$9</f>
        <v>Office</v>
      </c>
      <c r="G216" s="1028" t="str">
        <f>$G$9</f>
        <v>Retail</v>
      </c>
      <c r="H216" s="1032" t="str">
        <f>$H$9</f>
        <v>Residential</v>
      </c>
      <c r="I216" s="1028" t="str">
        <f>$I$9</f>
        <v>Industrial</v>
      </c>
      <c r="J216" s="1030" t="str">
        <f>$J$9</f>
        <v>Healthcare</v>
      </c>
      <c r="K216" s="1030" t="str">
        <f>$K$9</f>
        <v>Prison</v>
      </c>
      <c r="L216" s="1030" t="str">
        <f>$L$9</f>
        <v>Law Court</v>
      </c>
      <c r="M216" s="1034" t="str">
        <f>$M$9</f>
        <v>Residential institution (long term stay)</v>
      </c>
      <c r="N216" s="796" t="str">
        <f>$N$9</f>
        <v>Residential institution (short term stay)</v>
      </c>
      <c r="O216" s="796" t="str">
        <f>$O$9</f>
        <v>Non-residential institution</v>
      </c>
      <c r="P216" s="796" t="str">
        <f>$P$9</f>
        <v>Assembly and leisure</v>
      </c>
      <c r="Q216" s="1030" t="str">
        <f>$Q$9</f>
        <v>Education</v>
      </c>
      <c r="R216" s="747" t="str">
        <f>$R$9</f>
        <v>Other</v>
      </c>
      <c r="T216" s="122" t="str">
        <f>$E$6</f>
        <v>Office</v>
      </c>
      <c r="U216" s="182"/>
      <c r="V216" s="183"/>
      <c r="W216" s="183"/>
      <c r="X216" s="963"/>
      <c r="Y216" s="974" t="s">
        <v>411</v>
      </c>
      <c r="Z216" s="972" t="s">
        <v>334</v>
      </c>
      <c r="AA216" s="131" t="s">
        <v>213</v>
      </c>
      <c r="AB216" s="53" t="s">
        <v>14</v>
      </c>
      <c r="AI216" s="36"/>
      <c r="AJ216" s="54"/>
      <c r="AK216" s="54"/>
      <c r="AM216" s="123"/>
      <c r="AN216" s="123"/>
      <c r="AO216" s="123"/>
      <c r="AP216" s="123"/>
      <c r="AQ216" s="123"/>
      <c r="AR216" s="123"/>
      <c r="AS216" s="123"/>
      <c r="AT216" s="123"/>
      <c r="AU216" s="123"/>
      <c r="AV216" s="123"/>
      <c r="AW216" s="123"/>
      <c r="BO216" s="54"/>
      <c r="BP216" s="54"/>
      <c r="BQ216" s="54"/>
      <c r="BR216" s="54"/>
      <c r="BS216" s="54"/>
      <c r="BT216" s="54"/>
      <c r="BW216" s="47"/>
      <c r="BX216" s="47" t="str">
        <f>E216</f>
        <v>BREEAM innovation credits</v>
      </c>
      <c r="BY216" s="47" t="str">
        <f>IFERROR(VLOOKUP($E216,'Pre-Assessment Estimator'!$F$11:$AJ$226,'Pre-Assessment Estimator'!AJ$2,FALSE),"")</f>
        <v/>
      </c>
      <c r="BZ216" s="47" t="str">
        <f t="shared" si="567"/>
        <v/>
      </c>
      <c r="CA216" s="47" t="str">
        <f t="shared" si="568"/>
        <v/>
      </c>
      <c r="CB216" s="47"/>
      <c r="CC216" t="str">
        <f t="shared" si="569"/>
        <v/>
      </c>
    </row>
    <row r="217" spans="1:85" x14ac:dyDescent="0.25">
      <c r="A217">
        <v>209</v>
      </c>
      <c r="B217" t="str">
        <f>D217</f>
        <v>Inn 01</v>
      </c>
      <c r="C217" t="s">
        <v>93</v>
      </c>
      <c r="D217" s="189" t="s">
        <v>189</v>
      </c>
      <c r="E217" s="156" t="str">
        <f t="shared" ref="E217:E230" si="570">D217&amp;" - "&amp;E261</f>
        <v xml:space="preserve">Inn 01 - Man 03: Reduction of direct emissions from construction sites </v>
      </c>
      <c r="F217" s="674">
        <v>1</v>
      </c>
      <c r="G217" s="674">
        <v>1</v>
      </c>
      <c r="H217" s="674">
        <v>1</v>
      </c>
      <c r="I217" s="674">
        <v>1</v>
      </c>
      <c r="J217" s="674">
        <v>1</v>
      </c>
      <c r="K217" s="674">
        <v>1</v>
      </c>
      <c r="L217" s="674">
        <v>1</v>
      </c>
      <c r="M217" s="674">
        <v>1</v>
      </c>
      <c r="N217" s="674">
        <v>1</v>
      </c>
      <c r="O217" s="674">
        <v>1</v>
      </c>
      <c r="P217" s="674">
        <v>1</v>
      </c>
      <c r="Q217" s="675">
        <v>1</v>
      </c>
      <c r="R217" s="675">
        <v>1</v>
      </c>
      <c r="T217" s="184">
        <f t="shared" ref="T217:T231" si="571">HLOOKUP($E$6,$F$9:$R$231,$A217,FALSE)</f>
        <v>1</v>
      </c>
      <c r="U217" s="146"/>
      <c r="V217" s="43"/>
      <c r="W217" s="43"/>
      <c r="X217" s="147">
        <f>'Manuell filtrering og justering'!E94</f>
        <v>0</v>
      </c>
      <c r="Y217" s="148"/>
      <c r="Z217" s="958">
        <f>VLOOKUP(B217,'Manuell filtrering og justering'!$A$7:$H$253,'Manuell filtrering og justering'!$H$1,FALSE)</f>
        <v>1</v>
      </c>
      <c r="AA217" s="148">
        <f t="shared" ref="AA217:AA230" si="572">IF(SUM(U217:Y217)&gt;T217,T217,SUM(U217:Y217))</f>
        <v>0</v>
      </c>
      <c r="AB217" s="149">
        <f>IF($AC$5='Manuell filtrering og justering'!$J$2,Z217,(T217-AA217))</f>
        <v>1</v>
      </c>
      <c r="AD217" s="150">
        <f>(Inn_Weight/Inn_Credits)*Inn01_credits</f>
        <v>0.01</v>
      </c>
      <c r="AE217" s="150">
        <f t="shared" ref="AE217:AE230" si="573">IF(AB217=0,0,(AD217/AB217)*AI217)</f>
        <v>0</v>
      </c>
      <c r="AF217" s="150">
        <f t="shared" ref="AF217:AF230" si="574">IF(AB217=0,0,(AD217/AB217)*AJ217)</f>
        <v>0</v>
      </c>
      <c r="AG217" s="150">
        <f t="shared" ref="AG217:AG230" si="575">IF(AB217=0,0,(AD217/AB217)*AK217)</f>
        <v>0</v>
      </c>
      <c r="AI217" s="185">
        <f>IF(VLOOKUP(E217,'Pre-Assessment Estimator'!$F$11:$AA$226,'Pre-Assessment Estimator'!$H$2,FALSE)&gt;AB217,AB217,VLOOKUP(E217,'Pre-Assessment Estimator'!$F$11:$AA$226,'Pre-Assessment Estimator'!$H$2,FALSE))</f>
        <v>0</v>
      </c>
      <c r="AJ217" s="151">
        <f>IF(VLOOKUP(E217,'Pre-Assessment Estimator'!$F$11:$AA$226,'Pre-Assessment Estimator'!$O$2,FALSE)&gt;AB217,AB217,VLOOKUP(E217,'Pre-Assessment Estimator'!$F$11:$AA$226,'Pre-Assessment Estimator'!$O$2,FALSE))</f>
        <v>0</v>
      </c>
      <c r="AK217" s="151">
        <f>IF(VLOOKUP(E217,'Pre-Assessment Estimator'!$F$11:$AA$226,'Pre-Assessment Estimator'!$V$2,FALSE)&gt;AB217,AB217,VLOOKUP(E217,'Pre-Assessment Estimator'!$F$11:$AA$226,'Pre-Assessment Estimator'!$V$2,FALSE))</f>
        <v>0</v>
      </c>
      <c r="AM217" s="258"/>
      <c r="AN217" s="259"/>
      <c r="AO217" s="259"/>
      <c r="AP217" s="259"/>
      <c r="AQ217" s="624"/>
      <c r="AR217" s="123"/>
      <c r="AS217" s="258"/>
      <c r="AT217" s="259"/>
      <c r="AU217" s="259"/>
      <c r="AV217" s="259"/>
      <c r="AW217" s="260"/>
      <c r="AY217" s="189"/>
      <c r="AZ217" s="156"/>
      <c r="BA217" s="156"/>
      <c r="BB217" s="156"/>
      <c r="BC217" s="157">
        <f t="shared" si="543"/>
        <v>0</v>
      </c>
      <c r="BD217" s="153">
        <f t="shared" si="464"/>
        <v>9</v>
      </c>
      <c r="BE217" s="45" t="str">
        <f t="shared" ref="BE217:BE230" si="576">VLOOKUP(BD217,$BO$284:$BT$290,6,FALSE)</f>
        <v>N/A</v>
      </c>
      <c r="BF217" s="157"/>
      <c r="BG217" s="153">
        <f t="shared" ref="BG217:BG225" si="577">IF(BC217=0,9,IF(AJ217&gt;=BC217,5,IF(AJ217&gt;=BB217,4,IF(AJ217&gt;=BA217,3,IF(AJ217&gt;=AZ217,2,IF(AJ217&lt;AY217,0,1))))))</f>
        <v>9</v>
      </c>
      <c r="BH217" s="45" t="str">
        <f t="shared" ref="BH217:BH230" si="578">VLOOKUP(BG217,$BO$284:$BT$290,6,FALSE)</f>
        <v>N/A</v>
      </c>
      <c r="BI217" s="157"/>
      <c r="BJ217" s="153">
        <f t="shared" si="447"/>
        <v>9</v>
      </c>
      <c r="BK217" s="45" t="str">
        <f t="shared" ref="BK217:BK230" si="579">VLOOKUP(BJ217,$BO$284:$BT$290,6,FALSE)</f>
        <v>N/A</v>
      </c>
      <c r="BL217" s="157"/>
      <c r="BO217" s="43"/>
      <c r="BP217" s="43"/>
      <c r="BQ217" s="43" t="str">
        <f t="shared" si="554"/>
        <v/>
      </c>
      <c r="BR217" s="43">
        <f t="shared" si="399"/>
        <v>9</v>
      </c>
      <c r="BS217" s="43">
        <f t="shared" si="400"/>
        <v>9</v>
      </c>
      <c r="BT217" s="43">
        <f t="shared" si="401"/>
        <v>9</v>
      </c>
      <c r="BW217" s="45" t="str">
        <f t="shared" ref="BW217:BW225" si="580">D217</f>
        <v>Inn 01</v>
      </c>
      <c r="BX217" s="45" t="str">
        <f>IFERROR(VLOOKUP($E217,'Pre-Assessment Estimator'!$F$11:$AC$226,'Pre-Assessment Estimator'!AC$2,FALSE),"")</f>
        <v>N/A</v>
      </c>
      <c r="BY217" s="45">
        <f>IFERROR(VLOOKUP($E217,'Pre-Assessment Estimator'!$F$11:$AJ$226,'Pre-Assessment Estimator'!AJ$2,FALSE),"")</f>
        <v>0</v>
      </c>
      <c r="BZ217" s="45">
        <f t="shared" si="567"/>
        <v>1</v>
      </c>
      <c r="CA217" s="45">
        <f t="shared" si="568"/>
        <v>0</v>
      </c>
      <c r="CB217" s="45"/>
      <c r="CC217" t="str">
        <f t="shared" si="569"/>
        <v/>
      </c>
    </row>
    <row r="218" spans="1:85" x14ac:dyDescent="0.25">
      <c r="A218">
        <v>210</v>
      </c>
      <c r="B218" t="str">
        <f t="shared" ref="B218:B230" si="581">D218</f>
        <v>Inn 02</v>
      </c>
      <c r="C218" t="s">
        <v>116</v>
      </c>
      <c r="D218" s="146" t="s">
        <v>190</v>
      </c>
      <c r="E218" s="979" t="str">
        <f t="shared" si="570"/>
        <v xml:space="preserve">Inn 02 - Hea 01: View out, high level </v>
      </c>
      <c r="F218" s="668">
        <v>1</v>
      </c>
      <c r="G218" s="668">
        <v>1</v>
      </c>
      <c r="H218" s="668">
        <v>1</v>
      </c>
      <c r="I218" s="668">
        <v>1</v>
      </c>
      <c r="J218" s="668">
        <v>1</v>
      </c>
      <c r="K218" s="668">
        <v>1</v>
      </c>
      <c r="L218" s="668">
        <v>1</v>
      </c>
      <c r="M218" s="668">
        <v>1</v>
      </c>
      <c r="N218" s="668">
        <v>1</v>
      </c>
      <c r="O218" s="668">
        <v>1</v>
      </c>
      <c r="P218" s="668">
        <v>1</v>
      </c>
      <c r="Q218" s="669">
        <v>1</v>
      </c>
      <c r="R218" s="669">
        <v>1</v>
      </c>
      <c r="T218" s="148">
        <f t="shared" si="571"/>
        <v>1</v>
      </c>
      <c r="U218" s="146"/>
      <c r="V218" s="43"/>
      <c r="W218" s="43"/>
      <c r="X218" s="147">
        <f>'Manuell filtrering og justering'!E95</f>
        <v>0</v>
      </c>
      <c r="Y218" s="148"/>
      <c r="Z218" s="958">
        <f>VLOOKUP(B218,'Manuell filtrering og justering'!$A$7:$H$253,'Manuell filtrering og justering'!$H$1,FALSE)</f>
        <v>0</v>
      </c>
      <c r="AA218" s="148">
        <f t="shared" si="572"/>
        <v>0</v>
      </c>
      <c r="AB218" s="149">
        <f>IF($AC$5='Manuell filtrering og justering'!$J$2,Z218,(T218-AA218))</f>
        <v>1</v>
      </c>
      <c r="AD218" s="150">
        <f>(Inn_Weight/Inn_Credits)*Inn02_credits</f>
        <v>0.01</v>
      </c>
      <c r="AE218" s="150">
        <f t="shared" si="573"/>
        <v>0</v>
      </c>
      <c r="AF218" s="150">
        <f t="shared" si="574"/>
        <v>0</v>
      </c>
      <c r="AG218" s="150">
        <f t="shared" si="575"/>
        <v>0</v>
      </c>
      <c r="AI218" s="185">
        <f>IF(VLOOKUP(E218,'Pre-Assessment Estimator'!$F$11:$AA$226,'Pre-Assessment Estimator'!$H$2,FALSE)&gt;AB218,AB218,VLOOKUP(E218,'Pre-Assessment Estimator'!$F$11:$AA$226,'Pre-Assessment Estimator'!$H$2,FALSE))</f>
        <v>0</v>
      </c>
      <c r="AJ218" s="151">
        <f>IF(VLOOKUP(E218,'Pre-Assessment Estimator'!$F$11:$AA$226,'Pre-Assessment Estimator'!$O$2,FALSE)&gt;AB218,AB218,VLOOKUP(E218,'Pre-Assessment Estimator'!$F$11:$AA$226,'Pre-Assessment Estimator'!$O$2,FALSE))</f>
        <v>0</v>
      </c>
      <c r="AK218" s="151">
        <f>IF(VLOOKUP(E218,'Pre-Assessment Estimator'!$F$11:$AA$226,'Pre-Assessment Estimator'!$V$2,FALSE)&gt;AB218,AB218,VLOOKUP(E218,'Pre-Assessment Estimator'!$F$11:$AA$226,'Pre-Assessment Estimator'!$V$2,FALSE))</f>
        <v>0</v>
      </c>
      <c r="AM218" s="252"/>
      <c r="AN218" s="253"/>
      <c r="AO218" s="253"/>
      <c r="AP218" s="253"/>
      <c r="AQ218" s="625"/>
      <c r="AR218" s="123"/>
      <c r="AS218" s="252"/>
      <c r="AT218" s="253"/>
      <c r="AU218" s="253"/>
      <c r="AV218" s="253"/>
      <c r="AW218" s="254"/>
      <c r="AY218" s="146"/>
      <c r="AZ218" s="43"/>
      <c r="BA218" s="43"/>
      <c r="BB218" s="43"/>
      <c r="BC218" s="163">
        <f t="shared" si="543"/>
        <v>0</v>
      </c>
      <c r="BD218" s="160">
        <f t="shared" si="464"/>
        <v>9</v>
      </c>
      <c r="BE218" s="45" t="str">
        <f t="shared" si="576"/>
        <v>N/A</v>
      </c>
      <c r="BF218" s="163"/>
      <c r="BG218" s="160">
        <f t="shared" si="577"/>
        <v>9</v>
      </c>
      <c r="BH218" s="45" t="str">
        <f t="shared" si="578"/>
        <v>N/A</v>
      </c>
      <c r="BI218" s="163"/>
      <c r="BJ218" s="160">
        <f t="shared" si="447"/>
        <v>9</v>
      </c>
      <c r="BK218" s="45" t="str">
        <f t="shared" si="579"/>
        <v>N/A</v>
      </c>
      <c r="BL218" s="163"/>
      <c r="BO218" s="43"/>
      <c r="BP218" s="43"/>
      <c r="BQ218" s="43" t="str">
        <f t="shared" si="554"/>
        <v/>
      </c>
      <c r="BR218" s="43">
        <f t="shared" si="399"/>
        <v>9</v>
      </c>
      <c r="BS218" s="43">
        <f t="shared" si="400"/>
        <v>9</v>
      </c>
      <c r="BT218" s="43">
        <f t="shared" si="401"/>
        <v>9</v>
      </c>
      <c r="BW218" s="43" t="str">
        <f t="shared" si="580"/>
        <v>Inn 02</v>
      </c>
      <c r="BX218" s="43" t="str">
        <f>IFERROR(VLOOKUP($E218,'Pre-Assessment Estimator'!$F$11:$AC$226,'Pre-Assessment Estimator'!AC$2,FALSE),"")</f>
        <v>N/A</v>
      </c>
      <c r="BY218" s="43">
        <f>IFERROR(VLOOKUP($E218,'Pre-Assessment Estimator'!$F$11:$AJ$226,'Pre-Assessment Estimator'!AJ$2,FALSE),"")</f>
        <v>0</v>
      </c>
      <c r="BZ218" s="43">
        <f t="shared" si="567"/>
        <v>1</v>
      </c>
      <c r="CA218" s="43">
        <f t="shared" si="568"/>
        <v>0</v>
      </c>
      <c r="CB218" s="43"/>
      <c r="CC218" t="str">
        <f t="shared" si="569"/>
        <v/>
      </c>
    </row>
    <row r="219" spans="1:85" x14ac:dyDescent="0.25">
      <c r="A219">
        <v>211</v>
      </c>
      <c r="B219" t="str">
        <f t="shared" si="581"/>
        <v>Inn 03</v>
      </c>
      <c r="C219" t="s">
        <v>117</v>
      </c>
      <c r="D219" s="146" t="s">
        <v>191</v>
      </c>
      <c r="E219" s="43" t="str">
        <f t="shared" si="570"/>
        <v>Inn 03 - Hea 02: Emissions from construction products</v>
      </c>
      <c r="F219" s="668">
        <v>1</v>
      </c>
      <c r="G219" s="668">
        <v>1</v>
      </c>
      <c r="H219" s="668">
        <v>1</v>
      </c>
      <c r="I219" s="668">
        <v>1</v>
      </c>
      <c r="J219" s="668">
        <v>1</v>
      </c>
      <c r="K219" s="668">
        <v>1</v>
      </c>
      <c r="L219" s="668">
        <v>1</v>
      </c>
      <c r="M219" s="668">
        <v>1</v>
      </c>
      <c r="N219" s="668">
        <v>1</v>
      </c>
      <c r="O219" s="668">
        <v>1</v>
      </c>
      <c r="P219" s="668">
        <v>1</v>
      </c>
      <c r="Q219" s="669">
        <v>1</v>
      </c>
      <c r="R219" s="669">
        <v>1</v>
      </c>
      <c r="T219" s="148">
        <f t="shared" si="571"/>
        <v>1</v>
      </c>
      <c r="U219" s="146">
        <f>IF(Hea02_credits=0,T219,0)</f>
        <v>0</v>
      </c>
      <c r="V219" s="43"/>
      <c r="W219" s="43"/>
      <c r="X219" s="147">
        <f>'Manuell filtrering og justering'!E96</f>
        <v>0</v>
      </c>
      <c r="Y219" s="148">
        <f>IF($Y$4=$Y$6,T219,0)</f>
        <v>0</v>
      </c>
      <c r="Z219" s="958">
        <f>VLOOKUP(B219,'Manuell filtrering og justering'!$A$7:$H$253,'Manuell filtrering og justering'!$H$1,FALSE)</f>
        <v>1</v>
      </c>
      <c r="AA219" s="148">
        <f t="shared" si="572"/>
        <v>0</v>
      </c>
      <c r="AB219" s="149">
        <f>IF($AC$5='Manuell filtrering og justering'!$J$2,Z219,(T219-AA219))</f>
        <v>1</v>
      </c>
      <c r="AD219" s="150">
        <f>(Inn_Weight/Inn_Credits)*Inn03_credits</f>
        <v>0.01</v>
      </c>
      <c r="AE219" s="150">
        <f t="shared" si="573"/>
        <v>0</v>
      </c>
      <c r="AF219" s="150">
        <f t="shared" si="574"/>
        <v>0</v>
      </c>
      <c r="AG219" s="150">
        <f t="shared" si="575"/>
        <v>0</v>
      </c>
      <c r="AI219" s="185">
        <f>IF(VLOOKUP(E219,'Pre-Assessment Estimator'!$F$11:$AA$226,'Pre-Assessment Estimator'!$H$2,FALSE)&gt;AB219,AB219,VLOOKUP(E219,'Pre-Assessment Estimator'!$F$11:$AA$226,'Pre-Assessment Estimator'!$H$2,FALSE))</f>
        <v>0</v>
      </c>
      <c r="AJ219" s="151">
        <f>IF(VLOOKUP(E219,'Pre-Assessment Estimator'!$F$11:$AA$226,'Pre-Assessment Estimator'!$O$2,FALSE)&gt;AB219,AB219,VLOOKUP(E219,'Pre-Assessment Estimator'!$F$11:$AA$226,'Pre-Assessment Estimator'!$O$2,FALSE))</f>
        <v>0</v>
      </c>
      <c r="AK219" s="151">
        <f>IF(VLOOKUP(E219,'Pre-Assessment Estimator'!$F$11:$AA$226,'Pre-Assessment Estimator'!$V$2,FALSE)&gt;AB219,AB219,VLOOKUP(E219,'Pre-Assessment Estimator'!$F$11:$AA$226,'Pre-Assessment Estimator'!$V$2,FALSE))</f>
        <v>0</v>
      </c>
      <c r="AM219" s="252"/>
      <c r="AN219" s="253"/>
      <c r="AO219" s="253"/>
      <c r="AP219" s="253"/>
      <c r="AQ219" s="625"/>
      <c r="AR219" s="123"/>
      <c r="AS219" s="252"/>
      <c r="AT219" s="253"/>
      <c r="AU219" s="253"/>
      <c r="AV219" s="253"/>
      <c r="AW219" s="254"/>
      <c r="AY219" s="146"/>
      <c r="AZ219" s="43"/>
      <c r="BA219" s="43"/>
      <c r="BB219" s="43"/>
      <c r="BC219" s="163">
        <f t="shared" si="543"/>
        <v>0</v>
      </c>
      <c r="BD219" s="160">
        <f t="shared" si="464"/>
        <v>9</v>
      </c>
      <c r="BE219" s="45" t="str">
        <f t="shared" si="576"/>
        <v>N/A</v>
      </c>
      <c r="BF219" s="163"/>
      <c r="BG219" s="160">
        <f t="shared" si="577"/>
        <v>9</v>
      </c>
      <c r="BH219" s="45" t="str">
        <f t="shared" si="578"/>
        <v>N/A</v>
      </c>
      <c r="BI219" s="163"/>
      <c r="BJ219" s="160">
        <f t="shared" si="447"/>
        <v>9</v>
      </c>
      <c r="BK219" s="45" t="str">
        <f t="shared" si="579"/>
        <v>N/A</v>
      </c>
      <c r="BL219" s="163"/>
      <c r="BO219" s="43"/>
      <c r="BP219" s="43"/>
      <c r="BQ219" s="43" t="str">
        <f t="shared" si="554"/>
        <v/>
      </c>
      <c r="BR219" s="43">
        <f t="shared" si="399"/>
        <v>9</v>
      </c>
      <c r="BS219" s="43">
        <f t="shared" si="400"/>
        <v>9</v>
      </c>
      <c r="BT219" s="43">
        <f t="shared" si="401"/>
        <v>9</v>
      </c>
      <c r="BW219" s="43" t="str">
        <f t="shared" si="580"/>
        <v>Inn 03</v>
      </c>
      <c r="BX219" s="43" t="str">
        <f>IFERROR(VLOOKUP($E219,'Pre-Assessment Estimator'!$F$11:$AC$226,'Pre-Assessment Estimator'!AC$2,FALSE),"")</f>
        <v>N/A</v>
      </c>
      <c r="BY219" s="43">
        <f>IFERROR(VLOOKUP($E219,'Pre-Assessment Estimator'!$F$11:$AJ$226,'Pre-Assessment Estimator'!AJ$2,FALSE),"")</f>
        <v>0</v>
      </c>
      <c r="BZ219" s="43">
        <f t="shared" si="567"/>
        <v>1</v>
      </c>
      <c r="CA219" s="43">
        <f t="shared" si="568"/>
        <v>0</v>
      </c>
      <c r="CB219" s="43"/>
      <c r="CC219" t="str">
        <f t="shared" si="569"/>
        <v/>
      </c>
    </row>
    <row r="220" spans="1:85" x14ac:dyDescent="0.25">
      <c r="A220">
        <v>212</v>
      </c>
      <c r="B220" t="str">
        <f t="shared" si="581"/>
        <v>Inn 04</v>
      </c>
      <c r="C220" t="s">
        <v>121</v>
      </c>
      <c r="D220" s="146" t="s">
        <v>192</v>
      </c>
      <c r="E220" s="43" t="str">
        <f t="shared" si="570"/>
        <v xml:space="preserve">Inn 04 - Hea 06: Biofilik design </v>
      </c>
      <c r="F220" s="668">
        <v>1</v>
      </c>
      <c r="G220" s="668">
        <v>1</v>
      </c>
      <c r="H220" s="668">
        <v>1</v>
      </c>
      <c r="I220" s="668">
        <v>1</v>
      </c>
      <c r="J220" s="668">
        <v>1</v>
      </c>
      <c r="K220" s="668">
        <v>1</v>
      </c>
      <c r="L220" s="668">
        <v>1</v>
      </c>
      <c r="M220" s="668">
        <v>1</v>
      </c>
      <c r="N220" s="668">
        <v>1</v>
      </c>
      <c r="O220" s="668">
        <v>1</v>
      </c>
      <c r="P220" s="668">
        <v>1</v>
      </c>
      <c r="Q220" s="669">
        <v>1</v>
      </c>
      <c r="R220" s="669">
        <v>1</v>
      </c>
      <c r="T220" s="148">
        <f t="shared" si="571"/>
        <v>1</v>
      </c>
      <c r="U220" s="146"/>
      <c r="V220" s="43"/>
      <c r="W220" s="43"/>
      <c r="X220" s="147">
        <f>'Manuell filtrering og justering'!E97</f>
        <v>0</v>
      </c>
      <c r="Y220" s="148">
        <f>IF(OR($Y$4=$Y$5,$Y$4=$Y$6),T220,0)</f>
        <v>0</v>
      </c>
      <c r="Z220" s="958">
        <f>VLOOKUP(B220,'Manuell filtrering og justering'!$A$7:$H$253,'Manuell filtrering og justering'!$H$1,FALSE)</f>
        <v>1</v>
      </c>
      <c r="AA220" s="148">
        <f t="shared" si="572"/>
        <v>0</v>
      </c>
      <c r="AB220" s="149">
        <f>IF($AC$5='Manuell filtrering og justering'!$J$2,Z220,(T220-AA220))</f>
        <v>1</v>
      </c>
      <c r="AD220" s="150">
        <f>(Inn_Weight/Inn_Credits)*Inn04_credits</f>
        <v>0.01</v>
      </c>
      <c r="AE220" s="150">
        <f t="shared" si="573"/>
        <v>0</v>
      </c>
      <c r="AF220" s="150">
        <f t="shared" si="574"/>
        <v>0</v>
      </c>
      <c r="AG220" s="150">
        <f t="shared" si="575"/>
        <v>0</v>
      </c>
      <c r="AI220" s="185">
        <f>IF(VLOOKUP(E220,'Pre-Assessment Estimator'!$F$11:$AA$226,'Pre-Assessment Estimator'!$H$2,FALSE)&gt;AB220,AB220,VLOOKUP(E220,'Pre-Assessment Estimator'!$F$11:$AA$226,'Pre-Assessment Estimator'!$H$2,FALSE))</f>
        <v>0</v>
      </c>
      <c r="AJ220" s="151">
        <f>IF(VLOOKUP(E220,'Pre-Assessment Estimator'!$F$11:$AA$226,'Pre-Assessment Estimator'!$O$2,FALSE)&gt;AB220,AB220,VLOOKUP(E220,'Pre-Assessment Estimator'!$F$11:$AA$226,'Pre-Assessment Estimator'!$O$2,FALSE))</f>
        <v>0</v>
      </c>
      <c r="AK220" s="151">
        <f>IF(VLOOKUP(E220,'Pre-Assessment Estimator'!$F$11:$AA$226,'Pre-Assessment Estimator'!$V$2,FALSE)&gt;AB220,AB220,VLOOKUP(E220,'Pre-Assessment Estimator'!$F$11:$AA$226,'Pre-Assessment Estimator'!$V$2,FALSE))</f>
        <v>0</v>
      </c>
      <c r="AM220" s="252"/>
      <c r="AN220" s="253"/>
      <c r="AO220" s="253"/>
      <c r="AP220" s="253"/>
      <c r="AQ220" s="625"/>
      <c r="AR220" s="123"/>
      <c r="AS220" s="252"/>
      <c r="AT220" s="253"/>
      <c r="AU220" s="253"/>
      <c r="AV220" s="253"/>
      <c r="AW220" s="254"/>
      <c r="AY220" s="146"/>
      <c r="AZ220" s="43"/>
      <c r="BA220" s="43"/>
      <c r="BB220" s="43"/>
      <c r="BC220" s="163">
        <f t="shared" si="543"/>
        <v>0</v>
      </c>
      <c r="BD220" s="160">
        <f t="shared" si="464"/>
        <v>9</v>
      </c>
      <c r="BE220" s="45" t="str">
        <f t="shared" si="576"/>
        <v>N/A</v>
      </c>
      <c r="BF220" s="163"/>
      <c r="BG220" s="160">
        <f t="shared" si="577"/>
        <v>9</v>
      </c>
      <c r="BH220" s="45" t="str">
        <f t="shared" si="578"/>
        <v>N/A</v>
      </c>
      <c r="BI220" s="163"/>
      <c r="BJ220" s="160">
        <f t="shared" si="447"/>
        <v>9</v>
      </c>
      <c r="BK220" s="45" t="str">
        <f t="shared" si="579"/>
        <v>N/A</v>
      </c>
      <c r="BL220" s="163"/>
      <c r="BO220" s="43"/>
      <c r="BP220" s="43"/>
      <c r="BQ220" s="43" t="str">
        <f t="shared" si="554"/>
        <v/>
      </c>
      <c r="BR220" s="43">
        <f t="shared" si="399"/>
        <v>9</v>
      </c>
      <c r="BS220" s="43">
        <f t="shared" si="400"/>
        <v>9</v>
      </c>
      <c r="BT220" s="43">
        <f t="shared" si="401"/>
        <v>9</v>
      </c>
      <c r="BW220" s="43" t="str">
        <f t="shared" si="580"/>
        <v>Inn 04</v>
      </c>
      <c r="BX220" s="43" t="str">
        <f>IFERROR(VLOOKUP($E220,'Pre-Assessment Estimator'!$F$11:$AC$226,'Pre-Assessment Estimator'!AC$2,FALSE),"")</f>
        <v>N/A</v>
      </c>
      <c r="BY220" s="43">
        <f>IFERROR(VLOOKUP($E220,'Pre-Assessment Estimator'!$F$11:$AJ$226,'Pre-Assessment Estimator'!AJ$2,FALSE),"")</f>
        <v>0</v>
      </c>
      <c r="BZ220" s="43">
        <f t="shared" si="567"/>
        <v>1</v>
      </c>
      <c r="CA220" s="43">
        <f t="shared" si="568"/>
        <v>0</v>
      </c>
      <c r="CB220" s="43"/>
      <c r="CC220" t="str">
        <f t="shared" si="569"/>
        <v/>
      </c>
    </row>
    <row r="221" spans="1:85" x14ac:dyDescent="0.25">
      <c r="A221">
        <v>213</v>
      </c>
      <c r="B221" t="str">
        <f t="shared" si="581"/>
        <v>Inn 05</v>
      </c>
      <c r="C221" t="s">
        <v>134</v>
      </c>
      <c r="D221" s="146" t="s">
        <v>193</v>
      </c>
      <c r="E221" s="935" t="str">
        <f t="shared" si="570"/>
        <v xml:space="preserve">Inn 05 - Ene 01: Post-occupancy stage </v>
      </c>
      <c r="F221" s="666">
        <v>2</v>
      </c>
      <c r="G221" s="666">
        <v>2</v>
      </c>
      <c r="H221" s="666">
        <v>2</v>
      </c>
      <c r="I221" s="666">
        <v>2</v>
      </c>
      <c r="J221" s="666">
        <v>2</v>
      </c>
      <c r="K221" s="666">
        <v>2</v>
      </c>
      <c r="L221" s="666">
        <v>2</v>
      </c>
      <c r="M221" s="666">
        <v>2</v>
      </c>
      <c r="N221" s="666">
        <v>2</v>
      </c>
      <c r="O221" s="666">
        <v>2</v>
      </c>
      <c r="P221" s="666">
        <v>2</v>
      </c>
      <c r="Q221" s="667">
        <v>2</v>
      </c>
      <c r="R221" s="667">
        <v>2</v>
      </c>
      <c r="T221" s="148">
        <f t="shared" si="571"/>
        <v>2</v>
      </c>
      <c r="U221" s="146"/>
      <c r="V221" s="43"/>
      <c r="W221" s="43"/>
      <c r="X221" s="147">
        <f>'Manuell filtrering og justering'!E98</f>
        <v>0</v>
      </c>
      <c r="Y221" s="148">
        <f>IF($Y$4=$Y$6,T221,0)</f>
        <v>0</v>
      </c>
      <c r="Z221" s="958">
        <f>VLOOKUP(B221,'Manuell filtrering og justering'!$A$7:$H$253,'Manuell filtrering og justering'!$H$1,FALSE)</f>
        <v>4</v>
      </c>
      <c r="AA221" s="148">
        <f t="shared" si="572"/>
        <v>0</v>
      </c>
      <c r="AB221" s="149">
        <f>IF($AC$5='Manuell filtrering og justering'!$J$2,Z221,(T221-AA221))</f>
        <v>2</v>
      </c>
      <c r="AD221" s="150">
        <f>(Inn_Weight/Inn_Credits)*Inn05_credits</f>
        <v>0.02</v>
      </c>
      <c r="AE221" s="150">
        <f t="shared" si="573"/>
        <v>0</v>
      </c>
      <c r="AF221" s="150">
        <f t="shared" si="574"/>
        <v>0</v>
      </c>
      <c r="AG221" s="150">
        <f t="shared" si="575"/>
        <v>0</v>
      </c>
      <c r="AI221" s="887">
        <f>IF(OR(AI74&lt;&gt;AB74,Ene02_user&lt;&gt;Ene02_credits),0,IF(VLOOKUP(E221,'Pre-Assessment Estimator'!$F$11:$AA$226,'Pre-Assessment Estimator'!$H$2,FALSE)&gt;AB221,AB221,VLOOKUP(E221,'Pre-Assessment Estimator'!$F$11:$AA$226,'Pre-Assessment Estimator'!$H$2,FALSE)))</f>
        <v>0</v>
      </c>
      <c r="AJ221" s="884">
        <f>IF(OR(AJ74&lt;&gt;AB74,AJ75&lt;&gt;Ene02_credits),0,IF(VLOOKUP(E221,'Pre-Assessment Estimator'!$F$11:$AA$226,'Pre-Assessment Estimator'!$O$2,FALSE)&gt;AB221,AB221,VLOOKUP(E221,'Pre-Assessment Estimator'!$F$11:$AA$226,'Pre-Assessment Estimator'!$O$2,FALSE)))</f>
        <v>0</v>
      </c>
      <c r="AK221" s="884">
        <f>IF(OR(AK74&lt;&gt;AB74,AK75&lt;&gt;Ene02_credits),0,IF(VLOOKUP(E221,'Pre-Assessment Estimator'!$F$11:$AA$226,'Pre-Assessment Estimator'!$V$2,FALSE)&gt;AB221,AB221,VLOOKUP(E221,'Pre-Assessment Estimator'!$F$11:$AA$226,'Pre-Assessment Estimator'!$V$2,FALSE)))</f>
        <v>0</v>
      </c>
      <c r="AM221" s="252"/>
      <c r="AN221" s="253"/>
      <c r="AO221" s="253"/>
      <c r="AP221" s="253"/>
      <c r="AQ221" s="625"/>
      <c r="AR221" s="123"/>
      <c r="AS221" s="252"/>
      <c r="AT221" s="253"/>
      <c r="AU221" s="253"/>
      <c r="AV221" s="253"/>
      <c r="AW221" s="254"/>
      <c r="AY221" s="146"/>
      <c r="AZ221" s="43"/>
      <c r="BA221" s="43"/>
      <c r="BB221" s="43"/>
      <c r="BC221" s="163">
        <f t="shared" si="543"/>
        <v>0</v>
      </c>
      <c r="BD221" s="160">
        <f t="shared" si="464"/>
        <v>9</v>
      </c>
      <c r="BE221" s="45" t="str">
        <f t="shared" si="576"/>
        <v>N/A</v>
      </c>
      <c r="BF221" s="163"/>
      <c r="BG221" s="160">
        <f t="shared" si="577"/>
        <v>9</v>
      </c>
      <c r="BH221" s="45" t="str">
        <f t="shared" si="578"/>
        <v>N/A</v>
      </c>
      <c r="BI221" s="163"/>
      <c r="BJ221" s="160">
        <f t="shared" si="447"/>
        <v>9</v>
      </c>
      <c r="BK221" s="45" t="str">
        <f t="shared" si="579"/>
        <v>N/A</v>
      </c>
      <c r="BL221" s="163"/>
      <c r="BO221" s="43"/>
      <c r="BP221" s="43"/>
      <c r="BQ221" s="43" t="str">
        <f t="shared" si="554"/>
        <v/>
      </c>
      <c r="BR221" s="43">
        <f t="shared" si="399"/>
        <v>9</v>
      </c>
      <c r="BS221" s="43">
        <f t="shared" si="400"/>
        <v>9</v>
      </c>
      <c r="BT221" s="43">
        <f t="shared" si="401"/>
        <v>9</v>
      </c>
      <c r="BW221" s="43" t="str">
        <f t="shared" si="580"/>
        <v>Inn 05</v>
      </c>
      <c r="BX221" s="43" t="str">
        <f>IFERROR(VLOOKUP($E221,'Pre-Assessment Estimator'!$F$11:$AC$226,'Pre-Assessment Estimator'!AC$2,FALSE),"")</f>
        <v>N/A</v>
      </c>
      <c r="BY221" s="43">
        <f>IFERROR(VLOOKUP($E221,'Pre-Assessment Estimator'!$F$11:$AJ$226,'Pre-Assessment Estimator'!AJ$2,FALSE),"")</f>
        <v>0</v>
      </c>
      <c r="BZ221" s="43">
        <f t="shared" si="567"/>
        <v>1</v>
      </c>
      <c r="CA221" s="43">
        <f t="shared" si="568"/>
        <v>0</v>
      </c>
      <c r="CB221" s="43"/>
      <c r="CC221" t="str">
        <f t="shared" si="569"/>
        <v/>
      </c>
    </row>
    <row r="222" spans="1:85" x14ac:dyDescent="0.25">
      <c r="A222">
        <v>214</v>
      </c>
      <c r="B222" t="str">
        <f t="shared" si="581"/>
        <v>Inn 06</v>
      </c>
      <c r="C222" t="s">
        <v>134</v>
      </c>
      <c r="D222" s="146" t="s">
        <v>194</v>
      </c>
      <c r="E222" s="935" t="str">
        <f t="shared" si="570"/>
        <v xml:space="preserve">Inn 06 - Ene 01: Plus house </v>
      </c>
      <c r="F222" s="666">
        <v>1</v>
      </c>
      <c r="G222" s="666">
        <v>1</v>
      </c>
      <c r="H222" s="666">
        <v>1</v>
      </c>
      <c r="I222" s="666">
        <v>1</v>
      </c>
      <c r="J222" s="666">
        <v>1</v>
      </c>
      <c r="K222" s="666">
        <v>1</v>
      </c>
      <c r="L222" s="666">
        <v>1</v>
      </c>
      <c r="M222" s="666">
        <v>1</v>
      </c>
      <c r="N222" s="666">
        <v>1</v>
      </c>
      <c r="O222" s="666">
        <v>1</v>
      </c>
      <c r="P222" s="666">
        <v>1</v>
      </c>
      <c r="Q222" s="667">
        <v>1</v>
      </c>
      <c r="R222" s="667">
        <v>1</v>
      </c>
      <c r="T222" s="148">
        <f t="shared" si="571"/>
        <v>1</v>
      </c>
      <c r="U222" s="146"/>
      <c r="V222" s="43"/>
      <c r="W222" s="43"/>
      <c r="X222" s="147">
        <f>'Manuell filtrering og justering'!E99</f>
        <v>0</v>
      </c>
      <c r="Y222" s="148">
        <f>IF($Y$4=$Y$6,T222,0)</f>
        <v>0</v>
      </c>
      <c r="Z222" s="958">
        <f>VLOOKUP(B222,'Manuell filtrering og justering'!$A$7:$H$253,'Manuell filtrering og justering'!$H$1,FALSE)</f>
        <v>1</v>
      </c>
      <c r="AA222" s="148">
        <f t="shared" si="572"/>
        <v>0</v>
      </c>
      <c r="AB222" s="149">
        <f>IF($AC$5='Manuell filtrering og justering'!$J$2,Z222,(T222-AA222))</f>
        <v>1</v>
      </c>
      <c r="AD222" s="150">
        <f>(Inn_Weight/Inn_Credits)*Inn06_credits</f>
        <v>0.01</v>
      </c>
      <c r="AE222" s="150">
        <f t="shared" si="573"/>
        <v>0</v>
      </c>
      <c r="AF222" s="150">
        <f t="shared" si="574"/>
        <v>0</v>
      </c>
      <c r="AG222" s="150">
        <f t="shared" si="575"/>
        <v>0</v>
      </c>
      <c r="AI222" s="185">
        <f>IF(VLOOKUP(E222,'Pre-Assessment Estimator'!$F$11:$AA$226,'Pre-Assessment Estimator'!$H$2,FALSE)&gt;AB222,AB222,VLOOKUP(E222,'Pre-Assessment Estimator'!$F$11:$AA$226,'Pre-Assessment Estimator'!$H$2,FALSE))</f>
        <v>0</v>
      </c>
      <c r="AJ222" s="151">
        <f>IF(VLOOKUP(E222,'Pre-Assessment Estimator'!$F$11:$AA$226,'Pre-Assessment Estimator'!$O$2,FALSE)&gt;AB222,AB222,VLOOKUP(E222,'Pre-Assessment Estimator'!$F$11:$AA$226,'Pre-Assessment Estimator'!$O$2,FALSE))</f>
        <v>0</v>
      </c>
      <c r="AK222" s="151">
        <f>IF(VLOOKUP(E222,'Pre-Assessment Estimator'!$F$11:$AA$226,'Pre-Assessment Estimator'!$V$2,FALSE)&gt;AB222,AB222,VLOOKUP(E222,'Pre-Assessment Estimator'!$F$11:$AA$226,'Pre-Assessment Estimator'!$V$2,FALSE))</f>
        <v>0</v>
      </c>
      <c r="AM222" s="252"/>
      <c r="AN222" s="253"/>
      <c r="AO222" s="253"/>
      <c r="AP222" s="253"/>
      <c r="AQ222" s="625"/>
      <c r="AR222" s="123"/>
      <c r="AS222" s="252"/>
      <c r="AT222" s="253"/>
      <c r="AU222" s="253"/>
      <c r="AV222" s="253"/>
      <c r="AW222" s="254"/>
      <c r="AY222" s="146"/>
      <c r="AZ222" s="43"/>
      <c r="BA222" s="43"/>
      <c r="BB222" s="43"/>
      <c r="BC222" s="163">
        <f t="shared" si="543"/>
        <v>0</v>
      </c>
      <c r="BD222" s="160">
        <f t="shared" si="464"/>
        <v>9</v>
      </c>
      <c r="BE222" s="45" t="str">
        <f t="shared" si="576"/>
        <v>N/A</v>
      </c>
      <c r="BF222" s="163"/>
      <c r="BG222" s="160">
        <f t="shared" si="577"/>
        <v>9</v>
      </c>
      <c r="BH222" s="45" t="str">
        <f t="shared" si="578"/>
        <v>N/A</v>
      </c>
      <c r="BI222" s="163"/>
      <c r="BJ222" s="160">
        <f t="shared" si="447"/>
        <v>9</v>
      </c>
      <c r="BK222" s="45" t="str">
        <f t="shared" si="579"/>
        <v>N/A</v>
      </c>
      <c r="BL222" s="163"/>
      <c r="BO222" s="43"/>
      <c r="BP222" s="43"/>
      <c r="BQ222" s="43" t="str">
        <f t="shared" si="554"/>
        <v/>
      </c>
      <c r="BR222" s="43">
        <f t="shared" si="399"/>
        <v>9</v>
      </c>
      <c r="BS222" s="43">
        <f t="shared" si="400"/>
        <v>9</v>
      </c>
      <c r="BT222" s="43">
        <f t="shared" si="401"/>
        <v>9</v>
      </c>
      <c r="BW222" s="43" t="str">
        <f t="shared" si="580"/>
        <v>Inn 06</v>
      </c>
      <c r="BX222" s="43" t="str">
        <f>IFERROR(VLOOKUP($E222,'Pre-Assessment Estimator'!$F$11:$AC$226,'Pre-Assessment Estimator'!AC$2,FALSE),"")</f>
        <v>N/A</v>
      </c>
      <c r="BY222" s="43">
        <f>IFERROR(VLOOKUP($E222,'Pre-Assessment Estimator'!$F$11:$AJ$226,'Pre-Assessment Estimator'!AJ$2,FALSE),"")</f>
        <v>0</v>
      </c>
      <c r="BZ222" s="43">
        <f t="shared" si="567"/>
        <v>1</v>
      </c>
      <c r="CA222" s="43">
        <f t="shared" si="568"/>
        <v>0</v>
      </c>
      <c r="CB222" s="43"/>
      <c r="CC222" t="str">
        <f t="shared" si="569"/>
        <v/>
      </c>
    </row>
    <row r="223" spans="1:85" x14ac:dyDescent="0.25">
      <c r="A223">
        <v>215</v>
      </c>
      <c r="B223" t="str">
        <f t="shared" si="581"/>
        <v>Inn 07</v>
      </c>
      <c r="C223" t="s">
        <v>168</v>
      </c>
      <c r="D223" s="146" t="s">
        <v>195</v>
      </c>
      <c r="E223" s="43" t="str">
        <f t="shared" si="570"/>
        <v>Inn 07 - Wat 01: Highly water efficient components</v>
      </c>
      <c r="F223" s="668">
        <v>1</v>
      </c>
      <c r="G223" s="668">
        <v>1</v>
      </c>
      <c r="H223" s="668">
        <v>1</v>
      </c>
      <c r="I223" s="668">
        <v>1</v>
      </c>
      <c r="J223" s="668">
        <v>1</v>
      </c>
      <c r="K223" s="668">
        <v>1</v>
      </c>
      <c r="L223" s="668">
        <v>1</v>
      </c>
      <c r="M223" s="668">
        <v>1</v>
      </c>
      <c r="N223" s="668">
        <v>1</v>
      </c>
      <c r="O223" s="668">
        <v>1</v>
      </c>
      <c r="P223" s="668">
        <v>1</v>
      </c>
      <c r="Q223" s="669">
        <v>1</v>
      </c>
      <c r="R223" s="669">
        <v>1</v>
      </c>
      <c r="T223" s="148">
        <f t="shared" si="571"/>
        <v>1</v>
      </c>
      <c r="U223" s="146"/>
      <c r="V223" s="43"/>
      <c r="W223" s="43"/>
      <c r="X223" s="147">
        <f>'Manuell filtrering og justering'!E100</f>
        <v>0</v>
      </c>
      <c r="Y223" s="148"/>
      <c r="Z223" s="958">
        <f>VLOOKUP(B223,'Manuell filtrering og justering'!$A$7:$H$253,'Manuell filtrering og justering'!$H$1,FALSE)</f>
        <v>1</v>
      </c>
      <c r="AA223" s="148">
        <f t="shared" si="572"/>
        <v>0</v>
      </c>
      <c r="AB223" s="149">
        <f>IF($AC$5='Manuell filtrering og justering'!$J$2,Z223,(T223-AA223))</f>
        <v>1</v>
      </c>
      <c r="AD223" s="150">
        <f>(Inn_Weight/Inn_Credits)*Inn07_credits</f>
        <v>0.01</v>
      </c>
      <c r="AE223" s="150">
        <f t="shared" si="573"/>
        <v>0</v>
      </c>
      <c r="AF223" s="150">
        <f t="shared" si="574"/>
        <v>0</v>
      </c>
      <c r="AG223" s="150">
        <f t="shared" si="575"/>
        <v>0</v>
      </c>
      <c r="AI223" s="185">
        <f>IF(VLOOKUP(E223,'Pre-Assessment Estimator'!$F$11:$AA$226,'Pre-Assessment Estimator'!$H$2,FALSE)&gt;AB223,AB223,VLOOKUP(E223,'Pre-Assessment Estimator'!$F$11:$AA$226,'Pre-Assessment Estimator'!$H$2,FALSE))</f>
        <v>0</v>
      </c>
      <c r="AJ223" s="151">
        <f>IF(VLOOKUP(E223,'Pre-Assessment Estimator'!$F$11:$AA$226,'Pre-Assessment Estimator'!$O$2,FALSE)&gt;AB223,AB223,VLOOKUP(E223,'Pre-Assessment Estimator'!$F$11:$AA$226,'Pre-Assessment Estimator'!$O$2,FALSE))</f>
        <v>0</v>
      </c>
      <c r="AK223" s="151">
        <f>IF(VLOOKUP(E223,'Pre-Assessment Estimator'!$F$11:$AA$226,'Pre-Assessment Estimator'!$V$2,FALSE)&gt;AB223,AB223,VLOOKUP(E223,'Pre-Assessment Estimator'!$F$11:$AA$226,'Pre-Assessment Estimator'!$V$2,FALSE))</f>
        <v>0</v>
      </c>
      <c r="AM223" s="252"/>
      <c r="AN223" s="253"/>
      <c r="AO223" s="253"/>
      <c r="AP223" s="253"/>
      <c r="AQ223" s="625"/>
      <c r="AR223" s="123"/>
      <c r="AS223" s="252"/>
      <c r="AT223" s="253"/>
      <c r="AU223" s="253"/>
      <c r="AV223" s="253"/>
      <c r="AW223" s="254"/>
      <c r="AY223" s="146"/>
      <c r="AZ223" s="43"/>
      <c r="BA223" s="43"/>
      <c r="BB223" s="43"/>
      <c r="BC223" s="163">
        <f t="shared" si="543"/>
        <v>0</v>
      </c>
      <c r="BD223" s="160">
        <f t="shared" si="464"/>
        <v>9</v>
      </c>
      <c r="BE223" s="45" t="str">
        <f t="shared" si="576"/>
        <v>N/A</v>
      </c>
      <c r="BF223" s="163"/>
      <c r="BG223" s="160">
        <f t="shared" si="577"/>
        <v>9</v>
      </c>
      <c r="BH223" s="45" t="str">
        <f t="shared" si="578"/>
        <v>N/A</v>
      </c>
      <c r="BI223" s="163"/>
      <c r="BJ223" s="160">
        <f t="shared" si="447"/>
        <v>9</v>
      </c>
      <c r="BK223" s="45" t="str">
        <f t="shared" si="579"/>
        <v>N/A</v>
      </c>
      <c r="BL223" s="163"/>
      <c r="BO223" s="43"/>
      <c r="BP223" s="43"/>
      <c r="BQ223" s="43" t="str">
        <f t="shared" si="554"/>
        <v/>
      </c>
      <c r="BR223" s="43">
        <f t="shared" ref="BR223:BR230" si="582">IF(BQ223="",9,(IF(AI223&gt;=BQ223,5,0)))</f>
        <v>9</v>
      </c>
      <c r="BS223" s="43">
        <f t="shared" ref="BS223:BS230" si="583">IF(BQ223="",9,(IF(AJ223&gt;=BQ223,5,0)))</f>
        <v>9</v>
      </c>
      <c r="BT223" s="43">
        <f t="shared" ref="BT223:BT230" si="584">IF(BQ223="",9,(IF(AK223&gt;=BQ223,5,0)))</f>
        <v>9</v>
      </c>
      <c r="BW223" s="43" t="str">
        <f t="shared" si="580"/>
        <v>Inn 07</v>
      </c>
      <c r="BX223" s="43" t="str">
        <f>IFERROR(VLOOKUP($E223,'Pre-Assessment Estimator'!$F$11:$AC$226,'Pre-Assessment Estimator'!AC$2,FALSE),"")</f>
        <v>N/A</v>
      </c>
      <c r="BY223" s="43">
        <f>IFERROR(VLOOKUP($E223,'Pre-Assessment Estimator'!$F$11:$AJ$226,'Pre-Assessment Estimator'!AJ$2,FALSE),"")</f>
        <v>0</v>
      </c>
      <c r="BZ223" s="43">
        <f t="shared" si="567"/>
        <v>1</v>
      </c>
      <c r="CA223" s="43">
        <f t="shared" si="568"/>
        <v>0</v>
      </c>
      <c r="CB223" s="43"/>
      <c r="CC223" t="str">
        <f t="shared" si="569"/>
        <v/>
      </c>
    </row>
    <row r="224" spans="1:85" x14ac:dyDescent="0.25">
      <c r="A224">
        <v>216</v>
      </c>
      <c r="B224" t="str">
        <f t="shared" si="581"/>
        <v>Inn 08</v>
      </c>
      <c r="C224" t="s">
        <v>172</v>
      </c>
      <c r="D224" s="146" t="s">
        <v>223</v>
      </c>
      <c r="E224" s="43" t="str">
        <f t="shared" si="570"/>
        <v xml:space="preserve">Inn 08 - Mat 01: 60% reduction of greenhouse gas emission </v>
      </c>
      <c r="F224" s="668">
        <v>1</v>
      </c>
      <c r="G224" s="668">
        <v>1</v>
      </c>
      <c r="H224" s="668">
        <v>1</v>
      </c>
      <c r="I224" s="668">
        <v>1</v>
      </c>
      <c r="J224" s="668">
        <v>1</v>
      </c>
      <c r="K224" s="668">
        <v>1</v>
      </c>
      <c r="L224" s="668">
        <v>1</v>
      </c>
      <c r="M224" s="668">
        <v>1</v>
      </c>
      <c r="N224" s="668">
        <v>1</v>
      </c>
      <c r="O224" s="668">
        <v>1</v>
      </c>
      <c r="P224" s="668">
        <v>1</v>
      </c>
      <c r="Q224" s="669">
        <v>1</v>
      </c>
      <c r="R224" s="669">
        <v>1</v>
      </c>
      <c r="T224" s="148">
        <f t="shared" si="571"/>
        <v>1</v>
      </c>
      <c r="U224" s="146"/>
      <c r="V224" s="43"/>
      <c r="W224" s="43"/>
      <c r="X224" s="147">
        <f>'Manuell filtrering og justering'!E101</f>
        <v>0</v>
      </c>
      <c r="Y224" s="148"/>
      <c r="Z224" s="958">
        <f>VLOOKUP(B224,'Manuell filtrering og justering'!$A$7:$H$253,'Manuell filtrering og justering'!$H$1,FALSE)</f>
        <v>1</v>
      </c>
      <c r="AA224" s="148">
        <f t="shared" si="572"/>
        <v>0</v>
      </c>
      <c r="AB224" s="149">
        <f>IF($AC$5='Manuell filtrering og justering'!$J$2,Z224,(T224-AA224))</f>
        <v>1</v>
      </c>
      <c r="AD224" s="150">
        <f>(Inn_Weight/Inn_Credits)*Inn08_credits</f>
        <v>0.01</v>
      </c>
      <c r="AE224" s="150">
        <f t="shared" si="573"/>
        <v>0</v>
      </c>
      <c r="AF224" s="150">
        <f t="shared" si="574"/>
        <v>0</v>
      </c>
      <c r="AG224" s="150">
        <f t="shared" si="575"/>
        <v>0</v>
      </c>
      <c r="AI224" s="185">
        <f>IF(VLOOKUP(E224,'Pre-Assessment Estimator'!$F$11:$AA$226,'Pre-Assessment Estimator'!$H$2,FALSE)&gt;AB224,AB224,VLOOKUP(E224,'Pre-Assessment Estimator'!$F$11:$AA$226,'Pre-Assessment Estimator'!$H$2,FALSE))</f>
        <v>0</v>
      </c>
      <c r="AJ224" s="151">
        <f>IF(VLOOKUP(E224,'Pre-Assessment Estimator'!$F$11:$AA$226,'Pre-Assessment Estimator'!$O$2,FALSE)&gt;AB224,AB224,VLOOKUP(E224,'Pre-Assessment Estimator'!$F$11:$AA$226,'Pre-Assessment Estimator'!$O$2,FALSE))</f>
        <v>0</v>
      </c>
      <c r="AK224" s="151">
        <f>IF(VLOOKUP(E224,'Pre-Assessment Estimator'!$F$11:$AA$226,'Pre-Assessment Estimator'!$V$2,FALSE)&gt;AB224,AB224,VLOOKUP(E224,'Pre-Assessment Estimator'!$F$11:$AA$226,'Pre-Assessment Estimator'!$V$2,FALSE))</f>
        <v>0</v>
      </c>
      <c r="AM224" s="252"/>
      <c r="AN224" s="253"/>
      <c r="AO224" s="253"/>
      <c r="AP224" s="253"/>
      <c r="AQ224" s="625"/>
      <c r="AR224" s="123"/>
      <c r="AS224" s="252"/>
      <c r="AT224" s="253"/>
      <c r="AU224" s="253"/>
      <c r="AV224" s="253"/>
      <c r="AW224" s="254"/>
      <c r="AY224" s="146"/>
      <c r="AZ224" s="43"/>
      <c r="BA224" s="43"/>
      <c r="BB224" s="43"/>
      <c r="BC224" s="163">
        <f>IF($E$6=$H$9,AW224,AQ224)</f>
        <v>0</v>
      </c>
      <c r="BD224" s="160">
        <f t="shared" si="464"/>
        <v>9</v>
      </c>
      <c r="BE224" s="45" t="str">
        <f t="shared" si="576"/>
        <v>N/A</v>
      </c>
      <c r="BF224" s="163"/>
      <c r="BG224" s="160">
        <f t="shared" si="577"/>
        <v>9</v>
      </c>
      <c r="BH224" s="45" t="str">
        <f t="shared" si="578"/>
        <v>N/A</v>
      </c>
      <c r="BI224" s="163"/>
      <c r="BJ224" s="160">
        <f t="shared" si="447"/>
        <v>9</v>
      </c>
      <c r="BK224" s="45" t="str">
        <f t="shared" si="579"/>
        <v>N/A</v>
      </c>
      <c r="BL224" s="163"/>
      <c r="BO224" s="43"/>
      <c r="BP224" s="43"/>
      <c r="BQ224" s="43" t="str">
        <f t="shared" si="554"/>
        <v/>
      </c>
      <c r="BR224" s="43">
        <f t="shared" si="582"/>
        <v>9</v>
      </c>
      <c r="BS224" s="43">
        <f t="shared" si="583"/>
        <v>9</v>
      </c>
      <c r="BT224" s="43">
        <f t="shared" si="584"/>
        <v>9</v>
      </c>
      <c r="BW224" s="43" t="str">
        <f t="shared" si="580"/>
        <v>Inn 08</v>
      </c>
      <c r="BX224" s="43" t="str">
        <f>IFERROR(VLOOKUP($E224,'Pre-Assessment Estimator'!$F$11:$AC$226,'Pre-Assessment Estimator'!AC$2,FALSE),"")</f>
        <v>N/A</v>
      </c>
      <c r="BY224" s="43">
        <f>IFERROR(VLOOKUP($E224,'Pre-Assessment Estimator'!$F$11:$AJ$226,'Pre-Assessment Estimator'!AJ$2,FALSE),"")</f>
        <v>0</v>
      </c>
      <c r="BZ224" s="43">
        <f t="shared" si="567"/>
        <v>1</v>
      </c>
      <c r="CA224" s="43">
        <f t="shared" si="568"/>
        <v>0</v>
      </c>
      <c r="CB224" s="43"/>
      <c r="CC224" t="str">
        <f t="shared" si="569"/>
        <v/>
      </c>
    </row>
    <row r="225" spans="1:81" x14ac:dyDescent="0.25">
      <c r="A225">
        <v>217</v>
      </c>
      <c r="B225" t="str">
        <f t="shared" si="581"/>
        <v>Inn 09</v>
      </c>
      <c r="C225" t="s">
        <v>175</v>
      </c>
      <c r="D225" s="146" t="s">
        <v>253</v>
      </c>
      <c r="E225" s="43" t="str">
        <f t="shared" si="570"/>
        <v>Inn 09 - Mat 06: FutureBuilt criteria set for circular buildings, point 2.3 reuse of building components</v>
      </c>
      <c r="F225" s="668">
        <v>1</v>
      </c>
      <c r="G225" s="668">
        <v>1</v>
      </c>
      <c r="H225" s="668">
        <v>1</v>
      </c>
      <c r="I225" s="668">
        <v>1</v>
      </c>
      <c r="J225" s="668">
        <v>1</v>
      </c>
      <c r="K225" s="668">
        <v>1</v>
      </c>
      <c r="L225" s="668">
        <v>1</v>
      </c>
      <c r="M225" s="668">
        <v>1</v>
      </c>
      <c r="N225" s="668">
        <v>1</v>
      </c>
      <c r="O225" s="668">
        <v>1</v>
      </c>
      <c r="P225" s="668">
        <v>1</v>
      </c>
      <c r="Q225" s="669">
        <v>1</v>
      </c>
      <c r="R225" s="669">
        <v>1</v>
      </c>
      <c r="T225" s="148">
        <f t="shared" si="571"/>
        <v>1</v>
      </c>
      <c r="U225" s="167"/>
      <c r="V225" s="48"/>
      <c r="W225" s="48"/>
      <c r="X225" s="147">
        <f>'Manuell filtrering og justering'!E102</f>
        <v>0</v>
      </c>
      <c r="Y225" s="148"/>
      <c r="Z225" s="958">
        <f>VLOOKUP(B225,'Manuell filtrering og justering'!$A$7:$H$253,'Manuell filtrering og justering'!$H$1,FALSE)</f>
        <v>1</v>
      </c>
      <c r="AA225" s="148">
        <f t="shared" si="572"/>
        <v>0</v>
      </c>
      <c r="AB225" s="149">
        <f>IF($AC$5='Manuell filtrering og justering'!$J$2,Z225,(T225-AA225))</f>
        <v>1</v>
      </c>
      <c r="AD225" s="150">
        <f>(Inn_Weight/Inn_Credits)*Inn09_credits</f>
        <v>0.01</v>
      </c>
      <c r="AE225" s="150">
        <f t="shared" si="573"/>
        <v>0</v>
      </c>
      <c r="AF225" s="150">
        <f t="shared" si="574"/>
        <v>0</v>
      </c>
      <c r="AG225" s="150">
        <f t="shared" si="575"/>
        <v>0</v>
      </c>
      <c r="AI225" s="185">
        <f>IF(VLOOKUP(E225,'Pre-Assessment Estimator'!$F$11:$AA$226,'Pre-Assessment Estimator'!$H$2,FALSE)&gt;AB225,AB225,VLOOKUP(E225,'Pre-Assessment Estimator'!$F$11:$AA$226,'Pre-Assessment Estimator'!$H$2,FALSE))</f>
        <v>0</v>
      </c>
      <c r="AJ225" s="151">
        <f>IF(VLOOKUP(E225,'Pre-Assessment Estimator'!$F$11:$AA$226,'Pre-Assessment Estimator'!$O$2,FALSE)&gt;AB225,AB225,VLOOKUP(E225,'Pre-Assessment Estimator'!$F$11:$AA$226,'Pre-Assessment Estimator'!$O$2,FALSE))</f>
        <v>0</v>
      </c>
      <c r="AK225" s="151">
        <f>IF(VLOOKUP(E225,'Pre-Assessment Estimator'!$F$11:$AA$226,'Pre-Assessment Estimator'!$V$2,FALSE)&gt;AB225,AB225,VLOOKUP(E225,'Pre-Assessment Estimator'!$F$11:$AA$226,'Pre-Assessment Estimator'!$V$2,FALSE))</f>
        <v>0</v>
      </c>
      <c r="AM225" s="252"/>
      <c r="AN225" s="253"/>
      <c r="AO225" s="253"/>
      <c r="AP225" s="253"/>
      <c r="AQ225" s="625"/>
      <c r="AR225" s="123"/>
      <c r="AS225" s="252"/>
      <c r="AT225" s="253"/>
      <c r="AU225" s="253"/>
      <c r="AV225" s="253"/>
      <c r="AW225" s="254"/>
      <c r="AY225" s="146"/>
      <c r="AZ225" s="43"/>
      <c r="BA225" s="43"/>
      <c r="BB225" s="43"/>
      <c r="BC225" s="163">
        <f>IF($E$6=$H$9,AW225,AQ225)</f>
        <v>0</v>
      </c>
      <c r="BD225" s="160">
        <f t="shared" si="464"/>
        <v>9</v>
      </c>
      <c r="BE225" s="45" t="str">
        <f t="shared" si="576"/>
        <v>N/A</v>
      </c>
      <c r="BF225" s="163"/>
      <c r="BG225" s="160">
        <f t="shared" si="577"/>
        <v>9</v>
      </c>
      <c r="BH225" s="45" t="str">
        <f t="shared" si="578"/>
        <v>N/A</v>
      </c>
      <c r="BI225" s="163"/>
      <c r="BJ225" s="160">
        <f t="shared" si="447"/>
        <v>9</v>
      </c>
      <c r="BK225" s="45" t="str">
        <f t="shared" si="579"/>
        <v>N/A</v>
      </c>
      <c r="BL225" s="163"/>
      <c r="BO225" s="43"/>
      <c r="BP225" s="43"/>
      <c r="BQ225" s="43" t="str">
        <f t="shared" si="554"/>
        <v/>
      </c>
      <c r="BR225" s="43">
        <f t="shared" si="582"/>
        <v>9</v>
      </c>
      <c r="BS225" s="43">
        <f t="shared" si="583"/>
        <v>9</v>
      </c>
      <c r="BT225" s="43">
        <f t="shared" si="584"/>
        <v>9</v>
      </c>
      <c r="BW225" s="43" t="str">
        <f t="shared" si="580"/>
        <v>Inn 09</v>
      </c>
      <c r="BX225" s="43" t="str">
        <f>IFERROR(VLOOKUP($E225,'Pre-Assessment Estimator'!$F$11:$AC$226,'Pre-Assessment Estimator'!AC$2,FALSE),"")</f>
        <v>N/A</v>
      </c>
      <c r="BY225" s="43">
        <f>IFERROR(VLOOKUP($E225,'Pre-Assessment Estimator'!$F$11:$AJ$226,'Pre-Assessment Estimator'!AJ$2,FALSE),"")</f>
        <v>0</v>
      </c>
      <c r="BZ225" s="43">
        <f t="shared" si="567"/>
        <v>1</v>
      </c>
      <c r="CA225" s="43">
        <f t="shared" si="568"/>
        <v>0</v>
      </c>
      <c r="CB225" s="43"/>
      <c r="CC225" t="str">
        <f t="shared" si="569"/>
        <v/>
      </c>
    </row>
    <row r="226" spans="1:81" x14ac:dyDescent="0.25">
      <c r="A226">
        <v>218</v>
      </c>
      <c r="B226" t="str">
        <f t="shared" si="581"/>
        <v>Inn 10</v>
      </c>
      <c r="C226" t="s">
        <v>176</v>
      </c>
      <c r="D226" s="191" t="s">
        <v>473</v>
      </c>
      <c r="E226" s="43" t="str">
        <f t="shared" si="570"/>
        <v xml:space="preserve">Inn 10 - Wst 01: Especially low amount of construction waste </v>
      </c>
      <c r="F226" s="668">
        <v>1</v>
      </c>
      <c r="G226" s="668">
        <v>1</v>
      </c>
      <c r="H226" s="668">
        <v>1</v>
      </c>
      <c r="I226" s="668">
        <v>1</v>
      </c>
      <c r="J226" s="668">
        <v>1</v>
      </c>
      <c r="K226" s="668">
        <v>1</v>
      </c>
      <c r="L226" s="668">
        <v>1</v>
      </c>
      <c r="M226" s="668">
        <v>1</v>
      </c>
      <c r="N226" s="668">
        <v>1</v>
      </c>
      <c r="O226" s="668">
        <v>1</v>
      </c>
      <c r="P226" s="668">
        <v>1</v>
      </c>
      <c r="Q226" s="669">
        <v>1</v>
      </c>
      <c r="R226" s="669">
        <v>1</v>
      </c>
      <c r="T226" s="148">
        <f t="shared" si="571"/>
        <v>1</v>
      </c>
      <c r="U226" s="167"/>
      <c r="V226" s="48"/>
      <c r="W226" s="48"/>
      <c r="X226" s="147">
        <f>'Manuell filtrering og justering'!E103</f>
        <v>0</v>
      </c>
      <c r="Y226" s="148"/>
      <c r="Z226" s="958">
        <f>VLOOKUP(B226,'Manuell filtrering og justering'!$A$7:$H$253,'Manuell filtrering og justering'!$H$1,FALSE)</f>
        <v>1</v>
      </c>
      <c r="AA226" s="148">
        <f t="shared" si="572"/>
        <v>0</v>
      </c>
      <c r="AB226" s="149">
        <f>IF($AC$5='Manuell filtrering og justering'!$J$2,Z226,(T226-AA226))</f>
        <v>1</v>
      </c>
      <c r="AD226" s="150">
        <f>(Inn_Weight/Inn_Credits)*Inn10_credits</f>
        <v>0.01</v>
      </c>
      <c r="AE226" s="150">
        <f t="shared" si="573"/>
        <v>0</v>
      </c>
      <c r="AF226" s="150">
        <f t="shared" si="574"/>
        <v>0</v>
      </c>
      <c r="AG226" s="150">
        <f t="shared" si="575"/>
        <v>0</v>
      </c>
      <c r="AI226" s="185">
        <f>IF(VLOOKUP(E226,'Pre-Assessment Estimator'!$F$11:$AA$226,'Pre-Assessment Estimator'!$H$2,FALSE)&gt;AB226,AB226,VLOOKUP(E226,'Pre-Assessment Estimator'!$F$11:$AA$226,'Pre-Assessment Estimator'!$H$2,FALSE))</f>
        <v>0</v>
      </c>
      <c r="AJ226" s="151">
        <f>IF(VLOOKUP(E226,'Pre-Assessment Estimator'!$F$11:$AA$226,'Pre-Assessment Estimator'!$O$2,FALSE)&gt;AB226,AB226,VLOOKUP(E226,'Pre-Assessment Estimator'!$F$11:$AA$226,'Pre-Assessment Estimator'!$O$2,FALSE))</f>
        <v>0</v>
      </c>
      <c r="AK226" s="151">
        <f>IF(VLOOKUP(E226,'Pre-Assessment Estimator'!$F$11:$AA$226,'Pre-Assessment Estimator'!$V$2,FALSE)&gt;AB226,AB226,VLOOKUP(E226,'Pre-Assessment Estimator'!$F$11:$AA$226,'Pre-Assessment Estimator'!$V$2,FALSE))</f>
        <v>0</v>
      </c>
      <c r="AM226" s="252"/>
      <c r="AN226" s="253"/>
      <c r="AO226" s="253"/>
      <c r="AP226" s="253"/>
      <c r="AQ226" s="625"/>
      <c r="AR226" s="123"/>
      <c r="AS226" s="252"/>
      <c r="AT226" s="253"/>
      <c r="AU226" s="253"/>
      <c r="AV226" s="253"/>
      <c r="AW226" s="254"/>
      <c r="AY226" s="146"/>
      <c r="AZ226" s="43"/>
      <c r="BA226" s="43"/>
      <c r="BB226" s="43"/>
      <c r="BC226" s="163">
        <f t="shared" ref="BC226:BC229" si="585">IF($E$6=$H$9,AW226,AQ226)</f>
        <v>0</v>
      </c>
      <c r="BD226" s="160">
        <f t="shared" ref="BD226:BD229" si="586">IF(BC226=0,9,IF(AI226&gt;=BC226,5,IF(AI226&gt;=BB226,4,IF(AI226&gt;=BA226,3,IF(AI226&gt;=AZ226,2,IF(AI226&lt;AY226,0,1))))))</f>
        <v>9</v>
      </c>
      <c r="BE226" s="45" t="str">
        <f t="shared" si="576"/>
        <v>N/A</v>
      </c>
      <c r="BF226" s="163"/>
      <c r="BG226" s="160">
        <f t="shared" ref="BG226:BG229" si="587">IF(BC226=0,9,IF(AJ226&gt;=BC226,5,IF(AJ226&gt;=BB226,4,IF(AJ226&gt;=BA226,3,IF(AJ226&gt;=AZ226,2,IF(AJ226&lt;AY226,0,1))))))</f>
        <v>9</v>
      </c>
      <c r="BH226" s="45" t="str">
        <f t="shared" si="578"/>
        <v>N/A</v>
      </c>
      <c r="BI226" s="163"/>
      <c r="BJ226" s="160">
        <f t="shared" ref="BJ226:BJ229" si="588">IF(BC226=0,9,IF(AK226&gt;=BC226,5,IF(AK226&gt;=BB226,4,IF(AK226&gt;=BA226,3,IF(AK226&gt;=AZ226,2,IF(AK226&lt;AY226,0,1))))))</f>
        <v>9</v>
      </c>
      <c r="BK226" s="45" t="str">
        <f t="shared" si="579"/>
        <v>N/A</v>
      </c>
      <c r="BL226" s="163"/>
      <c r="BO226" s="43"/>
      <c r="BP226" s="43"/>
      <c r="BQ226" s="43" t="str">
        <f t="shared" si="554"/>
        <v/>
      </c>
      <c r="BR226" s="43">
        <f t="shared" si="582"/>
        <v>9</v>
      </c>
      <c r="BS226" s="43">
        <f t="shared" si="583"/>
        <v>9</v>
      </c>
      <c r="BT226" s="43">
        <f t="shared" si="584"/>
        <v>9</v>
      </c>
      <c r="BW226" s="63"/>
      <c r="BX226" s="63"/>
      <c r="BY226" s="63"/>
      <c r="BZ226" s="63"/>
      <c r="CA226" s="63"/>
      <c r="CB226" s="63"/>
    </row>
    <row r="227" spans="1:81" x14ac:dyDescent="0.25">
      <c r="A227">
        <v>219</v>
      </c>
      <c r="B227" t="str">
        <f t="shared" si="581"/>
        <v>Inn 11</v>
      </c>
      <c r="C227" t="s">
        <v>180</v>
      </c>
      <c r="D227" s="191" t="s">
        <v>474</v>
      </c>
      <c r="E227" s="43" t="str">
        <f t="shared" si="570"/>
        <v>Inn 11 - LE 02: Wider sustainability for the site</v>
      </c>
      <c r="F227" s="668">
        <v>1</v>
      </c>
      <c r="G227" s="668">
        <v>1</v>
      </c>
      <c r="H227" s="668">
        <v>1</v>
      </c>
      <c r="I227" s="668">
        <v>1</v>
      </c>
      <c r="J227" s="668">
        <v>1</v>
      </c>
      <c r="K227" s="668">
        <v>1</v>
      </c>
      <c r="L227" s="668">
        <v>1</v>
      </c>
      <c r="M227" s="668">
        <v>1</v>
      </c>
      <c r="N227" s="668">
        <v>1</v>
      </c>
      <c r="O227" s="668">
        <v>1</v>
      </c>
      <c r="P227" s="668">
        <v>1</v>
      </c>
      <c r="Q227" s="669">
        <v>1</v>
      </c>
      <c r="R227" s="669">
        <v>1</v>
      </c>
      <c r="T227" s="148">
        <f t="shared" si="571"/>
        <v>1</v>
      </c>
      <c r="U227" s="167"/>
      <c r="V227" s="48"/>
      <c r="W227" s="48"/>
      <c r="X227" s="147">
        <f>'Manuell filtrering og justering'!E104</f>
        <v>0</v>
      </c>
      <c r="Y227" s="148"/>
      <c r="Z227" s="958">
        <f>VLOOKUP(B227,'Manuell filtrering og justering'!$A$7:$H$253,'Manuell filtrering og justering'!$H$1,FALSE)</f>
        <v>1</v>
      </c>
      <c r="AA227" s="148">
        <f t="shared" si="572"/>
        <v>0</v>
      </c>
      <c r="AB227" s="149">
        <f>IF($AC$5='Manuell filtrering og justering'!$J$2,Z227,(T227-AA227))</f>
        <v>1</v>
      </c>
      <c r="AD227" s="150">
        <f>(Inn_Weight/Inn_Credits)*Inn11_credits</f>
        <v>0.01</v>
      </c>
      <c r="AE227" s="150">
        <f t="shared" si="573"/>
        <v>0</v>
      </c>
      <c r="AF227" s="150">
        <f t="shared" si="574"/>
        <v>0</v>
      </c>
      <c r="AG227" s="150">
        <f t="shared" si="575"/>
        <v>0</v>
      </c>
      <c r="AI227" s="185">
        <f>IF(VLOOKUP(E227,'Pre-Assessment Estimator'!$F$11:$AA$226,'Pre-Assessment Estimator'!$H$2,FALSE)&gt;AB227,AB227,VLOOKUP(E227,'Pre-Assessment Estimator'!$F$11:$AA$226,'Pre-Assessment Estimator'!$H$2,FALSE))</f>
        <v>0</v>
      </c>
      <c r="AJ227" s="151">
        <f>IF(VLOOKUP(E227,'Pre-Assessment Estimator'!$F$11:$AA$226,'Pre-Assessment Estimator'!$O$2,FALSE)&gt;AB227,AB227,VLOOKUP(E227,'Pre-Assessment Estimator'!$F$11:$AA$226,'Pre-Assessment Estimator'!$O$2,FALSE))</f>
        <v>0</v>
      </c>
      <c r="AK227" s="151">
        <f>IF(VLOOKUP(E227,'Pre-Assessment Estimator'!$F$11:$AA$226,'Pre-Assessment Estimator'!$V$2,FALSE)&gt;AB227,AB227,VLOOKUP(E227,'Pre-Assessment Estimator'!$F$11:$AA$226,'Pre-Assessment Estimator'!$V$2,FALSE))</f>
        <v>0</v>
      </c>
      <c r="AM227" s="252"/>
      <c r="AN227" s="253"/>
      <c r="AO227" s="253"/>
      <c r="AP227" s="253"/>
      <c r="AQ227" s="625"/>
      <c r="AR227" s="123"/>
      <c r="AS227" s="252"/>
      <c r="AT227" s="253"/>
      <c r="AU227" s="253"/>
      <c r="AV227" s="253"/>
      <c r="AW227" s="254"/>
      <c r="AY227" s="146"/>
      <c r="AZ227" s="43"/>
      <c r="BA227" s="43"/>
      <c r="BB227" s="43"/>
      <c r="BC227" s="163">
        <f t="shared" si="585"/>
        <v>0</v>
      </c>
      <c r="BD227" s="160">
        <f t="shared" si="586"/>
        <v>9</v>
      </c>
      <c r="BE227" s="45" t="str">
        <f t="shared" si="576"/>
        <v>N/A</v>
      </c>
      <c r="BF227" s="163"/>
      <c r="BG227" s="160">
        <f t="shared" si="587"/>
        <v>9</v>
      </c>
      <c r="BH227" s="45" t="str">
        <f t="shared" si="578"/>
        <v>N/A</v>
      </c>
      <c r="BI227" s="163"/>
      <c r="BJ227" s="160">
        <f t="shared" si="588"/>
        <v>9</v>
      </c>
      <c r="BK227" s="45" t="str">
        <f t="shared" si="579"/>
        <v>N/A</v>
      </c>
      <c r="BL227" s="163"/>
      <c r="BO227" s="43"/>
      <c r="BP227" s="43"/>
      <c r="BQ227" s="43" t="str">
        <f t="shared" si="554"/>
        <v/>
      </c>
      <c r="BR227" s="43">
        <f t="shared" si="582"/>
        <v>9</v>
      </c>
      <c r="BS227" s="43">
        <f t="shared" si="583"/>
        <v>9</v>
      </c>
      <c r="BT227" s="43">
        <f t="shared" si="584"/>
        <v>9</v>
      </c>
      <c r="BW227" s="63"/>
      <c r="BX227" s="63"/>
      <c r="BY227" s="63"/>
      <c r="BZ227" s="63"/>
      <c r="CA227" s="63"/>
      <c r="CB227" s="63"/>
    </row>
    <row r="228" spans="1:81" x14ac:dyDescent="0.25">
      <c r="A228">
        <v>220</v>
      </c>
      <c r="B228" t="str">
        <f t="shared" si="581"/>
        <v>Inn 12</v>
      </c>
      <c r="C228" t="s">
        <v>181</v>
      </c>
      <c r="D228" s="191" t="s">
        <v>475</v>
      </c>
      <c r="E228" s="43" t="str">
        <f t="shared" si="570"/>
        <v>Inn 12 - LE 04: Significant net gain of biodiversity</v>
      </c>
      <c r="F228" s="668">
        <v>1</v>
      </c>
      <c r="G228" s="668">
        <v>1</v>
      </c>
      <c r="H228" s="668">
        <v>1</v>
      </c>
      <c r="I228" s="668">
        <v>1</v>
      </c>
      <c r="J228" s="668">
        <v>1</v>
      </c>
      <c r="K228" s="668">
        <v>1</v>
      </c>
      <c r="L228" s="668">
        <v>1</v>
      </c>
      <c r="M228" s="668">
        <v>1</v>
      </c>
      <c r="N228" s="668">
        <v>1</v>
      </c>
      <c r="O228" s="668">
        <v>1</v>
      </c>
      <c r="P228" s="668">
        <v>1</v>
      </c>
      <c r="Q228" s="669">
        <v>1</v>
      </c>
      <c r="R228" s="669">
        <v>1</v>
      </c>
      <c r="T228" s="148">
        <f t="shared" si="571"/>
        <v>1</v>
      </c>
      <c r="U228" s="167"/>
      <c r="V228" s="48"/>
      <c r="W228" s="48"/>
      <c r="X228" s="147">
        <f>'Manuell filtrering og justering'!E105</f>
        <v>0</v>
      </c>
      <c r="Y228" s="148"/>
      <c r="Z228" s="958">
        <f>VLOOKUP(B228,'Manuell filtrering og justering'!$A$7:$H$253,'Manuell filtrering og justering'!$H$1,FALSE)</f>
        <v>1</v>
      </c>
      <c r="AA228" s="148">
        <f t="shared" si="572"/>
        <v>0</v>
      </c>
      <c r="AB228" s="149">
        <f>IF($AC$5='Manuell filtrering og justering'!$J$2,Z228,(T228-AA228))</f>
        <v>1</v>
      </c>
      <c r="AD228" s="150">
        <f>(Inn_Weight/Inn_Credits)*Inn12_credits</f>
        <v>0.01</v>
      </c>
      <c r="AE228" s="150">
        <f t="shared" si="573"/>
        <v>0</v>
      </c>
      <c r="AF228" s="150">
        <f t="shared" si="574"/>
        <v>0</v>
      </c>
      <c r="AG228" s="150">
        <f t="shared" si="575"/>
        <v>0</v>
      </c>
      <c r="AI228" s="185">
        <f>IF(VLOOKUP(E228,'Pre-Assessment Estimator'!$F$11:$AA$226,'Pre-Assessment Estimator'!$H$2,FALSE)&gt;AB228,AB228,VLOOKUP(E228,'Pre-Assessment Estimator'!$F$11:$AA$226,'Pre-Assessment Estimator'!$H$2,FALSE))</f>
        <v>0</v>
      </c>
      <c r="AJ228" s="151">
        <f>IF(VLOOKUP(E228,'Pre-Assessment Estimator'!$F$11:$AA$226,'Pre-Assessment Estimator'!$O$2,FALSE)&gt;AB228,AB228,VLOOKUP(E228,'Pre-Assessment Estimator'!$F$11:$AA$226,'Pre-Assessment Estimator'!$O$2,FALSE))</f>
        <v>0</v>
      </c>
      <c r="AK228" s="151">
        <f>IF(VLOOKUP(E228,'Pre-Assessment Estimator'!$F$11:$AA$226,'Pre-Assessment Estimator'!$V$2,FALSE)&gt;AB228,AB228,VLOOKUP(E228,'Pre-Assessment Estimator'!$F$11:$AA$226,'Pre-Assessment Estimator'!$V$2,FALSE))</f>
        <v>0</v>
      </c>
      <c r="AM228" s="252"/>
      <c r="AN228" s="253"/>
      <c r="AO228" s="253"/>
      <c r="AP228" s="253"/>
      <c r="AQ228" s="625"/>
      <c r="AR228" s="123"/>
      <c r="AS228" s="252"/>
      <c r="AT228" s="253"/>
      <c r="AU228" s="253"/>
      <c r="AV228" s="253"/>
      <c r="AW228" s="254"/>
      <c r="AY228" s="146"/>
      <c r="AZ228" s="43"/>
      <c r="BA228" s="43"/>
      <c r="BB228" s="43"/>
      <c r="BC228" s="163">
        <f t="shared" si="585"/>
        <v>0</v>
      </c>
      <c r="BD228" s="160">
        <f t="shared" si="586"/>
        <v>9</v>
      </c>
      <c r="BE228" s="45" t="str">
        <f t="shared" si="576"/>
        <v>N/A</v>
      </c>
      <c r="BF228" s="163"/>
      <c r="BG228" s="160">
        <f t="shared" si="587"/>
        <v>9</v>
      </c>
      <c r="BH228" s="45" t="str">
        <f t="shared" si="578"/>
        <v>N/A</v>
      </c>
      <c r="BI228" s="163"/>
      <c r="BJ228" s="160">
        <f t="shared" si="588"/>
        <v>9</v>
      </c>
      <c r="BK228" s="45" t="str">
        <f t="shared" si="579"/>
        <v>N/A</v>
      </c>
      <c r="BL228" s="163"/>
      <c r="BO228" s="43"/>
      <c r="BP228" s="43"/>
      <c r="BQ228" s="43" t="str">
        <f t="shared" si="554"/>
        <v/>
      </c>
      <c r="BR228" s="43">
        <f t="shared" si="582"/>
        <v>9</v>
      </c>
      <c r="BS228" s="43">
        <f t="shared" si="583"/>
        <v>9</v>
      </c>
      <c r="BT228" s="43">
        <f t="shared" si="584"/>
        <v>9</v>
      </c>
      <c r="BW228" s="63"/>
      <c r="BX228" s="63"/>
      <c r="BY228" s="63"/>
      <c r="BZ228" s="63"/>
      <c r="CA228" s="63"/>
      <c r="CB228" s="63"/>
    </row>
    <row r="229" spans="1:81" ht="15.75" thickBot="1" x14ac:dyDescent="0.3">
      <c r="A229">
        <v>221</v>
      </c>
      <c r="B229" t="str">
        <f t="shared" si="581"/>
        <v>Inn 13</v>
      </c>
      <c r="C229" t="s">
        <v>183</v>
      </c>
      <c r="D229" s="191" t="s">
        <v>476</v>
      </c>
      <c r="E229" s="43" t="str">
        <f t="shared" si="570"/>
        <v>Inn 13 - LE 06: Responding to climate change</v>
      </c>
      <c r="F229" s="668">
        <v>1</v>
      </c>
      <c r="G229" s="668">
        <v>1</v>
      </c>
      <c r="H229" s="668">
        <v>1</v>
      </c>
      <c r="I229" s="668">
        <v>1</v>
      </c>
      <c r="J229" s="668">
        <v>1</v>
      </c>
      <c r="K229" s="668">
        <v>1</v>
      </c>
      <c r="L229" s="668">
        <v>1</v>
      </c>
      <c r="M229" s="668">
        <v>1</v>
      </c>
      <c r="N229" s="668">
        <v>1</v>
      </c>
      <c r="O229" s="668">
        <v>1</v>
      </c>
      <c r="P229" s="668">
        <v>1</v>
      </c>
      <c r="Q229" s="669">
        <v>1</v>
      </c>
      <c r="R229" s="669">
        <v>1</v>
      </c>
      <c r="T229" s="148">
        <f t="shared" si="571"/>
        <v>1</v>
      </c>
      <c r="U229" s="167"/>
      <c r="V229" s="48"/>
      <c r="W229" s="48"/>
      <c r="X229" s="147">
        <f>'Manuell filtrering og justering'!E106</f>
        <v>0</v>
      </c>
      <c r="Y229" s="148"/>
      <c r="Z229" s="958">
        <f>VLOOKUP(B229,'Manuell filtrering og justering'!$A$7:$H$253,'Manuell filtrering og justering'!$H$1,FALSE)</f>
        <v>1</v>
      </c>
      <c r="AA229" s="148">
        <f t="shared" si="572"/>
        <v>0</v>
      </c>
      <c r="AB229" s="149">
        <f>IF($AC$5='Manuell filtrering og justering'!$J$2,Z229,(T229-AA229))</f>
        <v>1</v>
      </c>
      <c r="AD229" s="150">
        <f>(Inn_Weight/Inn_Credits)*Inn13_credits</f>
        <v>0.01</v>
      </c>
      <c r="AE229" s="150">
        <f t="shared" si="573"/>
        <v>0</v>
      </c>
      <c r="AF229" s="150">
        <f t="shared" si="574"/>
        <v>0</v>
      </c>
      <c r="AG229" s="150">
        <f t="shared" si="575"/>
        <v>0</v>
      </c>
      <c r="AI229" s="185">
        <f>IF(VLOOKUP(E229,'Pre-Assessment Estimator'!$F$11:$AA$226,'Pre-Assessment Estimator'!$H$2,FALSE)&gt;AB229,AB229,VLOOKUP(E229,'Pre-Assessment Estimator'!$F$11:$AA$226,'Pre-Assessment Estimator'!$H$2,FALSE))</f>
        <v>0</v>
      </c>
      <c r="AJ229" s="151">
        <f>IF(VLOOKUP(E229,'Pre-Assessment Estimator'!$F$11:$AA$226,'Pre-Assessment Estimator'!$O$2,FALSE)&gt;AB229,AB229,VLOOKUP(E229,'Pre-Assessment Estimator'!$F$11:$AA$226,'Pre-Assessment Estimator'!$O$2,FALSE))</f>
        <v>0</v>
      </c>
      <c r="AK229" s="151">
        <f>IF(VLOOKUP(E229,'Pre-Assessment Estimator'!$F$11:$AA$226,'Pre-Assessment Estimator'!$V$2,FALSE)&gt;AB229,AB229,VLOOKUP(E229,'Pre-Assessment Estimator'!$F$11:$AA$226,'Pre-Assessment Estimator'!$V$2,FALSE))</f>
        <v>0</v>
      </c>
      <c r="AM229" s="255"/>
      <c r="AN229" s="256"/>
      <c r="AO229" s="256"/>
      <c r="AP229" s="256"/>
      <c r="AQ229" s="626"/>
      <c r="AR229" s="123"/>
      <c r="AS229" s="255"/>
      <c r="AT229" s="256"/>
      <c r="AU229" s="256"/>
      <c r="AV229" s="256"/>
      <c r="AW229" s="257"/>
      <c r="AY229" s="168"/>
      <c r="AZ229" s="170"/>
      <c r="BA229" s="170"/>
      <c r="BB229" s="170"/>
      <c r="BC229" s="173">
        <f t="shared" si="585"/>
        <v>0</v>
      </c>
      <c r="BD229" s="172">
        <f t="shared" si="586"/>
        <v>9</v>
      </c>
      <c r="BE229" s="45" t="str">
        <f t="shared" si="576"/>
        <v>N/A</v>
      </c>
      <c r="BF229" s="173"/>
      <c r="BG229" s="172">
        <f t="shared" si="587"/>
        <v>9</v>
      </c>
      <c r="BH229" s="45" t="str">
        <f t="shared" si="578"/>
        <v>N/A</v>
      </c>
      <c r="BI229" s="173"/>
      <c r="BJ229" s="172">
        <f t="shared" si="588"/>
        <v>9</v>
      </c>
      <c r="BK229" s="45" t="str">
        <f t="shared" si="579"/>
        <v>N/A</v>
      </c>
      <c r="BL229" s="173"/>
      <c r="BO229" s="43"/>
      <c r="BP229" s="43"/>
      <c r="BQ229" s="43" t="str">
        <f t="shared" si="554"/>
        <v/>
      </c>
      <c r="BR229" s="43">
        <f t="shared" si="582"/>
        <v>9</v>
      </c>
      <c r="BS229" s="43">
        <f t="shared" si="583"/>
        <v>9</v>
      </c>
      <c r="BT229" s="43">
        <f t="shared" si="584"/>
        <v>9</v>
      </c>
      <c r="BW229" s="63"/>
      <c r="BX229" s="63"/>
      <c r="BY229" s="63"/>
      <c r="BZ229" s="63"/>
      <c r="CA229" s="63"/>
      <c r="CB229" s="63"/>
    </row>
    <row r="230" spans="1:81" ht="15.75" thickBot="1" x14ac:dyDescent="0.3">
      <c r="A230">
        <v>222</v>
      </c>
      <c r="B230" t="str">
        <f t="shared" si="581"/>
        <v>Inn 14</v>
      </c>
      <c r="C230" t="s">
        <v>481</v>
      </c>
      <c r="D230" s="622" t="s">
        <v>697</v>
      </c>
      <c r="E230" s="170" t="str">
        <f t="shared" si="570"/>
        <v>Inn 14 - LE 08: Wider approach to surface water management</v>
      </c>
      <c r="F230" s="676">
        <v>1</v>
      </c>
      <c r="G230" s="676">
        <v>1</v>
      </c>
      <c r="H230" s="676">
        <v>1</v>
      </c>
      <c r="I230" s="676">
        <v>1</v>
      </c>
      <c r="J230" s="676">
        <v>1</v>
      </c>
      <c r="K230" s="676">
        <v>1</v>
      </c>
      <c r="L230" s="676">
        <v>1</v>
      </c>
      <c r="M230" s="676">
        <v>1</v>
      </c>
      <c r="N230" s="676">
        <v>1</v>
      </c>
      <c r="O230" s="676">
        <v>1</v>
      </c>
      <c r="P230" s="676">
        <v>1</v>
      </c>
      <c r="Q230" s="677">
        <v>1</v>
      </c>
      <c r="R230" s="677">
        <v>1</v>
      </c>
      <c r="T230" s="746">
        <f t="shared" si="571"/>
        <v>1</v>
      </c>
      <c r="U230" s="167"/>
      <c r="V230" s="48"/>
      <c r="W230" s="48"/>
      <c r="X230" s="744"/>
      <c r="Y230" s="978"/>
      <c r="Z230" s="958">
        <f>VLOOKUP(B230,'Manuell filtrering og justering'!$A$7:$H$253,'Manuell filtrering og justering'!$H$1,FALSE)</f>
        <v>1</v>
      </c>
      <c r="AA230" s="148">
        <f t="shared" si="572"/>
        <v>0</v>
      </c>
      <c r="AB230" s="149">
        <f>IF($AC$5='Manuell filtrering og justering'!$J$2,Z230,(T230-AA230))</f>
        <v>1</v>
      </c>
      <c r="AD230" s="150">
        <f>(Inn_Weight/Inn_Credits)*AB230</f>
        <v>0.01</v>
      </c>
      <c r="AE230" s="150">
        <f t="shared" si="573"/>
        <v>0</v>
      </c>
      <c r="AF230" s="150">
        <f t="shared" si="574"/>
        <v>0</v>
      </c>
      <c r="AG230" s="150">
        <f t="shared" si="575"/>
        <v>0</v>
      </c>
      <c r="AI230" s="185">
        <f>IF(VLOOKUP(E230,'Pre-Assessment Estimator'!$F$11:$AA$226,'Pre-Assessment Estimator'!$H$2,FALSE)&gt;AB230,AB230,VLOOKUP(E230,'Pre-Assessment Estimator'!$F$11:$AA$226,'Pre-Assessment Estimator'!$H$2,FALSE))</f>
        <v>0</v>
      </c>
      <c r="AJ230" s="151">
        <f>IF(VLOOKUP(E230,'Pre-Assessment Estimator'!$F$11:$AA$226,'Pre-Assessment Estimator'!$O$2,FALSE)&gt;AB230,AB230,VLOOKUP(E230,'Pre-Assessment Estimator'!$F$11:$AA$226,'Pre-Assessment Estimator'!$O$2,FALSE))</f>
        <v>0</v>
      </c>
      <c r="AK230" s="151">
        <f>IF(VLOOKUP(E230,'Pre-Assessment Estimator'!$F$11:$AA$226,'Pre-Assessment Estimator'!$V$2,FALSE)&gt;AB230,AB230,VLOOKUP(E230,'Pre-Assessment Estimator'!$F$11:$AA$226,'Pre-Assessment Estimator'!$V$2,FALSE))</f>
        <v>0</v>
      </c>
      <c r="AM230" s="252"/>
      <c r="AN230" s="253"/>
      <c r="AO230" s="253"/>
      <c r="AP230" s="253"/>
      <c r="AQ230" s="625"/>
      <c r="AR230" s="123"/>
      <c r="AS230" s="252"/>
      <c r="AT230" s="253"/>
      <c r="AU230" s="253"/>
      <c r="AV230" s="253"/>
      <c r="AW230" s="254"/>
      <c r="AY230" s="146"/>
      <c r="AZ230" s="43"/>
      <c r="BA230" s="43"/>
      <c r="BB230" s="43"/>
      <c r="BC230" s="163">
        <f t="shared" ref="BC230" si="589">IF($E$6=$H$9,AW230,AQ230)</f>
        <v>0</v>
      </c>
      <c r="BD230" s="160">
        <f t="shared" ref="BD230" si="590">IF(BC230=0,9,IF(AI230&gt;=BC230,5,IF(AI230&gt;=BB230,4,IF(AI230&gt;=BA230,3,IF(AI230&gt;=AZ230,2,IF(AI230&lt;AY230,0,1))))))</f>
        <v>9</v>
      </c>
      <c r="BE230" s="45" t="str">
        <f t="shared" si="576"/>
        <v>N/A</v>
      </c>
      <c r="BF230" s="163"/>
      <c r="BG230" s="160">
        <f t="shared" ref="BG230" si="591">IF(BC230=0,9,IF(AJ230&gt;=BC230,5,IF(AJ230&gt;=BB230,4,IF(AJ230&gt;=BA230,3,IF(AJ230&gt;=AZ230,2,IF(AJ230&lt;AY230,0,1))))))</f>
        <v>9</v>
      </c>
      <c r="BH230" s="45" t="str">
        <f t="shared" si="578"/>
        <v>N/A</v>
      </c>
      <c r="BI230" s="163"/>
      <c r="BJ230" s="160">
        <f t="shared" ref="BJ230" si="592">IF(BC230=0,9,IF(AK230&gt;=BC230,5,IF(AK230&gt;=BB230,4,IF(AK230&gt;=BA230,3,IF(AK230&gt;=AZ230,2,IF(AK230&lt;AY230,0,1))))))</f>
        <v>9</v>
      </c>
      <c r="BK230" s="45" t="str">
        <f t="shared" si="579"/>
        <v>N/A</v>
      </c>
      <c r="BL230" s="163"/>
      <c r="BO230" s="43"/>
      <c r="BP230" s="43"/>
      <c r="BQ230" s="43" t="str">
        <f t="shared" si="554"/>
        <v/>
      </c>
      <c r="BR230" s="43">
        <f t="shared" si="582"/>
        <v>9</v>
      </c>
      <c r="BS230" s="43">
        <f t="shared" si="583"/>
        <v>9</v>
      </c>
      <c r="BT230" s="43">
        <f t="shared" si="584"/>
        <v>9</v>
      </c>
      <c r="BW230" s="63"/>
      <c r="BX230" s="63"/>
      <c r="BY230" s="63"/>
      <c r="BZ230" s="63"/>
      <c r="CA230" s="63"/>
      <c r="CB230" s="63"/>
    </row>
    <row r="231" spans="1:81" ht="15.75" thickBot="1" x14ac:dyDescent="0.3">
      <c r="A231">
        <v>223</v>
      </c>
      <c r="B231" t="s">
        <v>890</v>
      </c>
      <c r="D231" s="617" t="s">
        <v>213</v>
      </c>
      <c r="E231" s="616"/>
      <c r="F231" s="673">
        <f>IF(SUM(F217:F230)&gt;10,10,SUM(F217:F230))</f>
        <v>10</v>
      </c>
      <c r="G231" s="673">
        <f t="shared" ref="G231:R231" si="593">IF(SUM(G217:G230)&gt;10,10,SUM(G217:G230))</f>
        <v>10</v>
      </c>
      <c r="H231" s="673">
        <f t="shared" si="593"/>
        <v>10</v>
      </c>
      <c r="I231" s="673">
        <f t="shared" si="593"/>
        <v>10</v>
      </c>
      <c r="J231" s="673">
        <f t="shared" si="593"/>
        <v>10</v>
      </c>
      <c r="K231" s="673">
        <f t="shared" si="593"/>
        <v>10</v>
      </c>
      <c r="L231" s="673">
        <f t="shared" si="593"/>
        <v>10</v>
      </c>
      <c r="M231" s="673">
        <f t="shared" si="593"/>
        <v>10</v>
      </c>
      <c r="N231" s="673">
        <f t="shared" si="593"/>
        <v>10</v>
      </c>
      <c r="O231" s="673">
        <f t="shared" si="593"/>
        <v>10</v>
      </c>
      <c r="P231" s="673">
        <f t="shared" si="593"/>
        <v>10</v>
      </c>
      <c r="Q231" s="673">
        <f t="shared" ref="Q231" si="594">IF(SUM(Q217:Q230)&gt;10,10,SUM(Q217:Q230))</f>
        <v>10</v>
      </c>
      <c r="R231" s="673">
        <f t="shared" si="593"/>
        <v>10</v>
      </c>
      <c r="T231" s="195">
        <f t="shared" si="571"/>
        <v>10</v>
      </c>
      <c r="U231" s="176"/>
      <c r="V231" s="177"/>
      <c r="W231" s="177"/>
      <c r="X231" s="178"/>
      <c r="Y231" s="179"/>
      <c r="Z231" s="961"/>
      <c r="AA231" s="179">
        <f>SUM(AA217:AA230)</f>
        <v>0</v>
      </c>
      <c r="AB231" s="196">
        <f>IF(SUM(AB217:AB230)&gt;10,10,SUM(AB217:AB230))</f>
        <v>10</v>
      </c>
      <c r="AD231" s="201">
        <f>IF(SUM(AD217:AD230)&gt;0.1,0.1,(SUM(AD217:AD230)))</f>
        <v>0.1</v>
      </c>
      <c r="AE231" s="201">
        <f>IF(SUM(AE217:AE230)&gt;0.1,0.1,(SUM(AE217:AE230)))</f>
        <v>0</v>
      </c>
      <c r="AF231" s="201">
        <f>IF(SUM(AF217:AF230)&gt;0.1,0.1,(SUM(AF217:AF230)))</f>
        <v>0</v>
      </c>
      <c r="AG231" s="201">
        <f>IF(SUM(AG217:AG230)&gt;0.1,0.1,(SUM(AG217:AG230)))</f>
        <v>0</v>
      </c>
      <c r="AI231" s="38">
        <f>IF(SUM(AI217:AI230)&gt;10,10,SUM(AI217:AI230))</f>
        <v>0</v>
      </c>
      <c r="AJ231" s="38">
        <f>IF(SUM(AJ217:AJ230)&gt;10,10,SUM(AJ217:AJ230))</f>
        <v>0</v>
      </c>
      <c r="AK231" s="38">
        <f>IF(SUM(AK217:AK230)&gt;10,10,SUM(AK217:AK230))</f>
        <v>0</v>
      </c>
      <c r="BC231" s="125"/>
      <c r="BD231" s="125"/>
      <c r="BW231" s="50"/>
      <c r="BX231" s="50" t="str">
        <f>IFERROR(VLOOKUP($E231,'Pre-Assessment Estimator'!$F$11:$AC$226,'Pre-Assessment Estimator'!AC$2,FALSE),"")</f>
        <v/>
      </c>
      <c r="BY231" s="50" t="str">
        <f>IFERROR(VLOOKUP($E231,'Pre-Assessment Estimator'!$F$11:$AJ$226,'Pre-Assessment Estimator'!AJ$2,FALSE),"")</f>
        <v/>
      </c>
      <c r="BZ231" s="50" t="str">
        <f t="shared" ref="BZ231:CA233" si="595">IFERROR(VLOOKUP($BX231,$E$293:$H$326,F$291,FALSE),"")</f>
        <v/>
      </c>
      <c r="CA231" s="50" t="str">
        <f t="shared" si="595"/>
        <v/>
      </c>
      <c r="CB231" s="50"/>
      <c r="CC231" t="str">
        <f>IFERROR(VLOOKUP($BX231,$E$293:$H$326,I$291,FALSE),"")</f>
        <v/>
      </c>
    </row>
    <row r="232" spans="1:81" ht="15.75" thickBot="1" x14ac:dyDescent="0.3">
      <c r="A232">
        <v>224</v>
      </c>
      <c r="BC232" s="125"/>
      <c r="BD232" s="125"/>
      <c r="BX232" t="str">
        <f>IFERROR(VLOOKUP($E232,'Pre-Assessment Estimator'!$F$11:$AC$226,'Pre-Assessment Estimator'!AC$2,FALSE),"")</f>
        <v/>
      </c>
      <c r="BY232" t="str">
        <f>IFERROR(VLOOKUP($E232,'Pre-Assessment Estimator'!$F$11:$AJ$226,'Pre-Assessment Estimator'!AJ$2,FALSE),"")</f>
        <v/>
      </c>
      <c r="BZ232" t="str">
        <f t="shared" si="595"/>
        <v/>
      </c>
      <c r="CA232" t="str">
        <f t="shared" si="595"/>
        <v/>
      </c>
      <c r="CC232" t="str">
        <f>IFERROR(VLOOKUP($BX232,$E$293:$H$326,I$291,FALSE),"")</f>
        <v/>
      </c>
    </row>
    <row r="233" spans="1:81" ht="60.75" thickBot="1" x14ac:dyDescent="0.3">
      <c r="A233">
        <v>225</v>
      </c>
      <c r="D233" s="132"/>
      <c r="E233" s="133" t="s">
        <v>232</v>
      </c>
      <c r="F233" s="1028" t="str">
        <f>$F$9</f>
        <v>Office</v>
      </c>
      <c r="G233" s="1028" t="str">
        <f>$G$9</f>
        <v>Retail</v>
      </c>
      <c r="H233" s="1032" t="str">
        <f>$H$9</f>
        <v>Residential</v>
      </c>
      <c r="I233" s="1028" t="str">
        <f>$I$9</f>
        <v>Industrial</v>
      </c>
      <c r="J233" s="1030" t="str">
        <f>$J$9</f>
        <v>Healthcare</v>
      </c>
      <c r="K233" s="1030" t="str">
        <f>$K$9</f>
        <v>Prison</v>
      </c>
      <c r="L233" s="1030" t="str">
        <f>$L$9</f>
        <v>Law Court</v>
      </c>
      <c r="M233" s="1034" t="str">
        <f>$M$9</f>
        <v>Residential institution (long term stay)</v>
      </c>
      <c r="N233" s="796" t="str">
        <f>$N$9</f>
        <v>Residential institution (short term stay)</v>
      </c>
      <c r="O233" s="796" t="str">
        <f>$O$9</f>
        <v>Non-residential institution</v>
      </c>
      <c r="P233" s="796" t="str">
        <f>$P$9</f>
        <v>Assembly and leisure</v>
      </c>
      <c r="Q233" s="1030" t="str">
        <f>$Q$9</f>
        <v>Education</v>
      </c>
      <c r="R233" s="747" t="str">
        <f>$R$9</f>
        <v>Other</v>
      </c>
      <c r="T233" s="122" t="str">
        <f>$E$6</f>
        <v>Office</v>
      </c>
      <c r="U233" s="202"/>
      <c r="V233" s="203"/>
      <c r="W233" s="183"/>
      <c r="X233" s="183"/>
      <c r="Y233" s="964" t="s">
        <v>411</v>
      </c>
      <c r="Z233" s="304" t="s">
        <v>334</v>
      </c>
      <c r="AA233" s="131" t="s">
        <v>213</v>
      </c>
      <c r="AB233" s="53" t="s">
        <v>14</v>
      </c>
      <c r="AI233" s="36"/>
      <c r="AJ233" s="54"/>
      <c r="AK233" s="54"/>
      <c r="BC233" s="125"/>
      <c r="BD233" s="125"/>
      <c r="BO233" s="54"/>
      <c r="BP233" s="54"/>
      <c r="BQ233" s="54"/>
      <c r="BR233" s="54"/>
      <c r="BS233" s="54"/>
      <c r="BT233" s="54"/>
      <c r="BW233" s="47"/>
      <c r="BX233" s="47" t="str">
        <f>E233</f>
        <v>Spesialtilfeller</v>
      </c>
      <c r="BY233" s="47" t="str">
        <f>IFERROR(VLOOKUP($E233,'Pre-Assessment Estimator'!$F$11:$AJ$226,'Pre-Assessment Estimator'!AJ$2,FALSE),"")</f>
        <v/>
      </c>
      <c r="BZ233" s="47" t="str">
        <f t="shared" si="595"/>
        <v/>
      </c>
      <c r="CA233" s="47" t="str">
        <f t="shared" si="595"/>
        <v/>
      </c>
      <c r="CB233" s="47"/>
      <c r="CC233" t="str">
        <f>IFERROR(VLOOKUP($BX233,$E$293:$H$326,I$291,FALSE),"")</f>
        <v/>
      </c>
    </row>
    <row r="234" spans="1:81" ht="15.75" thickBot="1" x14ac:dyDescent="0.3">
      <c r="A234">
        <v>226</v>
      </c>
      <c r="B234" t="s">
        <v>727</v>
      </c>
      <c r="C234" t="s">
        <v>116</v>
      </c>
      <c r="D234" s="634" t="s">
        <v>727</v>
      </c>
      <c r="E234" s="838" t="s">
        <v>1030</v>
      </c>
      <c r="F234" s="674" t="s">
        <v>233</v>
      </c>
      <c r="G234" s="674" t="s">
        <v>233</v>
      </c>
      <c r="H234" s="674" t="s">
        <v>233</v>
      </c>
      <c r="I234" s="674" t="s">
        <v>233</v>
      </c>
      <c r="J234" s="674" t="s">
        <v>233</v>
      </c>
      <c r="K234" s="674" t="s">
        <v>233</v>
      </c>
      <c r="L234" s="674" t="s">
        <v>233</v>
      </c>
      <c r="M234" s="674" t="s">
        <v>233</v>
      </c>
      <c r="N234" s="674" t="s">
        <v>233</v>
      </c>
      <c r="O234" s="674" t="s">
        <v>233</v>
      </c>
      <c r="P234" s="674" t="s">
        <v>233</v>
      </c>
      <c r="Q234" s="675" t="s">
        <v>233</v>
      </c>
      <c r="R234" s="675" t="s">
        <v>233</v>
      </c>
      <c r="T234" s="184" t="str">
        <f t="shared" ref="T234:T252" si="596">HLOOKUP($E$6,$F$9:$R$252,$A234,FALSE)</f>
        <v>Yes/No</v>
      </c>
      <c r="U234" s="148"/>
      <c r="V234" s="204"/>
      <c r="W234" s="43"/>
      <c r="X234" s="43"/>
      <c r="Y234" s="147"/>
      <c r="Z234" s="147"/>
      <c r="AA234" s="148"/>
      <c r="AB234" s="184" t="str">
        <f t="shared" ref="AB234:AB248" si="597">T234</f>
        <v>Yes/No</v>
      </c>
      <c r="AD234" s="150"/>
      <c r="AE234" s="205" t="s">
        <v>234</v>
      </c>
      <c r="AF234" s="205" t="s">
        <v>234</v>
      </c>
      <c r="AG234" s="205" t="s">
        <v>234</v>
      </c>
      <c r="AI234" s="185">
        <f>IF(VLOOKUP(E234,'Pre-Assessment Estimator'!$F$11:$AC$226,'Pre-Assessment Estimator'!$H$2,FALSE)&gt;AB234,AB234,VLOOKUP(E234,'Pre-Assessment Estimator'!$F$11:$AC$226,'Pre-Assessment Estimator'!$H$2,FALSE))</f>
        <v>0</v>
      </c>
      <c r="AJ234" s="151">
        <f>IF(VLOOKUP(E234,'Pre-Assessment Estimator'!$F$11:$AC$226,'Pre-Assessment Estimator'!$O$2,FALSE)&gt;AB234,AB234,VLOOKUP(E234,'Pre-Assessment Estimator'!$F$11:$AC$226,'Pre-Assessment Estimator'!$O$2,FALSE))</f>
        <v>0</v>
      </c>
      <c r="AK234" s="151">
        <f>IF(VLOOKUP(E234,'Pre-Assessment Estimator'!$F$11:$AC$226,'Pre-Assessment Estimator'!$V$2,FALSE)&gt;AB234,AB234,VLOOKUP(E234,'Pre-Assessment Estimator'!$F$11:$AC$226,'Pre-Assessment Estimator'!$V$2,FALSE))</f>
        <v>0</v>
      </c>
      <c r="AM234" s="186" t="s">
        <v>11</v>
      </c>
      <c r="AN234" s="187" t="s">
        <v>11</v>
      </c>
      <c r="AO234" s="187" t="s">
        <v>11</v>
      </c>
      <c r="AP234" s="187" t="s">
        <v>11</v>
      </c>
      <c r="AQ234" s="188" t="s">
        <v>11</v>
      </c>
      <c r="AS234" s="186" t="s">
        <v>11</v>
      </c>
      <c r="AT234" s="187" t="s">
        <v>11</v>
      </c>
      <c r="AU234" s="187" t="s">
        <v>11</v>
      </c>
      <c r="AV234" s="187" t="s">
        <v>11</v>
      </c>
      <c r="AW234" s="188" t="s">
        <v>11</v>
      </c>
      <c r="AY234" s="153" t="str">
        <f t="shared" ref="AY234" si="598">IF($E$6=$H$9,AS234,AM234)</f>
        <v>Yes</v>
      </c>
      <c r="AZ234" s="154" t="str">
        <f t="shared" ref="AZ234" si="599">IF($E$6=$H$9,AT234,AN234)</f>
        <v>Yes</v>
      </c>
      <c r="BA234" s="154" t="str">
        <f t="shared" ref="BA234" si="600">IF($E$6=$H$9,AU234,AO234)</f>
        <v>Yes</v>
      </c>
      <c r="BB234" s="154" t="str">
        <f t="shared" ref="BB234" si="601">IF($E$6=$H$9,AV234,AP234)</f>
        <v>Yes</v>
      </c>
      <c r="BC234" s="925" t="str">
        <f t="shared" ref="BC234" si="602">IF($E$6=$H$9,AW234,AQ234)</f>
        <v>Yes</v>
      </c>
      <c r="BD234" s="160">
        <f>IF(AI234="Yes",5,0)</f>
        <v>0</v>
      </c>
      <c r="BE234" s="45" t="str">
        <f t="shared" ref="BE234:BE251" si="603">VLOOKUP(BD234,$BO$284:$BT$290,6,FALSE)</f>
        <v>Unclassified</v>
      </c>
      <c r="BF234" s="157"/>
      <c r="BG234" s="160">
        <f t="shared" ref="BG234" si="604">IF(AJ234="Yes",5,0)</f>
        <v>0</v>
      </c>
      <c r="BH234" s="45" t="str">
        <f t="shared" ref="BH234:BH251" si="605">VLOOKUP(BG234,$BO$284:$BT$290,6,FALSE)</f>
        <v>Unclassified</v>
      </c>
      <c r="BI234" s="157"/>
      <c r="BJ234" s="160">
        <f t="shared" ref="BJ234" si="606">IF(AK234="Yes",5,0)</f>
        <v>0</v>
      </c>
      <c r="BK234" s="45" t="str">
        <f t="shared" ref="BK234:BK251" si="607">VLOOKUP(BJ234,$BO$284:$BT$290,6,FALSE)</f>
        <v>Unclassified</v>
      </c>
      <c r="BL234" s="157"/>
      <c r="BO234" s="43"/>
      <c r="BP234" s="43"/>
      <c r="BQ234" s="43" t="str">
        <f t="shared" si="554"/>
        <v/>
      </c>
      <c r="BR234" s="43">
        <f t="shared" ref="BR234:BR249" si="608">IF(BQ234="",9,(IF(AI234=AD_Yes,5,0)))</f>
        <v>9</v>
      </c>
      <c r="BS234" s="43">
        <f t="shared" ref="BS234:BS249" si="609">IF(BQ234="",9,(IF(AJ234=AD_Yes,5,0)))</f>
        <v>9</v>
      </c>
      <c r="BT234" s="43">
        <f t="shared" ref="BT234:BT249" si="610">IF(BQ234="",9,(IF(AK234=AD_Yes,5,0)))</f>
        <v>9</v>
      </c>
      <c r="BW234" s="156"/>
      <c r="BX234" s="156"/>
      <c r="BY234" s="156"/>
      <c r="BZ234" s="156"/>
      <c r="CA234" s="156"/>
      <c r="CB234" s="156"/>
    </row>
    <row r="235" spans="1:81" x14ac:dyDescent="0.25">
      <c r="A235">
        <v>227</v>
      </c>
      <c r="B235" t="s">
        <v>1029</v>
      </c>
      <c r="C235" t="s">
        <v>116</v>
      </c>
      <c r="D235" s="920" t="s">
        <v>1029</v>
      </c>
      <c r="E235" s="921" t="s">
        <v>1031</v>
      </c>
      <c r="F235" s="816" t="s">
        <v>233</v>
      </c>
      <c r="G235" s="816" t="s">
        <v>233</v>
      </c>
      <c r="H235" s="816" t="s">
        <v>233</v>
      </c>
      <c r="I235" s="816" t="s">
        <v>233</v>
      </c>
      <c r="J235" s="816" t="s">
        <v>233</v>
      </c>
      <c r="K235" s="816" t="s">
        <v>233</v>
      </c>
      <c r="L235" s="816" t="s">
        <v>233</v>
      </c>
      <c r="M235" s="816" t="s">
        <v>233</v>
      </c>
      <c r="N235" s="816" t="s">
        <v>233</v>
      </c>
      <c r="O235" s="816" t="s">
        <v>233</v>
      </c>
      <c r="P235" s="816" t="s">
        <v>233</v>
      </c>
      <c r="Q235" s="922" t="s">
        <v>233</v>
      </c>
      <c r="R235" s="922" t="s">
        <v>233</v>
      </c>
      <c r="T235" s="184" t="str">
        <f t="shared" si="596"/>
        <v>Yes/No</v>
      </c>
      <c r="U235" s="148"/>
      <c r="V235" s="204"/>
      <c r="W235" s="43"/>
      <c r="X235" s="43"/>
      <c r="Y235" s="147"/>
      <c r="Z235" s="147"/>
      <c r="AA235" s="148"/>
      <c r="AB235" s="184" t="str">
        <f>T235</f>
        <v>Yes/No</v>
      </c>
      <c r="AD235" s="150"/>
      <c r="AE235" s="205" t="s">
        <v>234</v>
      </c>
      <c r="AF235" s="205" t="s">
        <v>234</v>
      </c>
      <c r="AG235" s="205" t="s">
        <v>234</v>
      </c>
      <c r="AI235" s="185">
        <f>IF(VLOOKUP(E235,'Pre-Assessment Estimator'!$F$11:$AC$226,'Pre-Assessment Estimator'!$H$2,FALSE)&gt;AB235,AB235,VLOOKUP(E235,'Pre-Assessment Estimator'!$F$11:$AC$226,'Pre-Assessment Estimator'!$H$2,FALSE))</f>
        <v>0</v>
      </c>
      <c r="AJ235" s="151">
        <f>IF(VLOOKUP(E235,'Pre-Assessment Estimator'!$F$11:$AC$226,'Pre-Assessment Estimator'!$O$2,FALSE)&gt;AB235,AB235,VLOOKUP(E235,'Pre-Assessment Estimator'!$F$11:$AC$226,'Pre-Assessment Estimator'!$O$2,FALSE))</f>
        <v>0</v>
      </c>
      <c r="AK235" s="151">
        <f>IF(VLOOKUP(E235,'Pre-Assessment Estimator'!$F$11:$AC$226,'Pre-Assessment Estimator'!$V$2,FALSE)&gt;AB235,AB235,VLOOKUP(E235,'Pre-Assessment Estimator'!$F$11:$AC$226,'Pre-Assessment Estimator'!$V$2,FALSE))</f>
        <v>0</v>
      </c>
      <c r="AM235" s="186" t="s">
        <v>11</v>
      </c>
      <c r="AN235" s="187" t="s">
        <v>11</v>
      </c>
      <c r="AO235" s="187" t="s">
        <v>11</v>
      </c>
      <c r="AP235" s="187" t="s">
        <v>11</v>
      </c>
      <c r="AQ235" s="188" t="s">
        <v>11</v>
      </c>
      <c r="AS235" s="186" t="s">
        <v>11</v>
      </c>
      <c r="AT235" s="187" t="s">
        <v>11</v>
      </c>
      <c r="AU235" s="187" t="s">
        <v>11</v>
      </c>
      <c r="AV235" s="187" t="s">
        <v>11</v>
      </c>
      <c r="AW235" s="188" t="s">
        <v>11</v>
      </c>
      <c r="AY235" s="153" t="str">
        <f t="shared" ref="AY235" si="611">IF($E$6=$H$9,AS235,AM235)</f>
        <v>Yes</v>
      </c>
      <c r="AZ235" s="154" t="str">
        <f t="shared" ref="AZ235" si="612">IF($E$6=$H$9,AT235,AN235)</f>
        <v>Yes</v>
      </c>
      <c r="BA235" s="154" t="str">
        <f t="shared" ref="BA235" si="613">IF($E$6=$H$9,AU235,AO235)</f>
        <v>Yes</v>
      </c>
      <c r="BB235" s="154" t="str">
        <f t="shared" ref="BB235" si="614">IF($E$6=$H$9,AV235,AP235)</f>
        <v>Yes</v>
      </c>
      <c r="BC235" s="925" t="str">
        <f t="shared" ref="BC235" si="615">IF($E$6=$H$9,AW235,AQ235)</f>
        <v>Yes</v>
      </c>
      <c r="BD235" s="160">
        <f>IF(AI235="Yes",5,0)</f>
        <v>0</v>
      </c>
      <c r="BE235" s="45" t="str">
        <f t="shared" si="603"/>
        <v>Unclassified</v>
      </c>
      <c r="BF235" s="157"/>
      <c r="BG235" s="160">
        <f t="shared" ref="BG235" si="616">IF(AJ235="Yes",5,0)</f>
        <v>0</v>
      </c>
      <c r="BH235" s="45" t="str">
        <f t="shared" si="605"/>
        <v>Unclassified</v>
      </c>
      <c r="BI235" s="157"/>
      <c r="BJ235" s="160">
        <f t="shared" ref="BJ235" si="617">IF(AK235="Yes",5,0)</f>
        <v>0</v>
      </c>
      <c r="BK235" s="45" t="str">
        <f t="shared" si="607"/>
        <v>Unclassified</v>
      </c>
      <c r="BL235" s="157"/>
      <c r="BO235" s="43"/>
      <c r="BP235" s="43"/>
      <c r="BQ235" s="43"/>
      <c r="BR235" s="43">
        <f t="shared" ref="BR235" si="618">IF(BQ235="",9,(IF(AI235=AD_Yes,5,0)))</f>
        <v>9</v>
      </c>
      <c r="BS235" s="43">
        <f t="shared" ref="BS235" si="619">IF(BQ235="",9,(IF(AJ235=AD_Yes,5,0)))</f>
        <v>9</v>
      </c>
      <c r="BT235" s="43">
        <f t="shared" ref="BT235" si="620">IF(BQ235="",9,(IF(AK235=AD_Yes,5,0)))</f>
        <v>9</v>
      </c>
      <c r="BW235" s="43"/>
      <c r="BX235" s="43"/>
      <c r="BY235" s="43"/>
      <c r="BZ235" s="43"/>
      <c r="CA235" s="43"/>
      <c r="CB235" s="43"/>
    </row>
    <row r="236" spans="1:81" x14ac:dyDescent="0.25">
      <c r="A236">
        <v>228</v>
      </c>
      <c r="B236" t="s">
        <v>732</v>
      </c>
      <c r="C236" t="s">
        <v>117</v>
      </c>
      <c r="D236" s="920" t="s">
        <v>732</v>
      </c>
      <c r="E236" s="921" t="s">
        <v>1074</v>
      </c>
      <c r="F236" s="816" t="s">
        <v>233</v>
      </c>
      <c r="G236" s="816" t="s">
        <v>233</v>
      </c>
      <c r="H236" s="816" t="s">
        <v>233</v>
      </c>
      <c r="I236" s="816" t="s">
        <v>233</v>
      </c>
      <c r="J236" s="816" t="s">
        <v>233</v>
      </c>
      <c r="K236" s="816" t="s">
        <v>233</v>
      </c>
      <c r="L236" s="816" t="s">
        <v>233</v>
      </c>
      <c r="M236" s="816" t="s">
        <v>233</v>
      </c>
      <c r="N236" s="816" t="s">
        <v>233</v>
      </c>
      <c r="O236" s="816" t="s">
        <v>233</v>
      </c>
      <c r="P236" s="816" t="s">
        <v>233</v>
      </c>
      <c r="Q236" s="922" t="s">
        <v>233</v>
      </c>
      <c r="R236" s="922" t="s">
        <v>233</v>
      </c>
      <c r="T236" s="184" t="str">
        <f t="shared" si="596"/>
        <v>Yes/No</v>
      </c>
      <c r="U236" s="148"/>
      <c r="V236" s="204"/>
      <c r="W236" s="43"/>
      <c r="X236" s="43"/>
      <c r="Y236" s="147"/>
      <c r="Z236" s="147"/>
      <c r="AA236" s="148"/>
      <c r="AB236" s="865" t="str">
        <f>IF(Hea02_credits=0,0,T236)</f>
        <v>Yes/No</v>
      </c>
      <c r="AD236" s="150"/>
      <c r="AE236" s="205" t="s">
        <v>234</v>
      </c>
      <c r="AF236" s="205" t="s">
        <v>234</v>
      </c>
      <c r="AG236" s="205" t="s">
        <v>234</v>
      </c>
      <c r="AI236" s="185">
        <f>IF(VLOOKUP(E236,'Pre-Assessment Estimator'!$F$11:$AC$226,'Pre-Assessment Estimator'!$H$2,FALSE)&gt;AB236,AB236,VLOOKUP(E236,'Pre-Assessment Estimator'!$F$11:$AC$226,'Pre-Assessment Estimator'!$H$2,FALSE))</f>
        <v>0</v>
      </c>
      <c r="AJ236" s="151">
        <f>IF(VLOOKUP(E236,'Pre-Assessment Estimator'!$F$11:$AC$226,'Pre-Assessment Estimator'!$O$2,FALSE)&gt;AB236,AB236,VLOOKUP(E236,'Pre-Assessment Estimator'!$F$11:$AC$226,'Pre-Assessment Estimator'!$O$2,FALSE))</f>
        <v>0</v>
      </c>
      <c r="AK236" s="151">
        <f>IF(VLOOKUP(E236,'Pre-Assessment Estimator'!$F$11:$AC$226,'Pre-Assessment Estimator'!$V$2,FALSE)&gt;AB236,AB236,VLOOKUP(E236,'Pre-Assessment Estimator'!$F$11:$AC$226,'Pre-Assessment Estimator'!$V$2,FALSE))</f>
        <v>0</v>
      </c>
      <c r="AM236" s="272" t="s">
        <v>11</v>
      </c>
      <c r="AN236" s="44" t="s">
        <v>11</v>
      </c>
      <c r="AO236" s="44" t="s">
        <v>11</v>
      </c>
      <c r="AP236" s="44" t="s">
        <v>11</v>
      </c>
      <c r="AQ236" s="158" t="s">
        <v>11</v>
      </c>
      <c r="AS236" s="923" t="s">
        <v>11</v>
      </c>
      <c r="AT236" s="46" t="s">
        <v>11</v>
      </c>
      <c r="AU236" s="46" t="s">
        <v>11</v>
      </c>
      <c r="AV236" s="46" t="s">
        <v>11</v>
      </c>
      <c r="AW236" s="924" t="s">
        <v>11</v>
      </c>
      <c r="AY236" s="721" t="str">
        <f t="shared" ref="AY236:BB237" si="621">IF($E$6=$H$9,AS236,AM236)</f>
        <v>Yes</v>
      </c>
      <c r="AZ236" s="722" t="str">
        <f t="shared" si="621"/>
        <v>Yes</v>
      </c>
      <c r="BA236" s="722" t="str">
        <f t="shared" si="621"/>
        <v>Yes</v>
      </c>
      <c r="BB236" s="722" t="str">
        <f t="shared" si="621"/>
        <v>Yes</v>
      </c>
      <c r="BC236" s="740" t="str">
        <f t="shared" ref="BC236:BC248" si="622">IF($E$6=$H$9,AW236,AQ236)</f>
        <v>Yes</v>
      </c>
      <c r="BD236" s="160">
        <f>IF(Hea02_credits=0,9,IF(AND(AI236="Yes"),5,0))</f>
        <v>0</v>
      </c>
      <c r="BE236" s="45" t="str">
        <f t="shared" si="603"/>
        <v>Unclassified</v>
      </c>
      <c r="BF236" s="723"/>
      <c r="BG236" s="160">
        <f>IF(Hea02_credits=0,9,IF(AND(AJ236="Yes"),5,0))</f>
        <v>0</v>
      </c>
      <c r="BH236" s="45" t="str">
        <f t="shared" si="605"/>
        <v>Unclassified</v>
      </c>
      <c r="BI236" s="723"/>
      <c r="BJ236" s="160">
        <f>IF(Hea02_credits=0,9,IF(AND(AK236="Yes"),5,0))</f>
        <v>0</v>
      </c>
      <c r="BK236" s="45" t="str">
        <f t="shared" si="607"/>
        <v>Unclassified</v>
      </c>
      <c r="BL236" s="723"/>
      <c r="BO236" s="43"/>
      <c r="BP236" s="43"/>
      <c r="BQ236" s="43" t="str">
        <f t="shared" si="554"/>
        <v/>
      </c>
      <c r="BR236" s="43">
        <f t="shared" si="608"/>
        <v>9</v>
      </c>
      <c r="BS236" s="43">
        <f t="shared" si="609"/>
        <v>9</v>
      </c>
      <c r="BT236" s="43">
        <f t="shared" si="610"/>
        <v>9</v>
      </c>
      <c r="BW236" s="45"/>
      <c r="BX236" s="45"/>
      <c r="BY236" s="45">
        <f>IFERROR(VLOOKUP($E236,'Pre-Assessment Estimator'!$F$11:$AJ$226,'Pre-Assessment Estimator'!AJ$2,FALSE),"")</f>
        <v>0</v>
      </c>
      <c r="BZ236" s="45" t="str">
        <f>IFERROR(VLOOKUP($BX236,$E$293:$H$326,F$291,FALSE),"")</f>
        <v/>
      </c>
      <c r="CA236" s="45" t="str">
        <f>IFERROR(VLOOKUP($BX236,$E$293:$H$326,G$291,FALSE),"")</f>
        <v/>
      </c>
      <c r="CB236" s="45"/>
      <c r="CC236" t="str">
        <f>IFERROR(VLOOKUP($BX236,$E$293:$H$326,I$291,FALSE),"")</f>
        <v/>
      </c>
    </row>
    <row r="237" spans="1:81" ht="15.75" thickBot="1" x14ac:dyDescent="0.3">
      <c r="A237">
        <v>229</v>
      </c>
      <c r="B237" t="s">
        <v>739</v>
      </c>
      <c r="C237" t="s">
        <v>120</v>
      </c>
      <c r="D237" s="191" t="s">
        <v>739</v>
      </c>
      <c r="E237" s="842" t="s">
        <v>614</v>
      </c>
      <c r="F237" s="668" t="s">
        <v>233</v>
      </c>
      <c r="G237" s="668" t="s">
        <v>233</v>
      </c>
      <c r="H237" s="668" t="s">
        <v>233</v>
      </c>
      <c r="I237" s="668" t="s">
        <v>233</v>
      </c>
      <c r="J237" s="668" t="s">
        <v>233</v>
      </c>
      <c r="K237" s="668" t="s">
        <v>233</v>
      </c>
      <c r="L237" s="668" t="s">
        <v>233</v>
      </c>
      <c r="M237" s="668" t="s">
        <v>233</v>
      </c>
      <c r="N237" s="668" t="s">
        <v>233</v>
      </c>
      <c r="O237" s="668" t="s">
        <v>233</v>
      </c>
      <c r="P237" s="668" t="s">
        <v>233</v>
      </c>
      <c r="Q237" s="669" t="s">
        <v>233</v>
      </c>
      <c r="R237" s="669" t="s">
        <v>233</v>
      </c>
      <c r="T237" s="148" t="str">
        <f t="shared" si="596"/>
        <v>Yes/No</v>
      </c>
      <c r="U237" s="206"/>
      <c r="V237" s="204"/>
      <c r="W237" s="43"/>
      <c r="X237" s="43"/>
      <c r="Y237" s="147"/>
      <c r="Z237" s="147"/>
      <c r="AA237" s="148"/>
      <c r="AB237" s="184" t="str">
        <f t="shared" si="597"/>
        <v>Yes/No</v>
      </c>
      <c r="AD237" s="150"/>
      <c r="AE237" s="205" t="s">
        <v>234</v>
      </c>
      <c r="AF237" s="205" t="s">
        <v>234</v>
      </c>
      <c r="AG237" s="205" t="s">
        <v>234</v>
      </c>
      <c r="AI237" s="185">
        <f>IF(VLOOKUP(E237,'Pre-Assessment Estimator'!$F$11:$AC$226,'Pre-Assessment Estimator'!$H$2,FALSE)&gt;AB237,AB237,VLOOKUP(E237,'Pre-Assessment Estimator'!$F$11:$AC$226,'Pre-Assessment Estimator'!$H$2,FALSE))</f>
        <v>0</v>
      </c>
      <c r="AJ237" s="151">
        <f>IF(VLOOKUP(E237,'Pre-Assessment Estimator'!$F$11:$AC$226,'Pre-Assessment Estimator'!$O$2,FALSE)&gt;AB237,AB237,VLOOKUP(E237,'Pre-Assessment Estimator'!$F$11:$AC$226,'Pre-Assessment Estimator'!$O$2,FALSE))</f>
        <v>0</v>
      </c>
      <c r="AK237" s="151">
        <f>IF(VLOOKUP(E237,'Pre-Assessment Estimator'!$F$11:$AC$226,'Pre-Assessment Estimator'!$V$2,FALSE)&gt;AB237,AB237,VLOOKUP(E237,'Pre-Assessment Estimator'!$F$11:$AC$226,'Pre-Assessment Estimator'!$V$2,FALSE))</f>
        <v>0</v>
      </c>
      <c r="AM237" s="272"/>
      <c r="AN237" s="44"/>
      <c r="AO237" s="44"/>
      <c r="AP237" s="44"/>
      <c r="AQ237" s="158"/>
      <c r="AS237" s="272"/>
      <c r="AT237" s="44"/>
      <c r="AU237" s="44"/>
      <c r="AV237" s="44"/>
      <c r="AW237" s="158"/>
      <c r="AY237" s="160">
        <f t="shared" si="621"/>
        <v>0</v>
      </c>
      <c r="AZ237" s="161">
        <f t="shared" si="621"/>
        <v>0</v>
      </c>
      <c r="BA237" s="161">
        <f t="shared" si="621"/>
        <v>0</v>
      </c>
      <c r="BB237" s="161">
        <f t="shared" si="621"/>
        <v>0</v>
      </c>
      <c r="BC237" s="165">
        <f t="shared" si="622"/>
        <v>0</v>
      </c>
      <c r="BD237" s="929">
        <v>9</v>
      </c>
      <c r="BE237" s="45" t="str">
        <f t="shared" si="603"/>
        <v>N/A</v>
      </c>
      <c r="BF237" s="163"/>
      <c r="BG237" s="929">
        <v>9</v>
      </c>
      <c r="BH237" s="45" t="str">
        <f t="shared" si="605"/>
        <v>N/A</v>
      </c>
      <c r="BI237" s="163"/>
      <c r="BJ237" s="929">
        <v>9</v>
      </c>
      <c r="BK237" s="45" t="str">
        <f t="shared" si="607"/>
        <v>N/A</v>
      </c>
      <c r="BL237" s="163"/>
      <c r="BO237" s="43"/>
      <c r="BP237" s="43"/>
      <c r="BQ237" s="43" t="str">
        <f t="shared" si="554"/>
        <v/>
      </c>
      <c r="BR237" s="43">
        <f t="shared" si="608"/>
        <v>9</v>
      </c>
      <c r="BS237" s="43">
        <f t="shared" si="609"/>
        <v>9</v>
      </c>
      <c r="BT237" s="43">
        <f t="shared" si="610"/>
        <v>9</v>
      </c>
      <c r="BW237" s="43"/>
      <c r="BX237" s="43"/>
      <c r="BY237" s="43">
        <f>IFERROR(VLOOKUP($E237,'Pre-Assessment Estimator'!$F$11:$AJ$226,'Pre-Assessment Estimator'!AJ$2,FALSE),"")</f>
        <v>0</v>
      </c>
      <c r="BZ237" s="43" t="str">
        <f>IFERROR(VLOOKUP($BX237,$E$293:$H$326,F$291,FALSE),"")</f>
        <v/>
      </c>
      <c r="CA237" s="43" t="str">
        <f>IFERROR(VLOOKUP($BX237,$E$293:$H$326,G$291,FALSE),"")</f>
        <v/>
      </c>
      <c r="CB237" s="43"/>
      <c r="CC237" t="str">
        <f>IFERROR(VLOOKUP($BX237,$E$293:$H$326,I$291,FALSE),"")</f>
        <v/>
      </c>
    </row>
    <row r="238" spans="1:81" ht="15.75" thickBot="1" x14ac:dyDescent="0.3">
      <c r="A238">
        <v>230</v>
      </c>
      <c r="B238" t="s">
        <v>769</v>
      </c>
      <c r="C238" t="s">
        <v>172</v>
      </c>
      <c r="D238" s="631" t="s">
        <v>769</v>
      </c>
      <c r="E238" s="836" t="s">
        <v>645</v>
      </c>
      <c r="F238" s="670" t="s">
        <v>233</v>
      </c>
      <c r="G238" s="670" t="s">
        <v>233</v>
      </c>
      <c r="H238" s="670" t="s">
        <v>233</v>
      </c>
      <c r="I238" s="670" t="s">
        <v>233</v>
      </c>
      <c r="J238" s="670" t="s">
        <v>233</v>
      </c>
      <c r="K238" s="670" t="s">
        <v>233</v>
      </c>
      <c r="L238" s="670" t="s">
        <v>233</v>
      </c>
      <c r="M238" s="670" t="s">
        <v>233</v>
      </c>
      <c r="N238" s="670" t="s">
        <v>233</v>
      </c>
      <c r="O238" s="670" t="s">
        <v>233</v>
      </c>
      <c r="P238" s="670" t="s">
        <v>233</v>
      </c>
      <c r="Q238" s="671" t="s">
        <v>233</v>
      </c>
      <c r="R238" s="671" t="s">
        <v>233</v>
      </c>
      <c r="T238" s="148" t="str">
        <f t="shared" si="596"/>
        <v>Yes/No</v>
      </c>
      <c r="U238" s="206"/>
      <c r="V238" s="204"/>
      <c r="W238" s="43"/>
      <c r="X238" s="43"/>
      <c r="Y238" s="147"/>
      <c r="Z238" s="147"/>
      <c r="AA238" s="148"/>
      <c r="AB238" s="184" t="str">
        <f t="shared" si="597"/>
        <v>Yes/No</v>
      </c>
      <c r="AD238" s="150"/>
      <c r="AE238" s="205" t="s">
        <v>234</v>
      </c>
      <c r="AF238" s="205" t="s">
        <v>234</v>
      </c>
      <c r="AG238" s="205" t="s">
        <v>234</v>
      </c>
      <c r="AI238" s="185">
        <f>IF(VLOOKUP(E238,'Pre-Assessment Estimator'!$F$11:$AC$226,'Pre-Assessment Estimator'!$H$2,FALSE)&gt;AB238,AB238,VLOOKUP(E238,'Pre-Assessment Estimator'!$F$11:$AC$226,'Pre-Assessment Estimator'!$H$2,FALSE))</f>
        <v>0</v>
      </c>
      <c r="AJ238" s="151">
        <f>IF(VLOOKUP(E238,'Pre-Assessment Estimator'!$F$11:$AC$226,'Pre-Assessment Estimator'!$O$2,FALSE)&gt;AB238,AB238,VLOOKUP(E238,'Pre-Assessment Estimator'!$F$11:$AC$226,'Pre-Assessment Estimator'!$O$2,FALSE))</f>
        <v>0</v>
      </c>
      <c r="AK238" s="151">
        <f>IF(VLOOKUP(E238,'Pre-Assessment Estimator'!$F$11:$AC$226,'Pre-Assessment Estimator'!$V$2,FALSE)&gt;AB238,AB238,VLOOKUP(E238,'Pre-Assessment Estimator'!$F$11:$AC$226,'Pre-Assessment Estimator'!$V$2,FALSE))</f>
        <v>0</v>
      </c>
      <c r="AM238" s="632" t="s">
        <v>11</v>
      </c>
      <c r="AN238" s="199" t="s">
        <v>11</v>
      </c>
      <c r="AO238" s="199" t="s">
        <v>11</v>
      </c>
      <c r="AP238" s="199" t="s">
        <v>11</v>
      </c>
      <c r="AQ238" s="200" t="s">
        <v>11</v>
      </c>
      <c r="AS238" s="632" t="s">
        <v>11</v>
      </c>
      <c r="AT238" s="199" t="s">
        <v>11</v>
      </c>
      <c r="AU238" s="199" t="s">
        <v>11</v>
      </c>
      <c r="AV238" s="199" t="s">
        <v>11</v>
      </c>
      <c r="AW238" s="200" t="s">
        <v>11</v>
      </c>
      <c r="AY238" s="160" t="str">
        <f t="shared" ref="AY238" si="623">IF($E$6=$H$9,AS238,AM238)</f>
        <v>Yes</v>
      </c>
      <c r="AZ238" s="161" t="str">
        <f t="shared" ref="AZ238" si="624">IF($E$6=$H$9,AT238,AN238)</f>
        <v>Yes</v>
      </c>
      <c r="BA238" s="161" t="str">
        <f t="shared" ref="BA238" si="625">IF($E$6=$H$9,AU238,AO238)</f>
        <v>Yes</v>
      </c>
      <c r="BB238" s="161" t="str">
        <f t="shared" ref="BB238" si="626">IF($E$6=$H$9,AV238,AP238)</f>
        <v>Yes</v>
      </c>
      <c r="BC238" s="165" t="str">
        <f t="shared" si="622"/>
        <v>Yes</v>
      </c>
      <c r="BD238" s="160">
        <f t="shared" ref="BD238:BD240" si="627">IF(AI238="Yes",5,0)</f>
        <v>0</v>
      </c>
      <c r="BE238" s="45" t="str">
        <f t="shared" si="603"/>
        <v>Unclassified</v>
      </c>
      <c r="BF238" s="163"/>
      <c r="BG238" s="160">
        <f t="shared" ref="BG238:BG240" si="628">IF(AJ238="Yes",5,0)</f>
        <v>0</v>
      </c>
      <c r="BH238" s="45" t="str">
        <f t="shared" si="605"/>
        <v>Unclassified</v>
      </c>
      <c r="BI238" s="163"/>
      <c r="BJ238" s="160">
        <f t="shared" ref="BJ238:BJ240" si="629">IF(AK238="Yes",5,0)</f>
        <v>0</v>
      </c>
      <c r="BK238" s="45" t="str">
        <f t="shared" si="607"/>
        <v>Unclassified</v>
      </c>
      <c r="BL238" s="163"/>
      <c r="BO238" s="43"/>
      <c r="BP238" s="43"/>
      <c r="BQ238" s="43" t="str">
        <f t="shared" si="554"/>
        <v/>
      </c>
      <c r="BR238" s="43">
        <f t="shared" si="608"/>
        <v>9</v>
      </c>
      <c r="BS238" s="43">
        <f t="shared" si="609"/>
        <v>9</v>
      </c>
      <c r="BT238" s="43">
        <f t="shared" si="610"/>
        <v>9</v>
      </c>
      <c r="BW238" s="48"/>
      <c r="BX238" s="48"/>
      <c r="BY238" s="48"/>
      <c r="BZ238" s="48"/>
      <c r="CA238" s="48"/>
      <c r="CB238" s="48"/>
    </row>
    <row r="239" spans="1:81" ht="15.75" thickBot="1" x14ac:dyDescent="0.3">
      <c r="A239">
        <v>231</v>
      </c>
      <c r="B239" t="s">
        <v>772</v>
      </c>
      <c r="C239" t="s">
        <v>477</v>
      </c>
      <c r="D239" s="631" t="s">
        <v>772</v>
      </c>
      <c r="E239" s="1039" t="s">
        <v>1043</v>
      </c>
      <c r="F239" s="670" t="s">
        <v>233</v>
      </c>
      <c r="G239" s="670" t="s">
        <v>233</v>
      </c>
      <c r="H239" s="670" t="s">
        <v>233</v>
      </c>
      <c r="I239" s="670" t="s">
        <v>233</v>
      </c>
      <c r="J239" s="670" t="s">
        <v>233</v>
      </c>
      <c r="K239" s="670" t="s">
        <v>233</v>
      </c>
      <c r="L239" s="670" t="s">
        <v>233</v>
      </c>
      <c r="M239" s="670" t="s">
        <v>233</v>
      </c>
      <c r="N239" s="670" t="s">
        <v>233</v>
      </c>
      <c r="O239" s="670" t="s">
        <v>233</v>
      </c>
      <c r="P239" s="670" t="s">
        <v>233</v>
      </c>
      <c r="Q239" s="671" t="s">
        <v>233</v>
      </c>
      <c r="R239" s="671" t="s">
        <v>233</v>
      </c>
      <c r="T239" s="148" t="str">
        <f t="shared" si="596"/>
        <v>Yes/No</v>
      </c>
      <c r="U239" s="206"/>
      <c r="V239" s="204"/>
      <c r="W239" s="43"/>
      <c r="X239" s="43"/>
      <c r="Y239" s="147"/>
      <c r="Z239" s="147"/>
      <c r="AA239" s="148"/>
      <c r="AB239" s="184" t="str">
        <f t="shared" si="597"/>
        <v>Yes/No</v>
      </c>
      <c r="AD239" s="150"/>
      <c r="AE239" s="205" t="s">
        <v>234</v>
      </c>
      <c r="AF239" s="205" t="s">
        <v>234</v>
      </c>
      <c r="AG239" s="205" t="s">
        <v>234</v>
      </c>
      <c r="AI239" s="185">
        <f>IF(VLOOKUP(E239,'Pre-Assessment Estimator'!$F$11:$AC$226,'Pre-Assessment Estimator'!$H$2,FALSE)&gt;AB239,AB239,VLOOKUP(E239,'Pre-Assessment Estimator'!$F$11:$AC$226,'Pre-Assessment Estimator'!$H$2,FALSE))</f>
        <v>0</v>
      </c>
      <c r="AJ239" s="151">
        <f>IF(VLOOKUP(E239,'Pre-Assessment Estimator'!$F$11:$AC$226,'Pre-Assessment Estimator'!$O$2,FALSE)&gt;AB239,AB239,VLOOKUP(E239,'Pre-Assessment Estimator'!$F$11:$AC$226,'Pre-Assessment Estimator'!$O$2,FALSE))</f>
        <v>0</v>
      </c>
      <c r="AK239" s="151">
        <f>IF(VLOOKUP(E239,'Pre-Assessment Estimator'!$F$11:$AC$226,'Pre-Assessment Estimator'!$V$2,FALSE)&gt;AB239,AB239,VLOOKUP(E239,'Pre-Assessment Estimator'!$F$11:$AC$226,'Pre-Assessment Estimator'!$V$2,FALSE))</f>
        <v>0</v>
      </c>
      <c r="AM239" s="833" t="s">
        <v>11</v>
      </c>
      <c r="AN239" s="834" t="s">
        <v>11</v>
      </c>
      <c r="AO239" s="834" t="s">
        <v>11</v>
      </c>
      <c r="AP239" s="834" t="s">
        <v>11</v>
      </c>
      <c r="AQ239" s="835" t="s">
        <v>11</v>
      </c>
      <c r="AR239" s="121"/>
      <c r="AS239" s="833" t="s">
        <v>11</v>
      </c>
      <c r="AT239" s="834" t="s">
        <v>11</v>
      </c>
      <c r="AU239" s="834" t="s">
        <v>11</v>
      </c>
      <c r="AV239" s="834" t="s">
        <v>11</v>
      </c>
      <c r="AW239" s="835" t="s">
        <v>11</v>
      </c>
      <c r="AY239" s="160" t="str">
        <f t="shared" ref="AY239:AY244" si="630">IF($E$6=$H$9,AS239,AM239)</f>
        <v>Yes</v>
      </c>
      <c r="AZ239" s="161" t="str">
        <f t="shared" ref="AZ239:AZ244" si="631">IF($E$6=$H$9,AT239,AN239)</f>
        <v>Yes</v>
      </c>
      <c r="BA239" s="161" t="str">
        <f t="shared" ref="BA239:BA244" si="632">IF($E$6=$H$9,AU239,AO239)</f>
        <v>Yes</v>
      </c>
      <c r="BB239" s="161" t="str">
        <f t="shared" ref="BB239:BB244" si="633">IF($E$6=$H$9,AV239,AP239)</f>
        <v>Yes</v>
      </c>
      <c r="BC239" s="165" t="str">
        <f t="shared" si="622"/>
        <v>Yes</v>
      </c>
      <c r="BD239" s="160">
        <f t="shared" si="627"/>
        <v>0</v>
      </c>
      <c r="BE239" s="45" t="str">
        <f t="shared" si="603"/>
        <v>Unclassified</v>
      </c>
      <c r="BF239" s="163"/>
      <c r="BG239" s="160">
        <f t="shared" si="628"/>
        <v>0</v>
      </c>
      <c r="BH239" s="45" t="str">
        <f t="shared" si="605"/>
        <v>Unclassified</v>
      </c>
      <c r="BI239" s="163"/>
      <c r="BJ239" s="160">
        <f t="shared" si="629"/>
        <v>0</v>
      </c>
      <c r="BK239" s="45" t="str">
        <f t="shared" si="607"/>
        <v>Unclassified</v>
      </c>
      <c r="BL239" s="163"/>
      <c r="BO239" s="43"/>
      <c r="BP239" s="43" t="s">
        <v>11</v>
      </c>
      <c r="BQ239" s="43" t="str">
        <f t="shared" si="554"/>
        <v>Yes</v>
      </c>
      <c r="BR239" s="43">
        <f t="shared" si="608"/>
        <v>0</v>
      </c>
      <c r="BS239" s="43">
        <f t="shared" si="609"/>
        <v>0</v>
      </c>
      <c r="BT239" s="43">
        <f t="shared" si="610"/>
        <v>0</v>
      </c>
      <c r="BW239" s="48"/>
      <c r="BX239" s="48"/>
      <c r="BY239" s="48"/>
      <c r="BZ239" s="48"/>
      <c r="CA239" s="48"/>
      <c r="CB239" s="48"/>
    </row>
    <row r="240" spans="1:81" ht="15.75" thickBot="1" x14ac:dyDescent="0.3">
      <c r="A240">
        <v>232</v>
      </c>
      <c r="B240" t="s">
        <v>775</v>
      </c>
      <c r="C240" t="s">
        <v>173</v>
      </c>
      <c r="D240" s="631" t="s">
        <v>775</v>
      </c>
      <c r="E240" s="837" t="s">
        <v>981</v>
      </c>
      <c r="F240" s="670" t="s">
        <v>233</v>
      </c>
      <c r="G240" s="670" t="s">
        <v>233</v>
      </c>
      <c r="H240" s="670" t="s">
        <v>233</v>
      </c>
      <c r="I240" s="670" t="s">
        <v>233</v>
      </c>
      <c r="J240" s="670" t="s">
        <v>233</v>
      </c>
      <c r="K240" s="670" t="s">
        <v>233</v>
      </c>
      <c r="L240" s="670" t="s">
        <v>233</v>
      </c>
      <c r="M240" s="670" t="s">
        <v>233</v>
      </c>
      <c r="N240" s="670" t="s">
        <v>233</v>
      </c>
      <c r="O240" s="670" t="s">
        <v>233</v>
      </c>
      <c r="P240" s="670" t="s">
        <v>233</v>
      </c>
      <c r="Q240" s="671" t="s">
        <v>233</v>
      </c>
      <c r="R240" s="671" t="s">
        <v>233</v>
      </c>
      <c r="T240" s="148" t="str">
        <f t="shared" si="596"/>
        <v>Yes/No</v>
      </c>
      <c r="U240" s="206"/>
      <c r="V240" s="204"/>
      <c r="W240" s="43"/>
      <c r="X240" s="43"/>
      <c r="Y240" s="147"/>
      <c r="Z240" s="147"/>
      <c r="AA240" s="148"/>
      <c r="AB240" s="184" t="str">
        <f t="shared" si="597"/>
        <v>Yes/No</v>
      </c>
      <c r="AD240" s="150"/>
      <c r="AE240" s="205" t="s">
        <v>234</v>
      </c>
      <c r="AF240" s="205" t="s">
        <v>234</v>
      </c>
      <c r="AG240" s="205" t="s">
        <v>234</v>
      </c>
      <c r="AI240" s="185">
        <f>IF(VLOOKUP(E240,'Pre-Assessment Estimator'!$F$11:$AC$226,'Pre-Assessment Estimator'!$H$2,FALSE)&gt;AB240,AB240,VLOOKUP(E240,'Pre-Assessment Estimator'!$F$11:$AC$226,'Pre-Assessment Estimator'!$H$2,FALSE))</f>
        <v>0</v>
      </c>
      <c r="AJ240" s="151">
        <f>IF(VLOOKUP(E240,'Pre-Assessment Estimator'!$F$11:$AC$226,'Pre-Assessment Estimator'!$O$2,FALSE)&gt;AB240,AB240,VLOOKUP(E240,'Pre-Assessment Estimator'!$F$11:$AC$226,'Pre-Assessment Estimator'!$O$2,FALSE))</f>
        <v>0</v>
      </c>
      <c r="AK240" s="151">
        <f>IF(VLOOKUP(E240,'Pre-Assessment Estimator'!$F$11:$AC$226,'Pre-Assessment Estimator'!$V$2,FALSE)&gt;AB240,AB240,VLOOKUP(E240,'Pre-Assessment Estimator'!$F$11:$AC$226,'Pre-Assessment Estimator'!$V$2,FALSE))</f>
        <v>0</v>
      </c>
      <c r="AM240" s="833" t="s">
        <v>11</v>
      </c>
      <c r="AN240" s="834" t="s">
        <v>11</v>
      </c>
      <c r="AO240" s="834" t="s">
        <v>11</v>
      </c>
      <c r="AP240" s="834" t="s">
        <v>11</v>
      </c>
      <c r="AQ240" s="835" t="s">
        <v>11</v>
      </c>
      <c r="AR240" s="121"/>
      <c r="AS240" s="833" t="s">
        <v>11</v>
      </c>
      <c r="AT240" s="834" t="s">
        <v>11</v>
      </c>
      <c r="AU240" s="834" t="s">
        <v>11</v>
      </c>
      <c r="AV240" s="834" t="s">
        <v>11</v>
      </c>
      <c r="AW240" s="835" t="s">
        <v>11</v>
      </c>
      <c r="AY240" s="160" t="str">
        <f t="shared" si="630"/>
        <v>Yes</v>
      </c>
      <c r="AZ240" s="161" t="str">
        <f t="shared" si="631"/>
        <v>Yes</v>
      </c>
      <c r="BA240" s="161" t="str">
        <f t="shared" si="632"/>
        <v>Yes</v>
      </c>
      <c r="BB240" s="161" t="str">
        <f t="shared" si="633"/>
        <v>Yes</v>
      </c>
      <c r="BC240" s="165" t="str">
        <f t="shared" si="622"/>
        <v>Yes</v>
      </c>
      <c r="BD240" s="160">
        <f t="shared" si="627"/>
        <v>0</v>
      </c>
      <c r="BE240" s="45" t="str">
        <f t="shared" si="603"/>
        <v>Unclassified</v>
      </c>
      <c r="BF240" s="163"/>
      <c r="BG240" s="160">
        <f t="shared" si="628"/>
        <v>0</v>
      </c>
      <c r="BH240" s="45" t="str">
        <f t="shared" si="605"/>
        <v>Unclassified</v>
      </c>
      <c r="BI240" s="163"/>
      <c r="BJ240" s="160">
        <f t="shared" si="629"/>
        <v>0</v>
      </c>
      <c r="BK240" s="45" t="str">
        <f t="shared" si="607"/>
        <v>Unclassified</v>
      </c>
      <c r="BL240" s="163"/>
      <c r="BO240" s="43"/>
      <c r="BP240" s="43"/>
      <c r="BQ240" s="43" t="str">
        <f t="shared" si="554"/>
        <v/>
      </c>
      <c r="BR240" s="43">
        <f t="shared" si="608"/>
        <v>9</v>
      </c>
      <c r="BS240" s="43">
        <f t="shared" si="609"/>
        <v>9</v>
      </c>
      <c r="BT240" s="43">
        <f t="shared" si="610"/>
        <v>9</v>
      </c>
      <c r="BW240" s="48"/>
      <c r="BX240" s="48"/>
      <c r="BY240" s="48"/>
      <c r="BZ240" s="48"/>
      <c r="CA240" s="48"/>
      <c r="CB240" s="48"/>
    </row>
    <row r="241" spans="1:81" ht="15.75" thickBot="1" x14ac:dyDescent="0.3">
      <c r="A241">
        <v>233</v>
      </c>
      <c r="B241" t="s">
        <v>778</v>
      </c>
      <c r="C241" t="s">
        <v>174</v>
      </c>
      <c r="D241" s="631" t="s">
        <v>778</v>
      </c>
      <c r="E241" s="837" t="s">
        <v>654</v>
      </c>
      <c r="F241" s="670" t="s">
        <v>233</v>
      </c>
      <c r="G241" s="670" t="s">
        <v>233</v>
      </c>
      <c r="H241" s="670" t="s">
        <v>233</v>
      </c>
      <c r="I241" s="670" t="s">
        <v>233</v>
      </c>
      <c r="J241" s="670" t="s">
        <v>233</v>
      </c>
      <c r="K241" s="670" t="s">
        <v>233</v>
      </c>
      <c r="L241" s="670" t="s">
        <v>233</v>
      </c>
      <c r="M241" s="670" t="s">
        <v>233</v>
      </c>
      <c r="N241" s="670" t="s">
        <v>233</v>
      </c>
      <c r="O241" s="670" t="s">
        <v>233</v>
      </c>
      <c r="P241" s="670" t="s">
        <v>233</v>
      </c>
      <c r="Q241" s="671" t="s">
        <v>233</v>
      </c>
      <c r="R241" s="671" t="s">
        <v>233</v>
      </c>
      <c r="T241" s="148" t="str">
        <f t="shared" si="596"/>
        <v>Yes/No</v>
      </c>
      <c r="U241" s="206"/>
      <c r="V241" s="204"/>
      <c r="W241" s="43"/>
      <c r="X241" s="43"/>
      <c r="Y241" s="147"/>
      <c r="Z241" s="147"/>
      <c r="AA241" s="148"/>
      <c r="AB241" s="184" t="str">
        <f t="shared" si="597"/>
        <v>Yes/No</v>
      </c>
      <c r="AD241" s="150"/>
      <c r="AE241" s="205" t="s">
        <v>234</v>
      </c>
      <c r="AF241" s="205" t="s">
        <v>234</v>
      </c>
      <c r="AG241" s="205" t="s">
        <v>234</v>
      </c>
      <c r="AI241" s="185">
        <f>IF(VLOOKUP(E241,'Pre-Assessment Estimator'!$F$11:$AC$226,'Pre-Assessment Estimator'!$H$2,FALSE)&gt;AB241,AB241,VLOOKUP(E241,'Pre-Assessment Estimator'!$F$11:$AC$226,'Pre-Assessment Estimator'!$H$2,FALSE))</f>
        <v>0</v>
      </c>
      <c r="AJ241" s="151">
        <f>IF(VLOOKUP(E241,'Pre-Assessment Estimator'!$F$11:$AC$226,'Pre-Assessment Estimator'!$O$2,FALSE)&gt;AB241,AB241,VLOOKUP(E241,'Pre-Assessment Estimator'!$F$11:$AC$226,'Pre-Assessment Estimator'!$O$2,FALSE))</f>
        <v>0</v>
      </c>
      <c r="AK241" s="151">
        <f>IF(VLOOKUP(E241,'Pre-Assessment Estimator'!$F$11:$AC$226,'Pre-Assessment Estimator'!$V$2,FALSE)&gt;AB241,AB241,VLOOKUP(E241,'Pre-Assessment Estimator'!$F$11:$AC$226,'Pre-Assessment Estimator'!$V$2,FALSE))</f>
        <v>0</v>
      </c>
      <c r="AM241" s="632"/>
      <c r="AN241" s="199"/>
      <c r="AO241" s="199"/>
      <c r="AP241" s="199"/>
      <c r="AQ241" s="200"/>
      <c r="AS241" s="632"/>
      <c r="AT241" s="199"/>
      <c r="AU241" s="199"/>
      <c r="AV241" s="199"/>
      <c r="AW241" s="200"/>
      <c r="AY241" s="160">
        <f t="shared" ref="AY241" si="634">IF($E$6=$H$9,AS241,AM241)</f>
        <v>0</v>
      </c>
      <c r="AZ241" s="161">
        <f t="shared" ref="AZ241" si="635">IF($E$6=$H$9,AT241,AN241)</f>
        <v>0</v>
      </c>
      <c r="BA241" s="161">
        <f t="shared" ref="BA241" si="636">IF($E$6=$H$9,AU241,AO241)</f>
        <v>0</v>
      </c>
      <c r="BB241" s="161">
        <f t="shared" ref="BB241" si="637">IF($E$6=$H$9,AV241,AP241)</f>
        <v>0</v>
      </c>
      <c r="BC241" s="165">
        <f t="shared" ref="BC241" si="638">IF($E$6=$H$9,AW241,AQ241)</f>
        <v>0</v>
      </c>
      <c r="BD241" s="929">
        <v>9</v>
      </c>
      <c r="BE241" s="45" t="str">
        <f t="shared" si="603"/>
        <v>N/A</v>
      </c>
      <c r="BF241" s="163"/>
      <c r="BG241" s="929">
        <v>9</v>
      </c>
      <c r="BH241" s="45" t="str">
        <f t="shared" si="605"/>
        <v>N/A</v>
      </c>
      <c r="BI241" s="163"/>
      <c r="BJ241" s="929">
        <v>9</v>
      </c>
      <c r="BK241" s="45" t="str">
        <f t="shared" si="607"/>
        <v>N/A</v>
      </c>
      <c r="BL241" s="163"/>
      <c r="BO241" s="43"/>
      <c r="BP241" s="43"/>
      <c r="BQ241" s="43" t="str">
        <f t="shared" si="554"/>
        <v/>
      </c>
      <c r="BR241" s="43">
        <f t="shared" si="608"/>
        <v>9</v>
      </c>
      <c r="BS241" s="43">
        <f t="shared" si="609"/>
        <v>9</v>
      </c>
      <c r="BT241" s="43">
        <f t="shared" si="610"/>
        <v>9</v>
      </c>
      <c r="BW241" s="48"/>
      <c r="BX241" s="48"/>
      <c r="BY241" s="48"/>
      <c r="BZ241" s="48"/>
      <c r="CA241" s="48"/>
      <c r="CB241" s="48"/>
    </row>
    <row r="242" spans="1:81" ht="15.75" thickBot="1" x14ac:dyDescent="0.3">
      <c r="A242">
        <v>234</v>
      </c>
      <c r="B242" t="s">
        <v>797</v>
      </c>
      <c r="C242" t="s">
        <v>180</v>
      </c>
      <c r="D242" s="631" t="s">
        <v>797</v>
      </c>
      <c r="E242" s="837" t="s">
        <v>1017</v>
      </c>
      <c r="F242" s="670" t="s">
        <v>233</v>
      </c>
      <c r="G242" s="670" t="s">
        <v>233</v>
      </c>
      <c r="H242" s="670" t="s">
        <v>233</v>
      </c>
      <c r="I242" s="670" t="s">
        <v>233</v>
      </c>
      <c r="J242" s="670" t="s">
        <v>233</v>
      </c>
      <c r="K242" s="670" t="s">
        <v>233</v>
      </c>
      <c r="L242" s="670" t="s">
        <v>233</v>
      </c>
      <c r="M242" s="670" t="s">
        <v>233</v>
      </c>
      <c r="N242" s="670" t="s">
        <v>233</v>
      </c>
      <c r="O242" s="670" t="s">
        <v>233</v>
      </c>
      <c r="P242" s="670" t="s">
        <v>233</v>
      </c>
      <c r="Q242" s="671" t="s">
        <v>233</v>
      </c>
      <c r="R242" s="671" t="s">
        <v>233</v>
      </c>
      <c r="T242" s="148" t="str">
        <f t="shared" si="596"/>
        <v>Yes/No</v>
      </c>
      <c r="U242" s="206"/>
      <c r="V242" s="204"/>
      <c r="W242" s="43"/>
      <c r="X242" s="43"/>
      <c r="Y242" s="147"/>
      <c r="Z242" s="147"/>
      <c r="AA242" s="148"/>
      <c r="AB242" s="184" t="str">
        <f t="shared" si="597"/>
        <v>Yes/No</v>
      </c>
      <c r="AD242" s="150"/>
      <c r="AE242" s="205" t="s">
        <v>234</v>
      </c>
      <c r="AF242" s="205" t="s">
        <v>234</v>
      </c>
      <c r="AG242" s="205" t="s">
        <v>234</v>
      </c>
      <c r="AI242" s="185">
        <f>IF(VLOOKUP(E242,'Pre-Assessment Estimator'!$F$11:$AC$226,'Pre-Assessment Estimator'!$H$2,FALSE)&gt;AB242,AB242,VLOOKUP(E242,'Pre-Assessment Estimator'!$F$11:$AC$226,'Pre-Assessment Estimator'!$H$2,FALSE))</f>
        <v>0</v>
      </c>
      <c r="AJ242" s="151">
        <f>IF(VLOOKUP(E242,'Pre-Assessment Estimator'!$F$11:$AC$226,'Pre-Assessment Estimator'!$O$2,FALSE)&gt;AB242,AB242,VLOOKUP(E242,'Pre-Assessment Estimator'!$F$11:$AC$226,'Pre-Assessment Estimator'!$O$2,FALSE))</f>
        <v>0</v>
      </c>
      <c r="AK242" s="151">
        <f>IF(VLOOKUP(E242,'Pre-Assessment Estimator'!$F$11:$AC$226,'Pre-Assessment Estimator'!$V$2,FALSE)&gt;AB242,AB242,VLOOKUP(E242,'Pre-Assessment Estimator'!$F$11:$AC$226,'Pre-Assessment Estimator'!$V$2,FALSE))</f>
        <v>0</v>
      </c>
      <c r="AM242" s="632"/>
      <c r="AN242" s="199"/>
      <c r="AO242" s="199"/>
      <c r="AP242" s="199"/>
      <c r="AQ242" s="200"/>
      <c r="AS242" s="632"/>
      <c r="AT242" s="199"/>
      <c r="AU242" s="199"/>
      <c r="AV242" s="199"/>
      <c r="AW242" s="200"/>
      <c r="AY242" s="160">
        <f t="shared" si="630"/>
        <v>0</v>
      </c>
      <c r="AZ242" s="161">
        <f t="shared" si="631"/>
        <v>0</v>
      </c>
      <c r="BA242" s="161">
        <f t="shared" si="632"/>
        <v>0</v>
      </c>
      <c r="BB242" s="161">
        <f t="shared" si="633"/>
        <v>0</v>
      </c>
      <c r="BC242" s="165">
        <f t="shared" si="622"/>
        <v>0</v>
      </c>
      <c r="BD242" s="929">
        <v>9</v>
      </c>
      <c r="BE242" s="45" t="str">
        <f t="shared" si="603"/>
        <v>N/A</v>
      </c>
      <c r="BF242" s="163"/>
      <c r="BG242" s="929">
        <v>9</v>
      </c>
      <c r="BH242" s="45" t="str">
        <f t="shared" si="605"/>
        <v>N/A</v>
      </c>
      <c r="BI242" s="163"/>
      <c r="BJ242" s="929">
        <v>9</v>
      </c>
      <c r="BK242" s="45" t="str">
        <f t="shared" si="607"/>
        <v>N/A</v>
      </c>
      <c r="BL242" s="163"/>
      <c r="BO242" s="43"/>
      <c r="BP242" s="43"/>
      <c r="BQ242" s="43"/>
      <c r="BR242" s="43">
        <f t="shared" si="608"/>
        <v>9</v>
      </c>
      <c r="BS242" s="43">
        <f t="shared" si="609"/>
        <v>9</v>
      </c>
      <c r="BT242" s="43">
        <f t="shared" si="610"/>
        <v>9</v>
      </c>
      <c r="BW242" s="48"/>
      <c r="BX242" s="48"/>
      <c r="BY242" s="48"/>
      <c r="BZ242" s="48"/>
      <c r="CA242" s="48"/>
      <c r="CB242" s="48"/>
    </row>
    <row r="243" spans="1:81" ht="15.75" thickBot="1" x14ac:dyDescent="0.3">
      <c r="A243">
        <v>235</v>
      </c>
      <c r="B243" t="s">
        <v>800</v>
      </c>
      <c r="C243" t="s">
        <v>479</v>
      </c>
      <c r="D243" s="631" t="s">
        <v>800</v>
      </c>
      <c r="E243" s="837" t="s">
        <v>674</v>
      </c>
      <c r="F243" s="670" t="s">
        <v>233</v>
      </c>
      <c r="G243" s="670" t="s">
        <v>233</v>
      </c>
      <c r="H243" s="670" t="s">
        <v>233</v>
      </c>
      <c r="I243" s="670" t="s">
        <v>233</v>
      </c>
      <c r="J243" s="670" t="s">
        <v>233</v>
      </c>
      <c r="K243" s="670" t="s">
        <v>233</v>
      </c>
      <c r="L243" s="670" t="s">
        <v>233</v>
      </c>
      <c r="M243" s="670" t="s">
        <v>233</v>
      </c>
      <c r="N243" s="670" t="s">
        <v>233</v>
      </c>
      <c r="O243" s="670" t="s">
        <v>233</v>
      </c>
      <c r="P243" s="670" t="s">
        <v>233</v>
      </c>
      <c r="Q243" s="671" t="s">
        <v>233</v>
      </c>
      <c r="R243" s="671" t="s">
        <v>233</v>
      </c>
      <c r="T243" s="148" t="str">
        <f t="shared" si="596"/>
        <v>Yes/No</v>
      </c>
      <c r="U243" s="206"/>
      <c r="V243" s="204"/>
      <c r="W243" s="43"/>
      <c r="X243" s="43"/>
      <c r="Y243" s="147"/>
      <c r="Z243" s="147"/>
      <c r="AA243" s="148"/>
      <c r="AB243" s="184" t="str">
        <f t="shared" si="597"/>
        <v>Yes/No</v>
      </c>
      <c r="AD243" s="150"/>
      <c r="AE243" s="205" t="s">
        <v>234</v>
      </c>
      <c r="AF243" s="205" t="s">
        <v>234</v>
      </c>
      <c r="AG243" s="205" t="s">
        <v>234</v>
      </c>
      <c r="AI243" s="185" t="str">
        <f>IF(AI173+AI174=LE02_credits,AD_Yes,AD_no)</f>
        <v>No</v>
      </c>
      <c r="AJ243" s="151" t="str">
        <f>IF(AJ173+AJ174=LE02_credits,AD_Yes,AD_no)</f>
        <v>No</v>
      </c>
      <c r="AK243" s="151" t="str">
        <f>IF(AK173+AK174=LE02_credits,AD_Yes,AD_no)</f>
        <v>No</v>
      </c>
      <c r="AM243" s="632"/>
      <c r="AN243" s="199"/>
      <c r="AO243" s="199"/>
      <c r="AP243" s="199"/>
      <c r="AQ243" s="200"/>
      <c r="AS243" s="632"/>
      <c r="AT243" s="199"/>
      <c r="AU243" s="199"/>
      <c r="AV243" s="199"/>
      <c r="AW243" s="200"/>
      <c r="AY243" s="160">
        <f t="shared" si="630"/>
        <v>0</v>
      </c>
      <c r="AZ243" s="161">
        <f t="shared" si="631"/>
        <v>0</v>
      </c>
      <c r="BA243" s="161">
        <f t="shared" si="632"/>
        <v>0</v>
      </c>
      <c r="BB243" s="161">
        <f t="shared" si="633"/>
        <v>0</v>
      </c>
      <c r="BC243" s="165">
        <f t="shared" si="622"/>
        <v>0</v>
      </c>
      <c r="BD243" s="929">
        <v>9</v>
      </c>
      <c r="BE243" s="45" t="str">
        <f t="shared" si="603"/>
        <v>N/A</v>
      </c>
      <c r="BF243" s="163"/>
      <c r="BG243" s="929">
        <v>9</v>
      </c>
      <c r="BH243" s="45" t="str">
        <f t="shared" si="605"/>
        <v>N/A</v>
      </c>
      <c r="BI243" s="163"/>
      <c r="BJ243" s="929">
        <v>9</v>
      </c>
      <c r="BK243" s="45" t="str">
        <f t="shared" si="607"/>
        <v>N/A</v>
      </c>
      <c r="BL243" s="163"/>
      <c r="BO243" s="43"/>
      <c r="BP243" s="43"/>
      <c r="BQ243" s="43" t="str">
        <f t="shared" si="554"/>
        <v/>
      </c>
      <c r="BR243" s="43">
        <f t="shared" si="608"/>
        <v>9</v>
      </c>
      <c r="BS243" s="43">
        <f t="shared" si="609"/>
        <v>9</v>
      </c>
      <c r="BT243" s="43">
        <f t="shared" si="610"/>
        <v>9</v>
      </c>
      <c r="BW243" s="48"/>
      <c r="BX243" s="48"/>
      <c r="BY243" s="48"/>
      <c r="BZ243" s="48"/>
      <c r="CA243" s="48"/>
      <c r="CB243" s="48"/>
    </row>
    <row r="244" spans="1:81" ht="15.75" thickBot="1" x14ac:dyDescent="0.3">
      <c r="A244">
        <v>236</v>
      </c>
      <c r="B244" t="s">
        <v>803</v>
      </c>
      <c r="C244" t="s">
        <v>181</v>
      </c>
      <c r="D244" s="631" t="s">
        <v>803</v>
      </c>
      <c r="E244" s="837" t="s">
        <v>982</v>
      </c>
      <c r="F244" s="670" t="s">
        <v>233</v>
      </c>
      <c r="G244" s="670" t="s">
        <v>233</v>
      </c>
      <c r="H244" s="670" t="s">
        <v>233</v>
      </c>
      <c r="I244" s="670" t="s">
        <v>233</v>
      </c>
      <c r="J244" s="670" t="s">
        <v>233</v>
      </c>
      <c r="K244" s="670" t="s">
        <v>233</v>
      </c>
      <c r="L244" s="670" t="s">
        <v>233</v>
      </c>
      <c r="M244" s="670" t="s">
        <v>233</v>
      </c>
      <c r="N244" s="670" t="s">
        <v>233</v>
      </c>
      <c r="O244" s="670" t="s">
        <v>233</v>
      </c>
      <c r="P244" s="670" t="s">
        <v>233</v>
      </c>
      <c r="Q244" s="671" t="s">
        <v>233</v>
      </c>
      <c r="R244" s="671" t="s">
        <v>233</v>
      </c>
      <c r="T244" s="148" t="str">
        <f t="shared" si="596"/>
        <v>Yes/No</v>
      </c>
      <c r="U244" s="206"/>
      <c r="V244" s="204"/>
      <c r="W244" s="43"/>
      <c r="X244" s="43"/>
      <c r="Y244" s="147"/>
      <c r="Z244" s="147"/>
      <c r="AA244" s="148"/>
      <c r="AB244" s="184" t="str">
        <f t="shared" si="597"/>
        <v>Yes/No</v>
      </c>
      <c r="AD244" s="150"/>
      <c r="AE244" s="205" t="s">
        <v>234</v>
      </c>
      <c r="AF244" s="205" t="s">
        <v>234</v>
      </c>
      <c r="AG244" s="205" t="s">
        <v>234</v>
      </c>
      <c r="AI244" s="185">
        <f>IF(VLOOKUP(E244,'Pre-Assessment Estimator'!$F$11:$AC$226,'Pre-Assessment Estimator'!$H$2,FALSE)&gt;AB244,AB244,VLOOKUP(E244,'Pre-Assessment Estimator'!$F$11:$AC$226,'Pre-Assessment Estimator'!$H$2,FALSE))</f>
        <v>0</v>
      </c>
      <c r="AJ244" s="151">
        <f>IF(VLOOKUP(E244,'Pre-Assessment Estimator'!$F$11:$AC$226,'Pre-Assessment Estimator'!$O$2,FALSE)&gt;AB244,AB244,VLOOKUP(E244,'Pre-Assessment Estimator'!$F$11:$AC$226,'Pre-Assessment Estimator'!$O$2,FALSE))</f>
        <v>0</v>
      </c>
      <c r="AK244" s="151">
        <f>IF(VLOOKUP(E244,'Pre-Assessment Estimator'!$F$11:$AC$226,'Pre-Assessment Estimator'!$V$2,FALSE)&gt;AB244,AB244,VLOOKUP(E244,'Pre-Assessment Estimator'!$F$11:$AC$226,'Pre-Assessment Estimator'!$V$2,FALSE))</f>
        <v>0</v>
      </c>
      <c r="AM244" s="632"/>
      <c r="AN244" s="199"/>
      <c r="AO244" s="199"/>
      <c r="AP244" s="199"/>
      <c r="AQ244" s="200"/>
      <c r="AS244" s="632"/>
      <c r="AT244" s="199"/>
      <c r="AU244" s="199"/>
      <c r="AV244" s="199"/>
      <c r="AW244" s="200"/>
      <c r="AY244" s="160">
        <f t="shared" si="630"/>
        <v>0</v>
      </c>
      <c r="AZ244" s="161">
        <f t="shared" si="631"/>
        <v>0</v>
      </c>
      <c r="BA244" s="161">
        <f t="shared" si="632"/>
        <v>0</v>
      </c>
      <c r="BB244" s="161">
        <f t="shared" si="633"/>
        <v>0</v>
      </c>
      <c r="BC244" s="165">
        <f t="shared" si="622"/>
        <v>0</v>
      </c>
      <c r="BD244" s="929">
        <v>9</v>
      </c>
      <c r="BE244" s="45" t="str">
        <f t="shared" si="603"/>
        <v>N/A</v>
      </c>
      <c r="BF244" s="163"/>
      <c r="BG244" s="929">
        <v>9</v>
      </c>
      <c r="BH244" s="45" t="str">
        <f t="shared" si="605"/>
        <v>N/A</v>
      </c>
      <c r="BI244" s="163"/>
      <c r="BJ244" s="929">
        <v>9</v>
      </c>
      <c r="BK244" s="45" t="str">
        <f t="shared" si="607"/>
        <v>N/A</v>
      </c>
      <c r="BL244" s="163"/>
      <c r="BO244" s="43"/>
      <c r="BP244" s="43"/>
      <c r="BQ244" s="43" t="str">
        <f t="shared" si="554"/>
        <v/>
      </c>
      <c r="BR244" s="43">
        <f t="shared" si="608"/>
        <v>9</v>
      </c>
      <c r="BS244" s="43">
        <f t="shared" si="609"/>
        <v>9</v>
      </c>
      <c r="BT244" s="43">
        <f t="shared" si="610"/>
        <v>9</v>
      </c>
      <c r="BW244" s="48"/>
      <c r="BX244" s="48"/>
      <c r="BY244" s="48"/>
      <c r="BZ244" s="48"/>
      <c r="CA244" s="48"/>
      <c r="CB244" s="48"/>
    </row>
    <row r="245" spans="1:81" ht="15.75" thickBot="1" x14ac:dyDescent="0.3">
      <c r="A245">
        <v>237</v>
      </c>
      <c r="B245" t="s">
        <v>806</v>
      </c>
      <c r="C245" t="s">
        <v>182</v>
      </c>
      <c r="D245" s="631" t="s">
        <v>806</v>
      </c>
      <c r="E245" s="837" t="s">
        <v>680</v>
      </c>
      <c r="F245" s="670" t="s">
        <v>233</v>
      </c>
      <c r="G245" s="670" t="s">
        <v>233</v>
      </c>
      <c r="H245" s="670" t="s">
        <v>233</v>
      </c>
      <c r="I245" s="670" t="s">
        <v>233</v>
      </c>
      <c r="J245" s="670" t="s">
        <v>233</v>
      </c>
      <c r="K245" s="670" t="s">
        <v>233</v>
      </c>
      <c r="L245" s="670" t="s">
        <v>233</v>
      </c>
      <c r="M245" s="670" t="s">
        <v>233</v>
      </c>
      <c r="N245" s="670" t="s">
        <v>233</v>
      </c>
      <c r="O245" s="670" t="s">
        <v>233</v>
      </c>
      <c r="P245" s="670" t="s">
        <v>233</v>
      </c>
      <c r="Q245" s="671" t="s">
        <v>233</v>
      </c>
      <c r="R245" s="671" t="s">
        <v>233</v>
      </c>
      <c r="T245" s="148" t="str">
        <f t="shared" si="596"/>
        <v>Yes/No</v>
      </c>
      <c r="U245" s="206"/>
      <c r="V245" s="204"/>
      <c r="W245" s="43"/>
      <c r="X245" s="43"/>
      <c r="Y245" s="147"/>
      <c r="Z245" s="147"/>
      <c r="AA245" s="148"/>
      <c r="AB245" s="184" t="str">
        <f t="shared" si="597"/>
        <v>Yes/No</v>
      </c>
      <c r="AD245" s="150"/>
      <c r="AE245" s="205" t="s">
        <v>234</v>
      </c>
      <c r="AF245" s="205" t="s">
        <v>234</v>
      </c>
      <c r="AG245" s="205" t="s">
        <v>234</v>
      </c>
      <c r="AI245" s="185">
        <f>IF(VLOOKUP(E245,'Pre-Assessment Estimator'!$F$11:$AC$226,'Pre-Assessment Estimator'!$H$2,FALSE)&gt;AB245,AB245,VLOOKUP(E245,'Pre-Assessment Estimator'!$F$11:$AC$226,'Pre-Assessment Estimator'!$H$2,FALSE))</f>
        <v>0</v>
      </c>
      <c r="AJ245" s="151">
        <f>IF(VLOOKUP(E245,'Pre-Assessment Estimator'!$F$11:$AC$226,'Pre-Assessment Estimator'!$O$2,FALSE)&gt;AB245,AB245,VLOOKUP(E245,'Pre-Assessment Estimator'!$F$11:$AC$226,'Pre-Assessment Estimator'!$O$2,FALSE))</f>
        <v>0</v>
      </c>
      <c r="AK245" s="151">
        <f>IF(VLOOKUP(E245,'Pre-Assessment Estimator'!$F$11:$AC$226,'Pre-Assessment Estimator'!$V$2,FALSE)&gt;AB245,AB245,VLOOKUP(E245,'Pre-Assessment Estimator'!$F$11:$AC$226,'Pre-Assessment Estimator'!$V$2,FALSE))</f>
        <v>0</v>
      </c>
      <c r="AM245" s="632"/>
      <c r="AN245" s="199"/>
      <c r="AO245" s="199"/>
      <c r="AP245" s="199"/>
      <c r="AQ245" s="200"/>
      <c r="AS245" s="632"/>
      <c r="AT245" s="199"/>
      <c r="AU245" s="199"/>
      <c r="AV245" s="199"/>
      <c r="AW245" s="200"/>
      <c r="AY245" s="160">
        <f t="shared" ref="AY245:AY248" si="639">IF($E$6=$H$9,AS245,AM245)</f>
        <v>0</v>
      </c>
      <c r="AZ245" s="161">
        <f t="shared" ref="AZ245:AZ248" si="640">IF($E$6=$H$9,AT245,AN245)</f>
        <v>0</v>
      </c>
      <c r="BA245" s="161">
        <f t="shared" ref="BA245:BA248" si="641">IF($E$6=$H$9,AU245,AO245)</f>
        <v>0</v>
      </c>
      <c r="BB245" s="161">
        <f t="shared" ref="BB245:BB248" si="642">IF($E$6=$H$9,AV245,AP245)</f>
        <v>0</v>
      </c>
      <c r="BC245" s="165">
        <f t="shared" si="622"/>
        <v>0</v>
      </c>
      <c r="BD245" s="929">
        <v>9</v>
      </c>
      <c r="BE245" s="45" t="str">
        <f t="shared" si="603"/>
        <v>N/A</v>
      </c>
      <c r="BF245" s="163"/>
      <c r="BG245" s="929">
        <v>9</v>
      </c>
      <c r="BH245" s="45" t="str">
        <f t="shared" si="605"/>
        <v>N/A</v>
      </c>
      <c r="BI245" s="163"/>
      <c r="BJ245" s="929">
        <v>9</v>
      </c>
      <c r="BK245" s="45" t="str">
        <f t="shared" si="607"/>
        <v>N/A</v>
      </c>
      <c r="BL245" s="163"/>
      <c r="BO245" s="43"/>
      <c r="BP245" s="43"/>
      <c r="BQ245" s="43" t="str">
        <f t="shared" si="554"/>
        <v/>
      </c>
      <c r="BR245" s="43">
        <f t="shared" si="608"/>
        <v>9</v>
      </c>
      <c r="BS245" s="43">
        <f t="shared" si="609"/>
        <v>9</v>
      </c>
      <c r="BT245" s="43">
        <f t="shared" si="610"/>
        <v>9</v>
      </c>
      <c r="BW245" s="48"/>
      <c r="BX245" s="48"/>
      <c r="BY245" s="48"/>
      <c r="BZ245" s="48"/>
      <c r="CA245" s="48"/>
      <c r="CB245" s="48"/>
    </row>
    <row r="246" spans="1:81" ht="15.75" thickBot="1" x14ac:dyDescent="0.3">
      <c r="A246">
        <v>238</v>
      </c>
      <c r="B246" t="s">
        <v>761</v>
      </c>
      <c r="C246" t="s">
        <v>147</v>
      </c>
      <c r="D246" s="631" t="s">
        <v>761</v>
      </c>
      <c r="E246" s="837" t="s">
        <v>985</v>
      </c>
      <c r="F246" s="670" t="s">
        <v>233</v>
      </c>
      <c r="G246" s="670" t="s">
        <v>233</v>
      </c>
      <c r="H246" s="670" t="s">
        <v>233</v>
      </c>
      <c r="I246" s="670" t="s">
        <v>233</v>
      </c>
      <c r="J246" s="670" t="s">
        <v>233</v>
      </c>
      <c r="K246" s="670" t="s">
        <v>233</v>
      </c>
      <c r="L246" s="670" t="s">
        <v>233</v>
      </c>
      <c r="M246" s="670" t="s">
        <v>233</v>
      </c>
      <c r="N246" s="670" t="s">
        <v>233</v>
      </c>
      <c r="O246" s="670" t="s">
        <v>233</v>
      </c>
      <c r="P246" s="670" t="s">
        <v>233</v>
      </c>
      <c r="Q246" s="671" t="s">
        <v>233</v>
      </c>
      <c r="R246" s="671" t="s">
        <v>233</v>
      </c>
      <c r="T246" s="148" t="str">
        <f t="shared" si="596"/>
        <v>Yes/No</v>
      </c>
      <c r="U246" s="206"/>
      <c r="V246" s="204"/>
      <c r="W246" s="43"/>
      <c r="X246" s="43"/>
      <c r="Y246" s="147"/>
      <c r="Z246" s="147"/>
      <c r="AA246" s="148"/>
      <c r="AB246" s="184" t="str">
        <f t="shared" si="597"/>
        <v>Yes/No</v>
      </c>
      <c r="AD246" s="150"/>
      <c r="AE246" s="205" t="s">
        <v>234</v>
      </c>
      <c r="AF246" s="205" t="s">
        <v>234</v>
      </c>
      <c r="AG246" s="205" t="s">
        <v>234</v>
      </c>
      <c r="AI246" s="185">
        <f>IF(VLOOKUP(E246,'Pre-Assessment Estimator'!$F$11:$AC$226,'Pre-Assessment Estimator'!$H$2,FALSE)&gt;AB246,AB246,VLOOKUP(E246,'Pre-Assessment Estimator'!$F$11:$AC$226,'Pre-Assessment Estimator'!$H$2,FALSE))</f>
        <v>0</v>
      </c>
      <c r="AJ246" s="151">
        <f>IF(VLOOKUP(E246,'Pre-Assessment Estimator'!$F$11:$AC$226,'Pre-Assessment Estimator'!$O$2,FALSE)&gt;AB246,AB246,VLOOKUP(E246,'Pre-Assessment Estimator'!$F$11:$AC$226,'Pre-Assessment Estimator'!$O$2,FALSE))</f>
        <v>0</v>
      </c>
      <c r="AK246" s="151">
        <f>IF(VLOOKUP(E246,'Pre-Assessment Estimator'!$F$11:$AC$226,'Pre-Assessment Estimator'!$V$2,FALSE)&gt;AB246,AB246,VLOOKUP(E246,'Pre-Assessment Estimator'!$F$11:$AC$226,'Pre-Assessment Estimator'!$V$2,FALSE))</f>
        <v>0</v>
      </c>
      <c r="AM246" s="632"/>
      <c r="AN246" s="199"/>
      <c r="AO246" s="199"/>
      <c r="AP246" s="199"/>
      <c r="AQ246" s="200"/>
      <c r="AS246" s="632"/>
      <c r="AT246" s="199"/>
      <c r="AU246" s="199"/>
      <c r="AV246" s="199"/>
      <c r="AW246" s="200"/>
      <c r="AY246" s="160">
        <f t="shared" ref="AY246" si="643">IF($E$6=$H$9,AS246,AM246)</f>
        <v>0</v>
      </c>
      <c r="AZ246" s="161">
        <f t="shared" ref="AZ246" si="644">IF($E$6=$H$9,AT246,AN246)</f>
        <v>0</v>
      </c>
      <c r="BA246" s="161">
        <f t="shared" ref="BA246" si="645">IF($E$6=$H$9,AU246,AO246)</f>
        <v>0</v>
      </c>
      <c r="BB246" s="161">
        <f t="shared" ref="BB246" si="646">IF($E$6=$H$9,AV246,AP246)</f>
        <v>0</v>
      </c>
      <c r="BC246" s="165">
        <f t="shared" ref="BC246" si="647">IF($E$6=$H$9,AW246,AQ246)</f>
        <v>0</v>
      </c>
      <c r="BD246" s="929">
        <v>9</v>
      </c>
      <c r="BE246" s="45" t="str">
        <f t="shared" si="603"/>
        <v>N/A</v>
      </c>
      <c r="BF246" s="163"/>
      <c r="BG246" s="929">
        <v>9</v>
      </c>
      <c r="BH246" s="45" t="str">
        <f t="shared" si="605"/>
        <v>N/A</v>
      </c>
      <c r="BI246" s="163"/>
      <c r="BJ246" s="929">
        <v>9</v>
      </c>
      <c r="BK246" s="45" t="str">
        <f t="shared" si="607"/>
        <v>N/A</v>
      </c>
      <c r="BL246" s="163"/>
      <c r="BO246" s="43"/>
      <c r="BP246" s="43"/>
      <c r="BQ246" s="43" t="str">
        <f t="shared" si="554"/>
        <v/>
      </c>
      <c r="BR246" s="43">
        <f t="shared" si="608"/>
        <v>9</v>
      </c>
      <c r="BS246" s="43">
        <f t="shared" si="609"/>
        <v>9</v>
      </c>
      <c r="BT246" s="43">
        <f t="shared" si="610"/>
        <v>9</v>
      </c>
      <c r="BW246" s="48"/>
      <c r="BX246" s="48"/>
      <c r="BY246" s="48"/>
      <c r="BZ246" s="48"/>
      <c r="CA246" s="48"/>
      <c r="CB246" s="48"/>
    </row>
    <row r="247" spans="1:81" ht="15.75" thickBot="1" x14ac:dyDescent="0.3">
      <c r="A247">
        <v>239</v>
      </c>
      <c r="B247" t="s">
        <v>810</v>
      </c>
      <c r="C247" t="s">
        <v>480</v>
      </c>
      <c r="D247" s="167" t="s">
        <v>810</v>
      </c>
      <c r="E247" s="837" t="s">
        <v>983</v>
      </c>
      <c r="F247" s="670" t="s">
        <v>233</v>
      </c>
      <c r="G247" s="670" t="s">
        <v>233</v>
      </c>
      <c r="H247" s="670" t="s">
        <v>233</v>
      </c>
      <c r="I247" s="670" t="s">
        <v>233</v>
      </c>
      <c r="J247" s="670" t="s">
        <v>233</v>
      </c>
      <c r="K247" s="670" t="s">
        <v>233</v>
      </c>
      <c r="L247" s="670" t="s">
        <v>233</v>
      </c>
      <c r="M247" s="670" t="s">
        <v>233</v>
      </c>
      <c r="N247" s="670" t="s">
        <v>233</v>
      </c>
      <c r="O247" s="670" t="s">
        <v>233</v>
      </c>
      <c r="P247" s="670" t="s">
        <v>233</v>
      </c>
      <c r="Q247" s="671" t="s">
        <v>233</v>
      </c>
      <c r="R247" s="671" t="s">
        <v>233</v>
      </c>
      <c r="T247" s="148" t="str">
        <f t="shared" si="596"/>
        <v>Yes/No</v>
      </c>
      <c r="U247" s="206"/>
      <c r="V247" s="204"/>
      <c r="W247" s="43"/>
      <c r="X247" s="43"/>
      <c r="Y247" s="147"/>
      <c r="Z247" s="147"/>
      <c r="AA247" s="148"/>
      <c r="AB247" s="184" t="str">
        <f t="shared" si="597"/>
        <v>Yes/No</v>
      </c>
      <c r="AD247" s="150"/>
      <c r="AE247" s="205" t="s">
        <v>234</v>
      </c>
      <c r="AF247" s="205" t="s">
        <v>234</v>
      </c>
      <c r="AG247" s="205" t="s">
        <v>234</v>
      </c>
      <c r="AI247" s="185">
        <f>IF(VLOOKUP(E247,'Pre-Assessment Estimator'!$F$11:$AC$226,'Pre-Assessment Estimator'!$H$2,FALSE)&gt;AB247,AB247,VLOOKUP(E247,'Pre-Assessment Estimator'!$F$11:$AC$226,'Pre-Assessment Estimator'!$H$2,FALSE))</f>
        <v>0</v>
      </c>
      <c r="AJ247" s="151">
        <f>IF(VLOOKUP(E247,'Pre-Assessment Estimator'!$F$11:$AC$226,'Pre-Assessment Estimator'!$O$2,FALSE)&gt;AB247,AB247,VLOOKUP(E247,'Pre-Assessment Estimator'!$F$11:$AC$226,'Pre-Assessment Estimator'!$O$2,FALSE))</f>
        <v>0</v>
      </c>
      <c r="AK247" s="151">
        <f>IF(VLOOKUP(E247,'Pre-Assessment Estimator'!$F$11:$AC$226,'Pre-Assessment Estimator'!$V$2,FALSE)&gt;AB247,AB247,VLOOKUP(E247,'Pre-Assessment Estimator'!$F$11:$AC$226,'Pre-Assessment Estimator'!$V$2,FALSE))</f>
        <v>0</v>
      </c>
      <c r="AM247" s="632"/>
      <c r="AN247" s="199"/>
      <c r="AO247" s="199"/>
      <c r="AP247" s="199"/>
      <c r="AQ247" s="200"/>
      <c r="AS247" s="632"/>
      <c r="AT247" s="199"/>
      <c r="AU247" s="199"/>
      <c r="AV247" s="199"/>
      <c r="AW247" s="200"/>
      <c r="AY247" s="160">
        <f t="shared" si="639"/>
        <v>0</v>
      </c>
      <c r="AZ247" s="161">
        <f t="shared" si="640"/>
        <v>0</v>
      </c>
      <c r="BA247" s="161">
        <f t="shared" si="641"/>
        <v>0</v>
      </c>
      <c r="BB247" s="161">
        <f t="shared" si="642"/>
        <v>0</v>
      </c>
      <c r="BC247" s="165">
        <f t="shared" si="622"/>
        <v>0</v>
      </c>
      <c r="BD247" s="929">
        <v>9</v>
      </c>
      <c r="BE247" s="45" t="str">
        <f t="shared" si="603"/>
        <v>N/A</v>
      </c>
      <c r="BF247" s="163"/>
      <c r="BG247" s="929">
        <v>9</v>
      </c>
      <c r="BH247" s="45" t="str">
        <f t="shared" si="605"/>
        <v>N/A</v>
      </c>
      <c r="BI247" s="163"/>
      <c r="BJ247" s="929">
        <v>9</v>
      </c>
      <c r="BK247" s="45" t="str">
        <f t="shared" si="607"/>
        <v>N/A</v>
      </c>
      <c r="BL247" s="163"/>
      <c r="BO247" s="43"/>
      <c r="BP247" s="43"/>
      <c r="BQ247" s="43" t="str">
        <f t="shared" si="554"/>
        <v/>
      </c>
      <c r="BR247" s="43">
        <f t="shared" si="608"/>
        <v>9</v>
      </c>
      <c r="BS247" s="43">
        <f t="shared" si="609"/>
        <v>9</v>
      </c>
      <c r="BT247" s="43">
        <f t="shared" si="610"/>
        <v>9</v>
      </c>
      <c r="BW247" s="48"/>
      <c r="BX247" s="48"/>
      <c r="BY247" s="48"/>
      <c r="BZ247" s="48"/>
      <c r="CA247" s="48"/>
      <c r="CB247" s="48"/>
    </row>
    <row r="248" spans="1:81" ht="15.75" thickBot="1" x14ac:dyDescent="0.3">
      <c r="A248">
        <v>240</v>
      </c>
      <c r="B248" t="s">
        <v>812</v>
      </c>
      <c r="C248" t="s">
        <v>481</v>
      </c>
      <c r="D248" s="167" t="s">
        <v>812</v>
      </c>
      <c r="E248" s="837" t="s">
        <v>984</v>
      </c>
      <c r="F248" s="670" t="s">
        <v>233</v>
      </c>
      <c r="G248" s="670" t="s">
        <v>233</v>
      </c>
      <c r="H248" s="670" t="s">
        <v>233</v>
      </c>
      <c r="I248" s="670" t="s">
        <v>233</v>
      </c>
      <c r="J248" s="670" t="s">
        <v>233</v>
      </c>
      <c r="K248" s="670" t="s">
        <v>233</v>
      </c>
      <c r="L248" s="670" t="s">
        <v>233</v>
      </c>
      <c r="M248" s="670" t="s">
        <v>233</v>
      </c>
      <c r="N248" s="670" t="s">
        <v>233</v>
      </c>
      <c r="O248" s="670" t="s">
        <v>233</v>
      </c>
      <c r="P248" s="670" t="s">
        <v>233</v>
      </c>
      <c r="Q248" s="671" t="s">
        <v>233</v>
      </c>
      <c r="R248" s="671" t="s">
        <v>233</v>
      </c>
      <c r="T248" s="148" t="str">
        <f t="shared" si="596"/>
        <v>Yes/No</v>
      </c>
      <c r="U248" s="206"/>
      <c r="V248" s="204"/>
      <c r="W248" s="43"/>
      <c r="X248" s="43"/>
      <c r="Y248" s="147"/>
      <c r="Z248" s="147"/>
      <c r="AA248" s="148"/>
      <c r="AB248" s="184" t="str">
        <f t="shared" si="597"/>
        <v>Yes/No</v>
      </c>
      <c r="AD248" s="150"/>
      <c r="AE248" s="205" t="s">
        <v>234</v>
      </c>
      <c r="AF248" s="205" t="s">
        <v>234</v>
      </c>
      <c r="AG248" s="205" t="s">
        <v>234</v>
      </c>
      <c r="AI248" s="185">
        <f>IF(VLOOKUP(E248,'Pre-Assessment Estimator'!$F$11:$AC$226,'Pre-Assessment Estimator'!$H$2,FALSE)&gt;AB248,AB248,VLOOKUP(E248,'Pre-Assessment Estimator'!$F$11:$AC$226,'Pre-Assessment Estimator'!$H$2,FALSE))</f>
        <v>0</v>
      </c>
      <c r="AJ248" s="151">
        <f>IF(VLOOKUP(E248,'Pre-Assessment Estimator'!$F$11:$AC$226,'Pre-Assessment Estimator'!$O$2,FALSE)&gt;AB248,AB248,VLOOKUP(E248,'Pre-Assessment Estimator'!$F$11:$AC$226,'Pre-Assessment Estimator'!$O$2,FALSE))</f>
        <v>0</v>
      </c>
      <c r="AK248" s="151">
        <f>IF(VLOOKUP(E248,'Pre-Assessment Estimator'!$F$11:$AC$226,'Pre-Assessment Estimator'!$V$2,FALSE)&gt;AB248,AB248,VLOOKUP(E248,'Pre-Assessment Estimator'!$F$11:$AC$226,'Pre-Assessment Estimator'!$V$2,FALSE))</f>
        <v>0</v>
      </c>
      <c r="AM248" s="632"/>
      <c r="AN248" s="199"/>
      <c r="AO248" s="199"/>
      <c r="AP248" s="199"/>
      <c r="AQ248" s="200"/>
      <c r="AS248" s="632"/>
      <c r="AT248" s="199"/>
      <c r="AU248" s="199"/>
      <c r="AV248" s="199"/>
      <c r="AW248" s="200"/>
      <c r="AY248" s="160">
        <f t="shared" si="639"/>
        <v>0</v>
      </c>
      <c r="AZ248" s="161">
        <f t="shared" si="640"/>
        <v>0</v>
      </c>
      <c r="BA248" s="161">
        <f t="shared" si="641"/>
        <v>0</v>
      </c>
      <c r="BB248" s="161">
        <f t="shared" si="642"/>
        <v>0</v>
      </c>
      <c r="BC248" s="165">
        <f t="shared" si="622"/>
        <v>0</v>
      </c>
      <c r="BD248" s="929">
        <v>9</v>
      </c>
      <c r="BE248" s="45" t="str">
        <f t="shared" si="603"/>
        <v>N/A</v>
      </c>
      <c r="BF248" s="163"/>
      <c r="BG248" s="929">
        <v>9</v>
      </c>
      <c r="BH248" s="45" t="str">
        <f t="shared" si="605"/>
        <v>N/A</v>
      </c>
      <c r="BI248" s="163"/>
      <c r="BJ248" s="929">
        <v>9</v>
      </c>
      <c r="BK248" s="45" t="str">
        <f t="shared" si="607"/>
        <v>N/A</v>
      </c>
      <c r="BL248" s="163"/>
      <c r="BO248" s="43"/>
      <c r="BP248" s="43"/>
      <c r="BQ248" s="43" t="str">
        <f t="shared" si="554"/>
        <v/>
      </c>
      <c r="BR248" s="43">
        <f t="shared" si="608"/>
        <v>9</v>
      </c>
      <c r="BS248" s="43">
        <f t="shared" si="609"/>
        <v>9</v>
      </c>
      <c r="BT248" s="43">
        <f t="shared" si="610"/>
        <v>9</v>
      </c>
      <c r="BW248" s="48"/>
      <c r="BX248" s="48"/>
      <c r="BY248" s="48"/>
      <c r="BZ248" s="48"/>
      <c r="CA248" s="48"/>
      <c r="CB248" s="48"/>
    </row>
    <row r="249" spans="1:81" ht="15.75" thickBot="1" x14ac:dyDescent="0.3">
      <c r="A249">
        <v>241</v>
      </c>
      <c r="B249" t="s">
        <v>895</v>
      </c>
      <c r="C249" t="s">
        <v>380</v>
      </c>
      <c r="D249" s="167" t="s">
        <v>895</v>
      </c>
      <c r="E249" s="956" t="s">
        <v>986</v>
      </c>
      <c r="F249" s="670" t="s">
        <v>233</v>
      </c>
      <c r="G249" s="670" t="s">
        <v>233</v>
      </c>
      <c r="H249" s="670" t="s">
        <v>233</v>
      </c>
      <c r="I249" s="670" t="s">
        <v>233</v>
      </c>
      <c r="J249" s="670" t="s">
        <v>233</v>
      </c>
      <c r="K249" s="670" t="s">
        <v>233</v>
      </c>
      <c r="L249" s="670" t="s">
        <v>233</v>
      </c>
      <c r="M249" s="670" t="s">
        <v>233</v>
      </c>
      <c r="N249" s="670" t="s">
        <v>233</v>
      </c>
      <c r="O249" s="670" t="s">
        <v>233</v>
      </c>
      <c r="P249" s="670" t="s">
        <v>233</v>
      </c>
      <c r="Q249" s="671" t="s">
        <v>233</v>
      </c>
      <c r="R249" s="671" t="s">
        <v>233</v>
      </c>
      <c r="T249" s="148" t="str">
        <f t="shared" si="596"/>
        <v>Yes/No</v>
      </c>
      <c r="U249" s="206"/>
      <c r="V249" s="204"/>
      <c r="W249" s="43"/>
      <c r="X249" s="43"/>
      <c r="Y249" s="147"/>
      <c r="Z249" s="147"/>
      <c r="AA249" s="148"/>
      <c r="AB249" s="865">
        <f>IF('Assessment Details'!F24=AD_Yes,Poeng!T249,0)</f>
        <v>0</v>
      </c>
      <c r="AD249" s="150"/>
      <c r="AE249" s="205" t="s">
        <v>234</v>
      </c>
      <c r="AF249" s="205" t="s">
        <v>234</v>
      </c>
      <c r="AG249" s="205" t="s">
        <v>234</v>
      </c>
      <c r="AI249" s="185">
        <f>IF(VLOOKUP(E249,'Pre-Assessment Estimator'!$F$11:$AC$226,'Pre-Assessment Estimator'!$H$2,FALSE)&gt;AB249,AB249,VLOOKUP(E249,'Pre-Assessment Estimator'!$F$11:$AC$226,'Pre-Assessment Estimator'!$H$2,FALSE))</f>
        <v>0</v>
      </c>
      <c r="AJ249" s="151">
        <f>IF(VLOOKUP(E249,'Pre-Assessment Estimator'!$F$11:$AC$226,'Pre-Assessment Estimator'!$O$2,FALSE)&gt;AB249,AB249,VLOOKUP(E249,'Pre-Assessment Estimator'!$F$11:$AC$226,'Pre-Assessment Estimator'!$O$2,FALSE))</f>
        <v>0</v>
      </c>
      <c r="AK249" s="151">
        <f>IF(VLOOKUP(E249,'Pre-Assessment Estimator'!$F$11:$AC$226,'Pre-Assessment Estimator'!$V$2,FALSE)&gt;AB249,AB249,VLOOKUP(E249,'Pre-Assessment Estimator'!$F$11:$AC$226,'Pre-Assessment Estimator'!$V$2,FALSE))</f>
        <v>0</v>
      </c>
      <c r="AM249" s="632"/>
      <c r="AN249" s="199"/>
      <c r="AO249" s="199"/>
      <c r="AP249" s="199"/>
      <c r="AQ249" s="200"/>
      <c r="AS249" s="632"/>
      <c r="AT249" s="199"/>
      <c r="AU249" s="199"/>
      <c r="AV249" s="199"/>
      <c r="AW249" s="200"/>
      <c r="AY249" s="160">
        <f t="shared" ref="AY249:AY252" si="648">IF($E$6=$H$9,AS249,AM249)</f>
        <v>0</v>
      </c>
      <c r="AZ249" s="161">
        <f t="shared" ref="AZ249:AZ252" si="649">IF($E$6=$H$9,AT249,AN249)</f>
        <v>0</v>
      </c>
      <c r="BA249" s="161">
        <f t="shared" ref="BA249:BA252" si="650">IF($E$6=$H$9,AU249,AO249)</f>
        <v>0</v>
      </c>
      <c r="BB249" s="161">
        <f t="shared" ref="BB249:BB252" si="651">IF($E$6=$H$9,AV249,AP249)</f>
        <v>0</v>
      </c>
      <c r="BC249" s="165">
        <f t="shared" ref="BC249:BC252" si="652">IF($E$6=$H$9,AW249,AQ249)</f>
        <v>0</v>
      </c>
      <c r="BD249" s="929">
        <v>9</v>
      </c>
      <c r="BE249" s="45" t="str">
        <f t="shared" si="603"/>
        <v>N/A</v>
      </c>
      <c r="BF249" s="163"/>
      <c r="BG249" s="929">
        <v>9</v>
      </c>
      <c r="BH249" s="45" t="str">
        <f t="shared" si="605"/>
        <v>N/A</v>
      </c>
      <c r="BI249" s="163"/>
      <c r="BJ249" s="929">
        <v>9</v>
      </c>
      <c r="BK249" s="45" t="str">
        <f t="shared" si="607"/>
        <v>N/A</v>
      </c>
      <c r="BL249" s="855"/>
      <c r="BO249" s="43"/>
      <c r="BP249" s="43"/>
      <c r="BQ249" s="43" t="str">
        <f t="shared" si="554"/>
        <v/>
      </c>
      <c r="BR249" s="43">
        <f t="shared" si="608"/>
        <v>9</v>
      </c>
      <c r="BS249" s="43">
        <f t="shared" si="609"/>
        <v>9</v>
      </c>
      <c r="BT249" s="43">
        <f t="shared" si="610"/>
        <v>9</v>
      </c>
      <c r="BW249" s="48"/>
      <c r="BX249" s="48"/>
      <c r="BY249" s="48"/>
      <c r="BZ249" s="48"/>
      <c r="CA249" s="48"/>
      <c r="CB249" s="48"/>
    </row>
    <row r="250" spans="1:81" ht="30.75" thickBot="1" x14ac:dyDescent="0.3">
      <c r="A250">
        <v>242</v>
      </c>
      <c r="B250" t="s">
        <v>1023</v>
      </c>
      <c r="C250" t="s">
        <v>175</v>
      </c>
      <c r="D250" s="167" t="s">
        <v>1023</v>
      </c>
      <c r="E250" s="956" t="s">
        <v>1144</v>
      </c>
      <c r="F250" s="670" t="s">
        <v>233</v>
      </c>
      <c r="G250" s="670" t="s">
        <v>233</v>
      </c>
      <c r="H250" s="670" t="s">
        <v>233</v>
      </c>
      <c r="I250" s="670" t="s">
        <v>233</v>
      </c>
      <c r="J250" s="670" t="s">
        <v>233</v>
      </c>
      <c r="K250" s="670" t="s">
        <v>233</v>
      </c>
      <c r="L250" s="670" t="s">
        <v>233</v>
      </c>
      <c r="M250" s="670" t="s">
        <v>233</v>
      </c>
      <c r="N250" s="670" t="s">
        <v>233</v>
      </c>
      <c r="O250" s="670" t="s">
        <v>233</v>
      </c>
      <c r="P250" s="670" t="s">
        <v>233</v>
      </c>
      <c r="Q250" s="671" t="s">
        <v>233</v>
      </c>
      <c r="R250" s="671" t="s">
        <v>233</v>
      </c>
      <c r="T250" s="148" t="str">
        <f t="shared" si="596"/>
        <v>Yes/No</v>
      </c>
      <c r="U250" s="206"/>
      <c r="V250" s="204"/>
      <c r="W250" s="43"/>
      <c r="X250" s="43"/>
      <c r="Y250" s="147"/>
      <c r="Z250" s="147"/>
      <c r="AA250" s="148"/>
      <c r="AB250" s="865" t="str">
        <f>IF(AB145=0,0,T250)</f>
        <v>Yes/No</v>
      </c>
      <c r="AD250" s="150"/>
      <c r="AE250" s="205" t="s">
        <v>234</v>
      </c>
      <c r="AF250" s="205" t="s">
        <v>234</v>
      </c>
      <c r="AG250" s="205" t="s">
        <v>234</v>
      </c>
      <c r="AI250" s="185">
        <f>IF(VLOOKUP(E250,'Pre-Assessment Estimator'!$F$11:$AC$226,'Pre-Assessment Estimator'!$H$2,FALSE)&gt;AB250,AB250,VLOOKUP(E250,'Pre-Assessment Estimator'!$F$11:$AC$226,'Pre-Assessment Estimator'!$H$2,FALSE))</f>
        <v>0</v>
      </c>
      <c r="AJ250" s="151">
        <f>IF(VLOOKUP(E250,'Pre-Assessment Estimator'!$F$11:$AC$226,'Pre-Assessment Estimator'!$O$2,FALSE)&gt;AB250,AB250,VLOOKUP(E250,'Pre-Assessment Estimator'!$F$11:$AC$226,'Pre-Assessment Estimator'!$O$2,FALSE))</f>
        <v>0</v>
      </c>
      <c r="AK250" s="151">
        <f>IF(VLOOKUP(E250,'Pre-Assessment Estimator'!$F$11:$AC$226,'Pre-Assessment Estimator'!$V$2,FALSE)&gt;AB250,AB250,VLOOKUP(E250,'Pre-Assessment Estimator'!$F$11:$AC$226,'Pre-Assessment Estimator'!$V$2,FALSE))</f>
        <v>0</v>
      </c>
      <c r="AM250" s="632" t="s">
        <v>11</v>
      </c>
      <c r="AN250" s="199" t="s">
        <v>11</v>
      </c>
      <c r="AO250" s="199" t="s">
        <v>11</v>
      </c>
      <c r="AP250" s="199" t="s">
        <v>11</v>
      </c>
      <c r="AQ250" s="200" t="s">
        <v>11</v>
      </c>
      <c r="AS250" s="632" t="s">
        <v>11</v>
      </c>
      <c r="AT250" s="199" t="s">
        <v>11</v>
      </c>
      <c r="AU250" s="199" t="s">
        <v>11</v>
      </c>
      <c r="AV250" s="199" t="s">
        <v>11</v>
      </c>
      <c r="AW250" s="200" t="s">
        <v>11</v>
      </c>
      <c r="AY250" s="160" t="str">
        <f t="shared" ref="AY250" si="653">IF($E$6=$H$9,AS250,AM250)</f>
        <v>Yes</v>
      </c>
      <c r="AZ250" s="161" t="str">
        <f t="shared" ref="AZ250" si="654">IF($E$6=$H$9,AT250,AN250)</f>
        <v>Yes</v>
      </c>
      <c r="BA250" s="161" t="str">
        <f t="shared" ref="BA250" si="655">IF($E$6=$H$9,AU250,AO250)</f>
        <v>Yes</v>
      </c>
      <c r="BB250" s="161" t="str">
        <f t="shared" ref="BB250" si="656">IF($E$6=$H$9,AV250,AP250)</f>
        <v>Yes</v>
      </c>
      <c r="BC250" s="165" t="str">
        <f t="shared" ref="BC250" si="657">IF($E$6=$H$9,AW250,AQ250)</f>
        <v>Yes</v>
      </c>
      <c r="BD250" s="851">
        <f>BD145</f>
        <v>0</v>
      </c>
      <c r="BE250" s="45" t="str">
        <f t="shared" si="603"/>
        <v>Unclassified</v>
      </c>
      <c r="BF250" s="163"/>
      <c r="BG250" s="851">
        <f>BG145</f>
        <v>0</v>
      </c>
      <c r="BH250" s="45" t="str">
        <f t="shared" si="605"/>
        <v>Unclassified</v>
      </c>
      <c r="BI250" s="163"/>
      <c r="BJ250" s="851">
        <f>BJ145</f>
        <v>0</v>
      </c>
      <c r="BK250" s="45" t="str">
        <f t="shared" si="607"/>
        <v>Unclassified</v>
      </c>
      <c r="BL250" s="855"/>
      <c r="BO250" s="43"/>
      <c r="BP250" s="43" t="s">
        <v>11</v>
      </c>
      <c r="BQ250" s="43" t="str">
        <f t="shared" si="554"/>
        <v>Yes</v>
      </c>
      <c r="BR250" s="979">
        <f>IF(AB145=0,9,IF(BQ250="",9,(IF(AI250=AD_Yes,5,0))))</f>
        <v>0</v>
      </c>
      <c r="BS250" s="979">
        <f>IF(AB145=0,9,IF(BQ250="",9,(IF(AJ250=AD_Yes,5,0))))</f>
        <v>0</v>
      </c>
      <c r="BT250" s="979">
        <f>IF(AB145=0,9,IF(BQ250="",9,(IF(AK250=AD_Yes,5,0))))</f>
        <v>0</v>
      </c>
      <c r="BW250" s="48"/>
      <c r="BX250" s="48"/>
      <c r="BY250" s="48"/>
      <c r="BZ250" s="48"/>
      <c r="CA250" s="48"/>
      <c r="CB250" s="48"/>
    </row>
    <row r="251" spans="1:81" ht="15.75" thickBot="1" x14ac:dyDescent="0.3">
      <c r="A251">
        <v>243</v>
      </c>
      <c r="B251" t="s">
        <v>979</v>
      </c>
      <c r="C251" t="s">
        <v>176</v>
      </c>
      <c r="D251" s="167" t="s">
        <v>979</v>
      </c>
      <c r="E251" s="1039" t="s">
        <v>1103</v>
      </c>
      <c r="F251" s="670" t="s">
        <v>233</v>
      </c>
      <c r="G251" s="670" t="s">
        <v>233</v>
      </c>
      <c r="H251" s="670" t="s">
        <v>233</v>
      </c>
      <c r="I251" s="670" t="s">
        <v>233</v>
      </c>
      <c r="J251" s="670" t="s">
        <v>233</v>
      </c>
      <c r="K251" s="670" t="s">
        <v>233</v>
      </c>
      <c r="L251" s="670" t="s">
        <v>233</v>
      </c>
      <c r="M251" s="670" t="s">
        <v>233</v>
      </c>
      <c r="N251" s="670" t="s">
        <v>233</v>
      </c>
      <c r="O251" s="670" t="s">
        <v>233</v>
      </c>
      <c r="P251" s="670" t="s">
        <v>233</v>
      </c>
      <c r="Q251" s="671" t="s">
        <v>233</v>
      </c>
      <c r="R251" s="671" t="s">
        <v>233</v>
      </c>
      <c r="T251" s="148" t="str">
        <f t="shared" si="596"/>
        <v>Yes/No</v>
      </c>
      <c r="U251" s="206"/>
      <c r="V251" s="204"/>
      <c r="W251" s="43"/>
      <c r="X251" s="43"/>
      <c r="Y251" s="147"/>
      <c r="Z251" s="147"/>
      <c r="AA251" s="148"/>
      <c r="AB251" s="184" t="str">
        <f>T251</f>
        <v>Yes/No</v>
      </c>
      <c r="AD251" s="150"/>
      <c r="AE251" s="205" t="s">
        <v>234</v>
      </c>
      <c r="AF251" s="205" t="s">
        <v>234</v>
      </c>
      <c r="AG251" s="205" t="s">
        <v>234</v>
      </c>
      <c r="AI251" s="185">
        <f>IF(VLOOKUP(E251,'Pre-Assessment Estimator'!$F$11:$AC$226,'Pre-Assessment Estimator'!$H$2,FALSE)&gt;AB251,AB251,VLOOKUP(E251,'Pre-Assessment Estimator'!$F$11:$AC$226,'Pre-Assessment Estimator'!$H$2,FALSE))</f>
        <v>0</v>
      </c>
      <c r="AJ251" s="151">
        <f>IF(VLOOKUP(E251,'Pre-Assessment Estimator'!$F$11:$AC$226,'Pre-Assessment Estimator'!$O$2,FALSE)&gt;AB251,AB251,VLOOKUP(E251,'Pre-Assessment Estimator'!$F$11:$AC$226,'Pre-Assessment Estimator'!$O$2,FALSE))</f>
        <v>0</v>
      </c>
      <c r="AK251" s="151">
        <f>IF(VLOOKUP(E251,'Pre-Assessment Estimator'!$F$11:$AC$226,'Pre-Assessment Estimator'!$V$2,FALSE)&gt;AB251,AB251,VLOOKUP(E251,'Pre-Assessment Estimator'!$F$11:$AC$226,'Pre-Assessment Estimator'!$V$2,FALSE))</f>
        <v>0</v>
      </c>
      <c r="AM251" s="632" t="s">
        <v>11</v>
      </c>
      <c r="AN251" s="199" t="s">
        <v>11</v>
      </c>
      <c r="AO251" s="199" t="s">
        <v>11</v>
      </c>
      <c r="AP251" s="199"/>
      <c r="AQ251" s="200"/>
      <c r="AS251" s="632" t="s">
        <v>11</v>
      </c>
      <c r="AT251" s="199" t="s">
        <v>11</v>
      </c>
      <c r="AU251" s="199" t="s">
        <v>11</v>
      </c>
      <c r="AV251" s="199"/>
      <c r="AW251" s="200"/>
      <c r="AY251" s="160" t="str">
        <f t="shared" si="648"/>
        <v>Yes</v>
      </c>
      <c r="AZ251" s="161" t="str">
        <f t="shared" si="649"/>
        <v>Yes</v>
      </c>
      <c r="BA251" s="161" t="str">
        <f t="shared" si="650"/>
        <v>Yes</v>
      </c>
      <c r="BB251" s="161">
        <f t="shared" si="651"/>
        <v>0</v>
      </c>
      <c r="BC251" s="165">
        <f t="shared" si="652"/>
        <v>0</v>
      </c>
      <c r="BD251" s="984">
        <f>IF(AI251=AD_Yes,5,3)</f>
        <v>3</v>
      </c>
      <c r="BE251" s="45" t="str">
        <f t="shared" si="603"/>
        <v>Very Good</v>
      </c>
      <c r="BF251" s="954">
        <f>IF(AI251="Yes",3,0)</f>
        <v>0</v>
      </c>
      <c r="BG251" s="585">
        <f>IF(AJ251=AD_Yes,5,3)</f>
        <v>3</v>
      </c>
      <c r="BH251" s="45" t="str">
        <f t="shared" si="605"/>
        <v>Very Good</v>
      </c>
      <c r="BI251" s="954">
        <f>IF(AJ251="Yes",3,0)</f>
        <v>0</v>
      </c>
      <c r="BJ251" s="585">
        <f>IF(AK251=AD_Yes,5,3)</f>
        <v>3</v>
      </c>
      <c r="BK251" s="45" t="str">
        <f t="shared" si="607"/>
        <v>Very Good</v>
      </c>
      <c r="BL251" s="954">
        <f>IF(AK251="Yes",3,0)</f>
        <v>0</v>
      </c>
      <c r="BO251" s="43"/>
      <c r="BP251" s="43" t="s">
        <v>11</v>
      </c>
      <c r="BQ251" s="43" t="str">
        <f t="shared" si="554"/>
        <v>Yes</v>
      </c>
      <c r="BR251" s="43">
        <f>IF(BQ251="",9,(IF(AI251=AD_Yes,5,0)))</f>
        <v>0</v>
      </c>
      <c r="BS251" s="43">
        <f t="shared" ref="BS251" si="658">IF(BQ251="",9,(IF(AJ251=AD_Yes,5,0)))</f>
        <v>0</v>
      </c>
      <c r="BT251" s="43">
        <f t="shared" ref="BT251" si="659">IF(BQ251="",9,(IF(AK251=AD_Yes,5,0)))</f>
        <v>0</v>
      </c>
      <c r="BW251" s="48"/>
      <c r="BX251" s="48"/>
      <c r="BY251" s="48"/>
      <c r="BZ251" s="48"/>
      <c r="CA251" s="48"/>
      <c r="CB251" s="48"/>
    </row>
    <row r="252" spans="1:81" ht="15.75" thickBot="1" x14ac:dyDescent="0.3">
      <c r="A252">
        <v>244</v>
      </c>
      <c r="B252" t="s">
        <v>980</v>
      </c>
      <c r="C252" t="s">
        <v>179</v>
      </c>
      <c r="D252" s="168" t="s">
        <v>980</v>
      </c>
      <c r="E252" s="1039" t="s">
        <v>1040</v>
      </c>
      <c r="F252" s="670" t="s">
        <v>233</v>
      </c>
      <c r="G252" s="670" t="s">
        <v>233</v>
      </c>
      <c r="H252" s="670" t="s">
        <v>233</v>
      </c>
      <c r="I252" s="670" t="s">
        <v>233</v>
      </c>
      <c r="J252" s="670" t="s">
        <v>233</v>
      </c>
      <c r="K252" s="670" t="s">
        <v>233</v>
      </c>
      <c r="L252" s="670" t="s">
        <v>233</v>
      </c>
      <c r="M252" s="670" t="s">
        <v>233</v>
      </c>
      <c r="N252" s="670" t="s">
        <v>233</v>
      </c>
      <c r="O252" s="670" t="s">
        <v>233</v>
      </c>
      <c r="P252" s="670" t="s">
        <v>233</v>
      </c>
      <c r="Q252" s="671" t="s">
        <v>233</v>
      </c>
      <c r="R252" s="671" t="s">
        <v>233</v>
      </c>
      <c r="T252" s="148" t="str">
        <f t="shared" si="596"/>
        <v>Yes/No</v>
      </c>
      <c r="U252" s="206"/>
      <c r="V252" s="204"/>
      <c r="W252" s="43"/>
      <c r="X252" s="43"/>
      <c r="Y252" s="147"/>
      <c r="Z252" s="147"/>
      <c r="AA252" s="148"/>
      <c r="AB252" s="184" t="str">
        <f>T252</f>
        <v>Yes/No</v>
      </c>
      <c r="AD252" s="150"/>
      <c r="AE252" s="205" t="s">
        <v>234</v>
      </c>
      <c r="AF252" s="205" t="s">
        <v>234</v>
      </c>
      <c r="AG252" s="205" t="s">
        <v>234</v>
      </c>
      <c r="AI252" s="185">
        <f>IF(VLOOKUP(E252,'Pre-Assessment Estimator'!$F$11:$AC$226,'Pre-Assessment Estimator'!$H$2,FALSE)&gt;AB252,AB252,VLOOKUP(E252,'Pre-Assessment Estimator'!$F$11:$AC$226,'Pre-Assessment Estimator'!$H$2,FALSE))</f>
        <v>0</v>
      </c>
      <c r="AJ252" s="151">
        <f>IF(VLOOKUP(E252,'Pre-Assessment Estimator'!$F$11:$AC$226,'Pre-Assessment Estimator'!$O$2,FALSE)&gt;AB252,AB252,VLOOKUP(E252,'Pre-Assessment Estimator'!$F$11:$AC$226,'Pre-Assessment Estimator'!$O$2,FALSE))</f>
        <v>0</v>
      </c>
      <c r="AK252" s="151">
        <f>IF(VLOOKUP(E252,'Pre-Assessment Estimator'!$F$11:$AC$226,'Pre-Assessment Estimator'!$V$2,FALSE)&gt;AB252,AB252,VLOOKUP(E252,'Pre-Assessment Estimator'!$F$11:$AC$226,'Pre-Assessment Estimator'!$V$2,FALSE))</f>
        <v>0</v>
      </c>
      <c r="AM252" s="269"/>
      <c r="AN252" s="270"/>
      <c r="AO252" s="270"/>
      <c r="AP252" s="270" t="s">
        <v>11</v>
      </c>
      <c r="AQ252" s="271" t="s">
        <v>11</v>
      </c>
      <c r="AS252" s="269"/>
      <c r="AT252" s="270"/>
      <c r="AU252" s="270"/>
      <c r="AV252" s="270" t="s">
        <v>11</v>
      </c>
      <c r="AW252" s="271" t="s">
        <v>11</v>
      </c>
      <c r="AY252" s="160">
        <f t="shared" si="648"/>
        <v>0</v>
      </c>
      <c r="AZ252" s="161">
        <f t="shared" si="649"/>
        <v>0</v>
      </c>
      <c r="BA252" s="161">
        <f t="shared" si="650"/>
        <v>0</v>
      </c>
      <c r="BB252" s="161" t="str">
        <f t="shared" si="651"/>
        <v>Yes</v>
      </c>
      <c r="BC252" s="165" t="str">
        <f t="shared" si="652"/>
        <v>Yes</v>
      </c>
      <c r="BD252" s="160">
        <f>IF(AI252="Yes",5,3)</f>
        <v>3</v>
      </c>
      <c r="BE252" s="45" t="str">
        <f>VLOOKUP(BD252,$BO$284:$BT$290,6,FALSE)</f>
        <v>Very Good</v>
      </c>
      <c r="BF252" s="163"/>
      <c r="BG252" s="160">
        <f>IF(AJ252="Yes",5,3)</f>
        <v>3</v>
      </c>
      <c r="BH252" s="45" t="str">
        <f>VLOOKUP(BG252,$BO$284:$BT$290,6,FALSE)</f>
        <v>Very Good</v>
      </c>
      <c r="BI252" s="163"/>
      <c r="BJ252" s="160">
        <f>IF(AK252="Yes",5,3)</f>
        <v>3</v>
      </c>
      <c r="BK252" s="45" t="str">
        <f>VLOOKUP(BJ252,$BO$284:$BT$290,6,FALSE)</f>
        <v>Very Good</v>
      </c>
      <c r="BL252" s="163"/>
      <c r="BO252" s="48"/>
      <c r="BP252" s="43" t="s">
        <v>11</v>
      </c>
      <c r="BQ252" s="43" t="str">
        <f t="shared" ref="BQ252" si="660">IF(BO252&lt;&gt;"",BO252,IF(BP252&lt;&gt;"",BP252,""))</f>
        <v>Yes</v>
      </c>
      <c r="BR252" s="43">
        <f>IF(BQ252="",9,(IF(AI252=AD_Yes,5,0)))</f>
        <v>0</v>
      </c>
      <c r="BS252" s="43">
        <f>IF(BQ252="",9,(IF(AJ252=AD_Yes,5,0)))</f>
        <v>0</v>
      </c>
      <c r="BT252" s="43">
        <f>IF(BQ252="",9,(IF(AK252=AD_Yes,5,0)))</f>
        <v>0</v>
      </c>
      <c r="BW252" s="170"/>
      <c r="BX252" s="170"/>
      <c r="BY252" s="170">
        <f>IFERROR(VLOOKUP($E252,'Pre-Assessment Estimator'!$F$11:$AJ$226,'Pre-Assessment Estimator'!AJ$2,FALSE),"")</f>
        <v>0</v>
      </c>
      <c r="BZ252" s="170" t="str">
        <f>IFERROR(VLOOKUP($BX252,$E$293:$H$326,F$291,FALSE),"")</f>
        <v/>
      </c>
      <c r="CA252" s="170" t="str">
        <f>IFERROR(VLOOKUP($BX252,$E$293:$H$326,G$291,FALSE),"")</f>
        <v/>
      </c>
      <c r="CB252" s="170"/>
      <c r="CC252" t="str">
        <f>IFERROR(VLOOKUP($BX252,$E$293:$H$326,I$291,FALSE),"")</f>
        <v/>
      </c>
    </row>
    <row r="253" spans="1:81" ht="15.75" thickBot="1" x14ac:dyDescent="0.3">
      <c r="A253">
        <v>245</v>
      </c>
      <c r="B253" t="s">
        <v>1018</v>
      </c>
      <c r="C253" t="s">
        <v>134</v>
      </c>
      <c r="D253" t="s">
        <v>1018</v>
      </c>
      <c r="E253" s="1036" t="s">
        <v>1127</v>
      </c>
      <c r="F253" s="674" t="s">
        <v>233</v>
      </c>
      <c r="G253" s="674" t="s">
        <v>233</v>
      </c>
      <c r="H253" s="674" t="s">
        <v>233</v>
      </c>
      <c r="I253" s="674" t="s">
        <v>233</v>
      </c>
      <c r="J253" s="674" t="s">
        <v>233</v>
      </c>
      <c r="K253" s="674" t="s">
        <v>233</v>
      </c>
      <c r="L253" s="674" t="s">
        <v>233</v>
      </c>
      <c r="M253" s="674" t="s">
        <v>233</v>
      </c>
      <c r="N253" s="674" t="s">
        <v>233</v>
      </c>
      <c r="O253" s="674" t="s">
        <v>233</v>
      </c>
      <c r="P253" s="674" t="s">
        <v>233</v>
      </c>
      <c r="Q253" s="674" t="s">
        <v>233</v>
      </c>
      <c r="R253" s="675" t="s">
        <v>233</v>
      </c>
      <c r="T253" s="148" t="str">
        <f>HLOOKUP($E$6,$F$9:$R$255,$A253,FALSE)</f>
        <v>Yes/No</v>
      </c>
      <c r="U253" s="206"/>
      <c r="V253" s="204"/>
      <c r="W253" s="43"/>
      <c r="X253" s="43"/>
      <c r="Y253" s="147"/>
      <c r="Z253" s="147"/>
      <c r="AA253" s="148"/>
      <c r="AB253" s="184" t="str">
        <f>T253</f>
        <v>Yes/No</v>
      </c>
      <c r="AD253" s="150"/>
      <c r="AE253" s="205" t="s">
        <v>234</v>
      </c>
      <c r="AF253" s="205" t="s">
        <v>234</v>
      </c>
      <c r="AG253" s="205" t="s">
        <v>234</v>
      </c>
      <c r="AI253" s="185">
        <f>IF(VLOOKUP(E253,'Pre-Assessment Estimator'!$F$11:$AC$226,'Pre-Assessment Estimator'!$H$2,FALSE)&gt;AB253,AB253,VLOOKUP(E253,'Pre-Assessment Estimator'!$F$11:$AC$226,'Pre-Assessment Estimator'!$H$2,FALSE))</f>
        <v>0</v>
      </c>
      <c r="AJ253" s="151">
        <f>IF(VLOOKUP(E253,'Pre-Assessment Estimator'!$F$11:$AC$226,'Pre-Assessment Estimator'!$O$2,FALSE)&gt;AB253,AB253,VLOOKUP(E253,'Pre-Assessment Estimator'!$F$11:$AC$226,'Pre-Assessment Estimator'!$O$2,FALSE))</f>
        <v>0</v>
      </c>
      <c r="AK253" s="151">
        <f>IF(VLOOKUP(E253,'Pre-Assessment Estimator'!$F$11:$AC$226,'Pre-Assessment Estimator'!$V$2,FALSE)&gt;AB253,AB253,VLOOKUP(E253,'Pre-Assessment Estimator'!$F$11:$AC$226,'Pre-Assessment Estimator'!$V$2,FALSE))</f>
        <v>0</v>
      </c>
      <c r="AM253" s="566"/>
      <c r="AN253" s="566"/>
      <c r="AO253" s="566"/>
      <c r="AP253" s="566"/>
      <c r="AQ253" s="566"/>
      <c r="AS253" s="566"/>
      <c r="AT253" s="566"/>
      <c r="AU253" s="566"/>
      <c r="AV253" s="566"/>
      <c r="AW253" s="566"/>
      <c r="AY253" s="125"/>
      <c r="AZ253" s="125"/>
      <c r="BA253" s="125"/>
      <c r="BB253" s="125"/>
      <c r="BC253" s="125"/>
      <c r="BD253" s="125"/>
      <c r="BE253" s="579" t="s">
        <v>13</v>
      </c>
      <c r="BG253" s="125"/>
      <c r="BH253" s="579" t="s">
        <v>13</v>
      </c>
      <c r="BI253" s="579"/>
      <c r="BJ253" s="1021"/>
      <c r="BK253" s="579" t="s">
        <v>13</v>
      </c>
      <c r="BP253" s="43" t="s">
        <v>11</v>
      </c>
      <c r="BQ253" s="43" t="str">
        <f t="shared" ref="BQ253:BQ255" si="661">IF(BO253&lt;&gt;"",BO253,IF(BP253&lt;&gt;"",BP253,""))</f>
        <v>Yes</v>
      </c>
      <c r="BR253" s="43">
        <f>IF(BQ253="",9,(IF(AI253=AD_Yes,5,0)))</f>
        <v>0</v>
      </c>
      <c r="BS253" s="43">
        <f>IF(BQ253="",9,(IF(AJ253=AD_Yes,5,0)))</f>
        <v>0</v>
      </c>
      <c r="BT253" s="43">
        <f>IF(BQ253="",9,(IF(AK253=AD_Yes,5,0)))</f>
        <v>0</v>
      </c>
    </row>
    <row r="254" spans="1:81" ht="15.75" thickBot="1" x14ac:dyDescent="0.3">
      <c r="A254">
        <v>246</v>
      </c>
      <c r="B254" t="s">
        <v>1019</v>
      </c>
      <c r="C254" t="s">
        <v>168</v>
      </c>
      <c r="D254" t="s">
        <v>1019</v>
      </c>
      <c r="E254" s="1037" t="s">
        <v>1152</v>
      </c>
      <c r="F254" s="668" t="s">
        <v>233</v>
      </c>
      <c r="G254" s="668" t="s">
        <v>233</v>
      </c>
      <c r="H254" s="668" t="s">
        <v>233</v>
      </c>
      <c r="I254" s="668" t="s">
        <v>233</v>
      </c>
      <c r="J254" s="668" t="s">
        <v>233</v>
      </c>
      <c r="K254" s="668" t="s">
        <v>233</v>
      </c>
      <c r="L254" s="668" t="s">
        <v>233</v>
      </c>
      <c r="M254" s="668" t="s">
        <v>233</v>
      </c>
      <c r="N254" s="668" t="s">
        <v>233</v>
      </c>
      <c r="O254" s="668" t="s">
        <v>233</v>
      </c>
      <c r="P254" s="668" t="s">
        <v>233</v>
      </c>
      <c r="Q254" s="668" t="s">
        <v>233</v>
      </c>
      <c r="R254" s="669" t="s">
        <v>233</v>
      </c>
      <c r="T254" s="148" t="str">
        <f>HLOOKUP($E$6,$F$9:$R$255,$A254,FALSE)</f>
        <v>Yes/No</v>
      </c>
      <c r="U254" s="206"/>
      <c r="V254" s="204"/>
      <c r="W254" s="43"/>
      <c r="X254" s="43"/>
      <c r="Y254" s="147"/>
      <c r="Z254" s="147"/>
      <c r="AA254" s="148"/>
      <c r="AB254" s="184" t="str">
        <f>IF(AB114=0,0,T254)</f>
        <v>Yes/No</v>
      </c>
      <c r="AD254" s="150"/>
      <c r="AE254" s="205" t="s">
        <v>234</v>
      </c>
      <c r="AF254" s="205" t="s">
        <v>234</v>
      </c>
      <c r="AG254" s="205" t="s">
        <v>234</v>
      </c>
      <c r="AI254" s="185">
        <f>IF(VLOOKUP(E254,'Pre-Assessment Estimator'!$F$11:$AC$226,'Pre-Assessment Estimator'!$H$2,FALSE)&gt;AB254,AB254,VLOOKUP(E254,'Pre-Assessment Estimator'!$F$11:$AC$226,'Pre-Assessment Estimator'!$H$2,FALSE))</f>
        <v>0</v>
      </c>
      <c r="AJ254" s="151">
        <f>IF(VLOOKUP(E254,'Pre-Assessment Estimator'!$F$11:$AC$226,'Pre-Assessment Estimator'!$O$2,FALSE)&gt;AB254,AB254,VLOOKUP(E254,'Pre-Assessment Estimator'!$F$11:$AC$226,'Pre-Assessment Estimator'!$O$2,FALSE))</f>
        <v>0</v>
      </c>
      <c r="AK254" s="151">
        <f>IF(VLOOKUP(E254,'Pre-Assessment Estimator'!$F$11:$AC$226,'Pre-Assessment Estimator'!$V$2,FALSE)&gt;AB254,AB254,VLOOKUP(E254,'Pre-Assessment Estimator'!$F$11:$AC$226,'Pre-Assessment Estimator'!$V$2,FALSE))</f>
        <v>0</v>
      </c>
      <c r="AM254" s="566"/>
      <c r="AN254" s="566"/>
      <c r="AO254" s="566"/>
      <c r="AP254" s="566"/>
      <c r="AQ254" s="566"/>
      <c r="AS254" s="566"/>
      <c r="AT254" s="566"/>
      <c r="AU254" s="566"/>
      <c r="AV254" s="566"/>
      <c r="AW254" s="566"/>
      <c r="AY254" s="125"/>
      <c r="AZ254" s="125"/>
      <c r="BA254" s="125"/>
      <c r="BB254" s="125"/>
      <c r="BC254" s="125"/>
      <c r="BD254" s="125"/>
      <c r="BE254" s="579" t="s">
        <v>13</v>
      </c>
      <c r="BG254" s="125"/>
      <c r="BH254" s="579" t="s">
        <v>13</v>
      </c>
      <c r="BI254" s="579"/>
      <c r="BJ254" s="1021"/>
      <c r="BK254" s="579" t="s">
        <v>13</v>
      </c>
      <c r="BP254" s="43" t="s">
        <v>11</v>
      </c>
      <c r="BQ254" s="43" t="str">
        <f t="shared" si="661"/>
        <v>Yes</v>
      </c>
      <c r="BR254" s="979">
        <f>IF(AB254=0,9,IF(BQ254="",9,(IF(AI254=AD_Yes,5,0))))</f>
        <v>0</v>
      </c>
      <c r="BS254" s="979">
        <f>IF(AB254=0,9,IF(BQ254="",9,(IF(AJ254=AD_Yes,5,0))))</f>
        <v>0</v>
      </c>
      <c r="BT254" s="979">
        <f>IF(AB254=0,9,IF(BQ254="",9,(IF(AK254=AD_Yes,5,0))))</f>
        <v>0</v>
      </c>
    </row>
    <row r="255" spans="1:81" ht="15.75" thickBot="1" x14ac:dyDescent="0.3">
      <c r="A255">
        <v>247</v>
      </c>
      <c r="B255" t="s">
        <v>1020</v>
      </c>
      <c r="C255" t="s">
        <v>176</v>
      </c>
      <c r="D255" t="s">
        <v>1020</v>
      </c>
      <c r="E255" s="1038" t="s">
        <v>1022</v>
      </c>
      <c r="F255" s="676" t="s">
        <v>233</v>
      </c>
      <c r="G255" s="676" t="s">
        <v>233</v>
      </c>
      <c r="H255" s="676" t="s">
        <v>233</v>
      </c>
      <c r="I255" s="676" t="s">
        <v>233</v>
      </c>
      <c r="J255" s="676" t="s">
        <v>233</v>
      </c>
      <c r="K255" s="676" t="s">
        <v>233</v>
      </c>
      <c r="L255" s="676" t="s">
        <v>233</v>
      </c>
      <c r="M255" s="676" t="s">
        <v>233</v>
      </c>
      <c r="N255" s="676" t="s">
        <v>233</v>
      </c>
      <c r="O255" s="676" t="s">
        <v>233</v>
      </c>
      <c r="P255" s="676" t="s">
        <v>233</v>
      </c>
      <c r="Q255" s="676" t="s">
        <v>233</v>
      </c>
      <c r="R255" s="677" t="s">
        <v>233</v>
      </c>
      <c r="T255" s="148" t="str">
        <f>HLOOKUP($E$6,$F$9:$R$255,$A255,FALSE)</f>
        <v>Yes/No</v>
      </c>
      <c r="U255" s="206"/>
      <c r="V255" s="204"/>
      <c r="W255" s="43"/>
      <c r="X255" s="43"/>
      <c r="Y255" s="147"/>
      <c r="Z255" s="147"/>
      <c r="AA255" s="148"/>
      <c r="AB255" s="184" t="str">
        <f>T255</f>
        <v>Yes/No</v>
      </c>
      <c r="AD255" s="150"/>
      <c r="AE255" s="205" t="s">
        <v>234</v>
      </c>
      <c r="AF255" s="205" t="s">
        <v>234</v>
      </c>
      <c r="AG255" s="205" t="s">
        <v>234</v>
      </c>
      <c r="AI255" s="185">
        <f>IF(VLOOKUP(E255,'Pre-Assessment Estimator'!$F$11:$AC$226,'Pre-Assessment Estimator'!$H$2,FALSE)&gt;AB255,AB255,VLOOKUP(E255,'Pre-Assessment Estimator'!$F$11:$AC$226,'Pre-Assessment Estimator'!$H$2,FALSE))</f>
        <v>0</v>
      </c>
      <c r="AJ255" s="151">
        <f>IF(VLOOKUP(E255,'Pre-Assessment Estimator'!$F$11:$AC$226,'Pre-Assessment Estimator'!$O$2,FALSE)&gt;AB255,AB255,VLOOKUP(E255,'Pre-Assessment Estimator'!$F$11:$AC$226,'Pre-Assessment Estimator'!$O$2,FALSE))</f>
        <v>0</v>
      </c>
      <c r="AK255" s="151">
        <f>IF(VLOOKUP(E255,'Pre-Assessment Estimator'!$F$11:$AC$226,'Pre-Assessment Estimator'!$V$2,FALSE)&gt;AB255,AB255,VLOOKUP(E255,'Pre-Assessment Estimator'!$F$11:$AC$226,'Pre-Assessment Estimator'!$V$2,FALSE))</f>
        <v>0</v>
      </c>
      <c r="AM255" s="566"/>
      <c r="AN255" s="566"/>
      <c r="AO255" s="566"/>
      <c r="AP255" s="566"/>
      <c r="AQ255" s="566"/>
      <c r="AS255" s="566"/>
      <c r="AT255" s="566"/>
      <c r="AU255" s="566"/>
      <c r="AV255" s="566"/>
      <c r="AW255" s="566"/>
      <c r="AY255" s="125"/>
      <c r="AZ255" s="125"/>
      <c r="BA255" s="125"/>
      <c r="BB255" s="125"/>
      <c r="BC255" s="125"/>
      <c r="BD255" s="125"/>
      <c r="BE255" s="579" t="s">
        <v>13</v>
      </c>
      <c r="BG255" s="125"/>
      <c r="BH255" s="579" t="s">
        <v>13</v>
      </c>
      <c r="BI255" s="579"/>
      <c r="BJ255" s="1021"/>
      <c r="BK255" s="579" t="s">
        <v>13</v>
      </c>
      <c r="BP255" s="43" t="s">
        <v>11</v>
      </c>
      <c r="BQ255" s="43" t="str">
        <f t="shared" si="661"/>
        <v>Yes</v>
      </c>
      <c r="BR255" s="43">
        <f>IF(BQ255="",9,(IF(AI255=AD_Yes,5,0)))</f>
        <v>0</v>
      </c>
      <c r="BS255" s="43">
        <f>IF(BQ255="",9,(IF(AJ255=AD_Yes,5,0)))</f>
        <v>0</v>
      </c>
      <c r="BT255" s="43">
        <f>IF(BQ255="",9,(IF(AK255=AD_Yes,5,0)))</f>
        <v>0</v>
      </c>
      <c r="BW255" t="s">
        <v>1141</v>
      </c>
    </row>
    <row r="256" spans="1:81" ht="15.75" thickBot="1" x14ac:dyDescent="0.3">
      <c r="A256">
        <v>248</v>
      </c>
      <c r="E256" s="1066"/>
      <c r="F256" s="674"/>
      <c r="G256" s="674"/>
      <c r="H256" s="674"/>
      <c r="I256" s="674"/>
      <c r="J256" s="674"/>
      <c r="K256" s="674"/>
      <c r="L256" s="674"/>
      <c r="M256" s="674"/>
      <c r="N256" s="674"/>
      <c r="O256" s="674"/>
      <c r="P256" s="674"/>
      <c r="Q256" s="674"/>
      <c r="R256" s="675"/>
      <c r="T256" s="148"/>
      <c r="U256" s="206"/>
      <c r="V256" s="204"/>
      <c r="W256" s="43"/>
      <c r="X256" s="43"/>
      <c r="Y256" s="147"/>
      <c r="Z256" s="147"/>
      <c r="AA256" s="148"/>
      <c r="AB256" s="184"/>
      <c r="AD256" s="150"/>
      <c r="AE256" s="205"/>
      <c r="AF256" s="205"/>
      <c r="AG256" s="205"/>
      <c r="AI256" s="185"/>
      <c r="AJ256" s="151"/>
      <c r="AK256" s="151"/>
      <c r="AM256" s="566"/>
      <c r="AN256" s="566"/>
      <c r="AO256" s="566"/>
      <c r="AP256" s="566"/>
      <c r="AQ256" s="566"/>
      <c r="AS256" s="566"/>
      <c r="AT256" s="566"/>
      <c r="AU256" s="566"/>
      <c r="AV256" s="566"/>
      <c r="AW256" s="566"/>
      <c r="AY256" s="125"/>
      <c r="AZ256" s="125"/>
      <c r="BA256" s="125"/>
      <c r="BB256" s="125"/>
      <c r="BC256" s="125"/>
      <c r="BD256" s="125"/>
      <c r="BE256" s="579"/>
      <c r="BG256" s="125"/>
      <c r="BH256" s="579"/>
      <c r="BI256" s="579"/>
      <c r="BJ256" s="1021"/>
      <c r="BK256" s="579"/>
      <c r="BP256" s="43"/>
      <c r="BQ256" s="43"/>
      <c r="BR256" s="43"/>
      <c r="BS256" s="43"/>
      <c r="BT256" s="43"/>
      <c r="BW256" t="s">
        <v>1142</v>
      </c>
    </row>
    <row r="257" spans="1:75" ht="15.75" thickBot="1" x14ac:dyDescent="0.3">
      <c r="A257">
        <v>249</v>
      </c>
      <c r="E257" s="955"/>
      <c r="BO257" s="216" t="s">
        <v>978</v>
      </c>
      <c r="BP257" s="217"/>
      <c r="BQ257" s="217"/>
      <c r="BR257" s="980">
        <f>MIN(BR10:BR255)</f>
        <v>0</v>
      </c>
      <c r="BS257" s="980">
        <f>MIN(BS10:BS255)</f>
        <v>0</v>
      </c>
      <c r="BT257" s="980">
        <f>MIN(BT10:BT25)</f>
        <v>0</v>
      </c>
      <c r="BW257" t="s">
        <v>1143</v>
      </c>
    </row>
    <row r="258" spans="1:75" ht="15.75" thickBot="1" x14ac:dyDescent="0.3">
      <c r="A258">
        <v>250</v>
      </c>
      <c r="E258" t="s">
        <v>265</v>
      </c>
      <c r="F258" s="662">
        <f t="shared" ref="F258:R258" si="662">F36+F66+F97+F110+F123+F152+F166+F197+F214</f>
        <v>143</v>
      </c>
      <c r="G258" s="662">
        <f t="shared" si="662"/>
        <v>137</v>
      </c>
      <c r="H258" s="662">
        <f t="shared" si="662"/>
        <v>136</v>
      </c>
      <c r="I258" s="662">
        <f t="shared" si="662"/>
        <v>142</v>
      </c>
      <c r="J258" s="662">
        <f t="shared" si="662"/>
        <v>142</v>
      </c>
      <c r="K258" s="662">
        <f t="shared" si="662"/>
        <v>137</v>
      </c>
      <c r="L258" s="662">
        <f t="shared" si="662"/>
        <v>137</v>
      </c>
      <c r="M258" s="662">
        <f t="shared" si="662"/>
        <v>139</v>
      </c>
      <c r="N258" s="662">
        <f t="shared" si="662"/>
        <v>138</v>
      </c>
      <c r="O258" s="662">
        <f t="shared" si="662"/>
        <v>137</v>
      </c>
      <c r="P258" s="662">
        <f t="shared" si="662"/>
        <v>137</v>
      </c>
      <c r="Q258" s="662">
        <f t="shared" si="662"/>
        <v>142</v>
      </c>
      <c r="R258" s="662">
        <f t="shared" si="662"/>
        <v>142</v>
      </c>
      <c r="T258">
        <f>T36+T66+T97+T110+T123+T152+T166+T197+T214+T231</f>
        <v>153</v>
      </c>
      <c r="AA258">
        <f>Poeng_tot-Poeng_tilgj</f>
        <v>0</v>
      </c>
      <c r="AB258">
        <f>AB36+AB66+AB97+AB110+AB123+AB152+AB166+AB197+AB214+AB231</f>
        <v>153</v>
      </c>
      <c r="BE258" t="str">
        <f>VLOOKUP(BD259,$BO$284:$BW$290,9,FALSE)</f>
        <v>Unclassified &lt;30%</v>
      </c>
      <c r="BH258" t="str">
        <f>VLOOKUP(BG259,$BO$284:$BW$290,9,FALSE)</f>
        <v>Unclassified &lt;30%</v>
      </c>
      <c r="BK258" t="str">
        <f>VLOOKUP(BJ259,$BO$284:$BW$290,9,FALSE)</f>
        <v>Unclassified &lt;30%</v>
      </c>
      <c r="BR258" s="43" t="str">
        <f>IF(BR257=0,AD_no,AD_Yes)</f>
        <v>No</v>
      </c>
      <c r="BS258" s="43" t="str">
        <f>IF(BS257=0,AD_no,AD_Yes)</f>
        <v>No</v>
      </c>
      <c r="BT258" s="43" t="str">
        <f>IF(BT257=0,AD_no,AD_Yes)</f>
        <v>No</v>
      </c>
      <c r="BW258" t="s">
        <v>1145</v>
      </c>
    </row>
    <row r="259" spans="1:75" x14ac:dyDescent="0.25">
      <c r="AA259">
        <f>AA36+AA66+AA97+AA110+AA123+AA152+AA166+AA197+AA214+AA231</f>
        <v>0</v>
      </c>
      <c r="AI259" t="str">
        <f>AD_Yes</f>
        <v>Yes</v>
      </c>
      <c r="AX259" s="1155" t="s">
        <v>238</v>
      </c>
      <c r="AY259" s="1156"/>
      <c r="AZ259" s="1156"/>
      <c r="BA259" s="1156"/>
      <c r="BB259" s="1156"/>
      <c r="BC259" s="1157"/>
      <c r="BD259" s="207">
        <f>MIN(BD10:BD252)</f>
        <v>0</v>
      </c>
      <c r="BE259" s="78" t="str">
        <f>VLOOKUP(BD259,$BO$284:$BP$290,2,FALSE)</f>
        <v>Unclassified</v>
      </c>
      <c r="BF259" s="79">
        <f>VLOOKUP(BP_MinStandards,BQ262:BS267,2,FALSE)</f>
        <v>0</v>
      </c>
      <c r="BG259" s="207">
        <f>MIN(BG10:BG252)</f>
        <v>0</v>
      </c>
      <c r="BH259" s="78" t="str">
        <f>VLOOKUP(BG259,$BO$284:$BP$290,2,FALSE)</f>
        <v>Unclassified</v>
      </c>
      <c r="BI259" s="79">
        <f>VLOOKUP(BP_MinStandards_design,BQ262:BS267,2,FALSE)</f>
        <v>0</v>
      </c>
      <c r="BJ259" s="207">
        <f>MIN(BJ10:BJ252)</f>
        <v>0</v>
      </c>
      <c r="BK259" s="78" t="str">
        <f>VLOOKUP(BJ259,$BO$284:$BP$290,2,FALSE)</f>
        <v>Unclassified</v>
      </c>
      <c r="BL259" s="79">
        <f>VLOOKUP(BP_MinStandards_const,BQ262:BS267,2,FALSE)</f>
        <v>0</v>
      </c>
      <c r="BW259" t="s">
        <v>1147</v>
      </c>
    </row>
    <row r="260" spans="1:75" x14ac:dyDescent="0.25">
      <c r="D260" s="215"/>
      <c r="E260" s="215" t="s">
        <v>226</v>
      </c>
      <c r="F260" s="595"/>
      <c r="G260" s="595"/>
      <c r="H260" s="595"/>
      <c r="I260" s="595"/>
      <c r="J260" s="595"/>
      <c r="K260" s="595"/>
      <c r="L260" s="595"/>
      <c r="M260" s="595"/>
      <c r="N260" s="595"/>
      <c r="O260" s="595"/>
      <c r="P260" s="595"/>
      <c r="Q260" s="595"/>
      <c r="R260" s="595"/>
      <c r="AE260">
        <f>Man_cont_tot+Hea_cont_tot+Ene_cont_tot+Tra_cont_tot+Wat_cont_tot+Mat_cont_tot+Wst_cont_tot+LE_cont_tot+Pol_cont_tot+Inn_cont_tot</f>
        <v>0</v>
      </c>
      <c r="AI260" t="str">
        <f>AD_no</f>
        <v>No</v>
      </c>
      <c r="AX260" s="1158" t="s">
        <v>239</v>
      </c>
      <c r="AY260" s="1159"/>
      <c r="AZ260" s="1159"/>
      <c r="BA260" s="1159"/>
      <c r="BB260" s="1159"/>
      <c r="BC260" s="1160"/>
      <c r="BD260" s="204">
        <f>Man_Credits+Hea_Credits+Ene_Credits+Tra_Credits+Wat__Credits+Mat_Credits+Wst_Credits+LE_Credits+Pol_Credits+Inn_Credits</f>
        <v>153</v>
      </c>
      <c r="BE260" s="43"/>
      <c r="BF260" s="163"/>
      <c r="BG260" s="204">
        <f>Man_Credits+Hea_Credits+Ene_Credits+Tra_Credits+Wat__Credits+Mat_Credits+Wst_Credits+LE_Credits+Pol_Credits+Inn_Credits</f>
        <v>153</v>
      </c>
      <c r="BH260" s="43"/>
      <c r="BI260" s="163"/>
      <c r="BJ260" s="204">
        <f>Man_Credits+Hea_Credits+Ene_Credits+Tra_Credits+Wat__Credits+Mat_Credits+Wst_Credits+LE_Credits+Pol_Credits+Inn_Credits</f>
        <v>153</v>
      </c>
      <c r="BK260" s="43"/>
      <c r="BL260" s="163"/>
      <c r="BW260" t="s">
        <v>1148</v>
      </c>
    </row>
    <row r="261" spans="1:75" ht="15.75" thickBot="1" x14ac:dyDescent="0.3">
      <c r="E261" t="s">
        <v>698</v>
      </c>
      <c r="AX261" s="1158" t="s">
        <v>240</v>
      </c>
      <c r="AY261" s="1159"/>
      <c r="AZ261" s="1159"/>
      <c r="BA261" s="1159"/>
      <c r="BB261" s="1159"/>
      <c r="BC261" s="1160"/>
      <c r="BD261" s="204">
        <f>Achieved_initial</f>
        <v>0</v>
      </c>
      <c r="BE261" s="43"/>
      <c r="BF261" s="163"/>
      <c r="BG261" s="204">
        <f>Achieved_design</f>
        <v>0</v>
      </c>
      <c r="BH261" s="43"/>
      <c r="BI261" s="163"/>
      <c r="BJ261" s="204">
        <f>Achieved_const</f>
        <v>0</v>
      </c>
      <c r="BK261" s="43"/>
      <c r="BL261" s="163"/>
    </row>
    <row r="262" spans="1:75" ht="15.75" thickBot="1" x14ac:dyDescent="0.3">
      <c r="E262" t="s">
        <v>708</v>
      </c>
      <c r="N262"/>
      <c r="AX262" s="1162" t="s">
        <v>243</v>
      </c>
      <c r="AY262" s="1163"/>
      <c r="AZ262" s="1163"/>
      <c r="BA262" s="1163"/>
      <c r="BB262" s="1163"/>
      <c r="BC262" s="1164"/>
      <c r="BD262" s="82">
        <f>Score_Initial</f>
        <v>0</v>
      </c>
      <c r="BE262" s="80" t="str">
        <f>IF(BD262&gt;=BP267,BQ267,IF(BD262&gt;=BP266,BQ266,IF(BD262&gt;=BP265,BQ265,IF(BD262&gt;=BP264,BQ264,IF(BD262&gt;=BP263,BQ263,BQ262)))))</f>
        <v>Unclassified</v>
      </c>
      <c r="BF262" s="81">
        <f>VLOOKUP(BE262,BQ262:BS267,2,FALSE)</f>
        <v>0</v>
      </c>
      <c r="BG262" s="82">
        <f>Score_design</f>
        <v>0</v>
      </c>
      <c r="BH262" s="80" t="str">
        <f>IF(BG262&gt;=BP267,BQ267,IF(BG262&gt;=BP266,BQ266,IF(BG262&gt;=BP265,BQ265,IF(BG262&gt;=BP264,BQ264,IF(BG262&gt;=BP263,BQ263,BQ262)))))</f>
        <v>Unclassified</v>
      </c>
      <c r="BI262" s="81">
        <f>VLOOKUP(BH262,BQ262:BS267,2,FALSE)</f>
        <v>0</v>
      </c>
      <c r="BJ262" s="82">
        <f>Score_const</f>
        <v>0</v>
      </c>
      <c r="BK262" s="80" t="str">
        <f>IF(BJ262&gt;=BP267,BQ267,IF(BJ262&gt;=BP266,BQ266,IF(BJ262&gt;=BP265,BQ265,IF(BJ262&gt;=BP264,BQ264,IF(BJ262&gt;=BP263,BQ263,BQ262)))))</f>
        <v>Unclassified</v>
      </c>
      <c r="BL262" s="81">
        <f>VLOOKUP(BK262,BQ262:BS267,2,FALSE)</f>
        <v>0</v>
      </c>
      <c r="BO262" s="208" t="s">
        <v>242</v>
      </c>
      <c r="BP262" s="209">
        <v>0</v>
      </c>
      <c r="BQ262" s="210" t="s">
        <v>72</v>
      </c>
      <c r="BR262" s="211">
        <v>0</v>
      </c>
      <c r="BT262" t="s">
        <v>72</v>
      </c>
      <c r="BU262" t="s">
        <v>826</v>
      </c>
    </row>
    <row r="263" spans="1:75" ht="15.75" thickBot="1" x14ac:dyDescent="0.3">
      <c r="E263" t="s">
        <v>1044</v>
      </c>
      <c r="N263"/>
      <c r="BO263" s="212" t="s">
        <v>241</v>
      </c>
      <c r="BP263" s="213">
        <v>0.3</v>
      </c>
      <c r="BQ263" t="s">
        <v>74</v>
      </c>
      <c r="BR263" s="214">
        <v>1</v>
      </c>
      <c r="BT263" t="s">
        <v>74</v>
      </c>
      <c r="BU263" t="s">
        <v>87</v>
      </c>
    </row>
    <row r="264" spans="1:75" ht="15.75" thickBot="1" x14ac:dyDescent="0.3">
      <c r="E264" t="s">
        <v>989</v>
      </c>
      <c r="L264"/>
      <c r="N264"/>
      <c r="AX264" s="216" t="s">
        <v>244</v>
      </c>
      <c r="AY264" s="217"/>
      <c r="AZ264" s="217"/>
      <c r="BA264" s="217"/>
      <c r="BB264" s="217"/>
      <c r="BC264" s="218"/>
      <c r="BD264" s="219" t="s">
        <v>245</v>
      </c>
      <c r="BE264" s="57" t="str">
        <f>IF(BF264=1,(BP_MinStandards&amp;"*"),BE262)</f>
        <v>Unclassified</v>
      </c>
      <c r="BF264" s="56">
        <f>IF(BF259&lt;BF262,1,0)</f>
        <v>0</v>
      </c>
      <c r="BH264" s="57" t="str">
        <f>IF(BI264=1,(BP_MinStandards_design&amp;"*"),BH262)</f>
        <v>Unclassified</v>
      </c>
      <c r="BI264" s="56">
        <f>IF(BI259&lt;BI262,1,0)</f>
        <v>0</v>
      </c>
      <c r="BK264" s="57" t="str">
        <f>IF(BL264=1,(BP_MinStandards_const&amp;"*"),BK262)</f>
        <v>Unclassified</v>
      </c>
      <c r="BL264" s="56">
        <f>IF(BL259&lt;BL262,1,0)</f>
        <v>0</v>
      </c>
      <c r="BO264" s="212" t="s">
        <v>241</v>
      </c>
      <c r="BP264" s="213">
        <v>0.45</v>
      </c>
      <c r="BQ264" t="s">
        <v>75</v>
      </c>
      <c r="BR264" s="214">
        <v>2</v>
      </c>
      <c r="BT264" t="s">
        <v>75</v>
      </c>
      <c r="BU264" t="s">
        <v>88</v>
      </c>
    </row>
    <row r="265" spans="1:75" x14ac:dyDescent="0.25">
      <c r="E265" t="s">
        <v>699</v>
      </c>
      <c r="L265" t="s">
        <v>578</v>
      </c>
      <c r="T265">
        <f>IF(OR(AI74&lt;&gt;AB74,Ene02_user&lt;&gt;Ene02_credits),0,1)</f>
        <v>0</v>
      </c>
      <c r="BO265" s="212" t="s">
        <v>241</v>
      </c>
      <c r="BP265" s="213">
        <v>0.55000000000000004</v>
      </c>
      <c r="BQ265" t="s">
        <v>76</v>
      </c>
      <c r="BR265" s="214">
        <v>3</v>
      </c>
      <c r="BT265" t="s">
        <v>76</v>
      </c>
      <c r="BU265" t="s">
        <v>89</v>
      </c>
    </row>
    <row r="266" spans="1:75" x14ac:dyDescent="0.25">
      <c r="E266" t="s">
        <v>709</v>
      </c>
      <c r="L266" t="s">
        <v>579</v>
      </c>
      <c r="AX266" t="s">
        <v>246</v>
      </c>
      <c r="BO266" s="212" t="s">
        <v>241</v>
      </c>
      <c r="BP266" s="213">
        <v>0.7</v>
      </c>
      <c r="BQ266" t="s">
        <v>77</v>
      </c>
      <c r="BR266" s="214">
        <v>4</v>
      </c>
      <c r="BT266" t="s">
        <v>77</v>
      </c>
      <c r="BU266" t="s">
        <v>235</v>
      </c>
    </row>
    <row r="267" spans="1:75" ht="15.75" thickBot="1" x14ac:dyDescent="0.3">
      <c r="E267" t="s">
        <v>700</v>
      </c>
      <c r="L267" t="s">
        <v>580</v>
      </c>
      <c r="BE267" s="224" t="str">
        <f>IF(BF264=1,AX266,"")</f>
        <v/>
      </c>
      <c r="BH267" s="224" t="str">
        <f>IF(BI264=1,AX266,"")</f>
        <v/>
      </c>
      <c r="BK267" s="224" t="str">
        <f>IF(BL264=1,AX266,"")</f>
        <v/>
      </c>
      <c r="BO267" s="220" t="s">
        <v>241</v>
      </c>
      <c r="BP267" s="221">
        <v>0.85</v>
      </c>
      <c r="BQ267" s="222" t="s">
        <v>78</v>
      </c>
      <c r="BR267" s="223">
        <v>5</v>
      </c>
      <c r="BT267" t="s">
        <v>78</v>
      </c>
      <c r="BU267" t="s">
        <v>90</v>
      </c>
    </row>
    <row r="268" spans="1:75" x14ac:dyDescent="0.25">
      <c r="E268" t="s">
        <v>701</v>
      </c>
      <c r="L268"/>
    </row>
    <row r="269" spans="1:75" x14ac:dyDescent="0.25">
      <c r="E269" t="s">
        <v>702</v>
      </c>
      <c r="L269" t="s">
        <v>584</v>
      </c>
      <c r="AX269" t="str">
        <f>"* = "&amp;AX266</f>
        <v>* = The rating has been limited to the min. standards level achieved</v>
      </c>
    </row>
    <row r="270" spans="1:75" x14ac:dyDescent="0.25">
      <c r="E270" t="s">
        <v>703</v>
      </c>
      <c r="L270" t="s">
        <v>581</v>
      </c>
    </row>
    <row r="271" spans="1:75" x14ac:dyDescent="0.25">
      <c r="E271" t="s">
        <v>704</v>
      </c>
      <c r="L271"/>
    </row>
    <row r="272" spans="1:75" x14ac:dyDescent="0.25">
      <c r="E272" t="s">
        <v>705</v>
      </c>
      <c r="L272" t="s">
        <v>582</v>
      </c>
    </row>
    <row r="273" spans="3:75" x14ac:dyDescent="0.25">
      <c r="E273" t="s">
        <v>706</v>
      </c>
      <c r="L273" t="s">
        <v>583</v>
      </c>
    </row>
    <row r="274" spans="3:75" x14ac:dyDescent="0.25">
      <c r="E274" t="s">
        <v>707</v>
      </c>
      <c r="L274"/>
    </row>
    <row r="275" spans="3:75" x14ac:dyDescent="0.25">
      <c r="E275" t="s">
        <v>314</v>
      </c>
      <c r="L275"/>
    </row>
    <row r="276" spans="3:75" x14ac:dyDescent="0.25">
      <c r="L276" t="s">
        <v>1045</v>
      </c>
    </row>
    <row r="277" spans="3:75" ht="45" x14ac:dyDescent="0.25">
      <c r="D277" t="s">
        <v>11</v>
      </c>
      <c r="E277" t="s">
        <v>312</v>
      </c>
      <c r="F277" s="662" t="s">
        <v>997</v>
      </c>
    </row>
    <row r="278" spans="3:75" ht="45" x14ac:dyDescent="0.25">
      <c r="D278" t="s">
        <v>12</v>
      </c>
      <c r="E278" t="s">
        <v>312</v>
      </c>
      <c r="F278" s="662" t="s">
        <v>998</v>
      </c>
    </row>
    <row r="281" spans="3:75" x14ac:dyDescent="0.25">
      <c r="C281" t="s">
        <v>174</v>
      </c>
      <c r="D281" t="s">
        <v>1075</v>
      </c>
      <c r="E281" s="930" t="s">
        <v>995</v>
      </c>
      <c r="AI281">
        <f>'Pre-Assessment Estimator'!H134</f>
        <v>0</v>
      </c>
      <c r="AJ281">
        <f>'Pre-Assessment Estimator'!O134</f>
        <v>1</v>
      </c>
      <c r="AK281">
        <f>'Pre-Assessment Estimator'!V134</f>
        <v>1</v>
      </c>
    </row>
    <row r="284" spans="3:75" x14ac:dyDescent="0.25">
      <c r="BN284" t="s">
        <v>78</v>
      </c>
      <c r="BO284">
        <v>5</v>
      </c>
      <c r="BP284" t="s">
        <v>78</v>
      </c>
      <c r="BR284" t="s">
        <v>827</v>
      </c>
      <c r="BT284" t="s">
        <v>78</v>
      </c>
      <c r="BU284" t="s">
        <v>90</v>
      </c>
      <c r="BW284" t="s">
        <v>1153</v>
      </c>
    </row>
    <row r="285" spans="3:75" x14ac:dyDescent="0.25">
      <c r="BN285" t="s">
        <v>77</v>
      </c>
      <c r="BO285">
        <v>4</v>
      </c>
      <c r="BP285" t="s">
        <v>77</v>
      </c>
      <c r="BR285" t="s">
        <v>828</v>
      </c>
      <c r="BT285" t="s">
        <v>77</v>
      </c>
      <c r="BU285" t="s">
        <v>235</v>
      </c>
      <c r="BW285" t="s">
        <v>1154</v>
      </c>
    </row>
    <row r="286" spans="3:75" x14ac:dyDescent="0.25">
      <c r="BN286" t="s">
        <v>76</v>
      </c>
      <c r="BO286">
        <v>3</v>
      </c>
      <c r="BP286" t="s">
        <v>76</v>
      </c>
      <c r="BR286" t="s">
        <v>829</v>
      </c>
      <c r="BT286" t="s">
        <v>76</v>
      </c>
      <c r="BU286" t="s">
        <v>89</v>
      </c>
      <c r="BW286" t="s">
        <v>1155</v>
      </c>
    </row>
    <row r="287" spans="3:75" x14ac:dyDescent="0.25">
      <c r="BN287" t="s">
        <v>75</v>
      </c>
      <c r="BO287">
        <v>2</v>
      </c>
      <c r="BP287" t="s">
        <v>75</v>
      </c>
      <c r="BR287" t="s">
        <v>75</v>
      </c>
      <c r="BT287" t="s">
        <v>75</v>
      </c>
      <c r="BU287" t="s">
        <v>88</v>
      </c>
      <c r="BW287" t="s">
        <v>1156</v>
      </c>
    </row>
    <row r="288" spans="3:75" x14ac:dyDescent="0.25">
      <c r="BN288" t="s">
        <v>74</v>
      </c>
      <c r="BO288">
        <v>1</v>
      </c>
      <c r="BP288" t="s">
        <v>74</v>
      </c>
      <c r="BR288" t="s">
        <v>74</v>
      </c>
      <c r="BT288" t="s">
        <v>74</v>
      </c>
      <c r="BU288" t="s">
        <v>87</v>
      </c>
      <c r="BW288" t="s">
        <v>1157</v>
      </c>
    </row>
    <row r="289" spans="4:75" x14ac:dyDescent="0.25">
      <c r="BN289" t="s">
        <v>72</v>
      </c>
      <c r="BO289">
        <v>0</v>
      </c>
      <c r="BP289" t="s">
        <v>72</v>
      </c>
      <c r="BR289" t="s">
        <v>72</v>
      </c>
      <c r="BT289" t="s">
        <v>72</v>
      </c>
      <c r="BU289" t="s">
        <v>826</v>
      </c>
      <c r="BW289" t="s">
        <v>1158</v>
      </c>
    </row>
    <row r="290" spans="4:75" x14ac:dyDescent="0.25">
      <c r="BN290" t="s">
        <v>13</v>
      </c>
      <c r="BO290">
        <v>9</v>
      </c>
      <c r="BP290" t="s">
        <v>13</v>
      </c>
      <c r="BR290" t="s">
        <v>13</v>
      </c>
      <c r="BT290" t="s">
        <v>13</v>
      </c>
      <c r="BU290" t="s">
        <v>13</v>
      </c>
      <c r="BW290" t="s">
        <v>13</v>
      </c>
    </row>
    <row r="291" spans="4:75" ht="15.75" thickBot="1" x14ac:dyDescent="0.3">
      <c r="E291" s="579">
        <v>1</v>
      </c>
      <c r="F291" s="678">
        <v>2</v>
      </c>
      <c r="G291" s="678">
        <v>3</v>
      </c>
      <c r="H291" s="678">
        <v>4</v>
      </c>
    </row>
    <row r="292" spans="4:75" ht="15.75" thickBot="1" x14ac:dyDescent="0.3">
      <c r="D292" s="127"/>
      <c r="E292" s="570" t="s">
        <v>411</v>
      </c>
      <c r="F292" s="679" t="s">
        <v>417</v>
      </c>
      <c r="G292" s="679" t="s">
        <v>419</v>
      </c>
      <c r="H292" s="680" t="s">
        <v>420</v>
      </c>
    </row>
    <row r="293" spans="4:75" ht="15.75" thickBot="1" x14ac:dyDescent="0.3">
      <c r="D293" s="144" t="s">
        <v>412</v>
      </c>
      <c r="E293" s="567" t="str">
        <f>'Pre-Assessment Estimator'!AL38</f>
        <v>O1: Glare ctrl/artificial light</v>
      </c>
      <c r="F293" s="681">
        <v>0</v>
      </c>
      <c r="G293" s="681" t="s">
        <v>418</v>
      </c>
      <c r="H293" s="682"/>
    </row>
    <row r="294" spans="4:75" ht="15.75" thickBot="1" x14ac:dyDescent="0.3">
      <c r="D294" s="146" t="s">
        <v>412</v>
      </c>
      <c r="E294" s="64" t="str">
        <f>'Pre-Assessment Estimator'!AM38</f>
        <v>O2: Glare control (-0,5 c)</v>
      </c>
      <c r="F294" s="683">
        <v>-0.5</v>
      </c>
      <c r="G294" s="683" t="s">
        <v>418</v>
      </c>
      <c r="H294" s="684"/>
      <c r="BI294" s="133" t="s">
        <v>280</v>
      </c>
      <c r="BJ294" s="133" t="s">
        <v>281</v>
      </c>
      <c r="BK294" s="134" t="s">
        <v>1</v>
      </c>
      <c r="BP294" s="132" t="s">
        <v>282</v>
      </c>
      <c r="BQ294" s="133" t="s">
        <v>85</v>
      </c>
      <c r="BR294" s="133" t="s">
        <v>280</v>
      </c>
      <c r="BS294" s="133" t="s">
        <v>281</v>
      </c>
      <c r="BT294" s="134" t="s">
        <v>1</v>
      </c>
    </row>
    <row r="295" spans="4:75" x14ac:dyDescent="0.25">
      <c r="D295" s="146" t="s">
        <v>412</v>
      </c>
      <c r="E295" s="64" t="str">
        <f>'Pre-Assessment Estimator'!AN38</f>
        <v>O2: Artificial lighting (-0,5 c)</v>
      </c>
      <c r="F295" s="683">
        <v>-0.5</v>
      </c>
      <c r="G295" s="683" t="s">
        <v>418</v>
      </c>
      <c r="H295" s="684"/>
      <c r="BH295" s="62" t="s">
        <v>710</v>
      </c>
      <c r="BI295">
        <f t="shared" ref="BI295:BI327" si="663">VLOOKUP($BH295,$B$10:$BK$252,BD$1,FALSE)</f>
        <v>3</v>
      </c>
      <c r="BJ295">
        <f t="shared" ref="BJ295:BJ327" si="664">VLOOKUP($BH295,$B$10:$BK$252,BG$1,FALSE)</f>
        <v>3</v>
      </c>
      <c r="BK295">
        <f t="shared" ref="BK295:BK327" si="665">VLOOKUP($BH295,$B$10:$BK$252,BJ$1,FALSE)</f>
        <v>3</v>
      </c>
      <c r="BP295" s="189" t="s">
        <v>545</v>
      </c>
      <c r="BQ295" s="156" t="s">
        <v>91</v>
      </c>
      <c r="BR295" s="156">
        <f>MIN(BI295:BI296)</f>
        <v>3</v>
      </c>
      <c r="BS295" s="156">
        <f t="shared" ref="BS295:BT295" si="666">MIN(BJ295:BJ296)</f>
        <v>3</v>
      </c>
      <c r="BT295" s="156">
        <f t="shared" si="666"/>
        <v>3</v>
      </c>
    </row>
    <row r="296" spans="4:75" ht="15.75" thickBot="1" x14ac:dyDescent="0.3">
      <c r="D296" s="146" t="s">
        <v>412</v>
      </c>
      <c r="E296" s="568" t="str">
        <f>'Pre-Assessment Estimator'!AO38</f>
        <v>O2: Glare ctrl &amp; artif light (-1,0 c)</v>
      </c>
      <c r="F296" s="683">
        <v>-1</v>
      </c>
      <c r="G296" s="683" t="s">
        <v>418</v>
      </c>
      <c r="H296" s="684"/>
      <c r="BH296" s="981" t="s">
        <v>711</v>
      </c>
      <c r="BI296" s="222">
        <f t="shared" si="663"/>
        <v>3</v>
      </c>
      <c r="BJ296" s="222">
        <f t="shared" si="664"/>
        <v>3</v>
      </c>
      <c r="BK296" s="222">
        <f t="shared" si="665"/>
        <v>3</v>
      </c>
      <c r="BP296" s="146" t="s">
        <v>547</v>
      </c>
      <c r="BQ296" s="43" t="s">
        <v>93</v>
      </c>
      <c r="BR296" s="43">
        <f>MIN(BI297:BI299)</f>
        <v>0</v>
      </c>
      <c r="BS296" s="43">
        <f t="shared" ref="BS296:BT296" si="667">MIN(BJ297:BJ299)</f>
        <v>0</v>
      </c>
      <c r="BT296" s="43">
        <f t="shared" si="667"/>
        <v>0</v>
      </c>
    </row>
    <row r="297" spans="4:75" x14ac:dyDescent="0.25">
      <c r="D297" s="146" t="s">
        <v>412</v>
      </c>
      <c r="E297" s="567" t="str">
        <f>'Pre-Assessment Estimator'!AP38</f>
        <v>O3: Glare ctrl/artif lighting</v>
      </c>
      <c r="F297" s="683">
        <v>0</v>
      </c>
      <c r="G297" s="683" t="s">
        <v>418</v>
      </c>
      <c r="H297" s="684"/>
      <c r="BH297" s="62" t="s">
        <v>719</v>
      </c>
      <c r="BI297">
        <f t="shared" si="663"/>
        <v>0</v>
      </c>
      <c r="BJ297">
        <f t="shared" si="664"/>
        <v>0</v>
      </c>
      <c r="BK297">
        <f t="shared" si="665"/>
        <v>0</v>
      </c>
      <c r="BP297" s="146" t="s">
        <v>94</v>
      </c>
      <c r="BQ297" s="43" t="s">
        <v>94</v>
      </c>
      <c r="BR297" s="43">
        <f>MIN(BI300:BI301)</f>
        <v>0</v>
      </c>
      <c r="BS297" s="43">
        <f t="shared" ref="BS297:BT297" si="668">MIN(BJ300:BJ301)</f>
        <v>0</v>
      </c>
      <c r="BT297" s="43">
        <f t="shared" si="668"/>
        <v>0</v>
      </c>
    </row>
    <row r="298" spans="4:75" ht="15.75" thickBot="1" x14ac:dyDescent="0.3">
      <c r="D298" s="168" t="s">
        <v>412</v>
      </c>
      <c r="E298" s="568" t="str">
        <f>'Pre-Assessment Estimator'!AQ38</f>
        <v>Glare ctrl/artif lighting N/A</v>
      </c>
      <c r="F298" s="685">
        <v>0</v>
      </c>
      <c r="G298" s="685" t="s">
        <v>418</v>
      </c>
      <c r="H298" s="686">
        <v>2</v>
      </c>
      <c r="BH298" s="62" t="s">
        <v>720</v>
      </c>
      <c r="BI298">
        <f t="shared" si="663"/>
        <v>2</v>
      </c>
      <c r="BJ298">
        <f t="shared" si="664"/>
        <v>2</v>
      </c>
      <c r="BK298">
        <f t="shared" si="665"/>
        <v>2</v>
      </c>
      <c r="BP298" s="146" t="s">
        <v>557</v>
      </c>
      <c r="BQ298" s="43" t="str">
        <f>IF(E6=H9,"","Man 05")</f>
        <v>Man 05</v>
      </c>
      <c r="BR298" s="43">
        <f>MIN(BI302)</f>
        <v>3</v>
      </c>
      <c r="BS298" s="43">
        <f t="shared" ref="BS298:BT298" si="669">MIN(BJ302)</f>
        <v>3</v>
      </c>
      <c r="BT298" s="43">
        <f t="shared" si="669"/>
        <v>3</v>
      </c>
      <c r="BU298" s="192" t="s">
        <v>571</v>
      </c>
    </row>
    <row r="299" spans="4:75" ht="15.75" thickBot="1" x14ac:dyDescent="0.3">
      <c r="D299" s="144" t="s">
        <v>413</v>
      </c>
      <c r="E299" s="567" t="str">
        <f>'Pre-Assessment Estimator'!AL46</f>
        <v>O1: VOC</v>
      </c>
      <c r="F299" s="681">
        <v>0</v>
      </c>
      <c r="G299" s="681" t="s">
        <v>418</v>
      </c>
      <c r="H299" s="682"/>
      <c r="BH299" s="981" t="s">
        <v>910</v>
      </c>
      <c r="BI299" s="222">
        <f t="shared" si="663"/>
        <v>3</v>
      </c>
      <c r="BJ299" s="222">
        <f t="shared" si="664"/>
        <v>3</v>
      </c>
      <c r="BK299" s="222">
        <f t="shared" si="665"/>
        <v>3</v>
      </c>
      <c r="BP299" s="146" t="s">
        <v>861</v>
      </c>
      <c r="BQ299" t="s">
        <v>116</v>
      </c>
      <c r="BR299" s="43">
        <f>MIN(BI303)</f>
        <v>0</v>
      </c>
      <c r="BS299" s="43">
        <f>MIN(BJ303)</f>
        <v>0</v>
      </c>
      <c r="BT299" s="43">
        <f>MIN(BK303)</f>
        <v>0</v>
      </c>
    </row>
    <row r="300" spans="4:75" x14ac:dyDescent="0.25">
      <c r="D300" s="146" t="s">
        <v>413</v>
      </c>
      <c r="E300" s="64" t="str">
        <f>'Pre-Assessment Estimator'!AM46</f>
        <v>O2: VOC (AC 6-7: -0,5 c)</v>
      </c>
      <c r="F300" s="683">
        <v>-0.5</v>
      </c>
      <c r="G300" s="683" t="s">
        <v>418</v>
      </c>
      <c r="H300" s="684"/>
      <c r="BH300" s="62" t="s">
        <v>721</v>
      </c>
      <c r="BI300">
        <f t="shared" si="663"/>
        <v>0</v>
      </c>
      <c r="BJ300">
        <f t="shared" si="664"/>
        <v>0</v>
      </c>
      <c r="BK300">
        <f t="shared" si="665"/>
        <v>0</v>
      </c>
      <c r="BP300" s="146" t="s">
        <v>541</v>
      </c>
      <c r="BQ300" s="43" t="s">
        <v>117</v>
      </c>
      <c r="BR300" s="43">
        <f>MIN(BI304:BI305)</f>
        <v>0</v>
      </c>
      <c r="BS300" s="43">
        <f>MIN(BJ304:BJ305)</f>
        <v>0</v>
      </c>
      <c r="BT300" s="43">
        <f>MIN(BK304:BK305)</f>
        <v>0</v>
      </c>
    </row>
    <row r="301" spans="4:75" ht="15.75" thickBot="1" x14ac:dyDescent="0.3">
      <c r="D301" s="146" t="s">
        <v>413</v>
      </c>
      <c r="E301" s="64" t="str">
        <f>'Pre-Assessment Estimator'!AN46</f>
        <v>O2: VOC (AC 8-9: -1,0 c)</v>
      </c>
      <c r="F301" s="683">
        <v>-1</v>
      </c>
      <c r="G301" s="683" t="s">
        <v>418</v>
      </c>
      <c r="H301" s="684"/>
      <c r="BH301" s="981" t="s">
        <v>723</v>
      </c>
      <c r="BI301" s="222">
        <f t="shared" si="663"/>
        <v>2</v>
      </c>
      <c r="BJ301" s="222">
        <f t="shared" si="664"/>
        <v>2</v>
      </c>
      <c r="BK301" s="222">
        <f t="shared" si="665"/>
        <v>2</v>
      </c>
      <c r="BP301" s="146" t="s">
        <v>572</v>
      </c>
      <c r="BQ301" s="43" t="s">
        <v>134</v>
      </c>
      <c r="BR301" s="43">
        <f>MIN(BI306)</f>
        <v>3</v>
      </c>
      <c r="BS301" s="43">
        <f t="shared" ref="BS301:BT301" si="670">MIN(BJ306)</f>
        <v>3</v>
      </c>
      <c r="BT301" s="43">
        <f t="shared" si="670"/>
        <v>3</v>
      </c>
      <c r="BU301" s="192"/>
    </row>
    <row r="302" spans="4:75" ht="15.75" thickBot="1" x14ac:dyDescent="0.3">
      <c r="D302" s="146" t="s">
        <v>413</v>
      </c>
      <c r="E302" s="64" t="str">
        <f>'Pre-Assessment Estimator'!AO46</f>
        <v>O3: VOC</v>
      </c>
      <c r="F302" s="683">
        <v>0</v>
      </c>
      <c r="G302" s="683" t="s">
        <v>418</v>
      </c>
      <c r="H302" s="684"/>
      <c r="BH302" s="982" t="s">
        <v>725</v>
      </c>
      <c r="BI302" s="217">
        <f t="shared" si="663"/>
        <v>3</v>
      </c>
      <c r="BJ302" s="217">
        <f t="shared" si="664"/>
        <v>3</v>
      </c>
      <c r="BK302" s="217">
        <f t="shared" si="665"/>
        <v>3</v>
      </c>
      <c r="BP302" s="146" t="s">
        <v>946</v>
      </c>
      <c r="BQ302" s="43" t="s">
        <v>140</v>
      </c>
      <c r="BR302" s="43">
        <f>MIN(BI307)</f>
        <v>0</v>
      </c>
      <c r="BS302" s="43">
        <f t="shared" ref="BS302:BT302" si="671">MIN(BJ307)</f>
        <v>0</v>
      </c>
      <c r="BT302" s="43">
        <f t="shared" si="671"/>
        <v>0</v>
      </c>
    </row>
    <row r="303" spans="4:75" ht="15.75" thickBot="1" x14ac:dyDescent="0.3">
      <c r="D303" s="167" t="s">
        <v>413</v>
      </c>
      <c r="E303" s="572" t="str">
        <f>'Pre-Assessment Estimator'!AP46</f>
        <v>VOC N/A</v>
      </c>
      <c r="F303" s="687">
        <v>0</v>
      </c>
      <c r="G303" s="687" t="s">
        <v>418</v>
      </c>
      <c r="H303" s="688">
        <v>5</v>
      </c>
      <c r="BH303" s="982" t="s">
        <v>727</v>
      </c>
      <c r="BI303" s="217">
        <f t="shared" si="663"/>
        <v>0</v>
      </c>
      <c r="BJ303" s="217">
        <f t="shared" si="664"/>
        <v>0</v>
      </c>
      <c r="BK303" s="217">
        <f t="shared" si="665"/>
        <v>0</v>
      </c>
      <c r="BP303" s="146" t="s">
        <v>549</v>
      </c>
      <c r="BQ303" s="43" t="s">
        <v>146</v>
      </c>
      <c r="BR303" s="43">
        <f>MIN(BI308)</f>
        <v>3</v>
      </c>
      <c r="BS303" s="43">
        <f t="shared" ref="BS303:BT303" si="672">MIN(BJ308)</f>
        <v>3</v>
      </c>
      <c r="BT303" s="43">
        <f t="shared" si="672"/>
        <v>3</v>
      </c>
      <c r="BU303" s="192"/>
    </row>
    <row r="304" spans="4:75" x14ac:dyDescent="0.25">
      <c r="D304" s="189" t="s">
        <v>414</v>
      </c>
      <c r="E304" s="571" t="str">
        <f>'Pre-Assessment Estimator'!AL73</f>
        <v>O1: Sub-metering</v>
      </c>
      <c r="F304" s="689">
        <v>0</v>
      </c>
      <c r="G304" s="689" t="s">
        <v>418</v>
      </c>
      <c r="H304" s="690"/>
      <c r="BH304" s="983" t="s">
        <v>732</v>
      </c>
      <c r="BI304" s="210">
        <f t="shared" si="663"/>
        <v>0</v>
      </c>
      <c r="BJ304" s="210">
        <f t="shared" si="664"/>
        <v>0</v>
      </c>
      <c r="BK304" s="210">
        <f t="shared" si="665"/>
        <v>0</v>
      </c>
      <c r="BP304" s="146" t="s">
        <v>168</v>
      </c>
      <c r="BQ304" s="43" t="s">
        <v>168</v>
      </c>
      <c r="BR304" s="43">
        <f>MIN(BI309)</f>
        <v>3</v>
      </c>
      <c r="BS304" s="43">
        <f t="shared" ref="BS304:BT304" si="673">MIN(BJ309)</f>
        <v>3</v>
      </c>
      <c r="BT304" s="43">
        <f t="shared" si="673"/>
        <v>3</v>
      </c>
      <c r="BU304" s="192"/>
    </row>
    <row r="305" spans="4:72" ht="15.75" thickBot="1" x14ac:dyDescent="0.3">
      <c r="D305" s="146" t="s">
        <v>414</v>
      </c>
      <c r="E305" s="64" t="str">
        <f>'Pre-Assessment Estimator'!AM73</f>
        <v>O2: Sub-met. (AC 1-3: -0,5 c)</v>
      </c>
      <c r="F305" s="683">
        <v>-0.5</v>
      </c>
      <c r="G305" s="683" t="s">
        <v>418</v>
      </c>
      <c r="H305" s="684"/>
      <c r="BH305" s="981" t="s">
        <v>734</v>
      </c>
      <c r="BI305" s="222">
        <f t="shared" si="663"/>
        <v>2</v>
      </c>
      <c r="BJ305" s="222">
        <f t="shared" si="664"/>
        <v>2</v>
      </c>
      <c r="BK305" s="222">
        <f t="shared" si="665"/>
        <v>2</v>
      </c>
      <c r="BP305" s="146" t="s">
        <v>3</v>
      </c>
      <c r="BQ305" s="43" t="s">
        <v>172</v>
      </c>
      <c r="BR305" s="43">
        <f>MIN(BI310:BI311)</f>
        <v>0</v>
      </c>
      <c r="BS305" s="43">
        <f t="shared" ref="BS305:BT305" si="674">MIN(BJ310:BJ311)</f>
        <v>0</v>
      </c>
      <c r="BT305" s="43">
        <f t="shared" si="674"/>
        <v>0</v>
      </c>
    </row>
    <row r="306" spans="4:72" ht="15.75" thickBot="1" x14ac:dyDescent="0.3">
      <c r="D306" s="146" t="s">
        <v>414</v>
      </c>
      <c r="E306" s="64" t="str">
        <f>'Pre-Assessment Estimator'!AN73</f>
        <v>O2: Sub-met. (AC 4-7: -1,0 c)</v>
      </c>
      <c r="F306" s="683">
        <v>-1</v>
      </c>
      <c r="G306" s="683" t="s">
        <v>418</v>
      </c>
      <c r="H306" s="684"/>
      <c r="BH306" s="982" t="s">
        <v>747</v>
      </c>
      <c r="BI306" s="217">
        <f t="shared" si="663"/>
        <v>3</v>
      </c>
      <c r="BJ306" s="217">
        <f t="shared" si="664"/>
        <v>3</v>
      </c>
      <c r="BK306" s="217">
        <f t="shared" si="665"/>
        <v>3</v>
      </c>
      <c r="BP306" s="146" t="s">
        <v>950</v>
      </c>
      <c r="BQ306" s="43" t="s">
        <v>477</v>
      </c>
      <c r="BR306" s="43">
        <f>MIN(BI312)</f>
        <v>0</v>
      </c>
      <c r="BS306" s="43">
        <f t="shared" ref="BS306:BT306" si="675">MIN(BJ312)</f>
        <v>0</v>
      </c>
      <c r="BT306" s="43">
        <f t="shared" si="675"/>
        <v>0</v>
      </c>
    </row>
    <row r="307" spans="4:72" ht="15.75" thickBot="1" x14ac:dyDescent="0.3">
      <c r="D307" s="146" t="s">
        <v>414</v>
      </c>
      <c r="E307" s="64" t="str">
        <f>'Pre-Assessment Estimator'!AO73</f>
        <v>O3: Sub-metering</v>
      </c>
      <c r="F307" s="683">
        <v>0</v>
      </c>
      <c r="G307" s="683" t="s">
        <v>418</v>
      </c>
      <c r="H307" s="684"/>
      <c r="BH307" s="982" t="s">
        <v>756</v>
      </c>
      <c r="BI307" s="217">
        <f t="shared" si="663"/>
        <v>0</v>
      </c>
      <c r="BJ307" s="217">
        <f t="shared" si="664"/>
        <v>0</v>
      </c>
      <c r="BK307" s="217">
        <f t="shared" si="665"/>
        <v>0</v>
      </c>
      <c r="BP307" s="146" t="s">
        <v>951</v>
      </c>
      <c r="BQ307" s="43" t="s">
        <v>173</v>
      </c>
      <c r="BR307" s="43">
        <f>MIN(BI313)</f>
        <v>0</v>
      </c>
      <c r="BS307" s="43">
        <f t="shared" ref="BS307:BT307" si="676">MIN(BJ313)</f>
        <v>0</v>
      </c>
      <c r="BT307" s="43">
        <f t="shared" si="676"/>
        <v>0</v>
      </c>
    </row>
    <row r="308" spans="4:72" ht="15.75" thickBot="1" x14ac:dyDescent="0.3">
      <c r="D308" s="167" t="s">
        <v>414</v>
      </c>
      <c r="E308" s="572" t="str">
        <f>'Pre-Assessment Estimator'!AP73</f>
        <v>Sub-metering N/A</v>
      </c>
      <c r="F308" s="687">
        <v>0</v>
      </c>
      <c r="G308" s="687" t="s">
        <v>418</v>
      </c>
      <c r="H308" s="688">
        <v>1</v>
      </c>
      <c r="BH308" s="982" t="s">
        <v>760</v>
      </c>
      <c r="BI308" s="217">
        <f t="shared" si="663"/>
        <v>3</v>
      </c>
      <c r="BJ308" s="217">
        <f t="shared" si="664"/>
        <v>3</v>
      </c>
      <c r="BK308" s="217">
        <f t="shared" si="665"/>
        <v>3</v>
      </c>
      <c r="BP308" s="146" t="s">
        <v>947</v>
      </c>
      <c r="BQ308" s="43" t="s">
        <v>174</v>
      </c>
      <c r="BR308" s="43">
        <f>MIN(BI314)</f>
        <v>3</v>
      </c>
      <c r="BS308" s="43">
        <f t="shared" ref="BS308:BT308" si="677">MIN(BJ314)</f>
        <v>3</v>
      </c>
      <c r="BT308" s="43">
        <f t="shared" si="677"/>
        <v>3</v>
      </c>
    </row>
    <row r="309" spans="4:72" ht="15.75" thickBot="1" x14ac:dyDescent="0.3">
      <c r="D309" s="189" t="s">
        <v>415</v>
      </c>
      <c r="E309" s="571" t="str">
        <f>'Pre-Assessment Estimator'!AL109</f>
        <v>O1: Flow control</v>
      </c>
      <c r="F309" s="689">
        <v>0</v>
      </c>
      <c r="G309" s="689" t="s">
        <v>418</v>
      </c>
      <c r="H309" s="690"/>
      <c r="BH309" s="982" t="s">
        <v>763</v>
      </c>
      <c r="BI309" s="217">
        <f t="shared" si="663"/>
        <v>3</v>
      </c>
      <c r="BJ309" s="217">
        <f t="shared" si="664"/>
        <v>3</v>
      </c>
      <c r="BK309" s="217">
        <f t="shared" si="665"/>
        <v>3</v>
      </c>
      <c r="BP309" s="146" t="s">
        <v>550</v>
      </c>
      <c r="BQ309" s="43" t="s">
        <v>175</v>
      </c>
      <c r="BR309" s="43">
        <f>MIN(BI315)</f>
        <v>0</v>
      </c>
      <c r="BS309" s="43">
        <f t="shared" ref="BS309:BT309" si="678">MIN(BJ315)</f>
        <v>0</v>
      </c>
      <c r="BT309" s="43">
        <f t="shared" si="678"/>
        <v>0</v>
      </c>
    </row>
    <row r="310" spans="4:72" x14ac:dyDescent="0.25">
      <c r="D310" s="146" t="s">
        <v>415</v>
      </c>
      <c r="E310" s="64" t="str">
        <f>'Pre-Assessment Estimator'!AM109</f>
        <v>O2: Flow control (-0,5 c)</v>
      </c>
      <c r="F310" s="683">
        <v>-0.5</v>
      </c>
      <c r="G310" s="683" t="s">
        <v>418</v>
      </c>
      <c r="H310" s="684"/>
      <c r="BH310" s="983" t="s">
        <v>769</v>
      </c>
      <c r="BI310" s="210">
        <f t="shared" si="663"/>
        <v>0</v>
      </c>
      <c r="BJ310" s="210">
        <f t="shared" si="664"/>
        <v>0</v>
      </c>
      <c r="BK310" s="210">
        <f t="shared" si="665"/>
        <v>0</v>
      </c>
      <c r="BP310" s="146" t="s">
        <v>551</v>
      </c>
      <c r="BQ310" s="43" t="s">
        <v>478</v>
      </c>
      <c r="BR310" s="43">
        <f>MIN(BI316:BI317)</f>
        <v>3</v>
      </c>
      <c r="BS310" s="43">
        <f t="shared" ref="BS310:BT310" si="679">MIN(BJ316:BJ317)</f>
        <v>3</v>
      </c>
      <c r="BT310" s="43">
        <f t="shared" si="679"/>
        <v>3</v>
      </c>
    </row>
    <row r="311" spans="4:72" ht="15.75" thickBot="1" x14ac:dyDescent="0.3">
      <c r="D311" s="146" t="s">
        <v>415</v>
      </c>
      <c r="E311" s="64" t="str">
        <f>'Pre-Assessment Estimator'!AN109</f>
        <v xml:space="preserve">O3: Flow control </v>
      </c>
      <c r="F311" s="683">
        <v>0</v>
      </c>
      <c r="G311" s="683" t="s">
        <v>418</v>
      </c>
      <c r="H311" s="684"/>
      <c r="BH311" s="981" t="s">
        <v>770</v>
      </c>
      <c r="BI311" s="222">
        <f t="shared" si="663"/>
        <v>2</v>
      </c>
      <c r="BJ311" s="222">
        <f t="shared" si="664"/>
        <v>2</v>
      </c>
      <c r="BK311" s="222">
        <f t="shared" si="665"/>
        <v>2</v>
      </c>
      <c r="BP311" s="146" t="s">
        <v>552</v>
      </c>
      <c r="BQ311" s="43" t="s">
        <v>176</v>
      </c>
      <c r="BR311" s="43">
        <f>MIN(BI318:BI321)</f>
        <v>2</v>
      </c>
      <c r="BS311" s="43">
        <f t="shared" ref="BS311:BT311" si="680">MIN(BJ318:BJ321)</f>
        <v>2</v>
      </c>
      <c r="BT311" s="43">
        <f t="shared" si="680"/>
        <v>2</v>
      </c>
    </row>
    <row r="312" spans="4:72" ht="15.75" thickBot="1" x14ac:dyDescent="0.3">
      <c r="D312" s="168" t="s">
        <v>415</v>
      </c>
      <c r="E312" s="568" t="str">
        <f>'Pre-Assessment Estimator'!AO109</f>
        <v>Flow control N/A</v>
      </c>
      <c r="F312" s="685">
        <v>0</v>
      </c>
      <c r="G312" s="685" t="s">
        <v>418</v>
      </c>
      <c r="H312" s="686">
        <v>1</v>
      </c>
      <c r="BH312" s="982" t="s">
        <v>772</v>
      </c>
      <c r="BI312" s="210">
        <f t="shared" si="663"/>
        <v>0</v>
      </c>
      <c r="BJ312" s="210">
        <f t="shared" si="664"/>
        <v>0</v>
      </c>
      <c r="BK312" s="210">
        <f t="shared" si="665"/>
        <v>0</v>
      </c>
      <c r="BP312" s="146" t="s">
        <v>948</v>
      </c>
      <c r="BQ312" s="43" t="s">
        <v>949</v>
      </c>
      <c r="BR312" s="43">
        <f>MIN(BI322:BI323)</f>
        <v>3</v>
      </c>
      <c r="BS312" s="43">
        <f t="shared" ref="BS312:BT312" si="681">MIN(BJ322:BJ323)</f>
        <v>3</v>
      </c>
      <c r="BT312" s="43">
        <f t="shared" si="681"/>
        <v>3</v>
      </c>
    </row>
    <row r="313" spans="4:72" ht="15.75" thickBot="1" x14ac:dyDescent="0.3">
      <c r="D313" s="576" t="s">
        <v>184</v>
      </c>
      <c r="E313" s="577" t="s">
        <v>410</v>
      </c>
      <c r="F313" s="691">
        <v>1</v>
      </c>
      <c r="G313" s="691" t="s">
        <v>421</v>
      </c>
      <c r="H313" s="692"/>
      <c r="BH313" s="982" t="s">
        <v>775</v>
      </c>
      <c r="BI313" s="217">
        <f t="shared" si="663"/>
        <v>0</v>
      </c>
      <c r="BJ313" s="217">
        <f t="shared" si="664"/>
        <v>0</v>
      </c>
      <c r="BK313" s="217">
        <f t="shared" si="665"/>
        <v>0</v>
      </c>
      <c r="BP313" s="146" t="s">
        <v>179</v>
      </c>
      <c r="BQ313" s="43" t="s">
        <v>179</v>
      </c>
      <c r="BR313" s="43">
        <f>MIN(BI324)</f>
        <v>3</v>
      </c>
      <c r="BS313" s="43">
        <f t="shared" ref="BS313:BT313" si="682">MIN(BJ324)</f>
        <v>3</v>
      </c>
      <c r="BT313" s="43">
        <f t="shared" si="682"/>
        <v>3</v>
      </c>
    </row>
    <row r="314" spans="4:72" ht="15.75" thickBot="1" x14ac:dyDescent="0.3">
      <c r="D314" s="189"/>
      <c r="E314" s="575" t="s">
        <v>416</v>
      </c>
      <c r="F314" s="689"/>
      <c r="G314" s="689"/>
      <c r="H314" s="690"/>
      <c r="BH314" s="981" t="s">
        <v>781</v>
      </c>
      <c r="BI314" s="222">
        <f t="shared" si="663"/>
        <v>3</v>
      </c>
      <c r="BJ314" s="222">
        <f t="shared" si="664"/>
        <v>3</v>
      </c>
      <c r="BK314" s="222">
        <f t="shared" si="665"/>
        <v>3</v>
      </c>
      <c r="BP314" s="146" t="s">
        <v>180</v>
      </c>
      <c r="BQ314" s="43" t="s">
        <v>180</v>
      </c>
      <c r="BR314" s="43">
        <f>MIN(BI325)</f>
        <v>2</v>
      </c>
      <c r="BS314" s="43">
        <f t="shared" ref="BS314:BT314" si="683">MIN(BJ325)</f>
        <v>2</v>
      </c>
      <c r="BT314" s="43">
        <f t="shared" si="683"/>
        <v>2</v>
      </c>
    </row>
    <row r="315" spans="4:72" ht="15.75" thickBot="1" x14ac:dyDescent="0.3">
      <c r="D315" s="146"/>
      <c r="E315" s="569" t="s">
        <v>416</v>
      </c>
      <c r="F315" s="683"/>
      <c r="G315" s="683"/>
      <c r="H315" s="684"/>
      <c r="BH315" s="981" t="s">
        <v>782</v>
      </c>
      <c r="BI315" s="222">
        <f t="shared" si="663"/>
        <v>0</v>
      </c>
      <c r="BJ315" s="222">
        <f t="shared" si="664"/>
        <v>0</v>
      </c>
      <c r="BK315" s="222">
        <f t="shared" si="665"/>
        <v>0</v>
      </c>
      <c r="BP315" s="146" t="s">
        <v>181</v>
      </c>
      <c r="BQ315" s="43" t="s">
        <v>181</v>
      </c>
      <c r="BR315" s="43">
        <f>MIN(BI326)</f>
        <v>4</v>
      </c>
      <c r="BS315" s="43">
        <f t="shared" ref="BS315:BT315" si="684">MIN(BJ326)</f>
        <v>4</v>
      </c>
      <c r="BT315" s="43">
        <f t="shared" si="684"/>
        <v>4</v>
      </c>
    </row>
    <row r="316" spans="4:72" x14ac:dyDescent="0.25">
      <c r="D316" s="146"/>
      <c r="E316" s="569" t="s">
        <v>416</v>
      </c>
      <c r="F316" s="683"/>
      <c r="G316" s="683"/>
      <c r="H316" s="684"/>
      <c r="BH316" s="62" t="s">
        <v>786</v>
      </c>
      <c r="BI316">
        <f t="shared" si="663"/>
        <v>3</v>
      </c>
      <c r="BJ316">
        <f t="shared" si="664"/>
        <v>3</v>
      </c>
      <c r="BK316">
        <f t="shared" si="665"/>
        <v>3</v>
      </c>
      <c r="BP316" s="146" t="s">
        <v>183</v>
      </c>
      <c r="BQ316" s="43" t="s">
        <v>183</v>
      </c>
      <c r="BR316" s="43">
        <f>MIN(BI327)</f>
        <v>3</v>
      </c>
      <c r="BS316" s="43">
        <f t="shared" ref="BS316:BT316" si="685">MIN(BJ327)</f>
        <v>3</v>
      </c>
      <c r="BT316" s="43">
        <f t="shared" si="685"/>
        <v>3</v>
      </c>
    </row>
    <row r="317" spans="4:72" ht="15.75" thickBot="1" x14ac:dyDescent="0.3">
      <c r="D317" s="146"/>
      <c r="E317" s="569" t="s">
        <v>416</v>
      </c>
      <c r="F317" s="683"/>
      <c r="G317" s="683"/>
      <c r="H317" s="684"/>
      <c r="BH317" s="981" t="s">
        <v>787</v>
      </c>
      <c r="BI317" s="222">
        <f t="shared" si="663"/>
        <v>3</v>
      </c>
      <c r="BJ317" s="222">
        <f t="shared" si="664"/>
        <v>3</v>
      </c>
      <c r="BK317" s="222">
        <f t="shared" si="665"/>
        <v>3</v>
      </c>
    </row>
    <row r="318" spans="4:72" ht="15.75" thickBot="1" x14ac:dyDescent="0.3">
      <c r="D318" s="167"/>
      <c r="E318" s="574" t="s">
        <v>416</v>
      </c>
      <c r="F318" s="687"/>
      <c r="G318" s="687"/>
      <c r="H318" s="688"/>
      <c r="BH318" s="62" t="s">
        <v>788</v>
      </c>
      <c r="BI318">
        <f t="shared" si="663"/>
        <v>2</v>
      </c>
      <c r="BJ318">
        <f t="shared" si="664"/>
        <v>2</v>
      </c>
      <c r="BK318">
        <f t="shared" si="665"/>
        <v>2</v>
      </c>
    </row>
    <row r="319" spans="4:72" x14ac:dyDescent="0.25">
      <c r="D319" s="189"/>
      <c r="E319" s="156" t="s">
        <v>405</v>
      </c>
      <c r="F319" s="689">
        <v>1</v>
      </c>
      <c r="G319" s="689"/>
      <c r="H319" s="690"/>
      <c r="BH319" s="62" t="s">
        <v>789</v>
      </c>
      <c r="BI319">
        <f t="shared" si="663"/>
        <v>4</v>
      </c>
      <c r="BJ319">
        <f t="shared" si="664"/>
        <v>4</v>
      </c>
      <c r="BK319">
        <f t="shared" si="665"/>
        <v>4</v>
      </c>
    </row>
    <row r="320" spans="4:72" x14ac:dyDescent="0.25">
      <c r="D320" s="146"/>
      <c r="E320" s="43" t="s">
        <v>1046</v>
      </c>
      <c r="F320" s="683">
        <v>0.5</v>
      </c>
      <c r="G320" s="683"/>
      <c r="H320" s="684"/>
      <c r="BH320" s="62" t="s">
        <v>790</v>
      </c>
      <c r="BI320">
        <f t="shared" si="663"/>
        <v>3</v>
      </c>
      <c r="BJ320">
        <f t="shared" si="664"/>
        <v>3</v>
      </c>
      <c r="BK320">
        <f t="shared" si="665"/>
        <v>3</v>
      </c>
    </row>
    <row r="321" spans="4:63" ht="15.75" thickBot="1" x14ac:dyDescent="0.3">
      <c r="D321" s="168"/>
      <c r="E321" s="170" t="s">
        <v>407</v>
      </c>
      <c r="F321" s="685">
        <v>1</v>
      </c>
      <c r="G321" s="685"/>
      <c r="H321" s="686"/>
      <c r="BH321" s="981" t="s">
        <v>979</v>
      </c>
      <c r="BI321" s="222">
        <f t="shared" si="663"/>
        <v>3</v>
      </c>
      <c r="BJ321" s="222">
        <f t="shared" si="664"/>
        <v>3</v>
      </c>
      <c r="BK321" s="222">
        <f t="shared" si="665"/>
        <v>3</v>
      </c>
    </row>
    <row r="322" spans="4:63" x14ac:dyDescent="0.25">
      <c r="D322" s="144"/>
      <c r="E322" s="573" t="s">
        <v>416</v>
      </c>
      <c r="F322" s="681"/>
      <c r="G322" s="681"/>
      <c r="H322" s="682"/>
      <c r="BH322" s="62" t="s">
        <v>791</v>
      </c>
      <c r="BI322">
        <f t="shared" si="663"/>
        <v>3</v>
      </c>
      <c r="BJ322">
        <f t="shared" si="664"/>
        <v>3</v>
      </c>
      <c r="BK322">
        <f t="shared" si="665"/>
        <v>3</v>
      </c>
    </row>
    <row r="323" spans="4:63" ht="15.75" thickBot="1" x14ac:dyDescent="0.3">
      <c r="D323" s="146"/>
      <c r="E323" s="569" t="s">
        <v>416</v>
      </c>
      <c r="F323" s="683"/>
      <c r="G323" s="683"/>
      <c r="H323" s="684"/>
      <c r="BH323" s="981" t="s">
        <v>792</v>
      </c>
      <c r="BI323" s="222">
        <f t="shared" si="663"/>
        <v>9</v>
      </c>
      <c r="BJ323" s="222">
        <f t="shared" si="664"/>
        <v>9</v>
      </c>
      <c r="BK323" s="222">
        <f t="shared" si="665"/>
        <v>9</v>
      </c>
    </row>
    <row r="324" spans="4:63" ht="15.75" thickBot="1" x14ac:dyDescent="0.3">
      <c r="D324" s="146"/>
      <c r="E324" s="569" t="s">
        <v>416</v>
      </c>
      <c r="F324" s="683"/>
      <c r="G324" s="683"/>
      <c r="H324" s="684"/>
      <c r="BH324" s="982" t="s">
        <v>980</v>
      </c>
      <c r="BI324" s="217">
        <f t="shared" si="663"/>
        <v>3</v>
      </c>
      <c r="BJ324" s="217">
        <f t="shared" si="664"/>
        <v>3</v>
      </c>
      <c r="BK324" s="217">
        <f t="shared" si="665"/>
        <v>3</v>
      </c>
    </row>
    <row r="325" spans="4:63" ht="15.75" thickBot="1" x14ac:dyDescent="0.3">
      <c r="D325" s="146"/>
      <c r="E325" s="43" t="str">
        <f>AIS_NA</f>
        <v>N/A</v>
      </c>
      <c r="F325" s="683">
        <v>1</v>
      </c>
      <c r="G325" s="683"/>
      <c r="H325" s="684"/>
      <c r="BH325" s="981" t="s">
        <v>798</v>
      </c>
      <c r="BI325" s="222">
        <f t="shared" si="663"/>
        <v>2</v>
      </c>
      <c r="BJ325" s="222">
        <f t="shared" si="664"/>
        <v>2</v>
      </c>
      <c r="BK325" s="222">
        <f t="shared" si="665"/>
        <v>2</v>
      </c>
    </row>
    <row r="326" spans="4:63" ht="15.75" thickBot="1" x14ac:dyDescent="0.3">
      <c r="D326" s="168"/>
      <c r="E326" s="170" t="s">
        <v>12</v>
      </c>
      <c r="F326" s="685">
        <v>1</v>
      </c>
      <c r="G326" s="685"/>
      <c r="H326" s="686"/>
      <c r="BH326" s="981" t="s">
        <v>804</v>
      </c>
      <c r="BI326" s="222">
        <f t="shared" si="663"/>
        <v>4</v>
      </c>
      <c r="BJ326" s="222">
        <f t="shared" si="664"/>
        <v>4</v>
      </c>
      <c r="BK326" s="222">
        <f t="shared" si="665"/>
        <v>4</v>
      </c>
    </row>
    <row r="327" spans="4:63" ht="15.75" thickBot="1" x14ac:dyDescent="0.3">
      <c r="BH327" s="981" t="s">
        <v>809</v>
      </c>
      <c r="BI327" s="222">
        <f t="shared" si="663"/>
        <v>3</v>
      </c>
      <c r="BJ327" s="222">
        <f t="shared" si="664"/>
        <v>3</v>
      </c>
      <c r="BK327" s="222">
        <f t="shared" si="665"/>
        <v>3</v>
      </c>
    </row>
    <row r="335" spans="4:63" x14ac:dyDescent="0.25">
      <c r="E335" s="121" t="s">
        <v>575</v>
      </c>
    </row>
    <row r="337" spans="5:71" x14ac:dyDescent="0.25">
      <c r="E337" t="s">
        <v>542</v>
      </c>
    </row>
    <row r="338" spans="5:71" x14ac:dyDescent="0.25">
      <c r="E338" t="s">
        <v>539</v>
      </c>
    </row>
    <row r="339" spans="5:71" x14ac:dyDescent="0.25">
      <c r="E339" t="s">
        <v>546</v>
      </c>
    </row>
    <row r="340" spans="5:71" x14ac:dyDescent="0.25">
      <c r="E340" t="s">
        <v>540</v>
      </c>
    </row>
    <row r="341" spans="5:71" x14ac:dyDescent="0.25">
      <c r="E341" t="s">
        <v>556</v>
      </c>
      <c r="BP341" t="s">
        <v>968</v>
      </c>
      <c r="BR341" t="s">
        <v>969</v>
      </c>
      <c r="BS341" t="str">
        <f>ADPT</f>
        <v>New Construction (fully fitted)</v>
      </c>
    </row>
    <row r="342" spans="5:71" x14ac:dyDescent="0.25">
      <c r="E342" t="s">
        <v>558</v>
      </c>
      <c r="BO342" s="937"/>
      <c r="BP342" s="937" t="s">
        <v>964</v>
      </c>
      <c r="BQ342" s="937" t="s">
        <v>965</v>
      </c>
      <c r="BR342" s="937" t="s">
        <v>966</v>
      </c>
      <c r="BS342" s="937" t="s">
        <v>967</v>
      </c>
    </row>
    <row r="343" spans="5:71" x14ac:dyDescent="0.25">
      <c r="E343" t="s">
        <v>559</v>
      </c>
      <c r="BO343" s="43" t="s">
        <v>963</v>
      </c>
      <c r="BP343" s="936">
        <v>0.13</v>
      </c>
      <c r="BQ343" s="936">
        <v>0.13</v>
      </c>
      <c r="BR343" s="936">
        <v>0.13</v>
      </c>
      <c r="BS343" s="938">
        <f>IF($BS$341='Assessment Details'!$Q$12,Poeng!BQ343,IF(Poeng!$BS$341=ADPT02,Poeng!BR343,Poeng!BP343))</f>
        <v>0.13</v>
      </c>
    </row>
    <row r="344" spans="5:71" x14ac:dyDescent="0.25">
      <c r="E344" t="s">
        <v>568</v>
      </c>
      <c r="BO344" s="43" t="s">
        <v>61</v>
      </c>
      <c r="BP344" s="936">
        <v>0.16</v>
      </c>
      <c r="BQ344" s="936">
        <v>0.09</v>
      </c>
      <c r="BR344" s="936">
        <v>0.08</v>
      </c>
      <c r="BS344" s="938">
        <f>IF($BS$341='Assessment Details'!$Q$12,Poeng!BQ344,IF(Poeng!$BS$341=ADPT02,Poeng!BR344,Poeng!BP344))</f>
        <v>0.16</v>
      </c>
    </row>
    <row r="345" spans="5:71" x14ac:dyDescent="0.25">
      <c r="E345" t="s">
        <v>569</v>
      </c>
      <c r="BO345" s="43" t="s">
        <v>64</v>
      </c>
      <c r="BP345" s="936">
        <v>0.14000000000000001</v>
      </c>
      <c r="BQ345" s="936">
        <v>0.12</v>
      </c>
      <c r="BR345" s="936">
        <v>7.0000000000000007E-2</v>
      </c>
      <c r="BS345" s="938">
        <f>IF($BS$341='Assessment Details'!$Q$12,Poeng!BQ345,IF(Poeng!$BS$341=ADPT02,Poeng!BR345,Poeng!BP345))</f>
        <v>0.14000000000000001</v>
      </c>
    </row>
    <row r="346" spans="5:71" x14ac:dyDescent="0.25">
      <c r="E346" t="s">
        <v>570</v>
      </c>
      <c r="BO346" s="43" t="s">
        <v>65</v>
      </c>
      <c r="BP346" s="936">
        <v>0.1</v>
      </c>
      <c r="BQ346" s="936">
        <v>0.12</v>
      </c>
      <c r="BR346" s="936">
        <v>0.15</v>
      </c>
      <c r="BS346" s="938">
        <f>IF($BS$341='Assessment Details'!$Q$12,Poeng!BQ346,IF(Poeng!$BS$341=ADPT02,Poeng!BR346,Poeng!BP346))</f>
        <v>0.1</v>
      </c>
    </row>
    <row r="347" spans="5:71" x14ac:dyDescent="0.25">
      <c r="E347" t="s">
        <v>563</v>
      </c>
      <c r="BO347" s="43" t="s">
        <v>66</v>
      </c>
      <c r="BP347" s="936">
        <v>0.04</v>
      </c>
      <c r="BQ347" s="936">
        <v>0.04</v>
      </c>
      <c r="BR347" s="936">
        <v>0.01</v>
      </c>
      <c r="BS347" s="938">
        <f>IF($BS$341='Assessment Details'!$Q$12,Poeng!BQ347,IF(Poeng!$BS$341=ADPT02,Poeng!BR347,Poeng!BP347))</f>
        <v>0.04</v>
      </c>
    </row>
    <row r="348" spans="5:71" x14ac:dyDescent="0.25">
      <c r="E348" t="s">
        <v>1047</v>
      </c>
      <c r="BO348" s="43" t="s">
        <v>58</v>
      </c>
      <c r="BP348" s="936">
        <v>0.17</v>
      </c>
      <c r="BQ348" s="936">
        <v>0.2</v>
      </c>
      <c r="BR348" s="936">
        <v>0.24</v>
      </c>
      <c r="BS348" s="938">
        <f>IF($BS$341='Assessment Details'!$Q$12,Poeng!BQ348,IF(Poeng!$BS$341=ADPT02,Poeng!BR348,Poeng!BP348))</f>
        <v>0.17</v>
      </c>
    </row>
    <row r="349" spans="5:71" x14ac:dyDescent="0.25">
      <c r="BO349" s="43" t="s">
        <v>67</v>
      </c>
      <c r="BP349" s="936">
        <v>7.0000000000000007E-2</v>
      </c>
      <c r="BQ349" s="936">
        <v>0.08</v>
      </c>
      <c r="BR349" s="936">
        <v>0.09</v>
      </c>
      <c r="BS349" s="938">
        <f>IF($BS$341='Assessment Details'!$Q$12,Poeng!BQ349,IF(Poeng!$BS$341=ADPT02,Poeng!BR349,Poeng!BP349))</f>
        <v>7.0000000000000007E-2</v>
      </c>
    </row>
    <row r="350" spans="5:71" x14ac:dyDescent="0.25">
      <c r="BO350" s="43" t="s">
        <v>68</v>
      </c>
      <c r="BP350" s="936">
        <v>0.15</v>
      </c>
      <c r="BQ350" s="936">
        <v>0.17</v>
      </c>
      <c r="BR350" s="936">
        <v>0.21</v>
      </c>
      <c r="BS350" s="938">
        <f>IF($BS$341='Assessment Details'!$Q$12,Poeng!BQ350,IF(Poeng!$BS$341=ADPT02,Poeng!BR350,Poeng!BP350))</f>
        <v>0.15</v>
      </c>
    </row>
    <row r="351" spans="5:71" x14ac:dyDescent="0.25">
      <c r="BO351" s="43" t="s">
        <v>69</v>
      </c>
      <c r="BP351" s="936">
        <v>0.04</v>
      </c>
      <c r="BQ351" s="936">
        <v>0.05</v>
      </c>
      <c r="BR351" s="936">
        <v>0.02</v>
      </c>
      <c r="BS351" s="938">
        <f>IF($BS$341='Assessment Details'!$Q$12,Poeng!BQ351,IF(Poeng!$BS$341=ADPT02,Poeng!BR351,Poeng!BP351))</f>
        <v>0.04</v>
      </c>
    </row>
    <row r="352" spans="5:71" x14ac:dyDescent="0.25">
      <c r="BO352" s="43" t="s">
        <v>70</v>
      </c>
      <c r="BP352" s="936">
        <v>0.1</v>
      </c>
      <c r="BQ352" s="936">
        <v>0.1</v>
      </c>
      <c r="BR352" s="936">
        <v>0.1</v>
      </c>
      <c r="BS352" s="938">
        <f>IF($BS$341='Assessment Details'!$Q$12,Poeng!BQ352,IF(Poeng!$BS$341=ADPT02,Poeng!BR352,Poeng!BP352))</f>
        <v>0.1</v>
      </c>
    </row>
    <row r="353" spans="9:71" x14ac:dyDescent="0.25">
      <c r="BO353" s="43" t="s">
        <v>71</v>
      </c>
      <c r="BP353" s="936">
        <v>0.1</v>
      </c>
      <c r="BQ353" s="936">
        <v>0.1</v>
      </c>
      <c r="BR353" s="936">
        <v>0.1</v>
      </c>
      <c r="BS353" s="938">
        <f>IF($BS$341='Assessment Details'!$Q$12,Poeng!BQ353,IF(Poeng!$BS$341=ADPT02,Poeng!BR353,Poeng!BP353))</f>
        <v>0.1</v>
      </c>
    </row>
    <row r="360" spans="9:71" x14ac:dyDescent="0.25">
      <c r="I360" t="s">
        <v>381</v>
      </c>
    </row>
    <row r="361" spans="9:71" x14ac:dyDescent="0.25">
      <c r="I361" t="s">
        <v>898</v>
      </c>
    </row>
    <row r="362" spans="9:71" x14ac:dyDescent="0.25">
      <c r="I362" t="s">
        <v>381</v>
      </c>
    </row>
    <row r="363" spans="9:71" x14ac:dyDescent="0.25">
      <c r="I363" t="s">
        <v>899</v>
      </c>
    </row>
    <row r="364" spans="9:71" x14ac:dyDescent="0.25">
      <c r="I364" t="s">
        <v>859</v>
      </c>
    </row>
    <row r="365" spans="9:71" x14ac:dyDescent="0.25">
      <c r="I365" t="s">
        <v>900</v>
      </c>
    </row>
    <row r="366" spans="9:71" x14ac:dyDescent="0.25">
      <c r="I366" t="s">
        <v>901</v>
      </c>
    </row>
    <row r="367" spans="9:71" x14ac:dyDescent="0.25">
      <c r="I367" t="s">
        <v>902</v>
      </c>
    </row>
    <row r="368" spans="9:71" x14ac:dyDescent="0.25">
      <c r="I368" t="s">
        <v>903</v>
      </c>
    </row>
    <row r="369" spans="9:9" x14ac:dyDescent="0.25">
      <c r="I369" t="s">
        <v>904</v>
      </c>
    </row>
    <row r="370" spans="9:9" x14ac:dyDescent="0.25">
      <c r="I370" t="s">
        <v>387</v>
      </c>
    </row>
    <row r="371" spans="9:9" x14ac:dyDescent="0.25">
      <c r="I371" t="s">
        <v>905</v>
      </c>
    </row>
    <row r="372" spans="9:9" x14ac:dyDescent="0.25">
      <c r="I372" t="s">
        <v>906</v>
      </c>
    </row>
  </sheetData>
  <sheetProtection algorithmName="SHA-512" hashValue="a644axVKzYIzVfdavmvZziiWxLrrsX/a4vxeEVJtQpYLdHvrudOIRaJPCNlxIl0aAxKezlvbQUOBZ1elXmCAFQ==" saltValue="M86rHcd/0Tz8kzcRnjpD7Q==" spinCount="100000" sheet="1" selectLockedCells="1"/>
  <autoFilter ref="A8:CL278" xr:uid="{00000000-0001-0000-0300-00000000000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20" showButton="0"/>
    <filterColumn colId="21" showButton="0"/>
    <filterColumn colId="22" showButton="0"/>
    <filterColumn colId="23" showButton="0"/>
    <filterColumn colId="24" showButton="0"/>
    <filterColumn colId="38" showButton="0"/>
    <filterColumn colId="39" showButton="0"/>
    <filterColumn colId="40" showButton="0"/>
    <filterColumn colId="41" showButton="0"/>
    <filterColumn colId="44" showButton="0"/>
    <filterColumn colId="45" showButton="0"/>
    <filterColumn colId="46" showButton="0"/>
    <filterColumn colId="47" showButton="0"/>
    <filterColumn colId="50" showButton="0"/>
    <filterColumn colId="51"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6" showButton="0"/>
    <filterColumn colId="67" showButton="0"/>
  </autoFilter>
  <sortState xmlns:xlrd2="http://schemas.microsoft.com/office/spreadsheetml/2017/richdata2" ref="E311:F394">
    <sortCondition ref="F311:F394"/>
  </sortState>
  <mergeCells count="14">
    <mergeCell ref="AX260:BC260"/>
    <mergeCell ref="AE7:AG7"/>
    <mergeCell ref="AX261:BC261"/>
    <mergeCell ref="AX262:BC262"/>
    <mergeCell ref="F8:R8"/>
    <mergeCell ref="U8:Z8"/>
    <mergeCell ref="AM8:AQ8"/>
    <mergeCell ref="AS8:AW8"/>
    <mergeCell ref="AY8:BC8"/>
    <mergeCell ref="BO8:BQ8"/>
    <mergeCell ref="BJ8:BL8"/>
    <mergeCell ref="BD8:BF8"/>
    <mergeCell ref="BG8:BI8"/>
    <mergeCell ref="AX259:BC259"/>
  </mergeCells>
  <phoneticPr fontId="52"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N306"/>
  <sheetViews>
    <sheetView zoomScaleNormal="100" workbookViewId="0">
      <selection activeCell="B3" sqref="B3"/>
    </sheetView>
  </sheetViews>
  <sheetFormatPr baseColWidth="10" defaultColWidth="9.140625" defaultRowHeight="15" x14ac:dyDescent="0.25"/>
  <cols>
    <col min="1" max="1" width="3" style="359" customWidth="1"/>
    <col min="2" max="2" width="23.28515625" style="359" customWidth="1"/>
    <col min="3" max="3" width="11.5703125" style="359" customWidth="1"/>
    <col min="4" max="4" width="10.7109375" style="359" customWidth="1"/>
    <col min="5" max="5" width="12" style="359" customWidth="1"/>
    <col min="6" max="6" width="10.28515625" style="359" customWidth="1"/>
    <col min="7" max="7" width="10.5703125" style="359" customWidth="1"/>
    <col min="8" max="8" width="11" style="359" customWidth="1"/>
    <col min="9" max="9" width="11.140625" style="359" customWidth="1"/>
    <col min="10" max="10" width="13" style="359" customWidth="1"/>
    <col min="11" max="11" width="16.5703125" style="359" customWidth="1"/>
    <col min="12" max="12" width="13.28515625" style="359" customWidth="1"/>
    <col min="13" max="13" width="15" style="359" customWidth="1"/>
    <col min="14" max="14" width="13.5703125" style="359" customWidth="1"/>
    <col min="15" max="15" width="13.140625" style="359" customWidth="1"/>
    <col min="16" max="16" width="8" style="359" customWidth="1"/>
    <col min="17" max="17" width="16.5703125" style="359" customWidth="1"/>
    <col min="18" max="19" width="9.140625" style="359" customWidth="1"/>
    <col min="20" max="32" width="9.140625" style="359" hidden="1" customWidth="1"/>
    <col min="33" max="42" width="9.140625" style="359" customWidth="1"/>
    <col min="43" max="16384" width="9.140625" style="359"/>
  </cols>
  <sheetData>
    <row r="1" spans="1:40" x14ac:dyDescent="0.25">
      <c r="A1" s="358"/>
      <c r="B1" s="358"/>
      <c r="C1" s="358"/>
      <c r="D1" s="358"/>
      <c r="E1" s="358"/>
      <c r="F1" s="358"/>
      <c r="G1" s="358"/>
      <c r="H1" s="358"/>
      <c r="I1" s="358"/>
      <c r="J1" s="358"/>
      <c r="K1" s="358"/>
      <c r="L1" s="358"/>
      <c r="M1" s="358"/>
      <c r="N1" s="358"/>
      <c r="O1" s="358"/>
      <c r="P1" s="358"/>
      <c r="Q1" s="358"/>
      <c r="R1" s="358"/>
      <c r="S1" s="358"/>
    </row>
    <row r="2" spans="1:40" ht="42" customHeight="1" x14ac:dyDescent="0.25">
      <c r="A2" s="358"/>
      <c r="B2" s="629" t="s">
        <v>1163</v>
      </c>
      <c r="C2" s="360"/>
      <c r="D2" s="360"/>
      <c r="E2" s="360"/>
      <c r="F2" s="360"/>
      <c r="G2" s="360"/>
      <c r="H2" s="361"/>
      <c r="I2" s="361"/>
      <c r="J2" s="361"/>
      <c r="K2" s="361"/>
      <c r="L2" s="362"/>
      <c r="M2" s="361"/>
      <c r="N2" s="548" t="str">
        <f>IF('Manuell filtrering og justering'!I2='Manuell filtrering og justering'!J2,"Bespoke","")</f>
        <v/>
      </c>
      <c r="O2" s="548" t="str">
        <f>IF('Manuell filtrering og justering'!J2='Manuell filtrering og justering'!K2,"Bespoke","")</f>
        <v/>
      </c>
      <c r="P2" s="362"/>
      <c r="Q2" s="358"/>
      <c r="R2" s="358"/>
      <c r="S2" s="358"/>
    </row>
    <row r="3" spans="1:40" ht="15" customHeight="1" x14ac:dyDescent="0.25">
      <c r="A3" s="358"/>
      <c r="B3" s="363"/>
      <c r="C3" s="358"/>
      <c r="D3" s="358"/>
      <c r="E3" s="358"/>
      <c r="F3" s="358"/>
      <c r="G3" s="358"/>
      <c r="H3" s="358"/>
      <c r="I3" s="358"/>
      <c r="J3" s="358"/>
      <c r="K3" s="358"/>
      <c r="L3" s="358"/>
      <c r="M3" s="358"/>
      <c r="N3" s="364"/>
      <c r="O3" s="358"/>
      <c r="P3" s="358"/>
      <c r="Q3" s="358"/>
      <c r="R3" s="358"/>
      <c r="S3" s="358"/>
    </row>
    <row r="4" spans="1:40" ht="18.75" x14ac:dyDescent="0.3">
      <c r="A4" s="358"/>
      <c r="B4" s="365" t="s">
        <v>59</v>
      </c>
      <c r="C4" s="366"/>
      <c r="D4" s="367"/>
      <c r="E4" s="367"/>
      <c r="F4" s="367"/>
      <c r="G4" s="367"/>
      <c r="H4" s="367"/>
      <c r="I4" s="367"/>
      <c r="J4" s="367"/>
      <c r="K4" s="367"/>
      <c r="L4" s="367"/>
      <c r="M4" s="367"/>
      <c r="N4" s="367"/>
      <c r="O4" s="367"/>
      <c r="P4" s="367"/>
      <c r="Q4" s="358"/>
      <c r="R4" s="358"/>
      <c r="S4" s="358"/>
    </row>
    <row r="5" spans="1:40" x14ac:dyDescent="0.25">
      <c r="A5" s="358"/>
      <c r="B5" s="358"/>
      <c r="C5" s="358"/>
      <c r="D5" s="358"/>
      <c r="E5" s="358"/>
      <c r="F5" s="358"/>
      <c r="G5" s="358"/>
      <c r="H5" s="358"/>
      <c r="I5" s="358"/>
      <c r="J5" s="358"/>
      <c r="K5" s="358"/>
      <c r="L5" s="358"/>
      <c r="M5" s="358"/>
      <c r="N5" s="358"/>
      <c r="O5" s="358"/>
      <c r="P5" s="358"/>
      <c r="Q5" s="358"/>
      <c r="R5" s="358"/>
      <c r="S5" s="358"/>
    </row>
    <row r="6" spans="1:40" ht="15.75" x14ac:dyDescent="0.25">
      <c r="A6" s="358"/>
      <c r="B6" s="368"/>
      <c r="C6" s="369" t="s">
        <v>20</v>
      </c>
      <c r="D6" s="370" t="str">
        <f>IF(ADBN="","",ADBN)</f>
        <v/>
      </c>
      <c r="E6" s="371"/>
      <c r="F6" s="371"/>
      <c r="G6" s="371"/>
      <c r="H6" s="371"/>
      <c r="I6" s="372"/>
      <c r="J6" s="378"/>
      <c r="K6" s="373"/>
      <c r="L6" s="374"/>
      <c r="M6" s="373" t="str">
        <f>"Pre-Assessment Estimator Version: "&amp;TVC_current_version&amp;". Date: "</f>
        <v xml:space="preserve">Pre-Assessment Estimator Version: 1.02. Date: </v>
      </c>
      <c r="N6" s="375">
        <f>TVC_current_date</f>
        <v>45832</v>
      </c>
      <c r="O6" s="358"/>
      <c r="P6" s="358"/>
      <c r="Q6" s="358"/>
      <c r="R6" s="358"/>
      <c r="S6" s="358"/>
    </row>
    <row r="7" spans="1:40" x14ac:dyDescent="0.25">
      <c r="A7" s="358"/>
      <c r="B7" s="378"/>
      <c r="C7" s="378"/>
      <c r="D7" s="378"/>
      <c r="E7" s="378"/>
      <c r="F7" s="378"/>
      <c r="G7" s="378"/>
      <c r="H7" s="378"/>
      <c r="I7" s="378"/>
      <c r="J7" s="378"/>
      <c r="K7" s="378"/>
      <c r="L7" s="358"/>
      <c r="M7" s="358"/>
      <c r="N7" s="358"/>
      <c r="O7" s="358"/>
      <c r="P7" s="358"/>
      <c r="Q7" s="358"/>
      <c r="R7" s="358"/>
      <c r="S7" s="358"/>
    </row>
    <row r="8" spans="1:40" ht="15.75" x14ac:dyDescent="0.25">
      <c r="A8" s="358"/>
      <c r="B8" s="376"/>
      <c r="C8" s="377"/>
      <c r="D8" s="1181" t="s">
        <v>215</v>
      </c>
      <c r="E8" s="1182"/>
      <c r="F8" s="1173" t="s">
        <v>283</v>
      </c>
      <c r="G8" s="1174"/>
      <c r="H8" s="1173" t="s">
        <v>284</v>
      </c>
      <c r="I8" s="1174"/>
      <c r="J8" s="378"/>
      <c r="K8" s="378"/>
      <c r="L8" s="358"/>
      <c r="M8" s="358"/>
      <c r="N8" s="358"/>
      <c r="O8" s="358"/>
      <c r="P8" s="358"/>
      <c r="Q8" s="358"/>
      <c r="R8" s="358"/>
      <c r="S8" s="358"/>
    </row>
    <row r="9" spans="1:40" ht="15.75" x14ac:dyDescent="0.25">
      <c r="A9" s="378"/>
      <c r="B9" s="379"/>
      <c r="C9" s="380" t="s">
        <v>300</v>
      </c>
      <c r="D9" s="1192" t="s">
        <v>11</v>
      </c>
      <c r="E9" s="1192"/>
      <c r="F9" s="1192" t="s">
        <v>12</v>
      </c>
      <c r="G9" s="1192"/>
      <c r="H9" s="1192" t="s">
        <v>12</v>
      </c>
      <c r="I9" s="1192"/>
      <c r="J9" s="378"/>
      <c r="K9" s="378"/>
      <c r="L9" s="378"/>
      <c r="M9" s="378"/>
      <c r="N9" s="378"/>
      <c r="O9" s="378"/>
      <c r="P9" s="378"/>
      <c r="Q9" s="378"/>
      <c r="Z9" s="381"/>
      <c r="AA9" s="381"/>
      <c r="AB9" s="381"/>
      <c r="AC9" s="381"/>
      <c r="AD9" s="381"/>
      <c r="AE9" s="381"/>
      <c r="AF9" s="381"/>
      <c r="AG9" s="381"/>
      <c r="AH9" s="381"/>
      <c r="AI9" s="381"/>
      <c r="AJ9" s="381"/>
      <c r="AK9" s="381"/>
      <c r="AL9" s="381"/>
      <c r="AM9" s="381"/>
      <c r="AN9" s="381"/>
    </row>
    <row r="10" spans="1:40" ht="15.75" x14ac:dyDescent="0.25">
      <c r="A10" s="358"/>
      <c r="B10" s="382"/>
      <c r="C10" s="383" t="s">
        <v>312</v>
      </c>
      <c r="D10" s="1183" t="str">
        <f>BP_BREEAMRating</f>
        <v>Unclassified</v>
      </c>
      <c r="E10" s="1184"/>
      <c r="F10" s="1175" t="str">
        <f>Poeng!BH264</f>
        <v>Unclassified</v>
      </c>
      <c r="G10" s="1176"/>
      <c r="H10" s="1175" t="str">
        <f>Poeng!BK264</f>
        <v>Unclassified</v>
      </c>
      <c r="I10" s="1176"/>
      <c r="J10" s="378"/>
      <c r="K10" s="378" t="str">
        <f>IF(OR(Poeng!BF264=1,Poeng!BI264=1,Poeng!BL264=1),Poeng!AX269,"")</f>
        <v/>
      </c>
      <c r="L10" s="378"/>
      <c r="M10" s="378"/>
      <c r="N10" s="378"/>
      <c r="O10" s="378"/>
      <c r="P10" s="378"/>
      <c r="Q10" s="378"/>
      <c r="Z10" s="1191"/>
      <c r="AA10" s="1191"/>
      <c r="AB10" s="1191"/>
      <c r="AC10" s="1191"/>
      <c r="AD10" s="1191"/>
      <c r="AE10" s="1191"/>
      <c r="AF10" s="1191"/>
      <c r="AG10" s="1191"/>
      <c r="AH10" s="1191"/>
      <c r="AI10" s="1191"/>
      <c r="AJ10" s="1191"/>
      <c r="AK10" s="1191"/>
      <c r="AL10" s="1191"/>
      <c r="AM10" s="1191"/>
      <c r="AN10" s="1191"/>
    </row>
    <row r="11" spans="1:40" ht="18" customHeight="1" x14ac:dyDescent="0.25">
      <c r="A11" s="358"/>
      <c r="B11" s="384"/>
      <c r="C11" s="385" t="s">
        <v>84</v>
      </c>
      <c r="D11" s="1185">
        <f>Score_Initial</f>
        <v>0</v>
      </c>
      <c r="E11" s="1186"/>
      <c r="F11" s="1177">
        <f>Poeng!BG262</f>
        <v>0</v>
      </c>
      <c r="G11" s="1178"/>
      <c r="H11" s="1177">
        <f>Poeng!BJ262</f>
        <v>0</v>
      </c>
      <c r="I11" s="1178"/>
      <c r="J11" s="378"/>
      <c r="K11" s="378"/>
      <c r="L11" s="378"/>
      <c r="M11" s="378"/>
      <c r="N11" s="378"/>
      <c r="O11" s="378"/>
      <c r="P11" s="378"/>
      <c r="Q11" s="378"/>
      <c r="Z11" s="1191"/>
      <c r="AA11" s="1191"/>
      <c r="AB11" s="1191"/>
      <c r="AC11" s="1191"/>
      <c r="AD11" s="1191"/>
      <c r="AE11" s="1191"/>
      <c r="AF11" s="1191"/>
      <c r="AG11" s="1191"/>
      <c r="AH11" s="1191"/>
      <c r="AI11" s="1191"/>
      <c r="AJ11" s="1191"/>
      <c r="AK11" s="1191"/>
      <c r="AL11" s="1191"/>
      <c r="AM11" s="1191"/>
      <c r="AN11" s="1191"/>
    </row>
    <row r="12" spans="1:40" ht="18" customHeight="1" x14ac:dyDescent="0.25">
      <c r="A12" s="358"/>
      <c r="B12" s="945"/>
      <c r="C12" s="946" t="s">
        <v>79</v>
      </c>
      <c r="D12" s="1185" t="str">
        <f>Poeng!BE258</f>
        <v>Unclassified &lt;30%</v>
      </c>
      <c r="E12" s="1186"/>
      <c r="F12" s="1177" t="str">
        <f>Poeng!BH258</f>
        <v>Unclassified &lt;30%</v>
      </c>
      <c r="G12" s="1178"/>
      <c r="H12" s="1177" t="str">
        <f>Poeng!BK258</f>
        <v>Unclassified &lt;30%</v>
      </c>
      <c r="I12" s="1178"/>
      <c r="J12" s="378"/>
      <c r="K12" s="378"/>
      <c r="L12" s="378"/>
      <c r="M12" s="378"/>
      <c r="N12" s="378"/>
      <c r="O12" s="378"/>
      <c r="P12" s="378"/>
      <c r="Q12" s="378"/>
      <c r="Z12" s="1191"/>
      <c r="AA12" s="1191"/>
      <c r="AB12" s="1191"/>
      <c r="AC12" s="1191"/>
      <c r="AD12" s="1191"/>
      <c r="AE12" s="1191"/>
      <c r="AF12" s="1191"/>
      <c r="AG12" s="1191"/>
      <c r="AH12" s="1191"/>
      <c r="AI12" s="1191"/>
      <c r="AJ12" s="1191"/>
      <c r="AK12" s="1191"/>
      <c r="AL12" s="1191"/>
      <c r="AM12" s="1191"/>
      <c r="AN12" s="1191"/>
    </row>
    <row r="13" spans="1:40" ht="15.75" x14ac:dyDescent="0.25">
      <c r="A13" s="358"/>
      <c r="B13" s="386"/>
      <c r="C13" s="953" t="str">
        <f>'Pre-Assessment Estimator'!H7</f>
        <v xml:space="preserve">Requirements for EU taxonomy </v>
      </c>
      <c r="D13" s="1187" t="str">
        <f>Poeng!BR258</f>
        <v>No</v>
      </c>
      <c r="E13" s="1188"/>
      <c r="F13" s="1179" t="str">
        <f>Poeng!BS258</f>
        <v>No</v>
      </c>
      <c r="G13" s="1180"/>
      <c r="H13" s="1179" t="str">
        <f>Poeng!BT258</f>
        <v>No</v>
      </c>
      <c r="I13" s="1180"/>
      <c r="J13" s="378"/>
      <c r="K13" s="378"/>
      <c r="L13" s="378"/>
      <c r="M13" s="378"/>
      <c r="N13" s="378"/>
      <c r="O13" s="378"/>
      <c r="P13" s="378"/>
      <c r="Q13" s="378"/>
      <c r="Z13" s="1191"/>
      <c r="AA13" s="1191"/>
      <c r="AB13" s="1191"/>
      <c r="AC13" s="1191"/>
      <c r="AD13" s="1191"/>
      <c r="AE13" s="1191"/>
      <c r="AF13" s="1191"/>
      <c r="AG13" s="1191"/>
      <c r="AH13" s="1191"/>
      <c r="AI13" s="1191"/>
      <c r="AJ13" s="1191"/>
      <c r="AK13" s="1191"/>
      <c r="AL13" s="1191"/>
      <c r="AM13" s="1191"/>
      <c r="AN13" s="1191"/>
    </row>
    <row r="14" spans="1:40" ht="42" customHeight="1" x14ac:dyDescent="0.3">
      <c r="A14" s="358"/>
      <c r="B14" s="365" t="s">
        <v>60</v>
      </c>
      <c r="C14" s="366"/>
      <c r="D14" s="367"/>
      <c r="E14" s="367"/>
      <c r="F14" s="367"/>
      <c r="G14" s="367"/>
      <c r="H14" s="367"/>
      <c r="I14" s="365" t="s">
        <v>79</v>
      </c>
      <c r="J14" s="367"/>
      <c r="K14" s="367"/>
      <c r="L14" s="627"/>
      <c r="M14" s="367"/>
      <c r="N14" s="367"/>
      <c r="O14" s="437"/>
      <c r="P14" s="437"/>
      <c r="Q14" s="358"/>
      <c r="R14" s="358"/>
      <c r="S14" s="358"/>
    </row>
    <row r="15" spans="1:40" ht="15" customHeight="1" x14ac:dyDescent="0.25">
      <c r="A15" s="358"/>
      <c r="B15" s="387"/>
      <c r="C15" s="387"/>
      <c r="D15" s="387"/>
      <c r="E15" s="387"/>
      <c r="F15" s="387"/>
      <c r="G15" s="387"/>
      <c r="H15" s="387"/>
      <c r="I15" s="387"/>
      <c r="J15" s="387"/>
      <c r="K15" s="378"/>
      <c r="L15" s="358"/>
      <c r="M15" s="358"/>
      <c r="N15" s="358"/>
      <c r="O15" s="358"/>
      <c r="P15" s="358"/>
      <c r="Q15" s="358"/>
      <c r="R15" s="358"/>
      <c r="S15" s="358"/>
    </row>
    <row r="16" spans="1:40" ht="15" customHeight="1" x14ac:dyDescent="0.25">
      <c r="A16" s="358"/>
      <c r="B16" s="358"/>
      <c r="C16" s="358"/>
      <c r="D16" s="358"/>
      <c r="E16" s="358"/>
      <c r="F16" s="358"/>
      <c r="G16" s="358"/>
      <c r="H16" s="358"/>
      <c r="I16" s="358"/>
      <c r="J16" s="358"/>
      <c r="K16" s="378"/>
      <c r="L16" s="358"/>
      <c r="M16" s="358"/>
      <c r="N16" s="358"/>
      <c r="O16" s="358"/>
      <c r="P16" s="358"/>
      <c r="Q16" s="358"/>
      <c r="R16" s="358"/>
      <c r="S16" s="358"/>
    </row>
    <row r="17" spans="1:32" ht="15" customHeight="1" x14ac:dyDescent="0.25">
      <c r="A17" s="358"/>
      <c r="B17" s="358"/>
      <c r="C17" s="358"/>
      <c r="D17" s="358"/>
      <c r="E17" s="358"/>
      <c r="F17" s="358"/>
      <c r="G17" s="358"/>
      <c r="H17" s="358"/>
      <c r="I17" s="358"/>
      <c r="J17" s="358"/>
      <c r="K17" s="378"/>
      <c r="L17" s="358"/>
      <c r="M17" s="358"/>
      <c r="N17" s="358"/>
      <c r="O17" s="358"/>
      <c r="P17" s="358"/>
      <c r="Q17" s="358"/>
      <c r="R17" s="358"/>
      <c r="S17" s="358"/>
    </row>
    <row r="18" spans="1:32" ht="15" customHeight="1" x14ac:dyDescent="0.25">
      <c r="A18" s="358"/>
      <c r="B18" s="358"/>
      <c r="C18" s="358"/>
      <c r="D18" s="358"/>
      <c r="E18" s="358"/>
      <c r="F18" s="358"/>
      <c r="G18" s="358"/>
      <c r="H18" s="358"/>
      <c r="I18" s="358"/>
      <c r="J18" s="358"/>
      <c r="K18" s="378"/>
      <c r="L18" s="358"/>
      <c r="M18" s="358"/>
      <c r="N18" s="358"/>
      <c r="O18" s="358"/>
      <c r="P18" s="378"/>
      <c r="Q18" s="358"/>
      <c r="R18" s="358"/>
      <c r="S18" s="358"/>
    </row>
    <row r="19" spans="1:32" ht="15" customHeight="1" x14ac:dyDescent="0.25">
      <c r="A19" s="358"/>
      <c r="B19" s="358"/>
      <c r="C19" s="358"/>
      <c r="D19" s="358"/>
      <c r="E19" s="358"/>
      <c r="F19" s="358"/>
      <c r="G19" s="358"/>
      <c r="H19" s="358"/>
      <c r="I19" s="358"/>
      <c r="J19" s="358"/>
      <c r="K19" s="378"/>
      <c r="L19" s="358"/>
      <c r="M19" s="358"/>
      <c r="N19" s="358"/>
      <c r="O19" s="358"/>
      <c r="P19" s="378"/>
      <c r="Q19" s="358"/>
      <c r="R19" s="358"/>
      <c r="S19" s="358"/>
    </row>
    <row r="20" spans="1:32" ht="15" customHeight="1" x14ac:dyDescent="0.25">
      <c r="A20" s="358"/>
      <c r="B20" s="358"/>
      <c r="C20" s="358"/>
      <c r="D20" s="358"/>
      <c r="E20" s="358"/>
      <c r="F20" s="358"/>
      <c r="G20" s="358"/>
      <c r="H20" s="358"/>
      <c r="I20" s="358"/>
      <c r="J20" s="358"/>
      <c r="K20" s="378"/>
      <c r="L20" s="358"/>
      <c r="M20" s="358"/>
      <c r="N20" s="358"/>
      <c r="O20" s="358"/>
      <c r="P20" s="378"/>
      <c r="Q20" s="358"/>
      <c r="R20" s="358"/>
      <c r="S20" s="358"/>
    </row>
    <row r="21" spans="1:32" ht="15" customHeight="1" thickBot="1" x14ac:dyDescent="0.3">
      <c r="A21" s="358"/>
      <c r="B21" s="358"/>
      <c r="C21" s="358"/>
      <c r="D21" s="358"/>
      <c r="E21" s="358"/>
      <c r="F21" s="358"/>
      <c r="G21" s="358"/>
      <c r="H21" s="358"/>
      <c r="I21" s="358"/>
      <c r="J21" s="358"/>
      <c r="K21" s="378"/>
      <c r="L21" s="358"/>
      <c r="M21" s="358"/>
      <c r="N21" s="358"/>
      <c r="O21" s="358"/>
      <c r="P21" s="378"/>
      <c r="Q21" s="358"/>
      <c r="R21" s="358"/>
      <c r="S21" s="358"/>
    </row>
    <row r="22" spans="1:32" ht="15" customHeight="1" x14ac:dyDescent="0.25">
      <c r="A22" s="358"/>
      <c r="B22" s="358"/>
      <c r="C22" s="358"/>
      <c r="D22" s="358"/>
      <c r="E22" s="358"/>
      <c r="F22" s="358"/>
      <c r="G22" s="358"/>
      <c r="H22" s="358"/>
      <c r="I22" s="358"/>
      <c r="J22" s="358"/>
      <c r="K22" s="378"/>
      <c r="L22" s="358"/>
      <c r="M22" s="358"/>
      <c r="N22" s="358"/>
      <c r="O22" s="358"/>
      <c r="P22" s="378"/>
      <c r="Q22" s="358"/>
      <c r="R22" s="358"/>
      <c r="S22" s="358"/>
      <c r="AB22" s="388"/>
      <c r="AC22" s="389" t="s">
        <v>212</v>
      </c>
      <c r="AD22" s="389" t="str">
        <f>D34</f>
        <v>Initial target setting</v>
      </c>
      <c r="AE22" s="389" t="str">
        <f>F34</f>
        <v>Design phase</v>
      </c>
      <c r="AF22" s="390" t="str">
        <f>H34</f>
        <v>Construction phase</v>
      </c>
    </row>
    <row r="23" spans="1:32" ht="15" customHeight="1" x14ac:dyDescent="0.25">
      <c r="A23" s="358"/>
      <c r="B23" s="358"/>
      <c r="C23" s="358"/>
      <c r="D23" s="358"/>
      <c r="E23" s="358"/>
      <c r="F23" s="358"/>
      <c r="G23" s="358"/>
      <c r="H23" s="358"/>
      <c r="I23" s="358"/>
      <c r="J23" s="358"/>
      <c r="K23" s="378"/>
      <c r="L23" s="358"/>
      <c r="M23" s="358"/>
      <c r="N23" s="358"/>
      <c r="O23" s="358"/>
      <c r="P23" s="378"/>
      <c r="Q23" s="358"/>
      <c r="R23" s="358"/>
      <c r="S23" s="358"/>
      <c r="AB23" s="391" t="s">
        <v>203</v>
      </c>
      <c r="AC23" s="392">
        <f>Man_Weight</f>
        <v>0.13</v>
      </c>
      <c r="AD23" s="392">
        <f t="shared" ref="AD23:AD32" si="0">IF(D$9=$AA$36,K36,"")</f>
        <v>0</v>
      </c>
      <c r="AE23" s="392" t="str">
        <f t="shared" ref="AE23:AE32" si="1">IF(F$9=$AA$36,L36,"")</f>
        <v/>
      </c>
      <c r="AF23" s="393" t="str">
        <f t="shared" ref="AF23:AF32" si="2">IF(H$9=$AA$36,M36,"")</f>
        <v/>
      </c>
    </row>
    <row r="24" spans="1:32" ht="15" customHeight="1" x14ac:dyDescent="0.25">
      <c r="A24" s="358"/>
      <c r="B24" s="358"/>
      <c r="C24" s="358"/>
      <c r="D24" s="358"/>
      <c r="E24" s="358"/>
      <c r="F24" s="358"/>
      <c r="G24" s="358"/>
      <c r="H24" s="358"/>
      <c r="I24" s="358"/>
      <c r="J24" s="358"/>
      <c r="K24" s="378"/>
      <c r="L24" s="358"/>
      <c r="M24" s="358"/>
      <c r="N24" s="358"/>
      <c r="O24" s="358"/>
      <c r="P24" s="358"/>
      <c r="Q24" s="358"/>
      <c r="R24" s="358"/>
      <c r="S24" s="358"/>
      <c r="AB24" s="391" t="s">
        <v>125</v>
      </c>
      <c r="AC24" s="392">
        <f>J37</f>
        <v>0.16</v>
      </c>
      <c r="AD24" s="392">
        <f t="shared" si="0"/>
        <v>0</v>
      </c>
      <c r="AE24" s="392" t="str">
        <f t="shared" si="1"/>
        <v/>
      </c>
      <c r="AF24" s="393" t="str">
        <f t="shared" si="2"/>
        <v/>
      </c>
    </row>
    <row r="25" spans="1:32" ht="15" customHeight="1" x14ac:dyDescent="0.25">
      <c r="A25" s="358"/>
      <c r="B25" s="358"/>
      <c r="C25" s="358"/>
      <c r="D25" s="358"/>
      <c r="E25" s="358"/>
      <c r="F25" s="358"/>
      <c r="G25" s="358"/>
      <c r="H25" s="358"/>
      <c r="I25" s="358"/>
      <c r="J25" s="358"/>
      <c r="K25" s="378"/>
      <c r="L25" s="358"/>
      <c r="M25" s="358"/>
      <c r="N25" s="358"/>
      <c r="O25" s="358"/>
      <c r="P25" s="358"/>
      <c r="Q25" s="358"/>
      <c r="R25" s="358"/>
      <c r="S25" s="358"/>
      <c r="AB25" s="391" t="s">
        <v>204</v>
      </c>
      <c r="AC25" s="392">
        <f>Ene_Weight</f>
        <v>0.14000000000000001</v>
      </c>
      <c r="AD25" s="392">
        <f t="shared" si="0"/>
        <v>0</v>
      </c>
      <c r="AE25" s="392" t="str">
        <f t="shared" si="1"/>
        <v/>
      </c>
      <c r="AF25" s="393" t="str">
        <f t="shared" si="2"/>
        <v/>
      </c>
    </row>
    <row r="26" spans="1:32" ht="15" customHeight="1" x14ac:dyDescent="0.25">
      <c r="A26" s="358"/>
      <c r="B26" s="358"/>
      <c r="C26" s="358"/>
      <c r="D26" s="358"/>
      <c r="E26" s="358"/>
      <c r="F26" s="358"/>
      <c r="G26" s="358"/>
      <c r="H26" s="358"/>
      <c r="I26" s="358"/>
      <c r="J26" s="358"/>
      <c r="K26" s="378"/>
      <c r="L26" s="358"/>
      <c r="M26" s="358"/>
      <c r="N26" s="358"/>
      <c r="O26" s="358"/>
      <c r="P26" s="358"/>
      <c r="Q26" s="358"/>
      <c r="R26" s="358"/>
      <c r="S26" s="358"/>
      <c r="AB26" s="391" t="s">
        <v>205</v>
      </c>
      <c r="AC26" s="392">
        <f>Tra_Weight</f>
        <v>0.1</v>
      </c>
      <c r="AD26" s="392">
        <f t="shared" si="0"/>
        <v>0</v>
      </c>
      <c r="AE26" s="392" t="str">
        <f t="shared" si="1"/>
        <v/>
      </c>
      <c r="AF26" s="393" t="str">
        <f t="shared" si="2"/>
        <v/>
      </c>
    </row>
    <row r="27" spans="1:32" ht="15" customHeight="1" x14ac:dyDescent="0.25">
      <c r="A27" s="358"/>
      <c r="B27" s="358"/>
      <c r="C27" s="358"/>
      <c r="D27" s="358"/>
      <c r="E27" s="358"/>
      <c r="F27" s="358"/>
      <c r="G27" s="358"/>
      <c r="H27" s="358"/>
      <c r="I27" s="358"/>
      <c r="J27" s="358"/>
      <c r="K27" s="378"/>
      <c r="L27" s="358"/>
      <c r="M27" s="358"/>
      <c r="N27" s="358"/>
      <c r="O27" s="358"/>
      <c r="P27" s="358"/>
      <c r="Q27" s="358"/>
      <c r="R27" s="358"/>
      <c r="S27" s="358"/>
      <c r="AB27" s="391" t="s">
        <v>206</v>
      </c>
      <c r="AC27" s="392">
        <f>Wat_Weight</f>
        <v>0.04</v>
      </c>
      <c r="AD27" s="392">
        <f t="shared" si="0"/>
        <v>0</v>
      </c>
      <c r="AE27" s="392" t="str">
        <f t="shared" si="1"/>
        <v/>
      </c>
      <c r="AF27" s="393" t="str">
        <f t="shared" si="2"/>
        <v/>
      </c>
    </row>
    <row r="28" spans="1:32" ht="15" customHeight="1" x14ac:dyDescent="0.25">
      <c r="A28" s="358"/>
      <c r="B28" s="358"/>
      <c r="C28" s="358"/>
      <c r="D28" s="358"/>
      <c r="E28" s="358"/>
      <c r="F28" s="358"/>
      <c r="G28" s="358"/>
      <c r="H28" s="358"/>
      <c r="I28" s="358"/>
      <c r="J28" s="358"/>
      <c r="K28" s="378"/>
      <c r="L28" s="358"/>
      <c r="M28" s="358"/>
      <c r="N28" s="358"/>
      <c r="O28" s="358"/>
      <c r="P28" s="358"/>
      <c r="Q28" s="358"/>
      <c r="R28" s="358"/>
      <c r="S28" s="358"/>
      <c r="AB28" s="391" t="s">
        <v>207</v>
      </c>
      <c r="AC28" s="392">
        <f>Mat_Weight</f>
        <v>0.17</v>
      </c>
      <c r="AD28" s="392">
        <f t="shared" si="0"/>
        <v>0</v>
      </c>
      <c r="AE28" s="392" t="str">
        <f t="shared" si="1"/>
        <v/>
      </c>
      <c r="AF28" s="393" t="str">
        <f t="shared" si="2"/>
        <v/>
      </c>
    </row>
    <row r="29" spans="1:32" ht="15" customHeight="1" x14ac:dyDescent="0.25">
      <c r="A29" s="358"/>
      <c r="B29" s="358"/>
      <c r="C29" s="358"/>
      <c r="D29" s="358"/>
      <c r="E29" s="358"/>
      <c r="F29" s="358"/>
      <c r="G29" s="358"/>
      <c r="H29" s="358"/>
      <c r="I29" s="358"/>
      <c r="J29" s="358"/>
      <c r="K29" s="378"/>
      <c r="L29" s="358"/>
      <c r="M29" s="358"/>
      <c r="N29" s="358"/>
      <c r="O29" s="358"/>
      <c r="P29" s="358"/>
      <c r="Q29" s="358"/>
      <c r="R29" s="358"/>
      <c r="S29" s="358"/>
      <c r="AB29" s="391" t="s">
        <v>208</v>
      </c>
      <c r="AC29" s="392">
        <f>Wst_Weight</f>
        <v>7.0000000000000007E-2</v>
      </c>
      <c r="AD29" s="392">
        <f t="shared" si="0"/>
        <v>0</v>
      </c>
      <c r="AE29" s="392" t="str">
        <f t="shared" si="1"/>
        <v/>
      </c>
      <c r="AF29" s="393" t="str">
        <f t="shared" si="2"/>
        <v/>
      </c>
    </row>
    <row r="30" spans="1:32" ht="15" customHeight="1" x14ac:dyDescent="0.25">
      <c r="A30" s="358"/>
      <c r="B30" s="358"/>
      <c r="C30" s="358"/>
      <c r="D30" s="358"/>
      <c r="E30" s="358"/>
      <c r="F30" s="358"/>
      <c r="G30" s="358"/>
      <c r="H30" s="358"/>
      <c r="I30" s="358"/>
      <c r="J30" s="358"/>
      <c r="K30" s="378"/>
      <c r="L30" s="358"/>
      <c r="M30" s="358"/>
      <c r="N30" s="358"/>
      <c r="O30" s="358"/>
      <c r="P30" s="358"/>
      <c r="Q30" s="358"/>
      <c r="R30" s="358"/>
      <c r="S30" s="358"/>
      <c r="AB30" s="391" t="s">
        <v>209</v>
      </c>
      <c r="AC30" s="392">
        <f>LE_Weight</f>
        <v>0.15</v>
      </c>
      <c r="AD30" s="392">
        <f t="shared" si="0"/>
        <v>0</v>
      </c>
      <c r="AE30" s="392" t="str">
        <f t="shared" si="1"/>
        <v/>
      </c>
      <c r="AF30" s="393" t="str">
        <f t="shared" si="2"/>
        <v/>
      </c>
    </row>
    <row r="31" spans="1:32" ht="15" customHeight="1" x14ac:dyDescent="0.25">
      <c r="A31" s="358"/>
      <c r="B31" s="358"/>
      <c r="C31" s="358"/>
      <c r="D31" s="358"/>
      <c r="E31" s="358"/>
      <c r="F31" s="358"/>
      <c r="G31" s="358"/>
      <c r="H31" s="358"/>
      <c r="I31" s="358"/>
      <c r="J31" s="358"/>
      <c r="K31" s="378"/>
      <c r="L31" s="358"/>
      <c r="M31" s="358"/>
      <c r="N31" s="358"/>
      <c r="O31" s="358"/>
      <c r="P31" s="358"/>
      <c r="Q31" s="358"/>
      <c r="R31" s="358"/>
      <c r="S31" s="358"/>
      <c r="AB31" s="391" t="s">
        <v>210</v>
      </c>
      <c r="AC31" s="392">
        <f>J44</f>
        <v>0.04</v>
      </c>
      <c r="AD31" s="392">
        <f t="shared" si="0"/>
        <v>0</v>
      </c>
      <c r="AE31" s="392" t="str">
        <f t="shared" si="1"/>
        <v/>
      </c>
      <c r="AF31" s="393" t="str">
        <f t="shared" si="2"/>
        <v/>
      </c>
    </row>
    <row r="32" spans="1:32" ht="15" customHeight="1" thickBot="1" x14ac:dyDescent="0.3">
      <c r="A32" s="358"/>
      <c r="B32" s="358"/>
      <c r="C32" s="358"/>
      <c r="D32" s="358"/>
      <c r="E32" s="358"/>
      <c r="F32" s="358"/>
      <c r="G32" s="358"/>
      <c r="H32" s="358"/>
      <c r="I32" s="358"/>
      <c r="J32" s="358"/>
      <c r="K32" s="378"/>
      <c r="L32" s="358"/>
      <c r="M32" s="358"/>
      <c r="N32" s="358"/>
      <c r="O32" s="358"/>
      <c r="P32" s="358"/>
      <c r="Q32" s="358"/>
      <c r="R32" s="358"/>
      <c r="S32" s="358"/>
      <c r="AB32" s="394" t="s">
        <v>211</v>
      </c>
      <c r="AC32" s="395">
        <f>J45</f>
        <v>0.1</v>
      </c>
      <c r="AD32" s="395">
        <f t="shared" si="0"/>
        <v>0</v>
      </c>
      <c r="AE32" s="395" t="str">
        <f t="shared" si="1"/>
        <v/>
      </c>
      <c r="AF32" s="396" t="str">
        <f t="shared" si="2"/>
        <v/>
      </c>
    </row>
    <row r="33" spans="1:32" ht="15" customHeight="1" x14ac:dyDescent="0.25">
      <c r="A33" s="358"/>
      <c r="B33" s="358"/>
      <c r="C33" s="358"/>
      <c r="D33" s="358"/>
      <c r="E33" s="358"/>
      <c r="F33" s="358"/>
      <c r="G33" s="358"/>
      <c r="H33" s="358"/>
      <c r="I33" s="358"/>
      <c r="J33" s="358"/>
      <c r="K33" s="378"/>
      <c r="L33" s="358"/>
      <c r="M33" s="358"/>
      <c r="N33" s="358"/>
      <c r="O33" s="358"/>
      <c r="P33" s="358"/>
      <c r="Q33" s="358"/>
      <c r="R33" s="358"/>
      <c r="S33" s="358"/>
    </row>
    <row r="34" spans="1:32" ht="15.75" x14ac:dyDescent="0.25">
      <c r="A34" s="358"/>
      <c r="B34" s="1049"/>
      <c r="C34" s="378"/>
      <c r="D34" s="1189" t="s">
        <v>215</v>
      </c>
      <c r="E34" s="1190"/>
      <c r="F34" s="1189" t="s">
        <v>283</v>
      </c>
      <c r="G34" s="1190"/>
      <c r="H34" s="1189" t="s">
        <v>284</v>
      </c>
      <c r="I34" s="1190"/>
      <c r="J34" s="397" t="s">
        <v>202</v>
      </c>
      <c r="K34" s="1189" t="s">
        <v>285</v>
      </c>
      <c r="L34" s="1193"/>
      <c r="M34" s="1190"/>
      <c r="N34" s="378"/>
      <c r="O34" s="378"/>
      <c r="P34" s="378"/>
      <c r="Q34" s="378"/>
    </row>
    <row r="35" spans="1:32" ht="32.25" thickBot="1" x14ac:dyDescent="0.3">
      <c r="A35" s="358"/>
      <c r="B35" s="398" t="s">
        <v>73</v>
      </c>
      <c r="C35" s="399" t="s">
        <v>63</v>
      </c>
      <c r="D35" s="400" t="s">
        <v>201</v>
      </c>
      <c r="E35" s="401" t="s">
        <v>62</v>
      </c>
      <c r="F35" s="399" t="s">
        <v>201</v>
      </c>
      <c r="G35" s="399" t="s">
        <v>62</v>
      </c>
      <c r="H35" s="400" t="s">
        <v>201</v>
      </c>
      <c r="I35" s="401" t="s">
        <v>62</v>
      </c>
      <c r="J35" s="402"/>
      <c r="K35" s="400" t="s">
        <v>215</v>
      </c>
      <c r="L35" s="403" t="s">
        <v>283</v>
      </c>
      <c r="M35" s="401" t="s">
        <v>284</v>
      </c>
      <c r="N35" s="378"/>
      <c r="O35" s="378"/>
      <c r="P35" s="378"/>
      <c r="Q35" s="378"/>
    </row>
    <row r="36" spans="1:32" ht="15.75" customHeight="1" x14ac:dyDescent="0.25">
      <c r="A36" s="358"/>
      <c r="B36" s="404" t="s">
        <v>61</v>
      </c>
      <c r="C36" s="405">
        <f>Man_Credits</f>
        <v>21</v>
      </c>
      <c r="D36" s="406">
        <f>Man_tot_user</f>
        <v>0</v>
      </c>
      <c r="E36" s="407">
        <f>BP_11/BP_01</f>
        <v>0</v>
      </c>
      <c r="F36" s="406">
        <f>Man_d_user</f>
        <v>0</v>
      </c>
      <c r="G36" s="408">
        <f>F36/C36</f>
        <v>0</v>
      </c>
      <c r="H36" s="406">
        <f>Man_c_user</f>
        <v>0</v>
      </c>
      <c r="I36" s="407">
        <f>H36/C36</f>
        <v>0</v>
      </c>
      <c r="J36" s="941">
        <f>Poeng!BS343</f>
        <v>0.13</v>
      </c>
      <c r="K36" s="939">
        <f>BP_22*J36</f>
        <v>0</v>
      </c>
      <c r="L36" s="695">
        <f>G36*J36</f>
        <v>0</v>
      </c>
      <c r="M36" s="696">
        <f>I36*J36</f>
        <v>0</v>
      </c>
      <c r="N36" s="378"/>
      <c r="O36" s="378"/>
      <c r="P36" s="378"/>
      <c r="Q36" s="378"/>
      <c r="AA36" s="409" t="s">
        <v>11</v>
      </c>
      <c r="AB36" s="389" t="str">
        <f>Poeng!BQ294</f>
        <v>Navn</v>
      </c>
      <c r="AC36" s="389" t="str">
        <f>AD22</f>
        <v>Initial target setting</v>
      </c>
      <c r="AD36" s="389" t="str">
        <f>AE22</f>
        <v>Design phase</v>
      </c>
      <c r="AE36" s="410" t="str">
        <f>AF22</f>
        <v>Construction phase</v>
      </c>
    </row>
    <row r="37" spans="1:32" ht="16.5" thickBot="1" x14ac:dyDescent="0.3">
      <c r="A37" s="358"/>
      <c r="B37" s="411" t="s">
        <v>64</v>
      </c>
      <c r="C37" s="412">
        <f>Hea_Credits</f>
        <v>19</v>
      </c>
      <c r="D37" s="413">
        <f>HW_tot_user</f>
        <v>0</v>
      </c>
      <c r="E37" s="414">
        <f>BP_12/BP_02</f>
        <v>0</v>
      </c>
      <c r="F37" s="413">
        <f>HW_d_user</f>
        <v>0</v>
      </c>
      <c r="G37" s="408">
        <f t="shared" ref="G37:G45" si="3">F37/C37</f>
        <v>0</v>
      </c>
      <c r="H37" s="413">
        <f>HW_c_user</f>
        <v>0</v>
      </c>
      <c r="I37" s="407">
        <f t="shared" ref="I37:I45" si="4">H37/C37</f>
        <v>0</v>
      </c>
      <c r="J37" s="942">
        <f>Poeng!BS344</f>
        <v>0.16</v>
      </c>
      <c r="K37" s="420">
        <f>BP_23*J37</f>
        <v>0</v>
      </c>
      <c r="L37" s="695">
        <f t="shared" ref="L37:L45" si="5">G37*J37</f>
        <v>0</v>
      </c>
      <c r="M37" s="697">
        <f t="shared" ref="M37:M45" si="6">I37*J37</f>
        <v>0</v>
      </c>
      <c r="N37" s="378"/>
      <c r="O37" s="378"/>
      <c r="P37" s="378"/>
      <c r="Q37" s="378"/>
      <c r="AA37" s="415" t="s">
        <v>12</v>
      </c>
      <c r="AB37" s="416" t="str">
        <f>Poeng!BQ295</f>
        <v>Man 01</v>
      </c>
      <c r="AC37" s="417">
        <f>IF(D$9=$AA$36,Poeng!BR295,"")</f>
        <v>3</v>
      </c>
      <c r="AD37" s="417" t="str">
        <f>IF(F$9=$AA$36,Poeng!BS295,"")</f>
        <v/>
      </c>
      <c r="AE37" s="418" t="str">
        <f>IF(H$9=$AA$36,Poeng!BT295,"")</f>
        <v/>
      </c>
    </row>
    <row r="38" spans="1:32" s="419" customFormat="1" ht="15.75" x14ac:dyDescent="0.25">
      <c r="A38" s="358"/>
      <c r="B38" s="411" t="s">
        <v>65</v>
      </c>
      <c r="C38" s="412">
        <f>Ene_Credits</f>
        <v>27</v>
      </c>
      <c r="D38" s="413">
        <f>Ene_tot_user</f>
        <v>0</v>
      </c>
      <c r="E38" s="414">
        <f>BP_13/BP_03</f>
        <v>0</v>
      </c>
      <c r="F38" s="413">
        <f>Ene_d_user</f>
        <v>0</v>
      </c>
      <c r="G38" s="408">
        <f t="shared" si="3"/>
        <v>0</v>
      </c>
      <c r="H38" s="413">
        <f>Ene_c_user</f>
        <v>0</v>
      </c>
      <c r="I38" s="407">
        <f t="shared" si="4"/>
        <v>0</v>
      </c>
      <c r="J38" s="942">
        <f>Poeng!BS345</f>
        <v>0.14000000000000001</v>
      </c>
      <c r="K38" s="420">
        <f>BP_24*J38</f>
        <v>0</v>
      </c>
      <c r="L38" s="695">
        <f t="shared" si="5"/>
        <v>0</v>
      </c>
      <c r="M38" s="697">
        <f t="shared" si="6"/>
        <v>0</v>
      </c>
      <c r="N38" s="1050"/>
      <c r="O38" s="1050"/>
      <c r="P38" s="1050"/>
      <c r="Q38" s="1050"/>
      <c r="AA38" s="359"/>
      <c r="AB38" s="416" t="str">
        <f>Poeng!BQ296</f>
        <v>Man 03</v>
      </c>
      <c r="AC38" s="417">
        <f>IF(D$9=$AA$36,Poeng!BR296,"")</f>
        <v>0</v>
      </c>
      <c r="AD38" s="417" t="str">
        <f>IF(F$9=$AA$36,Poeng!BS296,"")</f>
        <v/>
      </c>
      <c r="AE38" s="418" t="str">
        <f>IF(H$9=$AA$36,Poeng!BT296,"")</f>
        <v/>
      </c>
    </row>
    <row r="39" spans="1:32" s="419" customFormat="1" ht="15.75" x14ac:dyDescent="0.25">
      <c r="A39" s="358"/>
      <c r="B39" s="411" t="s">
        <v>66</v>
      </c>
      <c r="C39" s="412">
        <f>Tra_Credits</f>
        <v>13</v>
      </c>
      <c r="D39" s="413">
        <f>Tra_tot_user</f>
        <v>0</v>
      </c>
      <c r="E39" s="414">
        <f>BP_14/BP_04</f>
        <v>0</v>
      </c>
      <c r="F39" s="413">
        <f>Tra_d_user</f>
        <v>0</v>
      </c>
      <c r="G39" s="408">
        <f t="shared" si="3"/>
        <v>0</v>
      </c>
      <c r="H39" s="413">
        <f>Tra_c_user</f>
        <v>0</v>
      </c>
      <c r="I39" s="407">
        <f t="shared" si="4"/>
        <v>0</v>
      </c>
      <c r="J39" s="942">
        <f>Poeng!BS346</f>
        <v>0.1</v>
      </c>
      <c r="K39" s="420">
        <f>BP_25*J39</f>
        <v>0</v>
      </c>
      <c r="L39" s="695">
        <f t="shared" si="5"/>
        <v>0</v>
      </c>
      <c r="M39" s="697">
        <f t="shared" si="6"/>
        <v>0</v>
      </c>
      <c r="N39" s="1050"/>
      <c r="O39" s="1050"/>
      <c r="P39" s="1050"/>
      <c r="Q39" s="1050"/>
      <c r="AA39" s="359"/>
      <c r="AB39" s="416" t="str">
        <f>Poeng!BQ297</f>
        <v>Man 04</v>
      </c>
      <c r="AC39" s="417">
        <f>IF(D$9=$AA$36,Poeng!BR297,"")</f>
        <v>0</v>
      </c>
      <c r="AD39" s="417" t="str">
        <f>IF(F$9=$AA$36,Poeng!BS297,"")</f>
        <v/>
      </c>
      <c r="AE39" s="418" t="str">
        <f>IF(H$9=$AA$36,Poeng!BT297,"")</f>
        <v/>
      </c>
    </row>
    <row r="40" spans="1:32" s="419" customFormat="1" ht="15.75" x14ac:dyDescent="0.25">
      <c r="A40" s="358"/>
      <c r="B40" s="411" t="s">
        <v>58</v>
      </c>
      <c r="C40" s="412">
        <f>Wat_Credits</f>
        <v>9</v>
      </c>
      <c r="D40" s="413">
        <f>Wat_tot_user</f>
        <v>0</v>
      </c>
      <c r="E40" s="414">
        <f>BP_15/BP_05</f>
        <v>0</v>
      </c>
      <c r="F40" s="413">
        <f>Wat_d_user</f>
        <v>0</v>
      </c>
      <c r="G40" s="408">
        <f t="shared" si="3"/>
        <v>0</v>
      </c>
      <c r="H40" s="413">
        <f>Wat_c_user</f>
        <v>0</v>
      </c>
      <c r="I40" s="407">
        <f t="shared" si="4"/>
        <v>0</v>
      </c>
      <c r="J40" s="942">
        <f>Poeng!BS347</f>
        <v>0.04</v>
      </c>
      <c r="K40" s="420">
        <f>BP_26*J40</f>
        <v>0</v>
      </c>
      <c r="L40" s="695">
        <f t="shared" si="5"/>
        <v>0</v>
      </c>
      <c r="M40" s="697">
        <f t="shared" si="6"/>
        <v>0</v>
      </c>
      <c r="N40" s="1050"/>
      <c r="O40" s="1050"/>
      <c r="P40" s="1050"/>
      <c r="Q40" s="1050"/>
      <c r="AA40" s="359"/>
      <c r="AB40" s="416" t="str">
        <f>Poeng!BQ298</f>
        <v>Man 05</v>
      </c>
      <c r="AC40" s="417">
        <f>IF(D$9=$AA$36,Poeng!BR298,"")</f>
        <v>3</v>
      </c>
      <c r="AD40" s="417" t="str">
        <f>IF(F$9=$AA$36,Poeng!BS298,"")</f>
        <v/>
      </c>
      <c r="AE40" s="418" t="str">
        <f>IF(H$9=$AA$36,Poeng!BT298,"")</f>
        <v/>
      </c>
    </row>
    <row r="41" spans="1:32" s="419" customFormat="1" ht="15.75" x14ac:dyDescent="0.25">
      <c r="A41" s="358"/>
      <c r="B41" s="411" t="s">
        <v>67</v>
      </c>
      <c r="C41" s="412">
        <f>Mat_Credits</f>
        <v>21</v>
      </c>
      <c r="D41" s="413">
        <f>Mat_tot_user</f>
        <v>0</v>
      </c>
      <c r="E41" s="414">
        <f>BP_16/BP_06</f>
        <v>0</v>
      </c>
      <c r="F41" s="413">
        <f>Mat_d_user</f>
        <v>0</v>
      </c>
      <c r="G41" s="408">
        <f t="shared" si="3"/>
        <v>0</v>
      </c>
      <c r="H41" s="413">
        <f>Mat_c_user</f>
        <v>0</v>
      </c>
      <c r="I41" s="407">
        <f t="shared" si="4"/>
        <v>0</v>
      </c>
      <c r="J41" s="942">
        <f>Poeng!BS348</f>
        <v>0.17</v>
      </c>
      <c r="K41" s="420">
        <f>BP_27*J41</f>
        <v>0</v>
      </c>
      <c r="L41" s="695">
        <f t="shared" si="5"/>
        <v>0</v>
      </c>
      <c r="M41" s="697">
        <f t="shared" si="6"/>
        <v>0</v>
      </c>
      <c r="N41" s="1050"/>
      <c r="O41" s="1050"/>
      <c r="P41" s="1050"/>
      <c r="Q41" s="1050"/>
      <c r="AA41" s="359"/>
      <c r="AB41" s="416" t="str">
        <f>Poeng!BQ299</f>
        <v>Hea 01</v>
      </c>
      <c r="AC41" s="417">
        <f>IF(D$9=$AA$36,Poeng!BR299,"")</f>
        <v>0</v>
      </c>
      <c r="AD41" s="417" t="str">
        <f>IF(F$9=$AA$36,Poeng!BS299,"")</f>
        <v/>
      </c>
      <c r="AE41" s="418" t="str">
        <f>IF(H$9=$AA$36,Poeng!BT299,"")</f>
        <v/>
      </c>
    </row>
    <row r="42" spans="1:32" ht="15.75" x14ac:dyDescent="0.25">
      <c r="A42" s="358"/>
      <c r="B42" s="411" t="s">
        <v>68</v>
      </c>
      <c r="C42" s="412">
        <f>Wst_Credits</f>
        <v>7</v>
      </c>
      <c r="D42" s="413">
        <f>Wst_tot_user</f>
        <v>0</v>
      </c>
      <c r="E42" s="414">
        <f>BP_18/BP_07</f>
        <v>0</v>
      </c>
      <c r="F42" s="413">
        <f>Wst_d_user</f>
        <v>0</v>
      </c>
      <c r="G42" s="408">
        <f t="shared" si="3"/>
        <v>0</v>
      </c>
      <c r="H42" s="413">
        <f>Wst_c_user</f>
        <v>0</v>
      </c>
      <c r="I42" s="407">
        <f t="shared" si="4"/>
        <v>0</v>
      </c>
      <c r="J42" s="942">
        <f>Poeng!BS349</f>
        <v>7.0000000000000007E-2</v>
      </c>
      <c r="K42" s="420">
        <f>BP_28*J42</f>
        <v>0</v>
      </c>
      <c r="L42" s="695">
        <f t="shared" si="5"/>
        <v>0</v>
      </c>
      <c r="M42" s="697">
        <f t="shared" si="6"/>
        <v>0</v>
      </c>
      <c r="N42" s="378"/>
      <c r="O42" s="378"/>
      <c r="P42" s="378"/>
      <c r="Q42" s="378"/>
      <c r="AB42" s="416" t="str">
        <f>Poeng!BQ300</f>
        <v>Hea 02</v>
      </c>
      <c r="AC42" s="417">
        <f>IF(D$9=$AA$36,Poeng!BR300,"")</f>
        <v>0</v>
      </c>
      <c r="AD42" s="417" t="str">
        <f>IF(F$9=$AA$36,Poeng!BS300,"")</f>
        <v/>
      </c>
      <c r="AE42" s="418" t="str">
        <f>IF(H$9=$AA$36,Poeng!BT300,"")</f>
        <v/>
      </c>
    </row>
    <row r="43" spans="1:32" ht="15.75" x14ac:dyDescent="0.25">
      <c r="A43" s="358"/>
      <c r="B43" s="411" t="s">
        <v>69</v>
      </c>
      <c r="C43" s="412">
        <f>LE_Credits</f>
        <v>19</v>
      </c>
      <c r="D43" s="413">
        <f>Lue_tot_user</f>
        <v>0</v>
      </c>
      <c r="E43" s="414">
        <f>BP_19/BP_08</f>
        <v>0</v>
      </c>
      <c r="F43" s="413">
        <f>Lue_d_user</f>
        <v>0</v>
      </c>
      <c r="G43" s="408">
        <f t="shared" si="3"/>
        <v>0</v>
      </c>
      <c r="H43" s="413">
        <f>Lue_c_user</f>
        <v>0</v>
      </c>
      <c r="I43" s="407">
        <f t="shared" si="4"/>
        <v>0</v>
      </c>
      <c r="J43" s="942">
        <f>Poeng!BS350</f>
        <v>0.15</v>
      </c>
      <c r="K43" s="420">
        <f>BP_29*J43</f>
        <v>0</v>
      </c>
      <c r="L43" s="695">
        <f t="shared" si="5"/>
        <v>0</v>
      </c>
      <c r="M43" s="697">
        <f t="shared" si="6"/>
        <v>0</v>
      </c>
      <c r="N43" s="378"/>
      <c r="O43" s="378"/>
      <c r="P43" s="378"/>
      <c r="Q43" s="378"/>
      <c r="AB43" s="416" t="str">
        <f>Poeng!BQ301</f>
        <v>Ene 01</v>
      </c>
      <c r="AC43" s="417">
        <f>IF(D$9=$AA$36,Poeng!BR301,"")</f>
        <v>3</v>
      </c>
      <c r="AD43" s="417" t="str">
        <f>IF(F$9=$AA$36,Poeng!BS301,"")</f>
        <v/>
      </c>
      <c r="AE43" s="418" t="str">
        <f>IF(H$9=$AA$36,Poeng!BT301,"")</f>
        <v/>
      </c>
    </row>
    <row r="44" spans="1:32" ht="15.75" customHeight="1" x14ac:dyDescent="0.25">
      <c r="A44" s="358"/>
      <c r="B44" s="411" t="s">
        <v>70</v>
      </c>
      <c r="C44" s="412">
        <f>Pol_Credits</f>
        <v>7</v>
      </c>
      <c r="D44" s="413">
        <f>Pol_tot_user</f>
        <v>0</v>
      </c>
      <c r="E44" s="414">
        <f>BP_20/BP_09</f>
        <v>0</v>
      </c>
      <c r="F44" s="413">
        <f>Pol_d_user</f>
        <v>0</v>
      </c>
      <c r="G44" s="408">
        <f t="shared" si="3"/>
        <v>0</v>
      </c>
      <c r="H44" s="413">
        <f>Pol_c_user</f>
        <v>0</v>
      </c>
      <c r="I44" s="407">
        <f t="shared" si="4"/>
        <v>0</v>
      </c>
      <c r="J44" s="942">
        <f>Poeng!BS351</f>
        <v>0.04</v>
      </c>
      <c r="K44" s="420">
        <f>BP_30*J44</f>
        <v>0</v>
      </c>
      <c r="L44" s="695">
        <f t="shared" si="5"/>
        <v>0</v>
      </c>
      <c r="M44" s="697">
        <f t="shared" si="6"/>
        <v>0</v>
      </c>
      <c r="N44" s="378"/>
      <c r="O44" s="378"/>
      <c r="P44" s="378"/>
      <c r="Q44" s="378"/>
      <c r="AB44" s="416" t="str">
        <f>IF(AF44=9,"",Poeng!BQ302)</f>
        <v>Ene 07</v>
      </c>
      <c r="AC44" s="417">
        <f>IF(AF44=9,"",IF(D$9=$AA$36,Poeng!BR302,""))</f>
        <v>0</v>
      </c>
      <c r="AD44" s="417" t="str">
        <f>IF(AF44=9,"",IF(F$9=$AA$36,Poeng!BS302,""))</f>
        <v/>
      </c>
      <c r="AE44" s="418" t="str">
        <f>IF(AF44=9,"",IF(H$9=$AA$36,Poeng!BT302,""))</f>
        <v/>
      </c>
      <c r="AF44" s="359">
        <f>Poeng!BR302</f>
        <v>0</v>
      </c>
    </row>
    <row r="45" spans="1:32" ht="15.75" x14ac:dyDescent="0.25">
      <c r="A45" s="358"/>
      <c r="B45" s="411" t="s">
        <v>71</v>
      </c>
      <c r="C45" s="412">
        <f>Inn_Credits</f>
        <v>10</v>
      </c>
      <c r="D45" s="413">
        <f>Inn_tot_user</f>
        <v>0</v>
      </c>
      <c r="E45" s="414">
        <f>BP_21/BP_10</f>
        <v>0</v>
      </c>
      <c r="F45" s="413">
        <f>Inn_d_user</f>
        <v>0</v>
      </c>
      <c r="G45" s="408">
        <f t="shared" si="3"/>
        <v>0</v>
      </c>
      <c r="H45" s="413">
        <f>Inn_c_user</f>
        <v>0</v>
      </c>
      <c r="I45" s="407">
        <f t="shared" si="4"/>
        <v>0</v>
      </c>
      <c r="J45" s="942">
        <v>0.1</v>
      </c>
      <c r="K45" s="420">
        <f>BP_31*J45</f>
        <v>0</v>
      </c>
      <c r="L45" s="695">
        <f t="shared" si="5"/>
        <v>0</v>
      </c>
      <c r="M45" s="697">
        <f t="shared" si="6"/>
        <v>0</v>
      </c>
      <c r="N45" s="378"/>
      <c r="O45" s="378"/>
      <c r="P45" s="378"/>
      <c r="Q45" s="378"/>
      <c r="AB45" s="416" t="str">
        <f>Poeng!BQ303</f>
        <v>Tra 01</v>
      </c>
      <c r="AC45" s="417">
        <f>IF(D$9=$AA$36,Poeng!BR303,"")</f>
        <v>3</v>
      </c>
      <c r="AD45" s="417" t="str">
        <f>IF(F$9=$AA$36,Poeng!BS303,"")</f>
        <v/>
      </c>
      <c r="AE45" s="418" t="str">
        <f>IF(H$9=$AA$36,Poeng!BT303,"")</f>
        <v/>
      </c>
    </row>
    <row r="46" spans="1:32" ht="15.75" x14ac:dyDescent="0.25">
      <c r="A46" s="358"/>
      <c r="B46" s="421" t="s">
        <v>213</v>
      </c>
      <c r="C46" s="422">
        <f>SUM(C36:C45)</f>
        <v>153</v>
      </c>
      <c r="D46" s="423">
        <f>SUM(D36:D45)</f>
        <v>0</v>
      </c>
      <c r="E46" s="424"/>
      <c r="F46" s="425">
        <f>SUM(F36:F45)</f>
        <v>0</v>
      </c>
      <c r="G46" s="426"/>
      <c r="H46" s="423">
        <f>SUM(H36:H45)</f>
        <v>0</v>
      </c>
      <c r="I46" s="424"/>
      <c r="J46" s="943">
        <f>SUM(J36:J45)</f>
        <v>1.1000000000000001</v>
      </c>
      <c r="K46" s="940">
        <f>IF(SUM(K36:K45)&gt;1,1,SUM(K36:K45))</f>
        <v>0</v>
      </c>
      <c r="L46" s="427">
        <f t="shared" ref="L46:M46" si="7">IF(SUM(L36:L45)&gt;1,1,SUM(L36:L45))</f>
        <v>0</v>
      </c>
      <c r="M46" s="428">
        <f t="shared" si="7"/>
        <v>0</v>
      </c>
      <c r="N46" s="378"/>
      <c r="O46" s="378"/>
      <c r="P46" s="378"/>
      <c r="Q46" s="378"/>
      <c r="AB46" s="416" t="str">
        <f>Poeng!BQ304</f>
        <v>Wat 01</v>
      </c>
      <c r="AC46" s="417">
        <f>IF(D$9=$AA$36,Poeng!BR304,"")</f>
        <v>3</v>
      </c>
      <c r="AD46" s="417" t="str">
        <f>IF(F$9=$AA$36,Poeng!BS304,"")</f>
        <v/>
      </c>
      <c r="AE46" s="418" t="str">
        <f>IF(H$9=$AA$36,Poeng!BT304,"")</f>
        <v/>
      </c>
    </row>
    <row r="47" spans="1:32" ht="15.75" x14ac:dyDescent="0.25">
      <c r="A47" s="358"/>
      <c r="B47" s="429" t="s">
        <v>312</v>
      </c>
      <c r="C47" s="430"/>
      <c r="D47" s="430"/>
      <c r="E47" s="430"/>
      <c r="F47" s="430"/>
      <c r="G47" s="430"/>
      <c r="H47" s="430"/>
      <c r="I47" s="430"/>
      <c r="J47" s="944"/>
      <c r="K47" s="420" t="str">
        <f>D10</f>
        <v>Unclassified</v>
      </c>
      <c r="L47" s="431" t="str">
        <f>F10</f>
        <v>Unclassified</v>
      </c>
      <c r="M47" s="424" t="str">
        <f>H10</f>
        <v>Unclassified</v>
      </c>
      <c r="N47" s="378"/>
      <c r="O47" s="378"/>
      <c r="P47" s="378"/>
      <c r="Q47" s="378"/>
      <c r="AB47" s="416" t="str">
        <f>Poeng!BQ305</f>
        <v>Mat 01</v>
      </c>
      <c r="AC47" s="417">
        <f>IF(D$9=$AA$36,Poeng!BR305,"")</f>
        <v>0</v>
      </c>
      <c r="AD47" s="417" t="str">
        <f>IF(F$9=$AA$36,Poeng!BS305,"")</f>
        <v/>
      </c>
      <c r="AE47" s="418" t="str">
        <f>IF(H$9=$AA$36,Poeng!BT305,"")</f>
        <v/>
      </c>
    </row>
    <row r="48" spans="1:32" ht="15.75" x14ac:dyDescent="0.25">
      <c r="A48" s="1051"/>
      <c r="B48" s="429" t="s">
        <v>79</v>
      </c>
      <c r="C48" s="430"/>
      <c r="D48" s="430"/>
      <c r="E48" s="430"/>
      <c r="F48" s="430"/>
      <c r="G48" s="430"/>
      <c r="H48" s="430"/>
      <c r="I48" s="430"/>
      <c r="J48" s="944"/>
      <c r="K48" s="420" t="str">
        <f>D12</f>
        <v>Unclassified &lt;30%</v>
      </c>
      <c r="L48" s="431" t="str">
        <f>F12</f>
        <v>Unclassified &lt;30%</v>
      </c>
      <c r="M48" s="424" t="str">
        <f>H12</f>
        <v>Unclassified &lt;30%</v>
      </c>
      <c r="N48" s="432"/>
      <c r="O48" s="433"/>
      <c r="P48" s="434"/>
      <c r="Q48" s="434"/>
      <c r="R48" s="434"/>
      <c r="S48" s="434"/>
      <c r="AB48" s="416" t="str">
        <f>Poeng!BQ306</f>
        <v>Mat 02</v>
      </c>
      <c r="AC48" s="417">
        <f>IF(D$9=$AA$36,Poeng!BR306,"")</f>
        <v>0</v>
      </c>
      <c r="AD48" s="417" t="str">
        <f>IF(F$9=$AA$36,Poeng!BS306,"")</f>
        <v/>
      </c>
      <c r="AE48" s="418" t="str">
        <f>IF(H$9=$AA$36,Poeng!BT306,"")</f>
        <v/>
      </c>
    </row>
    <row r="49" spans="1:33" s="435" customFormat="1" ht="15.75" x14ac:dyDescent="0.25">
      <c r="B49" s="429" t="str">
        <f>C13</f>
        <v xml:space="preserve">Requirements for EU taxonomy </v>
      </c>
      <c r="C49" s="430"/>
      <c r="D49" s="430"/>
      <c r="E49" s="430"/>
      <c r="F49" s="430"/>
      <c r="G49" s="430"/>
      <c r="H49" s="430"/>
      <c r="I49" s="430"/>
      <c r="J49" s="944"/>
      <c r="K49" s="420" t="str">
        <f>D13</f>
        <v>No</v>
      </c>
      <c r="L49" s="431" t="str">
        <f>F13</f>
        <v>No</v>
      </c>
      <c r="M49" s="424" t="str">
        <f>H13</f>
        <v>No</v>
      </c>
      <c r="O49" s="436"/>
      <c r="P49" s="436"/>
      <c r="Q49" s="436"/>
      <c r="R49" s="436"/>
      <c r="S49" s="436"/>
      <c r="T49" s="436"/>
      <c r="U49" s="436"/>
      <c r="AA49" s="359"/>
      <c r="AB49" s="416" t="str">
        <f>Poeng!BQ307</f>
        <v>Mat 03</v>
      </c>
      <c r="AC49" s="417">
        <f>IF(D$9=$AA$36,Poeng!BR307,"")</f>
        <v>0</v>
      </c>
      <c r="AD49" s="417" t="str">
        <f>IF(F$9=$AA$36,Poeng!BS307,"")</f>
        <v/>
      </c>
      <c r="AE49" s="418" t="str">
        <f>IF(H$9=$AA$36,Poeng!BT307,"")</f>
        <v/>
      </c>
      <c r="AF49" s="359"/>
      <c r="AG49" s="359"/>
    </row>
    <row r="50" spans="1:33" s="435" customFormat="1" x14ac:dyDescent="0.25">
      <c r="B50" s="358"/>
      <c r="C50" s="358"/>
      <c r="D50" s="358"/>
      <c r="E50" s="358"/>
      <c r="F50" s="358"/>
      <c r="G50" s="358"/>
      <c r="H50" s="358"/>
      <c r="I50" s="358"/>
      <c r="J50" s="358"/>
      <c r="K50" s="358"/>
      <c r="L50" s="358"/>
      <c r="M50" s="358"/>
      <c r="AA50" s="359"/>
      <c r="AB50" s="416" t="str">
        <f>Poeng!BQ308</f>
        <v>Mat 05</v>
      </c>
      <c r="AC50" s="417">
        <f>IF(D$9=$AA$36,Poeng!BR308,"")</f>
        <v>3</v>
      </c>
      <c r="AD50" s="417" t="str">
        <f>IF(F$9=$AA$36,Poeng!BS308,"")</f>
        <v/>
      </c>
      <c r="AE50" s="418" t="str">
        <f>IF(H$9=$AA$36,Poeng!BT308,"")</f>
        <v/>
      </c>
      <c r="AF50" s="359"/>
      <c r="AG50" s="359"/>
    </row>
    <row r="51" spans="1:33" s="358" customFormat="1" x14ac:dyDescent="0.25">
      <c r="AA51" s="359"/>
      <c r="AB51" s="416" t="str">
        <f>Poeng!BQ309</f>
        <v>Mat 06</v>
      </c>
      <c r="AC51" s="417">
        <f>IF(D$9=$AA$36,Poeng!BR309,"")</f>
        <v>0</v>
      </c>
      <c r="AD51" s="417" t="str">
        <f>IF(F$9=$AA$36,Poeng!BS309,"")</f>
        <v/>
      </c>
      <c r="AE51" s="418" t="str">
        <f>IF(H$9=$AA$36,Poeng!BT309,"")</f>
        <v/>
      </c>
      <c r="AF51" s="435"/>
      <c r="AG51" s="435"/>
    </row>
    <row r="52" spans="1:33" s="358" customFormat="1" ht="32.25" x14ac:dyDescent="0.3">
      <c r="A52" s="16"/>
      <c r="B52" s="365" t="s">
        <v>970</v>
      </c>
      <c r="C52" s="366"/>
      <c r="D52" s="367"/>
      <c r="E52" s="367"/>
      <c r="F52" s="367"/>
      <c r="G52" s="367"/>
      <c r="H52" s="367"/>
      <c r="I52" s="367"/>
      <c r="J52" s="400" t="s">
        <v>1049</v>
      </c>
      <c r="K52" s="400" t="s">
        <v>215</v>
      </c>
      <c r="L52" s="403" t="s">
        <v>283</v>
      </c>
      <c r="M52" s="401" t="s">
        <v>284</v>
      </c>
      <c r="N52" s="367"/>
      <c r="O52" s="367"/>
      <c r="AA52" s="438"/>
      <c r="AB52" s="416" t="str">
        <f>Poeng!BQ310</f>
        <v>Mat 07</v>
      </c>
      <c r="AC52" s="417">
        <f>IF(D$9=$AA$36,Poeng!BR310,"")</f>
        <v>3</v>
      </c>
      <c r="AD52" s="417" t="str">
        <f>IF(F$9=$AA$36,Poeng!BS310,"")</f>
        <v/>
      </c>
      <c r="AE52" s="418" t="str">
        <f>IF(H$9=$AA$36,Poeng!BT310,"")</f>
        <v/>
      </c>
      <c r="AF52" s="435"/>
      <c r="AG52" s="435"/>
    </row>
    <row r="53" spans="1:33" s="358" customFormat="1" x14ac:dyDescent="0.25">
      <c r="A53" s="58"/>
      <c r="B53" s="989" t="s">
        <v>61</v>
      </c>
      <c r="AB53" s="416" t="str">
        <f>Poeng!BQ311</f>
        <v>Wst 01</v>
      </c>
      <c r="AC53" s="417">
        <f>IF(D$9=$AA$36,Poeng!BR311,"")</f>
        <v>2</v>
      </c>
      <c r="AD53" s="417" t="str">
        <f>IF(F$9=$AA$36,Poeng!BS311,"")</f>
        <v/>
      </c>
      <c r="AE53" s="418" t="str">
        <f>IF(H$9=$AA$36,Poeng!BT311,"")</f>
        <v/>
      </c>
    </row>
    <row r="54" spans="1:33" s="358" customFormat="1" x14ac:dyDescent="0.25">
      <c r="A54" s="354" t="s">
        <v>711</v>
      </c>
      <c r="B54" s="1052" t="str">
        <f>VLOOKUP(A54,Poeng!$B$8:$BU$255,Poeng!$C$1,FALSE)</f>
        <v>Man 01</v>
      </c>
      <c r="C54" s="1053" t="s">
        <v>1051</v>
      </c>
      <c r="D54" s="1054"/>
      <c r="E54" s="1054"/>
      <c r="F54" s="1054"/>
      <c r="G54" s="1054"/>
      <c r="H54" s="1054"/>
      <c r="I54" s="1054"/>
      <c r="J54" s="1055">
        <f>VLOOKUP(A54,Poeng!$B$10:$BT$258,Poeng!$BQ$1,FALSE)</f>
        <v>1</v>
      </c>
      <c r="K54" s="1056">
        <f>VLOOKUP(A54,Poeng!$B$10:$BT$258,Poeng!$AI$1,FALSE)</f>
        <v>0</v>
      </c>
      <c r="L54" s="1056">
        <f>VLOOKUP(A54,Poeng!$B$10:$BT$258,Poeng!$AJ$1,FALSE)</f>
        <v>0</v>
      </c>
      <c r="M54" s="1056">
        <f>VLOOKUP(A54,Poeng!$B$10:$BT$258,Poeng!$AK$1,FALSE)</f>
        <v>0</v>
      </c>
      <c r="T54" s="358" t="str">
        <f>IFERROR(VLOOKUP(A54,Poeng!$B$8:$BU$255,Poeng!$E$1,FALSE),"")</f>
        <v>Climate gas calculation for whole building life cycle (EU taxonomy requirement: criterion 2-3)</v>
      </c>
      <c r="AB54" s="416" t="str">
        <f>Poeng!BQ312</f>
        <v>Wst 03</v>
      </c>
      <c r="AC54" s="417">
        <f>IF(D$9=$AA$36,Poeng!BR312,"")</f>
        <v>3</v>
      </c>
      <c r="AD54" s="417" t="str">
        <f>IF(F$9=$AA$36,Poeng!BS312,"")</f>
        <v/>
      </c>
      <c r="AE54" s="418" t="str">
        <f>IF(H$9=$AA$36,Poeng!BT312,"")</f>
        <v/>
      </c>
    </row>
    <row r="55" spans="1:33" x14ac:dyDescent="0.25">
      <c r="A55" s="354" t="s">
        <v>719</v>
      </c>
      <c r="B55" s="1057" t="str">
        <f>VLOOKUP(A55,Poeng!$B$8:$BU$255,Poeng!$C$1,FALSE)</f>
        <v>Man 03</v>
      </c>
      <c r="C55" s="1053" t="s">
        <v>1138</v>
      </c>
      <c r="D55" s="1054"/>
      <c r="E55" s="1054"/>
      <c r="F55" s="1054"/>
      <c r="G55" s="1054"/>
      <c r="H55" s="1054"/>
      <c r="I55" s="1054"/>
      <c r="J55" s="1055">
        <f>VLOOKUP(A55,Poeng!$B$10:$BT$258,Poeng!$BQ$1,FALSE)</f>
        <v>1</v>
      </c>
      <c r="K55" s="1056">
        <f>VLOOKUP(A55,Poeng!$B$10:$BT$258,Poeng!$AI$1,FALSE)</f>
        <v>0</v>
      </c>
      <c r="L55" s="1056">
        <f>VLOOKUP(A55,Poeng!$B$10:$BT$258,Poeng!$AJ$1,FALSE)</f>
        <v>0</v>
      </c>
      <c r="M55" s="1056">
        <f>VLOOKUP(A55,Poeng!$B$10:$BT$258,Poeng!$AK$1,FALSE)</f>
        <v>0</v>
      </c>
      <c r="N55" s="378"/>
      <c r="O55" s="378"/>
      <c r="P55" s="378"/>
      <c r="Q55" s="378"/>
      <c r="T55" s="358" t="str">
        <f>IFERROR(VLOOKUP(A55,Poeng!$B$8:$BU$255,Poeng!$E$1,FALSE),"")</f>
        <v>Considerate contruction: clean and tidy building process and checklist A1 (EU taxonomy requirement: criterion 5-6)</v>
      </c>
      <c r="AB55" s="416" t="str">
        <f>Poeng!BQ313</f>
        <v>LE 01</v>
      </c>
      <c r="AC55" s="417">
        <f>IF(D$9=$AA$36,Poeng!BR313,"")</f>
        <v>3</v>
      </c>
      <c r="AD55" s="417" t="str">
        <f>IF(F$9=$AA$36,Poeng!BS313,"")</f>
        <v/>
      </c>
      <c r="AE55" s="418" t="str">
        <f>IF(H$9=$AA$36,Poeng!BT313,"")</f>
        <v/>
      </c>
      <c r="AF55" s="358"/>
      <c r="AG55" s="358"/>
    </row>
    <row r="56" spans="1:33" x14ac:dyDescent="0.25">
      <c r="A56" s="354" t="s">
        <v>720</v>
      </c>
      <c r="B56" s="1057" t="str">
        <f>VLOOKUP(A56,Poeng!$B$8:$BU$255,Poeng!$C$1,FALSE)</f>
        <v>Man 03</v>
      </c>
      <c r="C56" s="1053" t="s">
        <v>1052</v>
      </c>
      <c r="D56" s="1054"/>
      <c r="E56" s="1054"/>
      <c r="F56" s="1054"/>
      <c r="G56" s="1054"/>
      <c r="H56" s="1054"/>
      <c r="I56" s="1054"/>
      <c r="J56" s="1055">
        <f>VLOOKUP(A56,Poeng!$B$10:$BT$258,Poeng!$BQ$1,FALSE)</f>
        <v>1</v>
      </c>
      <c r="K56" s="1056">
        <f>VLOOKUP(A56,Poeng!$B$10:$BT$258,Poeng!$AI$1,FALSE)</f>
        <v>0</v>
      </c>
      <c r="L56" s="1056">
        <f>VLOOKUP(A56,Poeng!$B$10:$BT$258,Poeng!$AJ$1,FALSE)</f>
        <v>0</v>
      </c>
      <c r="M56" s="1056">
        <f>VLOOKUP(A56,Poeng!$B$10:$BT$258,Poeng!$AK$1,FALSE)</f>
        <v>0</v>
      </c>
      <c r="N56" s="378"/>
      <c r="O56" s="378"/>
      <c r="P56" s="378"/>
      <c r="Q56" s="378"/>
      <c r="T56" s="358" t="str">
        <f>IFERROR(VLOOKUP(A56,Poeng!$B$8:$BU$255,Poeng!$E$1,FALSE),"")</f>
        <v>Considerate contruction: INSTA 800 and checklist A1 (EU taxonomy requirement: criterion 7-9)</v>
      </c>
      <c r="AB56" s="416" t="str">
        <f>Poeng!BQ314</f>
        <v>LE 02</v>
      </c>
      <c r="AC56" s="417">
        <f>IF(D$9=$AA$36,Poeng!BR314,"")</f>
        <v>2</v>
      </c>
      <c r="AD56" s="417" t="str">
        <f>IF(F$9=$AA$36,Poeng!BS314,"")</f>
        <v/>
      </c>
      <c r="AE56" s="418" t="str">
        <f>IF(H$9=$AA$36,Poeng!BT314,"")</f>
        <v/>
      </c>
      <c r="AF56" s="358"/>
      <c r="AG56" s="358"/>
    </row>
    <row r="57" spans="1:33" x14ac:dyDescent="0.25">
      <c r="A57" s="354"/>
      <c r="B57" s="378"/>
      <c r="C57" s="378" t="s">
        <v>1050</v>
      </c>
      <c r="D57" s="378"/>
      <c r="E57" s="378"/>
      <c r="F57" s="378"/>
      <c r="G57" s="378"/>
      <c r="H57" s="378"/>
      <c r="I57" s="378"/>
      <c r="J57" s="1058"/>
      <c r="K57" s="378"/>
      <c r="L57" s="378"/>
      <c r="M57" s="378"/>
      <c r="N57" s="378"/>
      <c r="O57" s="378"/>
      <c r="P57" s="378"/>
      <c r="Q57" s="378"/>
      <c r="T57" s="358" t="str">
        <f>IFERROR(VLOOKUP(A57,Poeng!$B$8:$BU$255,Poeng!$E$1,FALSE),"")</f>
        <v/>
      </c>
      <c r="AB57" s="416" t="str">
        <f>Poeng!BQ315</f>
        <v>LE 04</v>
      </c>
      <c r="AC57" s="417">
        <f>IF(D$9=$AA$36,Poeng!BR315,"")</f>
        <v>4</v>
      </c>
      <c r="AD57" s="417" t="str">
        <f>IF(F$9=$AA$36,Poeng!BS315,"")</f>
        <v/>
      </c>
      <c r="AE57" s="418" t="str">
        <f>IF(H$9=$AA$36,Poeng!BT315,"")</f>
        <v/>
      </c>
    </row>
    <row r="58" spans="1:33" x14ac:dyDescent="0.25">
      <c r="A58" s="354"/>
      <c r="B58" s="989" t="s">
        <v>64</v>
      </c>
      <c r="C58" s="358" t="s">
        <v>1050</v>
      </c>
      <c r="D58" s="378"/>
      <c r="E58" s="378"/>
      <c r="F58" s="378"/>
      <c r="G58" s="378"/>
      <c r="H58" s="378"/>
      <c r="I58" s="378"/>
      <c r="J58" s="1058"/>
      <c r="K58" s="378"/>
      <c r="L58" s="378"/>
      <c r="M58" s="378"/>
      <c r="N58" s="378"/>
      <c r="O58" s="378"/>
      <c r="P58" s="378"/>
      <c r="Q58" s="378"/>
      <c r="T58" s="358" t="str">
        <f>IFERROR(VLOOKUP(A58,Poeng!$B$8:$BU$255,Poeng!$E$1,FALSE),"")</f>
        <v/>
      </c>
      <c r="AB58" s="416" t="str">
        <f>Poeng!BQ316</f>
        <v>LE 06</v>
      </c>
      <c r="AC58" s="417">
        <f>IF(D$9=$AA$36,Poeng!BR316,"")</f>
        <v>3</v>
      </c>
      <c r="AD58" s="417" t="str">
        <f>IF(F$9=$AA$36,Poeng!BS316,"")</f>
        <v/>
      </c>
      <c r="AE58" s="418" t="str">
        <f>IF(H$9=$AA$36,Poeng!BT316,"")</f>
        <v/>
      </c>
    </row>
    <row r="59" spans="1:33" x14ac:dyDescent="0.25">
      <c r="A59" s="354" t="s">
        <v>734</v>
      </c>
      <c r="B59" s="1052" t="str">
        <f>VLOOKUP(A59,Poeng!$B$8:$BU$255,Poeng!$C$1,FALSE)</f>
        <v>Hea 02</v>
      </c>
      <c r="C59" s="1053" t="s">
        <v>1053</v>
      </c>
      <c r="D59" s="1054"/>
      <c r="E59" s="1054"/>
      <c r="F59" s="1054"/>
      <c r="G59" s="1054"/>
      <c r="H59" s="1054"/>
      <c r="I59" s="1054"/>
      <c r="J59" s="1055">
        <f>IF(Poeng!AB49=0,"N/A",VLOOKUP(A59,Poeng!$B$10:$BT$258,Poeng!$BQ$1,FALSE))</f>
        <v>2</v>
      </c>
      <c r="K59" s="1056">
        <f>IF(Poeng!AB49=0,"N/A",VLOOKUP(A59,Poeng!$B$10:$BT$258,Poeng!$AI$1,FALSE))</f>
        <v>0</v>
      </c>
      <c r="L59" s="1056">
        <f>IF(Poeng!AB49=0,"N/A",VLOOKUP(A59,Poeng!$B$10:$BT$258,Poeng!$AJ$1,FALSE))</f>
        <v>0</v>
      </c>
      <c r="M59" s="1056">
        <f>IF(Poeng!AB49=0,"N/A",VLOOKUP(A59,Poeng!$B$10:$BT$258,Poeng!$AK$1,FALSE))</f>
        <v>0</v>
      </c>
      <c r="N59" s="378"/>
      <c r="O59" s="378"/>
      <c r="P59" s="378"/>
      <c r="Q59" s="378"/>
      <c r="T59" s="358" t="str">
        <f>IFERROR(VLOOKUP(A59,Poeng!$B$8:$BU$255,Poeng!$E$1,FALSE),"")</f>
        <v>Emissions from construction products (EU taxonomy requirement: criterion 5)</v>
      </c>
    </row>
    <row r="60" spans="1:33" x14ac:dyDescent="0.25">
      <c r="A60" s="354"/>
      <c r="B60" s="358"/>
      <c r="C60" s="358" t="s">
        <v>1050</v>
      </c>
      <c r="D60" s="378"/>
      <c r="E60" s="378"/>
      <c r="F60" s="378"/>
      <c r="G60" s="378"/>
      <c r="H60" s="378"/>
      <c r="I60" s="378"/>
      <c r="J60" s="1058"/>
      <c r="K60" s="378"/>
      <c r="L60" s="378"/>
      <c r="M60" s="378"/>
      <c r="N60" s="378"/>
      <c r="O60" s="378"/>
      <c r="P60" s="378"/>
      <c r="Q60" s="378"/>
      <c r="T60" s="358" t="str">
        <f>IFERROR(VLOOKUP(A60,Poeng!$B$8:$BU$255,Poeng!$E$1,FALSE),"")</f>
        <v/>
      </c>
    </row>
    <row r="61" spans="1:33" x14ac:dyDescent="0.25">
      <c r="A61" s="354"/>
      <c r="B61" s="989" t="s">
        <v>65</v>
      </c>
      <c r="C61" s="358" t="s">
        <v>1050</v>
      </c>
      <c r="D61" s="378"/>
      <c r="E61" s="378"/>
      <c r="F61" s="378"/>
      <c r="G61" s="378"/>
      <c r="H61" s="378"/>
      <c r="I61" s="378"/>
      <c r="J61" s="1058"/>
      <c r="K61" s="378"/>
      <c r="L61" s="378"/>
      <c r="M61" s="378"/>
      <c r="N61" s="378"/>
      <c r="O61" s="378"/>
      <c r="P61" s="378"/>
      <c r="Q61" s="378"/>
      <c r="T61" s="358" t="str">
        <f>IFERROR(VLOOKUP(A61,Poeng!$B$8:$BU$255,Poeng!$E$1,FALSE),"")</f>
        <v/>
      </c>
      <c r="AB61" s="359" t="s">
        <v>1024</v>
      </c>
      <c r="AC61" s="359">
        <v>5</v>
      </c>
    </row>
    <row r="62" spans="1:33" x14ac:dyDescent="0.25">
      <c r="A62" s="354" t="s">
        <v>1018</v>
      </c>
      <c r="B62" s="1052" t="str">
        <f>VLOOKUP(A62,Poeng!$B$8:$BU$255,Poeng!$C$1,FALSE)</f>
        <v>Ene 01</v>
      </c>
      <c r="C62" s="1053" t="s">
        <v>1131</v>
      </c>
      <c r="D62" s="1054"/>
      <c r="E62" s="1054"/>
      <c r="F62" s="1054"/>
      <c r="G62" s="1054"/>
      <c r="H62" s="1054"/>
      <c r="I62" s="1054"/>
      <c r="J62" s="1055" t="str">
        <f>VLOOKUP(A62,Poeng!$B$10:$BT$258,Poeng!$BQ$1,FALSE)</f>
        <v>Yes</v>
      </c>
      <c r="K62" s="1056">
        <f>VLOOKUP(A62,Poeng!$B$10:$BT$258,Poeng!$AI$1,FALSE)</f>
        <v>0</v>
      </c>
      <c r="L62" s="1056">
        <f>VLOOKUP(A62,Poeng!$B$10:$BT$258,Poeng!$AJ$1,FALSE)</f>
        <v>0</v>
      </c>
      <c r="M62" s="1056">
        <f>VLOOKUP(A62,Poeng!$B$10:$BT$258,Poeng!$AK$1,FALSE)</f>
        <v>0</v>
      </c>
      <c r="N62" s="378"/>
      <c r="O62" s="378"/>
      <c r="P62" s="378"/>
      <c r="Q62" s="378"/>
      <c r="T62" s="358" t="str">
        <f>IFERROR(VLOOKUP(A62,Poeng!$B$8:$BU$255,Poeng!$E$1,FALSE),"")</f>
        <v>EU taxonomy requirements: criterion 9 and 10 - Energy performance</v>
      </c>
      <c r="AB62" s="359" t="s">
        <v>1025</v>
      </c>
    </row>
    <row r="63" spans="1:33" x14ac:dyDescent="0.25">
      <c r="A63" s="354" t="s">
        <v>747</v>
      </c>
      <c r="B63" s="1052" t="str">
        <f>VLOOKUP(A63,Poeng!$B$8:$BU$260,Poeng!$C$1,FALSE)</f>
        <v>Ene 01</v>
      </c>
      <c r="C63" s="1053" t="s">
        <v>1134</v>
      </c>
      <c r="D63" s="1054"/>
      <c r="E63" s="1054"/>
      <c r="F63" s="1054"/>
      <c r="G63" s="1054"/>
      <c r="H63" s="1054"/>
      <c r="I63" s="1054"/>
      <c r="J63" s="1055">
        <f>VLOOKUP(A63,Poeng!$B$10:$BT$258,Poeng!$BQ$1,FALSE)</f>
        <v>1</v>
      </c>
      <c r="K63" s="1056">
        <f>VLOOKUP(A63,Poeng!$B$10:$BT$258,Poeng!$AI$1,FALSE)</f>
        <v>0</v>
      </c>
      <c r="L63" s="1056">
        <f>VLOOKUP(A63,Poeng!$B$10:$BT$258,Poeng!$AJ$1,FALSE)</f>
        <v>0</v>
      </c>
      <c r="M63" s="1056">
        <f>VLOOKUP(A63,Poeng!$B$10:$BT$258,Poeng!$AK$1,FALSE)</f>
        <v>0</v>
      </c>
      <c r="N63" s="378"/>
      <c r="O63" s="378"/>
      <c r="P63" s="1051"/>
      <c r="Q63" s="378"/>
      <c r="T63" s="358" t="str">
        <f>IFERROR(VLOOKUP(A63,Poeng!$B$8:$BU$255,Poeng!$E$1,FALSE),"")</f>
        <v>Adaptation to EU taxonomy (EU taxonomy requirements: criterion 12)</v>
      </c>
    </row>
    <row r="64" spans="1:33" x14ac:dyDescent="0.25">
      <c r="A64" s="354"/>
      <c r="B64" s="358"/>
      <c r="C64" s="358" t="s">
        <v>1050</v>
      </c>
      <c r="D64" s="378"/>
      <c r="E64" s="378"/>
      <c r="F64" s="378"/>
      <c r="G64" s="378"/>
      <c r="H64" s="378"/>
      <c r="I64" s="378"/>
      <c r="J64" s="1058"/>
      <c r="K64" s="378"/>
      <c r="L64" s="378"/>
      <c r="M64" s="378"/>
      <c r="N64" s="378"/>
      <c r="O64" s="378"/>
      <c r="P64" s="378"/>
      <c r="Q64" s="378"/>
      <c r="T64" s="358" t="str">
        <f>IFERROR(VLOOKUP(A64,Poeng!$B$8:$BU$255,Poeng!$E$1,FALSE),"")</f>
        <v/>
      </c>
    </row>
    <row r="65" spans="1:20" x14ac:dyDescent="0.25">
      <c r="A65" s="354"/>
      <c r="B65" s="989" t="s">
        <v>58</v>
      </c>
      <c r="C65" s="358" t="s">
        <v>1050</v>
      </c>
      <c r="D65" s="378"/>
      <c r="E65" s="378"/>
      <c r="F65" s="378"/>
      <c r="G65" s="378"/>
      <c r="H65" s="378"/>
      <c r="I65" s="378"/>
      <c r="J65" s="1058"/>
      <c r="K65" s="378"/>
      <c r="L65" s="378"/>
      <c r="M65" s="378"/>
      <c r="N65" s="378"/>
      <c r="O65" s="378"/>
      <c r="P65" s="378"/>
      <c r="Q65" s="378"/>
      <c r="T65" s="358" t="str">
        <f>IFERROR(VLOOKUP(A65,Poeng!$B$8:$BU$255,Poeng!$E$1,FALSE),"")</f>
        <v/>
      </c>
    </row>
    <row r="66" spans="1:20" x14ac:dyDescent="0.25">
      <c r="A66" s="354" t="s">
        <v>1019</v>
      </c>
      <c r="B66" s="1052" t="str">
        <f>VLOOKUP(A66,Poeng!$B$8:$BU$255,Poeng!$C$1,FALSE)</f>
        <v>Wat 01</v>
      </c>
      <c r="C66" s="1053" t="s">
        <v>1152</v>
      </c>
      <c r="D66" s="1054"/>
      <c r="E66" s="1054"/>
      <c r="F66" s="1054"/>
      <c r="G66" s="1054"/>
      <c r="H66" s="1054"/>
      <c r="I66" s="1054"/>
      <c r="J66" s="1055" t="str">
        <f>IF(Poeng!AB254=0,"N/A",VLOOKUP(A66,Poeng!$B$10:$BT$258,Poeng!$BQ$1,FALSE))</f>
        <v>Yes</v>
      </c>
      <c r="K66" s="1056">
        <f>IF(Poeng!AB254=0,"N/A",VLOOKUP(A66,Poeng!$B$10:$BT$258,Poeng!$AI$1,FALSE))</f>
        <v>0</v>
      </c>
      <c r="L66" s="1056">
        <f>IF(Poeng!AB254=0,"N/A",VLOOKUP(A66,Poeng!$B$10:$BT$258,Poeng!$AJ$1,FALSE))</f>
        <v>0</v>
      </c>
      <c r="M66" s="1056">
        <f>IF(Poeng!AB254=0,"N/A",VLOOKUP(A66,Poeng!$B$10:$BT$258,Poeng!$AK$1,FALSE))</f>
        <v>0</v>
      </c>
      <c r="N66" s="378"/>
      <c r="O66" s="378"/>
      <c r="P66" s="378"/>
      <c r="Q66" s="378"/>
      <c r="T66" s="358" t="str">
        <f>IFERROR(VLOOKUP(A66,Poeng!$B$8:$BU$255,Poeng!$E$1,FALSE),"")</f>
        <v>EU taxonomy requirements: criterion 2</v>
      </c>
    </row>
    <row r="67" spans="1:20" x14ac:dyDescent="0.25">
      <c r="A67" s="354"/>
      <c r="B67" s="358"/>
      <c r="C67" s="358" t="s">
        <v>1050</v>
      </c>
      <c r="D67" s="378"/>
      <c r="E67" s="378"/>
      <c r="F67" s="378"/>
      <c r="G67" s="378"/>
      <c r="H67" s="378"/>
      <c r="I67" s="378"/>
      <c r="J67" s="1058"/>
      <c r="K67" s="378"/>
      <c r="L67" s="378"/>
      <c r="M67" s="378"/>
      <c r="N67" s="378"/>
      <c r="O67" s="378"/>
      <c r="P67" s="1051"/>
      <c r="Q67" s="378"/>
      <c r="T67" s="358" t="str">
        <f>IFERROR(VLOOKUP(A67,Poeng!$B$8:$BU$255,Poeng!$E$1,FALSE),"")</f>
        <v/>
      </c>
    </row>
    <row r="68" spans="1:20" x14ac:dyDescent="0.25">
      <c r="A68" s="354"/>
      <c r="B68" s="989" t="s">
        <v>67</v>
      </c>
      <c r="C68" s="358" t="s">
        <v>1050</v>
      </c>
      <c r="D68" s="378"/>
      <c r="E68" s="378"/>
      <c r="F68" s="378"/>
      <c r="G68" s="378"/>
      <c r="H68" s="378"/>
      <c r="I68" s="378"/>
      <c r="J68" s="1058"/>
      <c r="K68" s="378"/>
      <c r="L68" s="378"/>
      <c r="M68" s="378"/>
      <c r="N68" s="378"/>
      <c r="O68" s="378"/>
      <c r="P68" s="378"/>
      <c r="Q68" s="378"/>
      <c r="T68" s="358" t="str">
        <f>IFERROR(VLOOKUP(A68,Poeng!$B$8:$BU$255,Poeng!$E$1,FALSE),"")</f>
        <v/>
      </c>
    </row>
    <row r="69" spans="1:20" x14ac:dyDescent="0.25">
      <c r="A69" s="354" t="s">
        <v>772</v>
      </c>
      <c r="B69" s="1052" t="str">
        <f>VLOOKUP(A69,Poeng!$B$8:$BU$255,Poeng!$C$1,FALSE)</f>
        <v>Mat 02</v>
      </c>
      <c r="C69" s="1053" t="s">
        <v>1054</v>
      </c>
      <c r="D69" s="1054"/>
      <c r="E69" s="1054"/>
      <c r="F69" s="1054"/>
      <c r="G69" s="1054"/>
      <c r="H69" s="1054"/>
      <c r="I69" s="1054"/>
      <c r="J69" s="1055" t="str">
        <f>VLOOKUP(A69,Poeng!$B$10:$BT$258,Poeng!$BQ$1,FALSE)</f>
        <v>Yes</v>
      </c>
      <c r="K69" s="1056">
        <f>VLOOKUP(A69,Poeng!$B$10:$BT$258,Poeng!$AI$1,FALSE)</f>
        <v>0</v>
      </c>
      <c r="L69" s="1056">
        <f>VLOOKUP(A69,Poeng!$B$10:$BT$258,Poeng!$AJ$1,FALSE)</f>
        <v>0</v>
      </c>
      <c r="M69" s="1056">
        <f>VLOOKUP(A69,Poeng!$B$10:$BT$258,Poeng!$AK$1,FALSE)</f>
        <v>0</v>
      </c>
      <c r="N69" s="378"/>
      <c r="O69" s="378"/>
      <c r="P69" s="378"/>
      <c r="Q69" s="378"/>
      <c r="T69" s="358" t="str">
        <f>IFERROR(VLOOKUP(A69,Poeng!$B$8:$BU$255,Poeng!$E$1,FALSE),"")</f>
        <v>Minimum req: absence of environmental toxins (EU taxonomy requirement: criterion 1)</v>
      </c>
    </row>
    <row r="70" spans="1:20" x14ac:dyDescent="0.25">
      <c r="A70" s="354" t="s">
        <v>1023</v>
      </c>
      <c r="B70" s="1052" t="str">
        <f>VLOOKUP(A70,Poeng!$B$8:$BU$255,Poeng!$C$1,FALSE)</f>
        <v>Mat 06</v>
      </c>
      <c r="C70" s="1053" t="s">
        <v>1146</v>
      </c>
      <c r="D70" s="1054"/>
      <c r="E70" s="1054"/>
      <c r="F70" s="1054"/>
      <c r="G70" s="1054"/>
      <c r="H70" s="1054"/>
      <c r="I70" s="1054"/>
      <c r="J70" s="1055" t="str">
        <f>IF(Poeng!AB145=0,"N/A",VLOOKUP(A70,Poeng!$B$10:$BT$258,Poeng!$BQ$1,FALSE))</f>
        <v>Yes</v>
      </c>
      <c r="K70" s="1056">
        <f>IF(Poeng!AB145=0,"N/A",VLOOKUP(A70,Poeng!$B$10:$BT$258,Poeng!$AI$1,FALSE))</f>
        <v>0</v>
      </c>
      <c r="L70" s="1056">
        <f>IF(Poeng!AB145=0,"N/A",VLOOKUP(A70,Poeng!$B$10:$BT$258,Poeng!$AJ$1,FALSE))</f>
        <v>0</v>
      </c>
      <c r="M70" s="1056">
        <f>IF(Poeng!AB145=0,"N/A",VLOOKUP(A70,Poeng!$B$10:$BT$258,Poeng!$AK$1,FALSE))</f>
        <v>0</v>
      </c>
      <c r="N70" s="378"/>
      <c r="O70" s="378"/>
      <c r="P70" s="378"/>
      <c r="Q70" s="378"/>
      <c r="T70" s="358" t="str">
        <f>IFERROR(VLOOKUP(A70,Poeng!$B$8:$BU$255,Poeng!$E$1,FALSE),"")</f>
        <v>Minimum req: mapping for component reuse - criterion 1 (EU taxonomy requirement: criterion 1)</v>
      </c>
    </row>
    <row r="71" spans="1:20" x14ac:dyDescent="0.25">
      <c r="A71" s="354" t="s">
        <v>786</v>
      </c>
      <c r="B71" s="1052" t="str">
        <f>VLOOKUP(A71,Poeng!$B$8:$BU$255,Poeng!$C$1,FALSE)</f>
        <v>Mat 07</v>
      </c>
      <c r="C71" s="1053" t="s">
        <v>1063</v>
      </c>
      <c r="D71" s="1054"/>
      <c r="E71" s="1054"/>
      <c r="F71" s="1054"/>
      <c r="G71" s="1054"/>
      <c r="H71" s="1054"/>
      <c r="I71" s="1054"/>
      <c r="J71" s="1055">
        <f>VLOOKUP(A71,Poeng!$B$10:$BT$258,Poeng!$BQ$1,FALSE)</f>
        <v>1</v>
      </c>
      <c r="K71" s="1056">
        <f>VLOOKUP(A71,Poeng!$B$10:$BT$258,Poeng!$AI$1,FALSE)</f>
        <v>0</v>
      </c>
      <c r="L71" s="1056">
        <f>VLOOKUP(A71,Poeng!$B$10:$BT$258,Poeng!$AJ$1,FALSE)</f>
        <v>0</v>
      </c>
      <c r="M71" s="1056">
        <f>VLOOKUP(A71,Poeng!$B$10:$BT$258,Poeng!$AK$1,FALSE)</f>
        <v>0</v>
      </c>
      <c r="N71" s="378"/>
      <c r="O71" s="378"/>
      <c r="P71" s="378"/>
      <c r="Q71" s="378"/>
      <c r="T71" s="358" t="str">
        <f>IFERROR(VLOOKUP(A71,Poeng!$B$8:$BU$255,Poeng!$E$1,FALSE),"")</f>
        <v>Design for disassembly and functional adaptability - recommendations (EU taxonomy requirement: criterion 2-3)</v>
      </c>
    </row>
    <row r="72" spans="1:20" x14ac:dyDescent="0.25">
      <c r="A72" s="354" t="s">
        <v>787</v>
      </c>
      <c r="B72" s="1052" t="str">
        <f>VLOOKUP(A72,Poeng!$B$8:$BU$255,Poeng!$C$1,FALSE)</f>
        <v>Mat 07</v>
      </c>
      <c r="C72" s="1053" t="s">
        <v>1064</v>
      </c>
      <c r="D72" s="1054"/>
      <c r="E72" s="1054"/>
      <c r="F72" s="1054"/>
      <c r="G72" s="1054"/>
      <c r="H72" s="1054"/>
      <c r="I72" s="1054"/>
      <c r="J72" s="1055">
        <f>VLOOKUP(A72,Poeng!$B$10:$BT$258,Poeng!$BQ$1,FALSE)</f>
        <v>1</v>
      </c>
      <c r="K72" s="1056">
        <f>VLOOKUP(A72,Poeng!$B$10:$BT$258,Poeng!$AI$1,FALSE)</f>
        <v>0</v>
      </c>
      <c r="L72" s="1056">
        <f>VLOOKUP(A72,Poeng!$B$10:$BT$258,Poeng!$AJ$1,FALSE)</f>
        <v>0</v>
      </c>
      <c r="M72" s="1056">
        <f>VLOOKUP(A72,Poeng!$B$10:$BT$258,Poeng!$AK$1,FALSE)</f>
        <v>0</v>
      </c>
      <c r="N72" s="378"/>
      <c r="O72" s="378"/>
      <c r="P72" s="378"/>
      <c r="Q72" s="378"/>
      <c r="T72" s="358" t="str">
        <f>IFERROR(VLOOKUP(A72,Poeng!$B$8:$BU$255,Poeng!$E$1,FALSE),"")</f>
        <v>Disassembly and functional adaptability - implementation (EU taxonomy requirement: criterion 4-6)</v>
      </c>
    </row>
    <row r="73" spans="1:20" x14ac:dyDescent="0.25">
      <c r="A73" s="354"/>
      <c r="B73" s="358"/>
      <c r="C73" s="358" t="s">
        <v>1050</v>
      </c>
      <c r="D73" s="378"/>
      <c r="E73" s="378"/>
      <c r="F73" s="378"/>
      <c r="G73" s="378"/>
      <c r="H73" s="378"/>
      <c r="I73" s="378"/>
      <c r="J73" s="1058"/>
      <c r="K73" s="378"/>
      <c r="L73" s="378"/>
      <c r="M73" s="378"/>
      <c r="N73" s="378"/>
      <c r="O73" s="378"/>
      <c r="P73" s="378"/>
      <c r="Q73" s="378"/>
      <c r="T73" s="358" t="str">
        <f>IFERROR(VLOOKUP(A73,Poeng!$B$8:$BU$255,Poeng!$E$1,FALSE),"")</f>
        <v/>
      </c>
    </row>
    <row r="74" spans="1:20" x14ac:dyDescent="0.25">
      <c r="A74" s="354"/>
      <c r="B74" s="989" t="s">
        <v>68</v>
      </c>
      <c r="C74" s="358" t="s">
        <v>1050</v>
      </c>
      <c r="D74" s="378"/>
      <c r="E74" s="378"/>
      <c r="F74" s="378"/>
      <c r="G74" s="378"/>
      <c r="H74" s="378"/>
      <c r="I74" s="378"/>
      <c r="J74" s="1058"/>
      <c r="K74" s="378"/>
      <c r="L74" s="378"/>
      <c r="M74" s="378"/>
      <c r="N74" s="378"/>
      <c r="O74" s="378"/>
      <c r="P74" s="378"/>
      <c r="Q74" s="378"/>
      <c r="T74" s="358" t="str">
        <f>IFERROR(VLOOKUP(A74,Poeng!$B$8:$BU$255,Poeng!$E$1,FALSE),"")</f>
        <v/>
      </c>
    </row>
    <row r="75" spans="1:20" x14ac:dyDescent="0.25">
      <c r="A75" s="354" t="s">
        <v>1020</v>
      </c>
      <c r="B75" s="1052" t="str">
        <f>VLOOKUP(A75,Poeng!$B$8:$BU$255,Poeng!$C$1,FALSE)</f>
        <v>Wst 01</v>
      </c>
      <c r="C75" s="1053" t="s">
        <v>1022</v>
      </c>
      <c r="D75" s="1054"/>
      <c r="E75" s="1054"/>
      <c r="F75" s="1054"/>
      <c r="G75" s="1054"/>
      <c r="H75" s="1054"/>
      <c r="I75" s="1054"/>
      <c r="J75" s="1055" t="str">
        <f>VLOOKUP(A75,Poeng!$B$10:$BT$258,Poeng!$BQ$1,FALSE)</f>
        <v>Yes</v>
      </c>
      <c r="K75" s="1056">
        <f>VLOOKUP(A75,Poeng!$B$10:$BT$258,Poeng!$AI$1,FALSE)</f>
        <v>0</v>
      </c>
      <c r="L75" s="1056">
        <f>VLOOKUP(A75,Poeng!$B$10:$BT$258,Poeng!$AJ$1,FALSE)</f>
        <v>0</v>
      </c>
      <c r="M75" s="1056">
        <f>VLOOKUP(A75,Poeng!$B$10:$BT$258,Poeng!$AK$1,FALSE)</f>
        <v>0</v>
      </c>
      <c r="N75" s="378"/>
      <c r="O75" s="378"/>
      <c r="P75" s="378"/>
      <c r="Q75" s="378"/>
      <c r="T75" s="358" t="str">
        <f>IFERROR(VLOOKUP(A75,Poeng!$B$8:$BU$255,Poeng!$E$1,FALSE),"")</f>
        <v>EU taxonomy requirement: criterion 1</v>
      </c>
    </row>
    <row r="76" spans="1:20" x14ac:dyDescent="0.25">
      <c r="A76" s="354" t="s">
        <v>979</v>
      </c>
      <c r="B76" s="1052" t="str">
        <f>VLOOKUP(A76,Poeng!$B$8:$BU$255,Poeng!$C$1,FALSE)</f>
        <v>Wst 01</v>
      </c>
      <c r="C76" s="1053" t="s">
        <v>1055</v>
      </c>
      <c r="D76" s="1054"/>
      <c r="E76" s="1054"/>
      <c r="F76" s="1054"/>
      <c r="G76" s="1054"/>
      <c r="H76" s="1054"/>
      <c r="I76" s="1054"/>
      <c r="J76" s="1055" t="str">
        <f>VLOOKUP(A76,Poeng!$B$10:$BT$258,Poeng!$BQ$1,FALSE)</f>
        <v>Yes</v>
      </c>
      <c r="K76" s="1056">
        <f>VLOOKUP(A76,Poeng!$B$10:$BT$258,Poeng!$AI$1,FALSE)</f>
        <v>0</v>
      </c>
      <c r="L76" s="1056">
        <f>VLOOKUP(A76,Poeng!$B$10:$BT$258,Poeng!$AJ$1,FALSE)</f>
        <v>0</v>
      </c>
      <c r="M76" s="1056">
        <f>VLOOKUP(A76,Poeng!$B$10:$BT$258,Poeng!$AK$1,FALSE)</f>
        <v>0</v>
      </c>
      <c r="N76" s="378"/>
      <c r="O76" s="378"/>
      <c r="P76" s="378"/>
      <c r="Q76" s="378"/>
      <c r="T76" s="358" t="str">
        <f>IFERROR(VLOOKUP(A76,Poeng!$B$8:$BU$255,Poeng!$E$1,FALSE),"")</f>
        <v>EU taxonomy requirement: criterion 4, ready for reuse &gt;70%</v>
      </c>
    </row>
    <row r="77" spans="1:20" x14ac:dyDescent="0.25">
      <c r="A77" s="354"/>
      <c r="B77" s="358"/>
      <c r="C77" s="358" t="s">
        <v>1050</v>
      </c>
      <c r="D77" s="378"/>
      <c r="E77" s="378"/>
      <c r="F77" s="378"/>
      <c r="G77" s="378"/>
      <c r="H77" s="378"/>
      <c r="I77" s="378"/>
      <c r="J77" s="1058"/>
      <c r="K77" s="378"/>
      <c r="L77" s="378"/>
      <c r="M77" s="378"/>
      <c r="N77" s="378"/>
      <c r="O77" s="378"/>
      <c r="P77" s="378"/>
      <c r="Q77" s="378"/>
      <c r="T77" s="358" t="str">
        <f>IFERROR(VLOOKUP(A77,Poeng!$B$8:$BU$255,Poeng!$E$1,FALSE),"")</f>
        <v/>
      </c>
    </row>
    <row r="78" spans="1:20" x14ac:dyDescent="0.25">
      <c r="A78" s="354"/>
      <c r="B78" s="989" t="s">
        <v>69</v>
      </c>
      <c r="C78" s="358" t="s">
        <v>1050</v>
      </c>
      <c r="D78" s="378"/>
      <c r="E78" s="378"/>
      <c r="F78" s="378"/>
      <c r="G78" s="378"/>
      <c r="H78" s="378"/>
      <c r="I78" s="378"/>
      <c r="J78" s="1058"/>
      <c r="K78" s="358"/>
      <c r="L78" s="378"/>
      <c r="M78" s="378"/>
      <c r="N78" s="378"/>
      <c r="O78" s="378"/>
      <c r="P78" s="378"/>
      <c r="Q78" s="378"/>
      <c r="T78" s="358" t="str">
        <f>IFERROR(VLOOKUP(A78,Poeng!$B$8:$BU$255,Poeng!$E$1,FALSE),"")</f>
        <v/>
      </c>
    </row>
    <row r="79" spans="1:20" x14ac:dyDescent="0.25">
      <c r="A79" s="354" t="s">
        <v>980</v>
      </c>
      <c r="B79" s="1052" t="str">
        <f>VLOOKUP(A79,Poeng!$B$8:$BU$255,Poeng!$C$1,FALSE)</f>
        <v>LE 01</v>
      </c>
      <c r="C79" s="1053" t="s">
        <v>1056</v>
      </c>
      <c r="D79" s="1054"/>
      <c r="E79" s="1054"/>
      <c r="F79" s="1054"/>
      <c r="G79" s="1054"/>
      <c r="H79" s="1054"/>
      <c r="I79" s="1054"/>
      <c r="J79" s="1055" t="str">
        <f>VLOOKUP(A79,Poeng!$B$10:$BT$258,Poeng!$BQ$1,FALSE)</f>
        <v>Yes</v>
      </c>
      <c r="K79" s="1056">
        <f>VLOOKUP(A79,Poeng!$B$10:$BT$258,Poeng!$AI$1,FALSE)</f>
        <v>0</v>
      </c>
      <c r="L79" s="1056">
        <f>VLOOKUP(A79,Poeng!$B$10:$BT$258,Poeng!$AJ$1,FALSE)</f>
        <v>0</v>
      </c>
      <c r="M79" s="1056">
        <f>VLOOKUP(A79,Poeng!$B$10:$BT$258,Poeng!$AK$1,FALSE)</f>
        <v>0</v>
      </c>
      <c r="N79" s="378"/>
      <c r="O79" s="378"/>
      <c r="P79" s="378"/>
      <c r="Q79" s="378"/>
      <c r="T79" s="358" t="str">
        <f>IFERROR(VLOOKUP(A79,Poeng!$B$8:$BU$255,Poeng!$E$1,FALSE),"")</f>
        <v>Minimum req: agricultural area / forest (EU taxonomy requirement: criterion 2)</v>
      </c>
    </row>
    <row r="80" spans="1:20" x14ac:dyDescent="0.25">
      <c r="A80" s="354" t="s">
        <v>798</v>
      </c>
      <c r="B80" s="1052" t="str">
        <f>VLOOKUP(A80,Poeng!$B$8:$BU$255,Poeng!$C$1,FALSE)</f>
        <v>LE 02</v>
      </c>
      <c r="C80" s="1053" t="s">
        <v>1057</v>
      </c>
      <c r="D80" s="1054"/>
      <c r="E80" s="1054"/>
      <c r="F80" s="1054"/>
      <c r="G80" s="1054"/>
      <c r="H80" s="1054"/>
      <c r="I80" s="1054"/>
      <c r="J80" s="1055">
        <f>VLOOKUP(A80,Poeng!$B$10:$BT$258,Poeng!$BQ$1,FALSE)</f>
        <v>1</v>
      </c>
      <c r="K80" s="1056">
        <f>VLOOKUP(A80,Poeng!$B$10:$BT$258,Poeng!$AI$1,FALSE)</f>
        <v>0</v>
      </c>
      <c r="L80" s="1056">
        <f>VLOOKUP(A80,Poeng!$B$10:$BT$258,Poeng!$AJ$1,FALSE)</f>
        <v>0</v>
      </c>
      <c r="M80" s="1056">
        <f>VLOOKUP(A80,Poeng!$B$10:$BT$258,Poeng!$AK$1,FALSE)</f>
        <v>0</v>
      </c>
      <c r="N80" s="378"/>
      <c r="O80" s="378"/>
      <c r="P80" s="378"/>
      <c r="Q80" s="378"/>
      <c r="T80" s="358" t="str">
        <f>IFERROR(VLOOKUP(A80,Poeng!$B$8:$BU$255,Poeng!$E$1,FALSE),"")</f>
        <v>Survey and evaluation (EU taxonomy requirement: criterion 2-4)</v>
      </c>
    </row>
    <row r="81" spans="1:20" x14ac:dyDescent="0.25">
      <c r="A81" s="354" t="s">
        <v>809</v>
      </c>
      <c r="B81" s="1052" t="str">
        <f>VLOOKUP(A81,Poeng!$B$8:$BU$255,Poeng!$C$1,FALSE)</f>
        <v>LE 06</v>
      </c>
      <c r="C81" s="1053" t="s">
        <v>1058</v>
      </c>
      <c r="D81" s="1054"/>
      <c r="E81" s="1054"/>
      <c r="F81" s="1054"/>
      <c r="G81" s="1054"/>
      <c r="H81" s="1054"/>
      <c r="I81" s="1054"/>
      <c r="J81" s="1055">
        <f>VLOOKUP(A81,Poeng!$B$10:$BT$258,Poeng!$BQ$1,FALSE)</f>
        <v>1</v>
      </c>
      <c r="K81" s="1056">
        <f>VLOOKUP(A81,Poeng!$B$10:$BT$258,Poeng!$AI$1,FALSE)</f>
        <v>0</v>
      </c>
      <c r="L81" s="1056">
        <f>VLOOKUP(A81,Poeng!$B$10:$BT$258,Poeng!$AJ$1,FALSE)</f>
        <v>0</v>
      </c>
      <c r="M81" s="1056">
        <f>VLOOKUP(A81,Poeng!$B$10:$BT$258,Poeng!$AK$1,FALSE)</f>
        <v>0</v>
      </c>
      <c r="N81" s="378"/>
      <c r="O81" s="378"/>
      <c r="P81" s="378"/>
      <c r="Q81" s="378"/>
      <c r="T81" s="358" t="str">
        <f>IFERROR(VLOOKUP(A81,Poeng!$B$8:$BU$255,Poeng!$E$1,FALSE),"")</f>
        <v>Risk assessment (EU taxonomy requirement: criterion 1-6)</v>
      </c>
    </row>
    <row r="82" spans="1:20" x14ac:dyDescent="0.25">
      <c r="A82" s="354"/>
      <c r="B82" s="378"/>
      <c r="C82" s="378"/>
      <c r="D82" s="378"/>
      <c r="E82" s="378"/>
      <c r="F82" s="378"/>
      <c r="G82" s="378"/>
      <c r="H82" s="378"/>
      <c r="I82" s="378"/>
      <c r="J82" s="358"/>
      <c r="K82" s="378"/>
      <c r="L82" s="378"/>
      <c r="M82" s="378"/>
      <c r="N82" s="378"/>
      <c r="O82" s="378"/>
      <c r="P82" s="378"/>
      <c r="Q82" s="378"/>
      <c r="T82" s="358" t="str">
        <f>IFERROR(VLOOKUP(A82,Poeng!$B$8:$BU$255,Poeng!$E$1,FALSE),"")</f>
        <v/>
      </c>
    </row>
    <row r="83" spans="1:20" x14ac:dyDescent="0.25">
      <c r="A83" s="718"/>
      <c r="B83" s="378"/>
      <c r="C83" s="378"/>
      <c r="D83" s="378"/>
      <c r="E83" s="378"/>
      <c r="F83" s="378"/>
      <c r="G83" s="378"/>
      <c r="H83" s="378"/>
      <c r="I83" s="378"/>
      <c r="J83" s="378"/>
      <c r="K83" s="378"/>
      <c r="L83" s="378"/>
      <c r="M83" s="378"/>
      <c r="N83" s="378"/>
      <c r="O83" s="378"/>
      <c r="P83" s="378"/>
      <c r="Q83" s="378"/>
      <c r="T83" s="358" t="str">
        <f>IFERROR(VLOOKUP(A83,Poeng!$B$8:$BU$255,Poeng!$E$1,FALSE),"")</f>
        <v/>
      </c>
    </row>
    <row r="84" spans="1:20" x14ac:dyDescent="0.25">
      <c r="A84" s="718"/>
      <c r="B84" s="378"/>
      <c r="C84" s="378"/>
      <c r="D84" s="378"/>
      <c r="E84" s="378"/>
      <c r="F84" s="378"/>
      <c r="G84" s="378"/>
      <c r="H84" s="378"/>
      <c r="I84" s="378"/>
      <c r="J84" s="378"/>
      <c r="K84" s="378"/>
      <c r="L84" s="378"/>
      <c r="M84" s="378"/>
      <c r="N84" s="378"/>
      <c r="O84" s="378"/>
      <c r="P84" s="378"/>
      <c r="Q84" s="378"/>
    </row>
    <row r="85" spans="1:20" x14ac:dyDescent="0.25">
      <c r="A85" s="718"/>
      <c r="B85" s="378"/>
      <c r="C85" s="378"/>
      <c r="D85" s="378"/>
      <c r="E85" s="378"/>
      <c r="F85" s="378"/>
      <c r="G85" s="378"/>
      <c r="H85" s="378"/>
      <c r="I85" s="378"/>
      <c r="J85" s="378"/>
      <c r="K85" s="358"/>
      <c r="L85" s="378"/>
      <c r="M85" s="378"/>
      <c r="N85" s="378"/>
      <c r="O85" s="378"/>
      <c r="P85" s="378"/>
      <c r="Q85" s="378"/>
    </row>
    <row r="86" spans="1:20" x14ac:dyDescent="0.25">
      <c r="A86" s="718"/>
      <c r="B86" s="378"/>
      <c r="C86" s="378"/>
      <c r="D86" s="378"/>
      <c r="E86" s="378"/>
      <c r="F86" s="378"/>
      <c r="G86" s="378"/>
      <c r="H86" s="378"/>
      <c r="I86" s="378"/>
      <c r="J86" s="378"/>
      <c r="K86" s="378"/>
      <c r="L86" s="378"/>
      <c r="M86" s="378"/>
      <c r="N86" s="378"/>
      <c r="O86" s="378"/>
      <c r="P86" s="378"/>
      <c r="Q86" s="378"/>
    </row>
    <row r="87" spans="1:20" x14ac:dyDescent="0.25">
      <c r="A87" s="718"/>
      <c r="B87" s="378"/>
      <c r="C87" s="378"/>
      <c r="D87" s="378"/>
      <c r="E87" s="378"/>
      <c r="F87" s="378"/>
      <c r="G87" s="378"/>
      <c r="H87" s="378"/>
      <c r="I87" s="378"/>
      <c r="J87" s="378"/>
      <c r="K87" s="378"/>
      <c r="L87" s="378"/>
      <c r="M87" s="378"/>
      <c r="N87" s="378"/>
      <c r="O87" s="378"/>
      <c r="P87" s="378"/>
      <c r="Q87" s="378"/>
    </row>
    <row r="88" spans="1:20" x14ac:dyDescent="0.25">
      <c r="A88" s="718"/>
      <c r="B88" s="378"/>
      <c r="C88" s="378"/>
      <c r="D88" s="378"/>
      <c r="E88" s="378"/>
      <c r="F88" s="378"/>
      <c r="G88" s="378"/>
      <c r="H88" s="378"/>
      <c r="I88" s="378"/>
      <c r="J88" s="378"/>
      <c r="K88" s="378"/>
      <c r="L88" s="378"/>
      <c r="M88" s="378"/>
      <c r="N88" s="378"/>
      <c r="O88" s="378"/>
      <c r="P88" s="378"/>
      <c r="Q88" s="378"/>
    </row>
    <row r="89" spans="1:20" x14ac:dyDescent="0.25">
      <c r="A89" s="718"/>
      <c r="B89" s="378"/>
      <c r="C89" s="378"/>
      <c r="D89" s="378"/>
      <c r="E89" s="378"/>
      <c r="F89" s="378"/>
      <c r="G89" s="378"/>
      <c r="H89" s="378"/>
      <c r="I89" s="378"/>
      <c r="J89" s="378"/>
      <c r="K89" s="378"/>
      <c r="L89" s="378"/>
      <c r="M89" s="378"/>
      <c r="N89" s="378"/>
      <c r="O89" s="378"/>
      <c r="P89" s="378"/>
      <c r="Q89" s="378"/>
    </row>
    <row r="90" spans="1:20" x14ac:dyDescent="0.25">
      <c r="A90" s="718"/>
      <c r="B90" s="718"/>
      <c r="C90" s="718"/>
      <c r="D90" s="718"/>
      <c r="E90" s="718"/>
      <c r="F90" s="718"/>
      <c r="G90" s="718"/>
      <c r="H90" s="718"/>
      <c r="I90" s="718"/>
      <c r="J90" s="718"/>
      <c r="K90" s="718"/>
      <c r="L90" s="718"/>
      <c r="M90" s="718"/>
      <c r="N90" s="378"/>
      <c r="O90" s="378"/>
      <c r="P90" s="378"/>
      <c r="Q90" s="378"/>
    </row>
    <row r="91" spans="1:20" x14ac:dyDescent="0.25">
      <c r="A91" s="718"/>
      <c r="B91" s="718"/>
      <c r="C91" s="718"/>
      <c r="D91" s="718"/>
      <c r="E91" s="718"/>
      <c r="F91" s="718"/>
      <c r="G91" s="718"/>
      <c r="H91" s="718"/>
      <c r="I91" s="718"/>
      <c r="J91" s="718"/>
      <c r="K91" s="718"/>
      <c r="L91" s="718"/>
      <c r="M91" s="718"/>
      <c r="N91" s="378"/>
      <c r="O91" s="378"/>
      <c r="P91" s="378"/>
      <c r="Q91" s="378"/>
    </row>
    <row r="92" spans="1:20" x14ac:dyDescent="0.25">
      <c r="A92" s="718"/>
      <c r="B92" s="718"/>
      <c r="C92" s="718"/>
      <c r="D92" s="718"/>
      <c r="E92" s="718"/>
      <c r="F92" s="718"/>
      <c r="G92" s="718"/>
      <c r="H92" s="718"/>
      <c r="I92" s="718"/>
      <c r="J92" s="718"/>
      <c r="K92" s="718"/>
      <c r="L92" s="718"/>
      <c r="M92" s="718"/>
      <c r="N92" s="378"/>
      <c r="O92" s="378"/>
      <c r="P92" s="378"/>
      <c r="Q92" s="378"/>
    </row>
    <row r="93" spans="1:20" hidden="1" x14ac:dyDescent="0.25">
      <c r="A93" s="718" t="s">
        <v>788</v>
      </c>
      <c r="B93" s="718"/>
      <c r="C93" s="718"/>
      <c r="D93" s="718"/>
      <c r="E93" s="718"/>
      <c r="F93" s="718"/>
      <c r="G93" s="718"/>
      <c r="H93" s="718"/>
      <c r="I93" s="718"/>
      <c r="J93" s="718"/>
      <c r="K93" s="718"/>
      <c r="L93" s="718"/>
      <c r="M93" s="718"/>
      <c r="N93" s="378"/>
      <c r="O93" s="378"/>
      <c r="P93" s="378"/>
      <c r="Q93" s="378"/>
    </row>
    <row r="94" spans="1:20" hidden="1" x14ac:dyDescent="0.25">
      <c r="A94" s="718" t="s">
        <v>790</v>
      </c>
      <c r="B94" s="718"/>
      <c r="C94" s="718"/>
      <c r="D94" s="718"/>
      <c r="E94" s="718"/>
      <c r="F94" s="718"/>
      <c r="G94" s="718"/>
      <c r="H94" s="718"/>
      <c r="I94" s="718"/>
      <c r="J94" s="718"/>
      <c r="K94" s="718"/>
      <c r="L94" s="718"/>
      <c r="M94" s="718"/>
      <c r="N94" s="378"/>
      <c r="O94" s="378"/>
      <c r="P94" s="378"/>
      <c r="Q94" s="378"/>
    </row>
    <row r="95" spans="1:20" hidden="1" x14ac:dyDescent="0.25">
      <c r="A95" s="718"/>
      <c r="B95" s="718"/>
      <c r="C95" s="718"/>
      <c r="D95" s="718"/>
      <c r="E95" s="718"/>
      <c r="F95" s="718"/>
      <c r="G95" s="718"/>
      <c r="H95" s="718"/>
      <c r="I95" s="718"/>
      <c r="J95" s="718"/>
      <c r="K95" s="718"/>
      <c r="L95" s="718"/>
      <c r="M95" s="718"/>
      <c r="N95" s="378"/>
      <c r="O95" s="378"/>
      <c r="P95" s="378"/>
      <c r="Q95" s="378"/>
    </row>
    <row r="96" spans="1:20" hidden="1" x14ac:dyDescent="0.25">
      <c r="A96" s="718" t="s">
        <v>783</v>
      </c>
      <c r="B96" s="718"/>
      <c r="C96" s="718"/>
      <c r="D96" s="718"/>
      <c r="E96" s="718"/>
      <c r="F96" s="718"/>
      <c r="G96" s="718"/>
      <c r="H96" s="718"/>
      <c r="I96" s="718"/>
      <c r="J96" s="718"/>
      <c r="K96" s="718"/>
      <c r="L96" s="718"/>
      <c r="M96" s="718"/>
      <c r="N96" s="378"/>
      <c r="O96" s="378"/>
      <c r="P96" s="378"/>
      <c r="Q96" s="378"/>
    </row>
    <row r="97" spans="1:17" hidden="1" x14ac:dyDescent="0.25">
      <c r="A97" s="718" t="s">
        <v>784</v>
      </c>
      <c r="B97" s="718"/>
      <c r="C97" s="718"/>
      <c r="D97" s="718"/>
      <c r="E97" s="718"/>
      <c r="F97" s="718"/>
      <c r="G97" s="718"/>
      <c r="H97" s="718"/>
      <c r="I97" s="718"/>
      <c r="J97" s="718"/>
      <c r="K97" s="718"/>
      <c r="L97" s="718"/>
      <c r="M97" s="718"/>
      <c r="N97" s="378"/>
      <c r="O97" s="378"/>
      <c r="P97" s="378"/>
      <c r="Q97" s="378"/>
    </row>
    <row r="98" spans="1:17" hidden="1" x14ac:dyDescent="0.25">
      <c r="A98" s="718" t="s">
        <v>253</v>
      </c>
      <c r="B98" s="718"/>
      <c r="C98" s="718"/>
      <c r="D98" s="718"/>
      <c r="E98" s="718"/>
      <c r="F98" s="718"/>
      <c r="G98" s="718"/>
      <c r="H98" s="718"/>
      <c r="I98" s="718"/>
      <c r="J98" s="718"/>
      <c r="K98" s="718"/>
      <c r="L98" s="718"/>
      <c r="M98" s="718"/>
      <c r="N98" s="378"/>
      <c r="O98" s="378"/>
      <c r="P98" s="378"/>
      <c r="Q98" s="378"/>
    </row>
    <row r="99" spans="1:17" hidden="1" x14ac:dyDescent="0.25">
      <c r="A99" s="718"/>
      <c r="B99" s="718"/>
      <c r="C99" s="718"/>
      <c r="D99" s="718"/>
      <c r="E99" s="718"/>
      <c r="F99" s="718"/>
      <c r="G99" s="718"/>
      <c r="H99" s="718"/>
      <c r="I99" s="718"/>
      <c r="J99" s="718"/>
      <c r="K99" s="718"/>
      <c r="L99" s="718"/>
      <c r="M99" s="718"/>
      <c r="N99" s="378"/>
      <c r="O99" s="378"/>
      <c r="P99" s="378"/>
      <c r="Q99" s="378"/>
    </row>
    <row r="100" spans="1:17" x14ac:dyDescent="0.25">
      <c r="A100" s="718"/>
      <c r="B100" s="718"/>
      <c r="C100" s="718"/>
      <c r="D100" s="718"/>
      <c r="E100" s="718"/>
      <c r="F100" s="718"/>
      <c r="G100" s="718"/>
      <c r="H100" s="718"/>
      <c r="I100" s="718"/>
      <c r="J100" s="718"/>
      <c r="K100" s="718"/>
      <c r="L100" s="718"/>
      <c r="M100" s="718"/>
      <c r="N100" s="378"/>
      <c r="O100" s="378"/>
      <c r="P100" s="378"/>
      <c r="Q100" s="378"/>
    </row>
    <row r="101" spans="1:17" x14ac:dyDescent="0.25">
      <c r="A101" s="718"/>
      <c r="B101" s="718"/>
      <c r="C101" s="718"/>
      <c r="D101" s="718"/>
      <c r="E101" s="718"/>
      <c r="F101" s="718"/>
      <c r="G101" s="718"/>
      <c r="H101" s="718"/>
      <c r="I101" s="718"/>
      <c r="J101" s="718"/>
      <c r="K101" s="718"/>
      <c r="L101" s="718"/>
      <c r="M101" s="718"/>
      <c r="N101" s="378"/>
      <c r="O101" s="378"/>
      <c r="P101" s="378"/>
      <c r="Q101" s="378"/>
    </row>
    <row r="102" spans="1:17" x14ac:dyDescent="0.25">
      <c r="A102" s="718"/>
      <c r="B102" s="718"/>
      <c r="C102" s="718"/>
      <c r="D102" s="718"/>
      <c r="E102" s="718"/>
      <c r="F102" s="718"/>
      <c r="G102" s="718"/>
      <c r="H102" s="718"/>
      <c r="I102" s="718"/>
      <c r="J102" s="718"/>
      <c r="K102" s="718"/>
      <c r="L102" s="718"/>
      <c r="M102" s="718"/>
      <c r="N102" s="378"/>
      <c r="O102" s="378"/>
      <c r="P102" s="378"/>
      <c r="Q102" s="378"/>
    </row>
    <row r="103" spans="1:17" x14ac:dyDescent="0.25">
      <c r="A103" s="718"/>
      <c r="B103" s="718"/>
      <c r="C103" s="718"/>
      <c r="D103" s="718"/>
      <c r="E103" s="718"/>
      <c r="F103" s="718"/>
      <c r="G103" s="718"/>
      <c r="H103" s="718"/>
      <c r="I103" s="718"/>
      <c r="J103" s="718"/>
      <c r="K103" s="718"/>
      <c r="L103" s="718"/>
      <c r="M103" s="718"/>
      <c r="N103" s="378"/>
      <c r="O103" s="378"/>
      <c r="P103" s="378"/>
      <c r="Q103" s="378"/>
    </row>
    <row r="104" spans="1:17" x14ac:dyDescent="0.25">
      <c r="A104" s="718"/>
      <c r="B104" s="718"/>
      <c r="C104" s="718"/>
      <c r="D104" s="718"/>
      <c r="E104" s="718"/>
      <c r="F104" s="718"/>
      <c r="G104" s="718"/>
      <c r="H104" s="718"/>
      <c r="I104" s="718"/>
      <c r="J104" s="718"/>
      <c r="K104" s="718"/>
      <c r="L104" s="718"/>
      <c r="M104" s="718"/>
      <c r="N104" s="378"/>
      <c r="O104" s="378"/>
      <c r="P104" s="378"/>
      <c r="Q104" s="378"/>
    </row>
    <row r="105" spans="1:17" x14ac:dyDescent="0.25">
      <c r="A105" s="718"/>
      <c r="B105" s="718"/>
      <c r="C105" s="718"/>
      <c r="D105" s="718"/>
      <c r="E105" s="718"/>
      <c r="F105" s="718"/>
      <c r="G105" s="718"/>
      <c r="H105" s="718"/>
      <c r="I105" s="718"/>
      <c r="J105" s="718"/>
      <c r="K105" s="718"/>
      <c r="L105" s="718"/>
      <c r="M105" s="718"/>
      <c r="N105" s="378"/>
      <c r="O105" s="378"/>
      <c r="P105" s="378"/>
      <c r="Q105" s="378"/>
    </row>
    <row r="106" spans="1:17" x14ac:dyDescent="0.25">
      <c r="A106" s="718"/>
      <c r="B106" s="718"/>
      <c r="C106" s="718"/>
      <c r="D106" s="718"/>
      <c r="E106" s="718"/>
      <c r="F106" s="718"/>
      <c r="G106" s="718"/>
      <c r="H106" s="718"/>
      <c r="I106" s="718"/>
      <c r="J106" s="718"/>
      <c r="K106" s="718"/>
      <c r="L106" s="718"/>
      <c r="M106" s="718"/>
      <c r="N106" s="378"/>
      <c r="O106" s="378"/>
      <c r="P106" s="378"/>
      <c r="Q106" s="378"/>
    </row>
    <row r="107" spans="1:17" x14ac:dyDescent="0.25">
      <c r="A107" s="718"/>
      <c r="B107" s="718"/>
      <c r="C107" s="718"/>
      <c r="D107" s="718"/>
      <c r="E107" s="718"/>
      <c r="F107" s="718"/>
      <c r="G107" s="718"/>
      <c r="H107" s="718"/>
      <c r="I107" s="718"/>
      <c r="J107" s="718"/>
      <c r="K107" s="718"/>
      <c r="L107" s="718"/>
      <c r="M107" s="718"/>
      <c r="N107" s="378"/>
      <c r="O107" s="378"/>
      <c r="P107" s="378"/>
      <c r="Q107" s="378"/>
    </row>
    <row r="108" spans="1:17" x14ac:dyDescent="0.25">
      <c r="A108" s="718"/>
      <c r="B108" s="718"/>
      <c r="C108" s="718"/>
      <c r="D108" s="718"/>
      <c r="E108" s="718"/>
      <c r="F108" s="718"/>
      <c r="G108" s="718"/>
      <c r="H108" s="718"/>
      <c r="I108" s="718"/>
      <c r="J108" s="718"/>
      <c r="K108" s="718"/>
      <c r="L108" s="718"/>
      <c r="M108" s="718"/>
      <c r="N108" s="378"/>
      <c r="O108" s="378"/>
      <c r="P108" s="378"/>
      <c r="Q108" s="378"/>
    </row>
    <row r="109" spans="1:17" x14ac:dyDescent="0.25">
      <c r="A109" s="718"/>
      <c r="B109" s="718"/>
      <c r="C109" s="718"/>
      <c r="D109" s="718"/>
      <c r="E109" s="718"/>
      <c r="F109" s="718"/>
      <c r="G109" s="718"/>
      <c r="H109" s="718"/>
      <c r="I109" s="718"/>
      <c r="J109" s="718"/>
      <c r="K109" s="718"/>
      <c r="L109" s="718"/>
      <c r="M109" s="718"/>
      <c r="N109" s="378"/>
      <c r="O109" s="378"/>
      <c r="P109" s="378"/>
      <c r="Q109" s="378"/>
    </row>
    <row r="110" spans="1:17" x14ac:dyDescent="0.25">
      <c r="A110" s="718"/>
      <c r="B110" s="718"/>
      <c r="C110" s="718"/>
      <c r="D110" s="718"/>
      <c r="E110" s="718"/>
      <c r="F110" s="718"/>
      <c r="G110" s="718"/>
      <c r="H110" s="718"/>
      <c r="I110" s="718"/>
      <c r="J110" s="718"/>
      <c r="K110" s="718"/>
      <c r="L110" s="718"/>
      <c r="M110" s="718"/>
      <c r="N110" s="378"/>
      <c r="O110" s="378"/>
      <c r="P110" s="378"/>
      <c r="Q110" s="378"/>
    </row>
    <row r="111" spans="1:17" x14ac:dyDescent="0.25">
      <c r="A111" s="718"/>
      <c r="B111" s="718"/>
      <c r="C111" s="718"/>
      <c r="D111" s="718"/>
      <c r="E111" s="718"/>
      <c r="F111" s="718"/>
      <c r="G111" s="718"/>
      <c r="H111" s="718"/>
      <c r="I111" s="718"/>
      <c r="J111" s="718"/>
      <c r="K111" s="718"/>
      <c r="L111" s="718"/>
      <c r="M111" s="718"/>
      <c r="N111" s="378"/>
      <c r="O111" s="378"/>
      <c r="P111" s="378"/>
      <c r="Q111" s="378"/>
    </row>
    <row r="112" spans="1:17" x14ac:dyDescent="0.25">
      <c r="A112" s="718"/>
      <c r="B112" s="718"/>
      <c r="C112" s="718"/>
      <c r="D112" s="718"/>
      <c r="E112" s="718"/>
      <c r="F112" s="718"/>
      <c r="G112" s="718"/>
      <c r="H112" s="718"/>
      <c r="I112" s="718"/>
      <c r="J112" s="718"/>
      <c r="K112" s="718"/>
      <c r="L112" s="718"/>
      <c r="M112" s="718"/>
      <c r="N112" s="378"/>
      <c r="O112" s="378"/>
      <c r="P112" s="378"/>
      <c r="Q112" s="378"/>
    </row>
    <row r="113" spans="1:17" x14ac:dyDescent="0.25">
      <c r="A113" s="718"/>
      <c r="B113" s="718"/>
      <c r="C113" s="718"/>
      <c r="D113" s="718"/>
      <c r="E113" s="718"/>
      <c r="F113" s="718"/>
      <c r="G113" s="718"/>
      <c r="H113" s="718"/>
      <c r="I113" s="718"/>
      <c r="J113" s="718"/>
      <c r="K113" s="718"/>
      <c r="L113" s="718"/>
      <c r="M113" s="718"/>
      <c r="N113" s="378"/>
      <c r="O113" s="378"/>
      <c r="P113" s="378"/>
      <c r="Q113" s="378"/>
    </row>
    <row r="114" spans="1:17" x14ac:dyDescent="0.25">
      <c r="A114" s="354"/>
      <c r="B114" s="378"/>
      <c r="C114" s="378"/>
      <c r="D114" s="378"/>
      <c r="E114" s="378"/>
      <c r="F114" s="378"/>
      <c r="G114" s="378"/>
      <c r="H114" s="378"/>
      <c r="I114" s="378"/>
      <c r="J114" s="378"/>
      <c r="K114" s="378"/>
      <c r="L114" s="378"/>
      <c r="M114" s="378"/>
      <c r="N114" s="378"/>
      <c r="O114" s="378"/>
      <c r="P114" s="378"/>
      <c r="Q114" s="378"/>
    </row>
    <row r="115" spans="1:17" x14ac:dyDescent="0.25">
      <c r="A115" s="354"/>
      <c r="B115" s="378"/>
      <c r="C115" s="378"/>
      <c r="D115" s="378"/>
      <c r="E115" s="378"/>
      <c r="F115" s="378"/>
      <c r="G115" s="378"/>
      <c r="H115" s="378"/>
      <c r="I115" s="378"/>
      <c r="J115" s="378"/>
      <c r="K115" s="378"/>
      <c r="L115" s="378"/>
      <c r="M115" s="378"/>
      <c r="N115" s="378"/>
      <c r="O115" s="378"/>
      <c r="P115" s="378"/>
      <c r="Q115" s="378"/>
    </row>
    <row r="116" spans="1:17" x14ac:dyDescent="0.25">
      <c r="A116" s="354"/>
      <c r="B116" s="378"/>
      <c r="C116" s="378"/>
      <c r="D116" s="378"/>
      <c r="E116" s="378"/>
      <c r="F116" s="378"/>
      <c r="G116" s="378"/>
      <c r="H116" s="378"/>
      <c r="I116" s="378"/>
      <c r="J116" s="378"/>
      <c r="K116" s="378"/>
      <c r="L116" s="378"/>
      <c r="M116" s="378"/>
      <c r="N116" s="378"/>
      <c r="O116" s="378"/>
      <c r="P116" s="378"/>
      <c r="Q116" s="378"/>
    </row>
    <row r="117" spans="1:17" x14ac:dyDescent="0.25">
      <c r="A117" s="354"/>
      <c r="B117" s="378"/>
      <c r="C117" s="378"/>
      <c r="D117" s="378"/>
      <c r="E117" s="378"/>
      <c r="F117" s="378"/>
      <c r="G117" s="378"/>
      <c r="H117" s="378"/>
      <c r="I117" s="378"/>
      <c r="J117" s="378"/>
      <c r="K117" s="378"/>
      <c r="L117" s="378"/>
      <c r="M117" s="378"/>
      <c r="N117" s="378"/>
      <c r="O117" s="378"/>
      <c r="P117" s="378"/>
      <c r="Q117" s="378"/>
    </row>
    <row r="118" spans="1:17" x14ac:dyDescent="0.25">
      <c r="A118" s="354"/>
      <c r="B118" s="378"/>
      <c r="C118" s="378"/>
      <c r="D118" s="378"/>
      <c r="E118" s="378"/>
      <c r="F118" s="378"/>
      <c r="G118" s="378"/>
      <c r="H118" s="378"/>
      <c r="I118" s="378"/>
      <c r="J118" s="378"/>
      <c r="K118" s="378"/>
      <c r="L118" s="378"/>
      <c r="M118" s="378"/>
      <c r="N118" s="378"/>
      <c r="O118" s="378"/>
      <c r="P118" s="378"/>
      <c r="Q118" s="378"/>
    </row>
    <row r="119" spans="1:17" x14ac:dyDescent="0.25">
      <c r="A119" s="354"/>
      <c r="B119" s="378"/>
      <c r="C119" s="378"/>
      <c r="D119" s="378"/>
      <c r="E119" s="378"/>
      <c r="F119" s="378"/>
      <c r="G119" s="378"/>
      <c r="H119" s="378"/>
      <c r="I119" s="378"/>
      <c r="J119" s="378"/>
      <c r="K119" s="378"/>
      <c r="L119" s="378"/>
      <c r="M119" s="378"/>
      <c r="N119" s="378"/>
      <c r="O119" s="378"/>
      <c r="P119" s="378"/>
      <c r="Q119" s="378"/>
    </row>
    <row r="120" spans="1:17" x14ac:dyDescent="0.25">
      <c r="A120" s="354"/>
      <c r="B120" s="378"/>
      <c r="C120" s="378"/>
      <c r="D120" s="378"/>
      <c r="E120" s="378"/>
      <c r="F120" s="378"/>
      <c r="G120" s="378"/>
      <c r="H120" s="378"/>
      <c r="I120" s="378"/>
      <c r="J120" s="378"/>
      <c r="K120" s="378"/>
      <c r="L120" s="378"/>
      <c r="M120" s="378"/>
      <c r="N120" s="378"/>
      <c r="O120" s="378"/>
      <c r="P120" s="378"/>
      <c r="Q120" s="378"/>
    </row>
    <row r="121" spans="1:17" x14ac:dyDescent="0.25">
      <c r="A121" s="354"/>
      <c r="B121" s="378"/>
      <c r="C121" s="378"/>
      <c r="D121" s="378"/>
      <c r="E121" s="378"/>
      <c r="F121" s="378"/>
      <c r="G121" s="378"/>
      <c r="H121" s="378"/>
      <c r="I121" s="378"/>
      <c r="J121" s="378"/>
      <c r="K121" s="378"/>
      <c r="L121" s="378"/>
      <c r="M121" s="378"/>
      <c r="N121" s="378"/>
      <c r="O121" s="378"/>
      <c r="P121" s="378"/>
      <c r="Q121" s="378"/>
    </row>
    <row r="122" spans="1:17" x14ac:dyDescent="0.25">
      <c r="A122" s="354"/>
      <c r="B122" s="378"/>
      <c r="C122" s="378"/>
      <c r="D122" s="378"/>
      <c r="E122" s="378"/>
      <c r="F122" s="378"/>
      <c r="G122" s="378"/>
      <c r="H122" s="378"/>
      <c r="I122" s="378"/>
      <c r="J122" s="378"/>
      <c r="K122" s="378"/>
      <c r="L122" s="378"/>
      <c r="M122" s="378"/>
      <c r="N122" s="378"/>
      <c r="O122" s="378"/>
      <c r="P122" s="378"/>
      <c r="Q122" s="378"/>
    </row>
    <row r="123" spans="1:17" x14ac:dyDescent="0.25">
      <c r="A123" s="354"/>
      <c r="B123" s="378"/>
      <c r="C123" s="378"/>
      <c r="D123" s="378"/>
      <c r="E123" s="378"/>
      <c r="F123" s="378"/>
      <c r="G123" s="378"/>
      <c r="H123" s="378"/>
      <c r="I123" s="378"/>
      <c r="J123" s="378"/>
      <c r="K123" s="378"/>
      <c r="L123" s="378"/>
      <c r="M123" s="378"/>
      <c r="N123" s="378"/>
      <c r="O123" s="378"/>
      <c r="P123" s="378"/>
      <c r="Q123" s="378"/>
    </row>
    <row r="124" spans="1:17" x14ac:dyDescent="0.25">
      <c r="A124" s="354"/>
      <c r="B124" s="378"/>
      <c r="C124" s="378"/>
      <c r="D124" s="378"/>
      <c r="E124" s="378"/>
      <c r="F124" s="378"/>
      <c r="G124" s="378"/>
      <c r="H124" s="378"/>
      <c r="I124" s="378"/>
      <c r="J124" s="378"/>
      <c r="K124" s="378"/>
      <c r="L124" s="378"/>
      <c r="M124" s="378"/>
      <c r="N124" s="378"/>
      <c r="O124" s="378"/>
      <c r="P124" s="378"/>
      <c r="Q124" s="378"/>
    </row>
    <row r="125" spans="1:17" x14ac:dyDescent="0.25">
      <c r="A125" s="354"/>
      <c r="B125" s="378"/>
      <c r="C125" s="378"/>
      <c r="D125" s="378"/>
      <c r="E125" s="378"/>
      <c r="F125" s="378"/>
      <c r="G125" s="378"/>
      <c r="H125" s="378"/>
      <c r="I125" s="378"/>
      <c r="J125" s="378"/>
      <c r="K125" s="378"/>
      <c r="L125" s="378"/>
      <c r="M125" s="378"/>
      <c r="N125" s="378"/>
      <c r="O125" s="378"/>
      <c r="P125" s="378"/>
      <c r="Q125" s="378"/>
    </row>
    <row r="126" spans="1:17" x14ac:dyDescent="0.25">
      <c r="A126" s="354"/>
      <c r="B126" s="378"/>
      <c r="C126" s="378"/>
      <c r="D126" s="378"/>
      <c r="E126" s="378"/>
      <c r="F126" s="378"/>
      <c r="G126" s="378"/>
      <c r="H126" s="378"/>
      <c r="I126" s="378"/>
      <c r="J126" s="378"/>
      <c r="K126" s="378"/>
      <c r="L126" s="378"/>
      <c r="M126" s="378"/>
      <c r="N126" s="378"/>
      <c r="O126" s="378"/>
      <c r="P126" s="378"/>
      <c r="Q126" s="378"/>
    </row>
    <row r="127" spans="1:17" x14ac:dyDescent="0.25">
      <c r="A127" s="354"/>
      <c r="B127" s="378"/>
      <c r="C127" s="378"/>
      <c r="D127" s="378"/>
      <c r="E127" s="378"/>
      <c r="F127" s="378"/>
      <c r="G127" s="378"/>
      <c r="H127" s="378"/>
      <c r="I127" s="378"/>
      <c r="J127" s="378"/>
      <c r="K127" s="378"/>
      <c r="L127" s="378"/>
      <c r="M127" s="378"/>
      <c r="N127" s="378"/>
      <c r="O127" s="378"/>
      <c r="P127" s="378"/>
      <c r="Q127" s="378"/>
    </row>
    <row r="128" spans="1:17" x14ac:dyDescent="0.25">
      <c r="A128" s="354"/>
      <c r="B128" s="378"/>
      <c r="C128" s="378"/>
      <c r="D128" s="378"/>
      <c r="E128" s="378"/>
      <c r="F128" s="378"/>
      <c r="G128" s="378"/>
      <c r="H128" s="378"/>
      <c r="I128" s="378"/>
      <c r="J128" s="378"/>
      <c r="K128" s="378"/>
      <c r="L128" s="378"/>
      <c r="M128" s="378"/>
      <c r="N128" s="378"/>
      <c r="O128" s="378"/>
      <c r="P128" s="378"/>
      <c r="Q128" s="378"/>
    </row>
    <row r="129" spans="1:17" x14ac:dyDescent="0.25">
      <c r="A129" s="354"/>
      <c r="B129" s="378"/>
      <c r="C129" s="378"/>
      <c r="D129" s="378"/>
      <c r="E129" s="378"/>
      <c r="F129" s="378"/>
      <c r="G129" s="378"/>
      <c r="H129" s="378"/>
      <c r="I129" s="378"/>
      <c r="J129" s="378"/>
      <c r="K129" s="378"/>
      <c r="L129" s="378"/>
      <c r="M129" s="378"/>
      <c r="N129" s="378"/>
      <c r="O129" s="378"/>
      <c r="P129" s="378"/>
      <c r="Q129" s="378"/>
    </row>
    <row r="130" spans="1:17" x14ac:dyDescent="0.25">
      <c r="A130" s="354"/>
      <c r="B130" s="378"/>
      <c r="C130" s="378"/>
      <c r="D130" s="378"/>
      <c r="E130" s="378"/>
      <c r="F130" s="378"/>
      <c r="G130" s="378"/>
      <c r="H130" s="378"/>
      <c r="I130" s="378"/>
      <c r="J130" s="378"/>
      <c r="K130" s="378"/>
      <c r="L130" s="378"/>
      <c r="M130" s="378"/>
      <c r="N130" s="378"/>
      <c r="O130" s="378"/>
      <c r="P130" s="378"/>
      <c r="Q130" s="378"/>
    </row>
    <row r="131" spans="1:17" x14ac:dyDescent="0.25">
      <c r="A131" s="354"/>
      <c r="B131" s="378"/>
      <c r="C131" s="378"/>
      <c r="D131" s="378"/>
      <c r="E131" s="378"/>
      <c r="F131" s="378"/>
      <c r="G131" s="378"/>
      <c r="H131" s="378"/>
      <c r="I131" s="378"/>
      <c r="J131" s="378"/>
      <c r="K131" s="378"/>
      <c r="L131" s="378"/>
      <c r="M131" s="378"/>
      <c r="N131" s="378"/>
      <c r="O131" s="378"/>
      <c r="P131" s="378"/>
      <c r="Q131" s="378"/>
    </row>
    <row r="132" spans="1:17" x14ac:dyDescent="0.25">
      <c r="A132" s="354"/>
      <c r="B132" s="378"/>
      <c r="C132" s="378"/>
      <c r="D132" s="378"/>
      <c r="E132" s="378"/>
      <c r="F132" s="378"/>
      <c r="G132" s="378"/>
      <c r="H132" s="378"/>
      <c r="I132" s="378"/>
      <c r="J132" s="378"/>
      <c r="K132" s="378"/>
      <c r="L132" s="378"/>
      <c r="M132" s="378"/>
      <c r="N132" s="378"/>
      <c r="O132" s="378"/>
      <c r="P132" s="378"/>
      <c r="Q132" s="378"/>
    </row>
    <row r="133" spans="1:17" x14ac:dyDescent="0.25">
      <c r="A133" s="354"/>
      <c r="B133" s="378"/>
      <c r="C133" s="378"/>
      <c r="D133" s="378"/>
      <c r="E133" s="378"/>
      <c r="F133" s="378"/>
      <c r="G133" s="378"/>
      <c r="H133" s="378"/>
      <c r="I133" s="378"/>
      <c r="J133" s="378"/>
      <c r="K133" s="378"/>
      <c r="L133" s="378"/>
      <c r="M133" s="378"/>
      <c r="N133" s="378"/>
      <c r="O133" s="378"/>
      <c r="P133" s="378"/>
      <c r="Q133" s="378"/>
    </row>
    <row r="134" spans="1:17" x14ac:dyDescent="0.25">
      <c r="A134" s="354"/>
      <c r="B134" s="378"/>
      <c r="C134" s="378"/>
      <c r="D134" s="378"/>
      <c r="E134" s="378"/>
      <c r="F134" s="378"/>
      <c r="G134" s="378"/>
      <c r="H134" s="378"/>
      <c r="I134" s="378"/>
      <c r="J134" s="378"/>
      <c r="K134" s="378"/>
      <c r="L134" s="378"/>
      <c r="M134" s="378"/>
      <c r="N134" s="378"/>
      <c r="O134" s="378"/>
      <c r="P134" s="378"/>
      <c r="Q134" s="378"/>
    </row>
    <row r="135" spans="1:17" x14ac:dyDescent="0.25">
      <c r="A135" s="354"/>
      <c r="B135" s="378"/>
      <c r="C135" s="378"/>
      <c r="D135" s="378"/>
      <c r="E135" s="378"/>
      <c r="F135" s="378"/>
      <c r="G135" s="378"/>
      <c r="H135" s="378"/>
      <c r="I135" s="378"/>
      <c r="J135" s="378"/>
      <c r="K135" s="378"/>
      <c r="L135" s="378"/>
      <c r="M135" s="378"/>
      <c r="N135" s="378"/>
      <c r="O135" s="378"/>
      <c r="P135" s="378"/>
      <c r="Q135" s="378"/>
    </row>
    <row r="136" spans="1:17" x14ac:dyDescent="0.25">
      <c r="A136" s="354"/>
      <c r="B136" s="378"/>
      <c r="C136" s="378"/>
      <c r="D136" s="378"/>
      <c r="E136" s="378"/>
      <c r="F136" s="378"/>
      <c r="G136" s="378"/>
      <c r="H136" s="378"/>
      <c r="I136" s="378"/>
      <c r="J136" s="378"/>
      <c r="K136" s="378"/>
      <c r="L136" s="378"/>
      <c r="M136" s="378"/>
      <c r="N136" s="378"/>
      <c r="O136" s="378"/>
      <c r="P136" s="378"/>
      <c r="Q136" s="378"/>
    </row>
    <row r="137" spans="1:17" x14ac:dyDescent="0.25">
      <c r="A137" s="354"/>
      <c r="B137" s="378"/>
      <c r="C137" s="378"/>
      <c r="D137" s="378"/>
      <c r="E137" s="378"/>
      <c r="F137" s="378"/>
      <c r="G137" s="378"/>
      <c r="H137" s="378"/>
      <c r="I137" s="378"/>
      <c r="J137" s="378"/>
      <c r="K137" s="378"/>
      <c r="L137" s="378"/>
      <c r="M137" s="378"/>
      <c r="N137" s="378"/>
      <c r="O137" s="378"/>
      <c r="P137" s="378"/>
      <c r="Q137" s="378"/>
    </row>
    <row r="138" spans="1:17" x14ac:dyDescent="0.25">
      <c r="A138" s="354"/>
      <c r="B138" s="378"/>
      <c r="C138" s="378"/>
      <c r="D138" s="378"/>
      <c r="E138" s="378"/>
      <c r="F138" s="378"/>
      <c r="G138" s="378"/>
      <c r="H138" s="378"/>
      <c r="I138" s="378"/>
      <c r="J138" s="378"/>
      <c r="K138" s="378"/>
      <c r="L138" s="378"/>
      <c r="M138" s="378"/>
      <c r="N138" s="378"/>
      <c r="O138" s="378"/>
      <c r="P138" s="378"/>
      <c r="Q138" s="378"/>
    </row>
    <row r="139" spans="1:17" x14ac:dyDescent="0.25">
      <c r="A139" s="354"/>
      <c r="B139" s="378"/>
      <c r="C139" s="378"/>
      <c r="D139" s="378"/>
      <c r="E139" s="378"/>
      <c r="F139" s="378"/>
      <c r="G139" s="378"/>
      <c r="H139" s="378"/>
      <c r="I139" s="378"/>
      <c r="J139" s="378"/>
      <c r="K139" s="378"/>
      <c r="L139" s="378"/>
      <c r="M139" s="378"/>
      <c r="N139" s="378"/>
      <c r="O139" s="378"/>
      <c r="P139" s="378"/>
      <c r="Q139" s="378"/>
    </row>
    <row r="140" spans="1:17" x14ac:dyDescent="0.25">
      <c r="A140" s="354"/>
      <c r="B140" s="378"/>
      <c r="C140" s="378"/>
      <c r="D140" s="378"/>
      <c r="E140" s="378"/>
      <c r="F140" s="378"/>
      <c r="G140" s="378"/>
      <c r="H140" s="378"/>
      <c r="I140" s="378"/>
      <c r="J140" s="378"/>
      <c r="K140" s="378"/>
      <c r="L140" s="378"/>
      <c r="M140" s="378"/>
      <c r="N140" s="378"/>
      <c r="O140" s="378"/>
      <c r="P140" s="378"/>
      <c r="Q140" s="378"/>
    </row>
    <row r="141" spans="1:17" x14ac:dyDescent="0.25">
      <c r="A141" s="354"/>
      <c r="B141" s="378"/>
      <c r="C141" s="378"/>
      <c r="D141" s="378"/>
      <c r="E141" s="378"/>
      <c r="F141" s="378"/>
      <c r="G141" s="378"/>
      <c r="H141" s="378"/>
      <c r="I141" s="378"/>
      <c r="J141" s="378"/>
      <c r="K141" s="378"/>
      <c r="L141" s="378"/>
      <c r="M141" s="378"/>
      <c r="N141" s="378"/>
      <c r="O141" s="378"/>
      <c r="P141" s="378"/>
      <c r="Q141" s="378"/>
    </row>
    <row r="142" spans="1:17" x14ac:dyDescent="0.25">
      <c r="A142" s="354"/>
      <c r="B142" s="378"/>
      <c r="C142" s="378"/>
      <c r="D142" s="378"/>
      <c r="E142" s="378"/>
      <c r="F142" s="378"/>
      <c r="G142" s="378"/>
      <c r="H142" s="378"/>
      <c r="I142" s="378"/>
      <c r="J142" s="378"/>
      <c r="K142" s="378"/>
      <c r="L142" s="378"/>
      <c r="M142" s="378"/>
      <c r="N142" s="378"/>
      <c r="O142" s="378"/>
      <c r="P142" s="378"/>
      <c r="Q142" s="378"/>
    </row>
    <row r="143" spans="1:17" x14ac:dyDescent="0.25">
      <c r="A143" s="354"/>
      <c r="B143" s="378"/>
      <c r="C143" s="378"/>
      <c r="D143" s="378"/>
      <c r="E143" s="378"/>
      <c r="F143" s="378"/>
      <c r="G143" s="378"/>
      <c r="H143" s="378"/>
      <c r="I143" s="378"/>
      <c r="J143" s="378"/>
      <c r="K143" s="378"/>
      <c r="L143" s="378"/>
      <c r="M143" s="378"/>
      <c r="N143" s="378"/>
      <c r="O143" s="378"/>
      <c r="P143" s="378"/>
      <c r="Q143" s="378"/>
    </row>
    <row r="144" spans="1:17" x14ac:dyDescent="0.25">
      <c r="A144" s="354"/>
      <c r="B144" s="378"/>
      <c r="C144" s="378"/>
      <c r="D144" s="378"/>
      <c r="E144" s="378"/>
      <c r="F144" s="378"/>
      <c r="G144" s="378"/>
      <c r="H144" s="378"/>
      <c r="I144" s="378"/>
      <c r="J144" s="378"/>
      <c r="K144" s="378"/>
      <c r="L144" s="378"/>
      <c r="M144" s="378"/>
      <c r="N144" s="378"/>
      <c r="O144" s="378"/>
      <c r="P144" s="378"/>
      <c r="Q144" s="378"/>
    </row>
    <row r="145" spans="1:17" x14ac:dyDescent="0.25">
      <c r="A145" s="354"/>
      <c r="B145" s="378"/>
      <c r="C145" s="378"/>
      <c r="D145" s="378"/>
      <c r="E145" s="378"/>
      <c r="F145" s="378"/>
      <c r="G145" s="378"/>
      <c r="H145" s="378"/>
      <c r="I145" s="378"/>
      <c r="J145" s="378"/>
      <c r="K145" s="378"/>
      <c r="L145" s="378"/>
      <c r="M145" s="378"/>
      <c r="N145" s="378"/>
      <c r="O145" s="378"/>
      <c r="P145" s="378"/>
      <c r="Q145" s="378"/>
    </row>
    <row r="146" spans="1:17" x14ac:dyDescent="0.25">
      <c r="A146" s="354"/>
      <c r="B146" s="378"/>
      <c r="C146" s="378"/>
      <c r="D146" s="378"/>
      <c r="E146" s="378"/>
      <c r="F146" s="378"/>
      <c r="G146" s="378"/>
      <c r="H146" s="378"/>
      <c r="I146" s="378"/>
      <c r="J146" s="378"/>
      <c r="K146" s="378"/>
      <c r="L146" s="378"/>
      <c r="M146" s="378"/>
      <c r="N146" s="378"/>
      <c r="O146" s="378"/>
      <c r="P146" s="378"/>
      <c r="Q146" s="378"/>
    </row>
    <row r="147" spans="1:17" x14ac:dyDescent="0.25">
      <c r="A147" s="354"/>
      <c r="B147" s="378"/>
      <c r="C147" s="378"/>
      <c r="D147" s="378"/>
      <c r="E147" s="378"/>
      <c r="F147" s="378"/>
      <c r="G147" s="378"/>
      <c r="H147" s="378"/>
      <c r="I147" s="378"/>
      <c r="J147" s="378"/>
      <c r="K147" s="378"/>
      <c r="L147" s="378"/>
      <c r="M147" s="378"/>
      <c r="N147" s="378"/>
      <c r="O147" s="378"/>
      <c r="P147" s="378"/>
      <c r="Q147" s="378"/>
    </row>
    <row r="148" spans="1:17" x14ac:dyDescent="0.25">
      <c r="A148" s="354"/>
      <c r="B148" s="378"/>
      <c r="C148" s="378"/>
      <c r="D148" s="378"/>
      <c r="E148" s="378"/>
      <c r="F148" s="378"/>
      <c r="G148" s="378"/>
      <c r="H148" s="378"/>
      <c r="I148" s="378"/>
      <c r="J148" s="378"/>
      <c r="K148" s="378"/>
      <c r="L148" s="378"/>
      <c r="M148" s="378"/>
      <c r="N148" s="378"/>
      <c r="O148" s="378"/>
      <c r="P148" s="378"/>
      <c r="Q148" s="378"/>
    </row>
    <row r="149" spans="1:17" x14ac:dyDescent="0.25">
      <c r="A149" s="354"/>
      <c r="B149" s="378"/>
      <c r="C149" s="378"/>
      <c r="D149" s="378"/>
      <c r="E149" s="378"/>
      <c r="F149" s="378"/>
      <c r="G149" s="378"/>
      <c r="H149" s="378"/>
      <c r="I149" s="378"/>
      <c r="J149" s="378"/>
      <c r="K149" s="378"/>
      <c r="L149" s="378"/>
      <c r="M149" s="378"/>
      <c r="N149" s="378"/>
      <c r="O149" s="378"/>
      <c r="P149" s="378"/>
      <c r="Q149" s="378"/>
    </row>
    <row r="150" spans="1:17" x14ac:dyDescent="0.25">
      <c r="A150" s="354"/>
      <c r="B150" s="378"/>
      <c r="C150" s="378"/>
      <c r="D150" s="378"/>
      <c r="E150" s="378"/>
      <c r="F150" s="378"/>
      <c r="G150" s="378"/>
      <c r="H150" s="378"/>
      <c r="I150" s="378"/>
      <c r="J150" s="378"/>
      <c r="K150" s="378"/>
      <c r="L150" s="378"/>
      <c r="M150" s="378"/>
      <c r="N150" s="378"/>
      <c r="O150" s="378"/>
      <c r="P150" s="378"/>
      <c r="Q150" s="378"/>
    </row>
    <row r="151" spans="1:17" x14ac:dyDescent="0.25">
      <c r="A151" s="354"/>
      <c r="B151" s="378"/>
      <c r="C151" s="378"/>
      <c r="D151" s="378"/>
      <c r="E151" s="378"/>
      <c r="F151" s="378"/>
      <c r="G151" s="378"/>
      <c r="H151" s="378"/>
      <c r="I151" s="378"/>
      <c r="J151" s="378"/>
      <c r="K151" s="378"/>
      <c r="L151" s="378"/>
      <c r="M151" s="378"/>
      <c r="N151" s="378"/>
      <c r="O151" s="378"/>
      <c r="P151" s="378"/>
      <c r="Q151" s="378"/>
    </row>
    <row r="152" spans="1:17" x14ac:dyDescent="0.25">
      <c r="A152" s="354"/>
      <c r="B152" s="378"/>
      <c r="C152" s="378"/>
      <c r="D152" s="378"/>
      <c r="E152" s="378"/>
      <c r="F152" s="378"/>
      <c r="G152" s="378"/>
      <c r="H152" s="378"/>
      <c r="I152" s="378"/>
      <c r="J152" s="378"/>
      <c r="K152" s="378"/>
      <c r="L152" s="378"/>
      <c r="M152" s="378"/>
      <c r="N152" s="378"/>
      <c r="O152" s="378"/>
      <c r="P152" s="378"/>
      <c r="Q152" s="378"/>
    </row>
    <row r="153" spans="1:17" x14ac:dyDescent="0.25">
      <c r="A153" s="354"/>
      <c r="B153" s="378"/>
      <c r="C153" s="378"/>
      <c r="D153" s="378"/>
      <c r="E153" s="378"/>
      <c r="F153" s="378"/>
      <c r="G153" s="378"/>
      <c r="H153" s="378"/>
      <c r="I153" s="378"/>
      <c r="J153" s="378"/>
      <c r="K153" s="378"/>
      <c r="L153" s="378"/>
      <c r="M153" s="378"/>
      <c r="N153" s="378"/>
      <c r="O153" s="378"/>
      <c r="P153" s="378"/>
      <c r="Q153" s="378"/>
    </row>
    <row r="154" spans="1:17" x14ac:dyDescent="0.25">
      <c r="A154" s="1025"/>
    </row>
    <row r="155" spans="1:17" x14ac:dyDescent="0.25">
      <c r="A155" s="1025"/>
    </row>
    <row r="156" spans="1:17" x14ac:dyDescent="0.25">
      <c r="A156" s="1025"/>
    </row>
    <row r="157" spans="1:17" x14ac:dyDescent="0.25">
      <c r="A157" s="1025"/>
    </row>
    <row r="158" spans="1:17" x14ac:dyDescent="0.25">
      <c r="A158" s="1025"/>
    </row>
    <row r="159" spans="1:17" x14ac:dyDescent="0.25">
      <c r="A159" s="1025"/>
    </row>
    <row r="160" spans="1:17" x14ac:dyDescent="0.25">
      <c r="A160" s="1025"/>
    </row>
    <row r="161" spans="1:1" x14ac:dyDescent="0.25">
      <c r="A161" s="1025"/>
    </row>
    <row r="162" spans="1:1" x14ac:dyDescent="0.25">
      <c r="A162" s="1025"/>
    </row>
    <row r="163" spans="1:1" x14ac:dyDescent="0.25">
      <c r="A163" s="1025"/>
    </row>
    <row r="164" spans="1:1" x14ac:dyDescent="0.25">
      <c r="A164" s="1025"/>
    </row>
    <row r="165" spans="1:1" x14ac:dyDescent="0.25">
      <c r="A165" s="1025"/>
    </row>
    <row r="166" spans="1:1" x14ac:dyDescent="0.25">
      <c r="A166" s="1025"/>
    </row>
    <row r="167" spans="1:1" x14ac:dyDescent="0.25">
      <c r="A167" s="1025"/>
    </row>
    <row r="168" spans="1:1" x14ac:dyDescent="0.25">
      <c r="A168" s="1025"/>
    </row>
    <row r="169" spans="1:1" x14ac:dyDescent="0.25">
      <c r="A169" s="1025"/>
    </row>
    <row r="170" spans="1:1" x14ac:dyDescent="0.25">
      <c r="A170" s="1025"/>
    </row>
    <row r="171" spans="1:1" x14ac:dyDescent="0.25">
      <c r="A171" s="1025"/>
    </row>
    <row r="172" spans="1:1" x14ac:dyDescent="0.25">
      <c r="A172" s="1025"/>
    </row>
    <row r="173" spans="1:1" x14ac:dyDescent="0.25">
      <c r="A173" s="1025"/>
    </row>
    <row r="174" spans="1:1" x14ac:dyDescent="0.25">
      <c r="A174" s="1025"/>
    </row>
    <row r="175" spans="1:1" x14ac:dyDescent="0.25">
      <c r="A175" s="1025"/>
    </row>
    <row r="176" spans="1:1" x14ac:dyDescent="0.25">
      <c r="A176" s="1025"/>
    </row>
    <row r="177" spans="1:1" x14ac:dyDescent="0.25">
      <c r="A177" s="1025"/>
    </row>
    <row r="178" spans="1:1" x14ac:dyDescent="0.25">
      <c r="A178" s="1025"/>
    </row>
    <row r="179" spans="1:1" x14ac:dyDescent="0.25">
      <c r="A179" s="1025"/>
    </row>
    <row r="180" spans="1:1" x14ac:dyDescent="0.25">
      <c r="A180" s="1025"/>
    </row>
    <row r="181" spans="1:1" x14ac:dyDescent="0.25">
      <c r="A181" s="1025"/>
    </row>
    <row r="182" spans="1:1" x14ac:dyDescent="0.25">
      <c r="A182" s="1025"/>
    </row>
    <row r="183" spans="1:1" x14ac:dyDescent="0.25">
      <c r="A183" s="1025"/>
    </row>
    <row r="184" spans="1:1" x14ac:dyDescent="0.25">
      <c r="A184" s="1025"/>
    </row>
    <row r="185" spans="1:1" x14ac:dyDescent="0.25">
      <c r="A185" s="1025"/>
    </row>
    <row r="186" spans="1:1" x14ac:dyDescent="0.25">
      <c r="A186" s="1025"/>
    </row>
    <row r="187" spans="1:1" x14ac:dyDescent="0.25">
      <c r="A187" s="1025"/>
    </row>
    <row r="188" spans="1:1" x14ac:dyDescent="0.25">
      <c r="A188" s="1025"/>
    </row>
    <row r="189" spans="1:1" x14ac:dyDescent="0.25">
      <c r="A189" s="1025"/>
    </row>
    <row r="190" spans="1:1" x14ac:dyDescent="0.25">
      <c r="A190" s="1025"/>
    </row>
    <row r="191" spans="1:1" x14ac:dyDescent="0.25">
      <c r="A191" s="1025"/>
    </row>
    <row r="192" spans="1:1" x14ac:dyDescent="0.25">
      <c r="A192" s="1025"/>
    </row>
    <row r="193" spans="1:1" x14ac:dyDescent="0.25">
      <c r="A193" s="1025"/>
    </row>
    <row r="194" spans="1:1" x14ac:dyDescent="0.25">
      <c r="A194" s="1025"/>
    </row>
    <row r="195" spans="1:1" x14ac:dyDescent="0.25">
      <c r="A195" s="1025"/>
    </row>
    <row r="196" spans="1:1" x14ac:dyDescent="0.25">
      <c r="A196" s="1025"/>
    </row>
    <row r="197" spans="1:1" x14ac:dyDescent="0.25">
      <c r="A197" s="1025"/>
    </row>
    <row r="198" spans="1:1" x14ac:dyDescent="0.25">
      <c r="A198" s="1025"/>
    </row>
    <row r="199" spans="1:1" x14ac:dyDescent="0.25">
      <c r="A199" s="1025"/>
    </row>
    <row r="200" spans="1:1" x14ac:dyDescent="0.25">
      <c r="A200" s="1025"/>
    </row>
    <row r="201" spans="1:1" x14ac:dyDescent="0.25">
      <c r="A201" s="1025"/>
    </row>
    <row r="202" spans="1:1" x14ac:dyDescent="0.25">
      <c r="A202" s="1025"/>
    </row>
    <row r="203" spans="1:1" x14ac:dyDescent="0.25">
      <c r="A203" s="1025"/>
    </row>
    <row r="204" spans="1:1" x14ac:dyDescent="0.25">
      <c r="A204" s="1025"/>
    </row>
    <row r="205" spans="1:1" x14ac:dyDescent="0.25">
      <c r="A205" s="1025"/>
    </row>
    <row r="206" spans="1:1" x14ac:dyDescent="0.25">
      <c r="A206" s="1025"/>
    </row>
    <row r="207" spans="1:1" x14ac:dyDescent="0.25">
      <c r="A207" s="1025"/>
    </row>
    <row r="208" spans="1:1" x14ac:dyDescent="0.25">
      <c r="A208" s="1025"/>
    </row>
    <row r="213" spans="1:1" x14ac:dyDescent="0.25">
      <c r="A213" s="1025"/>
    </row>
    <row r="214" spans="1:1" x14ac:dyDescent="0.25">
      <c r="A214" s="1025"/>
    </row>
    <row r="215" spans="1:1" x14ac:dyDescent="0.25">
      <c r="A215" s="1025"/>
    </row>
    <row r="216" spans="1:1" x14ac:dyDescent="0.25">
      <c r="A216" s="1025"/>
    </row>
    <row r="217" spans="1:1" x14ac:dyDescent="0.25">
      <c r="A217" s="1025"/>
    </row>
    <row r="218" spans="1:1" x14ac:dyDescent="0.25">
      <c r="A218" s="1025"/>
    </row>
    <row r="219" spans="1:1" x14ac:dyDescent="0.25">
      <c r="A219" s="1025"/>
    </row>
    <row r="220" spans="1:1" x14ac:dyDescent="0.25">
      <c r="A220" s="1025"/>
    </row>
    <row r="296" spans="20:22" ht="15.75" thickBot="1" x14ac:dyDescent="0.3"/>
    <row r="297" spans="20:22" x14ac:dyDescent="0.25">
      <c r="T297" s="439" t="str">
        <f t="shared" ref="T297:T306" si="8">B36</f>
        <v>Management</v>
      </c>
      <c r="U297" s="440"/>
      <c r="V297" s="441">
        <f t="shared" ref="V297:V306" si="9">J36</f>
        <v>0.13</v>
      </c>
    </row>
    <row r="298" spans="20:22" x14ac:dyDescent="0.25">
      <c r="T298" s="442" t="str">
        <f t="shared" si="8"/>
        <v>Health &amp; Wellbeing</v>
      </c>
      <c r="U298" s="443"/>
      <c r="V298" s="444">
        <f t="shared" si="9"/>
        <v>0.16</v>
      </c>
    </row>
    <row r="299" spans="20:22" x14ac:dyDescent="0.25">
      <c r="T299" s="442" t="str">
        <f t="shared" si="8"/>
        <v>Energy</v>
      </c>
      <c r="U299" s="443"/>
      <c r="V299" s="444">
        <f t="shared" si="9"/>
        <v>0.14000000000000001</v>
      </c>
    </row>
    <row r="300" spans="20:22" x14ac:dyDescent="0.25">
      <c r="T300" s="442" t="str">
        <f t="shared" si="8"/>
        <v>Transport</v>
      </c>
      <c r="U300" s="443"/>
      <c r="V300" s="444">
        <f t="shared" si="9"/>
        <v>0.1</v>
      </c>
    </row>
    <row r="301" spans="20:22" x14ac:dyDescent="0.25">
      <c r="T301" s="442" t="str">
        <f t="shared" si="8"/>
        <v>Water</v>
      </c>
      <c r="U301" s="443"/>
      <c r="V301" s="444">
        <f t="shared" si="9"/>
        <v>0.04</v>
      </c>
    </row>
    <row r="302" spans="20:22" x14ac:dyDescent="0.25">
      <c r="T302" s="442" t="str">
        <f t="shared" si="8"/>
        <v>Materials</v>
      </c>
      <c r="U302" s="443"/>
      <c r="V302" s="444">
        <f t="shared" si="9"/>
        <v>0.17</v>
      </c>
    </row>
    <row r="303" spans="20:22" x14ac:dyDescent="0.25">
      <c r="T303" s="442" t="str">
        <f t="shared" si="8"/>
        <v>Waste</v>
      </c>
      <c r="U303" s="443"/>
      <c r="V303" s="444">
        <f t="shared" si="9"/>
        <v>7.0000000000000007E-2</v>
      </c>
    </row>
    <row r="304" spans="20:22" x14ac:dyDescent="0.25">
      <c r="T304" s="442" t="str">
        <f t="shared" si="8"/>
        <v>Land Use &amp; Ecology</v>
      </c>
      <c r="U304" s="443"/>
      <c r="V304" s="444">
        <f t="shared" si="9"/>
        <v>0.15</v>
      </c>
    </row>
    <row r="305" spans="20:22" x14ac:dyDescent="0.25">
      <c r="T305" s="442" t="str">
        <f t="shared" si="8"/>
        <v>Pollution</v>
      </c>
      <c r="U305" s="443"/>
      <c r="V305" s="444">
        <f t="shared" si="9"/>
        <v>0.04</v>
      </c>
    </row>
    <row r="306" spans="20:22" ht="15.75" thickBot="1" x14ac:dyDescent="0.3">
      <c r="T306" s="445" t="str">
        <f t="shared" si="8"/>
        <v>Innovation</v>
      </c>
      <c r="U306" s="446"/>
      <c r="V306" s="447">
        <f t="shared" si="9"/>
        <v>0.1</v>
      </c>
    </row>
  </sheetData>
  <sheetProtection algorithmName="SHA-512" hashValue="VD+VOO9PkPI7LbKvl8IRS/Wj+jtr84dzem83OjNtIb0xS4XQlermse1Q8nwkHhz5XnNI8LR4dTxbrcrjh6wTtw==" saltValue="5AG2h8t1jKfoW6DvqhU+ZQ==" spinCount="100000" sheet="1" objects="1" scenarios="1"/>
  <mergeCells count="23">
    <mergeCell ref="D34:E34"/>
    <mergeCell ref="F34:G34"/>
    <mergeCell ref="H34:I34"/>
    <mergeCell ref="Z10:AN13"/>
    <mergeCell ref="D9:E9"/>
    <mergeCell ref="F9:G9"/>
    <mergeCell ref="H9:I9"/>
    <mergeCell ref="K34:M34"/>
    <mergeCell ref="H8:I8"/>
    <mergeCell ref="H10:I10"/>
    <mergeCell ref="H11:I11"/>
    <mergeCell ref="H13:I13"/>
    <mergeCell ref="D8:E8"/>
    <mergeCell ref="D10:E10"/>
    <mergeCell ref="D11:E11"/>
    <mergeCell ref="D13:E13"/>
    <mergeCell ref="F8:G8"/>
    <mergeCell ref="F10:G10"/>
    <mergeCell ref="F11:G11"/>
    <mergeCell ref="F13:G13"/>
    <mergeCell ref="D12:E12"/>
    <mergeCell ref="F12:G12"/>
    <mergeCell ref="H12:I12"/>
  </mergeCells>
  <conditionalFormatting sqref="D10:E11 D12 D13:E13">
    <cfRule type="expression" dxfId="204" priority="233">
      <formula>$D$9=$AA$37</formula>
    </cfRule>
  </conditionalFormatting>
  <conditionalFormatting sqref="D34:E35 K69:K72 K79:K81">
    <cfRule type="expression" dxfId="203" priority="30">
      <formula>$D$9=AD_no</formula>
    </cfRule>
  </conditionalFormatting>
  <conditionalFormatting sqref="D36:E46">
    <cfRule type="expression" dxfId="202" priority="227">
      <formula>$D$9=AD_no</formula>
    </cfRule>
  </conditionalFormatting>
  <conditionalFormatting sqref="F10:G11 F12 F13:G13">
    <cfRule type="expression" dxfId="201" priority="232">
      <formula>$F$9=$AA$37</formula>
    </cfRule>
  </conditionalFormatting>
  <conditionalFormatting sqref="F34:G35 L69:L72 L79:L81">
    <cfRule type="expression" dxfId="200" priority="29">
      <formula>$F$9=AD_no</formula>
    </cfRule>
  </conditionalFormatting>
  <conditionalFormatting sqref="F36:G46">
    <cfRule type="expression" dxfId="199" priority="226">
      <formula>$F$9=AD_no</formula>
    </cfRule>
  </conditionalFormatting>
  <conditionalFormatting sqref="H10:I11 H12 H13:I13">
    <cfRule type="expression" dxfId="198" priority="231">
      <formula>$H$9=$AA$37</formula>
    </cfRule>
  </conditionalFormatting>
  <conditionalFormatting sqref="H34:I35 M69:M72 M79:M81">
    <cfRule type="expression" dxfId="197" priority="28">
      <formula>$H$9=AD_no</formula>
    </cfRule>
  </conditionalFormatting>
  <conditionalFormatting sqref="H36:I46">
    <cfRule type="expression" dxfId="196" priority="223">
      <formula>$H$9=AD_no</formula>
    </cfRule>
  </conditionalFormatting>
  <conditionalFormatting sqref="J52:K52">
    <cfRule type="expression" dxfId="195" priority="37">
      <formula>$D$9=$AA$37</formula>
    </cfRule>
  </conditionalFormatting>
  <conditionalFormatting sqref="K35">
    <cfRule type="expression" dxfId="194" priority="360">
      <formula>$D$9=$AA$37</formula>
    </cfRule>
  </conditionalFormatting>
  <conditionalFormatting sqref="K36:K49">
    <cfRule type="expression" dxfId="193" priority="221">
      <formula>$D$9=AD_no</formula>
    </cfRule>
  </conditionalFormatting>
  <conditionalFormatting sqref="K54:K56">
    <cfRule type="expression" dxfId="192" priority="21">
      <formula>$D$9=AD_no</formula>
    </cfRule>
  </conditionalFormatting>
  <conditionalFormatting sqref="K54:K81">
    <cfRule type="expression" dxfId="191" priority="230">
      <formula>K54&gt;J54</formula>
    </cfRule>
  </conditionalFormatting>
  <conditionalFormatting sqref="K59">
    <cfRule type="expression" dxfId="190" priority="18">
      <formula>$D$9=AD_no</formula>
    </cfRule>
  </conditionalFormatting>
  <conditionalFormatting sqref="K62:K63">
    <cfRule type="expression" dxfId="189" priority="15">
      <formula>$D$9=AD_no</formula>
    </cfRule>
  </conditionalFormatting>
  <conditionalFormatting sqref="K66">
    <cfRule type="expression" dxfId="188" priority="9">
      <formula>$D$9=AD_no</formula>
    </cfRule>
  </conditionalFormatting>
  <conditionalFormatting sqref="K75:K76">
    <cfRule type="expression" dxfId="187" priority="3">
      <formula>$D$9=AD_no</formula>
    </cfRule>
  </conditionalFormatting>
  <conditionalFormatting sqref="K54:M56 K59:M59 K62:M63 K66:M66 K69:M72 K75:M76 K79:M81">
    <cfRule type="expression" dxfId="186" priority="6889">
      <formula>$J54&lt;&gt;K54</formula>
    </cfRule>
  </conditionalFormatting>
  <conditionalFormatting sqref="L35">
    <cfRule type="expression" dxfId="185" priority="361">
      <formula>$F$9=$AA$37</formula>
    </cfRule>
  </conditionalFormatting>
  <conditionalFormatting sqref="L36:L49">
    <cfRule type="expression" dxfId="184" priority="220">
      <formula>$F$9=AD_no</formula>
    </cfRule>
  </conditionalFormatting>
  <conditionalFormatting sqref="L52">
    <cfRule type="expression" dxfId="183" priority="217">
      <formula>$F$9=$AA$37</formula>
    </cfRule>
  </conditionalFormatting>
  <conditionalFormatting sqref="L54:L56">
    <cfRule type="expression" dxfId="182" priority="20">
      <formula>$F$9=AD_no</formula>
    </cfRule>
  </conditionalFormatting>
  <conditionalFormatting sqref="L54:L81">
    <cfRule type="expression" dxfId="181" priority="229">
      <formula>L54&gt;J54</formula>
    </cfRule>
  </conditionalFormatting>
  <conditionalFormatting sqref="L59">
    <cfRule type="expression" dxfId="180" priority="17">
      <formula>$F$9=AD_no</formula>
    </cfRule>
  </conditionalFormatting>
  <conditionalFormatting sqref="L62:L63">
    <cfRule type="expression" dxfId="179" priority="14">
      <formula>$F$9=AD_no</formula>
    </cfRule>
  </conditionalFormatting>
  <conditionalFormatting sqref="L66">
    <cfRule type="expression" dxfId="178" priority="8">
      <formula>$F$9=AD_no</formula>
    </cfRule>
  </conditionalFormatting>
  <conditionalFormatting sqref="L75:L76">
    <cfRule type="expression" dxfId="177" priority="2">
      <formula>$F$9=AD_no</formula>
    </cfRule>
  </conditionalFormatting>
  <conditionalFormatting sqref="M35">
    <cfRule type="expression" dxfId="176" priority="362">
      <formula>$H$9=$AA$37</formula>
    </cfRule>
  </conditionalFormatting>
  <conditionalFormatting sqref="M36:M49">
    <cfRule type="expression" dxfId="175" priority="219">
      <formula>$H$9=AD_no</formula>
    </cfRule>
  </conditionalFormatting>
  <conditionalFormatting sqref="M52">
    <cfRule type="expression" dxfId="174" priority="218">
      <formula>$H$9=$AA$37</formula>
    </cfRule>
  </conditionalFormatting>
  <conditionalFormatting sqref="M53:M81">
    <cfRule type="expression" dxfId="173" priority="228">
      <formula>M53&gt;J53</formula>
    </cfRule>
  </conditionalFormatting>
  <conditionalFormatting sqref="M54:M56">
    <cfRule type="expression" dxfId="172" priority="19">
      <formula>$H$9=AD_no</formula>
    </cfRule>
  </conditionalFormatting>
  <conditionalFormatting sqref="M59">
    <cfRule type="expression" dxfId="171" priority="16">
      <formula>$H$9=AD_no</formula>
    </cfRule>
  </conditionalFormatting>
  <conditionalFormatting sqref="M62:M63">
    <cfRule type="expression" dxfId="170" priority="13">
      <formula>$H$9=AD_no</formula>
    </cfRule>
  </conditionalFormatting>
  <conditionalFormatting sqref="M66">
    <cfRule type="expression" dxfId="169" priority="7">
      <formula>$H$9=AD_no</formula>
    </cfRule>
  </conditionalFormatting>
  <conditionalFormatting sqref="M75:M76">
    <cfRule type="expression" dxfId="168" priority="1">
      <formula>$H$9=AD_no</formula>
    </cfRule>
  </conditionalFormatting>
  <dataValidations count="1">
    <dataValidation type="list" allowBlank="1" showInputMessage="1" showErrorMessage="1" sqref="D9 H9 F9" xr:uid="{00000000-0002-0000-0500-000000000000}">
      <formula1>$AA$36:$AA$37</formula1>
    </dataValidation>
  </dataValidations>
  <pageMargins left="0.51181102362204722" right="0.51181102362204722" top="0.35433070866141736" bottom="0.35433070866141736" header="0.31496062992125984" footer="0.31496062992125984"/>
  <pageSetup paperSize="9" scale="65" fitToHeight="2" orientation="landscape" verticalDpi="598" r:id="rId1"/>
  <ignoredErrors>
    <ignoredError sqref="J70:M7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382"/>
  <sheetViews>
    <sheetView topLeftCell="C1" zoomScaleNormal="100" zoomScalePageLayoutView="30" workbookViewId="0">
      <pane ySplit="9" topLeftCell="A10" activePane="bottomLeft" state="frozen"/>
      <selection activeCell="H9" sqref="H9:I9"/>
      <selection pane="bottomLeft" activeCell="F19" sqref="F19"/>
    </sheetView>
  </sheetViews>
  <sheetFormatPr baseColWidth="10" defaultColWidth="9.140625" defaultRowHeight="15" x14ac:dyDescent="0.25"/>
  <cols>
    <col min="1" max="1" width="15.7109375" style="1" hidden="1" customWidth="1"/>
    <col min="2" max="2" width="28.5703125" style="1" hidden="1" customWidth="1"/>
    <col min="3" max="3" width="5.7109375" style="1" customWidth="1"/>
    <col min="4" max="4" width="16.7109375" style="1" bestFit="1" customWidth="1"/>
    <col min="5" max="5" width="16.7109375" style="1" customWidth="1"/>
    <col min="6" max="6" width="66.85546875" style="6" customWidth="1"/>
    <col min="7" max="7" width="12.85546875" style="1" bestFit="1" customWidth="1"/>
    <col min="8" max="8" width="15" style="1" customWidth="1"/>
    <col min="9" max="9" width="15.42578125" style="1" bestFit="1" customWidth="1"/>
    <col min="10" max="10" width="22.42578125" style="1" bestFit="1" customWidth="1"/>
    <col min="11" max="11" width="12.85546875" style="1" bestFit="1" customWidth="1"/>
    <col min="12" max="12" width="8.140625" style="1" bestFit="1" customWidth="1"/>
    <col min="13" max="13" width="36.42578125" style="1" customWidth="1"/>
    <col min="14" max="14" width="1.7109375" style="15" customWidth="1"/>
    <col min="15" max="15" width="26.85546875" style="1" customWidth="1"/>
    <col min="16" max="16" width="14.28515625" style="1" bestFit="1" customWidth="1"/>
    <col min="17" max="17" width="21.5703125" style="1" bestFit="1" customWidth="1"/>
    <col min="18" max="18" width="10.7109375" style="1" bestFit="1" customWidth="1"/>
    <col min="19" max="19" width="10.5703125" style="1" bestFit="1" customWidth="1"/>
    <col min="20" max="20" width="20" style="1" bestFit="1" customWidth="1"/>
    <col min="21" max="21" width="3.85546875" style="15" bestFit="1" customWidth="1"/>
    <col min="22" max="22" width="15.42578125" style="1" customWidth="1"/>
    <col min="23" max="23" width="12" style="1" bestFit="1" customWidth="1"/>
    <col min="24" max="24" width="22.42578125" style="1" bestFit="1" customWidth="1"/>
    <col min="25" max="25" width="10.7109375" style="1" bestFit="1" customWidth="1"/>
    <col min="26" max="26" width="10.5703125" style="1" bestFit="1" customWidth="1"/>
    <col min="27" max="27" width="20" style="1" bestFit="1" customWidth="1"/>
    <col min="28" max="28" width="5" style="1" hidden="1" customWidth="1"/>
    <col min="29" max="29" width="16" style="15" hidden="1" customWidth="1"/>
    <col min="30" max="32" width="1.7109375" style="15" hidden="1" customWidth="1"/>
    <col min="33" max="33" width="2.5703125" style="15" hidden="1" customWidth="1"/>
    <col min="34" max="34" width="9.140625" style="1" hidden="1" customWidth="1"/>
    <col min="35" max="35" width="4.28515625" style="1" hidden="1" customWidth="1"/>
    <col min="36" max="37" width="9.140625" style="1" customWidth="1"/>
    <col min="38" max="38" width="11.85546875" style="1" customWidth="1"/>
    <col min="39" max="39" width="2" style="1" customWidth="1"/>
    <col min="40" max="79" width="9.140625" style="1" customWidth="1"/>
    <col min="80" max="16384" width="9.140625" style="1"/>
  </cols>
  <sheetData>
    <row r="1" spans="1:51" ht="48" customHeight="1" x14ac:dyDescent="0.25">
      <c r="A1" s="336"/>
      <c r="B1" s="336"/>
      <c r="C1" s="336"/>
      <c r="D1" s="448"/>
      <c r="E1" s="448"/>
      <c r="F1" s="1006" t="s">
        <v>1162</v>
      </c>
      <c r="G1" s="448"/>
      <c r="H1" s="448"/>
      <c r="I1" s="448"/>
      <c r="J1" s="448"/>
      <c r="K1" s="448"/>
      <c r="L1" s="448"/>
      <c r="M1" s="449" t="s">
        <v>331</v>
      </c>
      <c r="N1" s="448"/>
      <c r="O1" s="448"/>
      <c r="P1" s="448"/>
      <c r="Q1" s="448"/>
      <c r="R1" s="448"/>
      <c r="S1" s="448"/>
      <c r="T1" s="448"/>
      <c r="U1" s="448"/>
      <c r="V1" s="448"/>
      <c r="W1" s="448"/>
      <c r="X1" s="448"/>
      <c r="Y1" s="448"/>
      <c r="Z1" s="448"/>
      <c r="AA1" s="549" t="str">
        <f>IF('Manuell filtrering og justering'!I2='Manuell filtrering og justering'!J2,"Bespoke","")</f>
        <v/>
      </c>
      <c r="AB1" s="549"/>
      <c r="AC1" s="337"/>
      <c r="AD1" s="319"/>
      <c r="AE1" s="319"/>
      <c r="AF1" s="319"/>
    </row>
    <row r="2" spans="1:51" s="58" customFormat="1" ht="15.75" x14ac:dyDescent="0.25">
      <c r="D2" s="58">
        <v>3</v>
      </c>
      <c r="E2" s="58">
        <v>5</v>
      </c>
      <c r="F2" s="1017">
        <v>6</v>
      </c>
      <c r="G2" s="354">
        <v>7</v>
      </c>
      <c r="H2" s="354">
        <v>8</v>
      </c>
      <c r="I2" s="354">
        <v>9</v>
      </c>
      <c r="J2" s="354">
        <v>10</v>
      </c>
      <c r="K2" s="354">
        <v>11</v>
      </c>
      <c r="L2" s="354">
        <v>12</v>
      </c>
      <c r="M2" s="354">
        <v>13</v>
      </c>
      <c r="N2" s="354"/>
      <c r="O2" s="354">
        <v>15</v>
      </c>
      <c r="P2" s="354">
        <v>16</v>
      </c>
      <c r="Q2" s="354">
        <v>17</v>
      </c>
      <c r="R2" s="354">
        <v>18</v>
      </c>
      <c r="S2" s="354">
        <v>19</v>
      </c>
      <c r="T2" s="354">
        <v>20</v>
      </c>
      <c r="U2" s="354">
        <v>21</v>
      </c>
      <c r="V2" s="354">
        <v>22</v>
      </c>
      <c r="W2" s="354">
        <v>23</v>
      </c>
      <c r="X2" s="354">
        <v>24</v>
      </c>
      <c r="Y2" s="354">
        <v>25</v>
      </c>
      <c r="Z2" s="354">
        <v>26</v>
      </c>
      <c r="AA2" s="354">
        <v>27</v>
      </c>
      <c r="AB2" s="354"/>
      <c r="AC2" s="236">
        <v>24</v>
      </c>
      <c r="AD2" s="236"/>
      <c r="AE2" s="236"/>
      <c r="AF2" s="236"/>
      <c r="AG2" s="15"/>
    </row>
    <row r="3" spans="1:51" ht="26.25" x14ac:dyDescent="0.4">
      <c r="D3" s="5"/>
      <c r="E3" s="5"/>
      <c r="F3" s="1007"/>
      <c r="G3" s="338"/>
      <c r="H3" s="323" t="s">
        <v>215</v>
      </c>
      <c r="I3" s="339"/>
      <c r="J3" s="339"/>
      <c r="K3" s="339"/>
      <c r="L3" s="340"/>
      <c r="M3" s="341"/>
      <c r="N3" s="342"/>
      <c r="O3" s="323" t="s">
        <v>220</v>
      </c>
      <c r="P3" s="323"/>
      <c r="Q3" s="323"/>
      <c r="R3" s="339"/>
      <c r="S3" s="339"/>
      <c r="T3" s="339"/>
      <c r="U3" s="342"/>
      <c r="V3" s="323" t="s">
        <v>221</v>
      </c>
      <c r="W3" s="323"/>
      <c r="X3" s="323"/>
      <c r="Y3" s="339"/>
      <c r="Z3" s="339"/>
      <c r="AA3" s="343"/>
      <c r="AB3" s="343"/>
      <c r="AC3" s="597" t="s">
        <v>423</v>
      </c>
      <c r="AD3" s="344"/>
      <c r="AE3" s="344"/>
      <c r="AF3" s="344"/>
    </row>
    <row r="4" spans="1:51" x14ac:dyDescent="0.25">
      <c r="D4" s="1008"/>
      <c r="E4" s="1008"/>
      <c r="F4" s="1008" t="s">
        <v>392</v>
      </c>
      <c r="G4" s="345"/>
      <c r="H4" s="325" t="s">
        <v>312</v>
      </c>
      <c r="I4" s="326"/>
      <c r="J4" s="327"/>
      <c r="K4" s="328" t="str">
        <f>'Pre-Assessment Estimator'!M4</f>
        <v>Unclassified</v>
      </c>
      <c r="L4" s="329"/>
      <c r="M4" s="333" t="s">
        <v>296</v>
      </c>
      <c r="N4" s="346"/>
      <c r="O4" s="325" t="s">
        <v>312</v>
      </c>
      <c r="P4" s="326"/>
      <c r="Q4" s="326"/>
      <c r="R4" s="326"/>
      <c r="S4" s="326"/>
      <c r="T4" s="329" t="str">
        <f>'Pre-Assessment Estimator'!T4</f>
        <v>Unclassified</v>
      </c>
      <c r="U4" s="346"/>
      <c r="V4" s="325" t="s">
        <v>312</v>
      </c>
      <c r="W4" s="326"/>
      <c r="X4" s="326"/>
      <c r="Y4" s="326"/>
      <c r="Z4" s="326"/>
      <c r="AA4" s="324" t="str">
        <f>'Pre-Assessment Estimator'!AA4</f>
        <v>Unclassified</v>
      </c>
      <c r="AB4" s="599"/>
      <c r="AC4" s="602" t="str">
        <f>IF('Pre-Assessment Estimator'!AK4=ais_ja,"Option 2: 50% of","")</f>
        <v/>
      </c>
      <c r="AD4" s="1"/>
      <c r="AE4" s="1"/>
      <c r="AF4" s="1"/>
      <c r="AH4" s="15"/>
      <c r="AQ4" s="17"/>
    </row>
    <row r="5" spans="1:51" x14ac:dyDescent="0.25">
      <c r="D5" s="1009"/>
      <c r="E5" s="1009"/>
      <c r="F5" s="1009" t="str">
        <f>'Pre-Assessment Estimator'!F5</f>
        <v/>
      </c>
      <c r="G5" s="345"/>
      <c r="H5" s="325" t="s">
        <v>84</v>
      </c>
      <c r="I5" s="326"/>
      <c r="J5" s="327"/>
      <c r="K5" s="330">
        <f>'Pre-Assessment Estimator'!M5</f>
        <v>0</v>
      </c>
      <c r="L5" s="331"/>
      <c r="M5" s="333" t="s">
        <v>297</v>
      </c>
      <c r="N5" s="346"/>
      <c r="O5" s="325" t="s">
        <v>84</v>
      </c>
      <c r="P5" s="326"/>
      <c r="Q5" s="326"/>
      <c r="R5" s="326"/>
      <c r="S5" s="326"/>
      <c r="T5" s="329">
        <f>'Pre-Assessment Estimator'!T5</f>
        <v>0</v>
      </c>
      <c r="U5" s="346"/>
      <c r="V5" s="325" t="s">
        <v>84</v>
      </c>
      <c r="W5" s="326"/>
      <c r="X5" s="326"/>
      <c r="Y5" s="326"/>
      <c r="Z5" s="326"/>
      <c r="AA5" s="324">
        <f>'Pre-Assessment Estimator'!AA5</f>
        <v>0</v>
      </c>
      <c r="AB5" s="600"/>
      <c r="AC5" s="602" t="str">
        <f>IF('Pre-Assessment Estimator'!AK4=ais_ja,"achieved credit is","")</f>
        <v/>
      </c>
      <c r="AD5" s="1"/>
      <c r="AE5" s="1"/>
      <c r="AF5" s="1"/>
      <c r="AH5" s="347"/>
    </row>
    <row r="6" spans="1:51" x14ac:dyDescent="0.25">
      <c r="D6" s="1010"/>
      <c r="E6" s="1010"/>
      <c r="F6" s="1010" t="str">
        <f>'Pre-Assessment Estimator'!F6</f>
        <v>Pre-Assessment Estimator Version: 1.02</v>
      </c>
      <c r="G6" s="345"/>
      <c r="H6" s="325" t="s">
        <v>79</v>
      </c>
      <c r="I6" s="326"/>
      <c r="J6" s="327"/>
      <c r="K6" s="330" t="str">
        <f>'Pre-Assessment Estimator'!M6</f>
        <v>Unclassified &lt;30%</v>
      </c>
      <c r="L6" s="331"/>
      <c r="M6" s="333" t="s">
        <v>298</v>
      </c>
      <c r="N6" s="346"/>
      <c r="O6" s="325" t="s">
        <v>79</v>
      </c>
      <c r="P6" s="326"/>
      <c r="Q6" s="326"/>
      <c r="R6" s="326"/>
      <c r="S6" s="326"/>
      <c r="T6" s="329" t="str">
        <f>'Pre-Assessment Estimator'!T6</f>
        <v>Unclassified &lt;30%</v>
      </c>
      <c r="U6" s="346"/>
      <c r="V6" s="325" t="s">
        <v>79</v>
      </c>
      <c r="W6" s="326"/>
      <c r="X6" s="326"/>
      <c r="Y6" s="326"/>
      <c r="Z6" s="326"/>
      <c r="AA6" s="324" t="str">
        <f>'Pre-Assessment Estimator'!AA6</f>
        <v>Unclassified &lt;30%</v>
      </c>
      <c r="AB6" s="600"/>
      <c r="AC6" s="602"/>
      <c r="AD6" s="1"/>
      <c r="AE6" s="1"/>
      <c r="AF6" s="1"/>
      <c r="AH6" s="347"/>
    </row>
    <row r="7" spans="1:51" x14ac:dyDescent="0.25">
      <c r="D7" s="1010"/>
      <c r="E7" s="1010"/>
      <c r="F7" s="1010" t="str">
        <f>'Pre-Assessment Estimator'!F7</f>
        <v>New Construction (fully fitted)</v>
      </c>
      <c r="G7" s="345"/>
      <c r="H7" s="325" t="s">
        <v>970</v>
      </c>
      <c r="I7" s="326"/>
      <c r="J7" s="327"/>
      <c r="K7" s="330" t="str">
        <f>'Pre-Assessment Estimator'!M7</f>
        <v>No</v>
      </c>
      <c r="L7" s="332"/>
      <c r="M7" s="333"/>
      <c r="N7" s="346"/>
      <c r="O7" s="325" t="s">
        <v>970</v>
      </c>
      <c r="P7" s="326"/>
      <c r="Q7" s="326"/>
      <c r="R7" s="326"/>
      <c r="S7" s="326"/>
      <c r="T7" s="329" t="str">
        <f>'Pre-Assessment Estimator'!T7</f>
        <v>No</v>
      </c>
      <c r="U7" s="346"/>
      <c r="V7" s="325" t="s">
        <v>970</v>
      </c>
      <c r="W7" s="326"/>
      <c r="X7" s="326"/>
      <c r="Y7" s="326"/>
      <c r="Z7" s="326"/>
      <c r="AA7" s="324" t="str">
        <f>'Pre-Assessment Estimator'!AA7</f>
        <v>No</v>
      </c>
      <c r="AB7" s="601"/>
      <c r="AC7" s="603" t="str">
        <f>IF('Pre-Assessment Estimator'!AK4=ais_ja,"subtracted from score.","")</f>
        <v/>
      </c>
      <c r="AD7" s="1"/>
      <c r="AE7" s="1"/>
      <c r="AF7" s="1"/>
      <c r="AH7" s="347"/>
    </row>
    <row r="8" spans="1:51" x14ac:dyDescent="0.25">
      <c r="D8" s="1023"/>
      <c r="E8" s="1023"/>
      <c r="F8" s="1024" t="str">
        <f>'Pre-Assessment Estimator'!F8</f>
        <v/>
      </c>
      <c r="H8" s="348"/>
      <c r="J8" s="15"/>
      <c r="K8" s="15"/>
      <c r="L8" s="15"/>
      <c r="M8" s="15"/>
      <c r="O8" s="15"/>
      <c r="P8" s="15"/>
      <c r="Q8" s="15"/>
      <c r="R8" s="15"/>
      <c r="S8" s="15"/>
      <c r="T8" s="15"/>
      <c r="V8" s="15"/>
      <c r="W8" s="15"/>
      <c r="X8" s="15"/>
      <c r="Y8" s="15"/>
      <c r="Z8" s="15"/>
      <c r="AA8" s="15"/>
      <c r="AB8" s="15"/>
      <c r="AH8" s="15"/>
    </row>
    <row r="9" spans="1:51" ht="30.75" x14ac:dyDescent="0.3">
      <c r="A9" s="349" t="s">
        <v>217</v>
      </c>
      <c r="B9" s="349" t="s">
        <v>218</v>
      </c>
      <c r="C9" s="349"/>
      <c r="D9" s="1011"/>
      <c r="E9" s="1011" t="s">
        <v>1167</v>
      </c>
      <c r="F9" s="1011" t="s">
        <v>1208</v>
      </c>
      <c r="G9" s="995" t="s">
        <v>100</v>
      </c>
      <c r="H9" s="499" t="s">
        <v>42</v>
      </c>
      <c r="I9" s="996" t="s">
        <v>101</v>
      </c>
      <c r="J9" s="997" t="s">
        <v>48</v>
      </c>
      <c r="K9" s="998" t="s">
        <v>299</v>
      </c>
      <c r="L9" s="999" t="s">
        <v>259</v>
      </c>
      <c r="M9" s="1000" t="s">
        <v>222</v>
      </c>
      <c r="N9" s="1001"/>
      <c r="O9" s="500" t="s">
        <v>42</v>
      </c>
      <c r="P9" s="500" t="s">
        <v>825</v>
      </c>
      <c r="Q9" s="500" t="s">
        <v>48</v>
      </c>
      <c r="R9" s="1002" t="s">
        <v>299</v>
      </c>
      <c r="S9" s="1002" t="s">
        <v>259</v>
      </c>
      <c r="T9" s="1003" t="s">
        <v>260</v>
      </c>
      <c r="U9" s="1004"/>
      <c r="V9" s="500" t="s">
        <v>42</v>
      </c>
      <c r="W9" s="500" t="s">
        <v>825</v>
      </c>
      <c r="X9" s="500" t="s">
        <v>48</v>
      </c>
      <c r="Y9" s="1002" t="s">
        <v>299</v>
      </c>
      <c r="Z9" s="1002" t="s">
        <v>259</v>
      </c>
      <c r="AA9" s="1005" t="s">
        <v>260</v>
      </c>
      <c r="AB9" s="604"/>
      <c r="AC9" s="598" t="str">
        <f>IF('Pre-Assessment Estimator'!AK4=ais_ja,"Compliance?","")</f>
        <v/>
      </c>
      <c r="AU9" s="350"/>
      <c r="AY9" s="14"/>
    </row>
    <row r="10" spans="1:51" ht="18.75" x14ac:dyDescent="0.25">
      <c r="A10" s="716">
        <v>1</v>
      </c>
      <c r="B10" s="716" t="s">
        <v>61</v>
      </c>
      <c r="C10" s="716"/>
      <c r="D10" s="501"/>
      <c r="E10" s="501"/>
      <c r="F10" s="501" t="s">
        <v>61</v>
      </c>
      <c r="G10" s="502"/>
      <c r="H10" s="502"/>
      <c r="I10" s="502"/>
      <c r="J10" s="502"/>
      <c r="K10" s="503"/>
      <c r="L10" s="502"/>
      <c r="M10" s="503"/>
      <c r="N10" s="504"/>
      <c r="O10" s="502"/>
      <c r="P10" s="502"/>
      <c r="Q10" s="502"/>
      <c r="R10" s="503"/>
      <c r="S10" s="502"/>
      <c r="T10" s="503"/>
      <c r="U10" s="505"/>
      <c r="V10" s="502"/>
      <c r="W10" s="502"/>
      <c r="X10" s="502"/>
      <c r="Y10" s="503"/>
      <c r="Z10" s="502"/>
      <c r="AA10" s="351"/>
      <c r="AB10" s="605">
        <v>1</v>
      </c>
      <c r="AC10" s="606"/>
      <c r="AG10" s="15">
        <f>IF(G2="",1,IF(G2=0,2,1))</f>
        <v>1</v>
      </c>
      <c r="AI10" s="1" t="s">
        <v>295</v>
      </c>
      <c r="AW10" s="352"/>
    </row>
    <row r="11" spans="1:51" x14ac:dyDescent="0.25">
      <c r="A11" s="716">
        <v>2</v>
      </c>
      <c r="B11" s="1022" t="s">
        <v>61</v>
      </c>
      <c r="C11" s="1022"/>
      <c r="D11" s="1043" t="str">
        <f>VLOOKUP($A11,'Pre-Assessment Estimator'!$A$10:$AA$226,D$2,FALSE)</f>
        <v>Man 01</v>
      </c>
      <c r="E11" s="1044"/>
      <c r="F11" s="1043" t="str">
        <f>VLOOKUP($A11,'Pre-Assessment Estimator'!$A$10:$AA$226,F$2,FALSE)</f>
        <v>Man 01 Project brief and design</v>
      </c>
      <c r="G11" s="506">
        <f>VLOOKUP($A11,'Pre-Assessment Estimator'!$A$10:$AA$226,G$2,FALSE)</f>
        <v>5</v>
      </c>
      <c r="H11" s="512" t="str">
        <f>IF(VLOOKUP($A11,'Pre-Assessment Estimator'!$A$10:$AA$226,H$2,FALSE)=0,"",VLOOKUP($A11,'Pre-Assessment Estimator'!$A$10:$AA$226,H$2,FALSE))</f>
        <v/>
      </c>
      <c r="I11" s="1012" t="str">
        <f>VLOOKUP($A11,'Pre-Assessment Estimator'!$A$10:$AA$226,I$2,FALSE)</f>
        <v>0 c. 0 %</v>
      </c>
      <c r="J11" s="508" t="str">
        <f>VLOOKUP($A11,'Pre-Assessment Estimator'!$A$10:$AA$226,J$2,FALSE)</f>
        <v>N/A</v>
      </c>
      <c r="K11" s="509" t="str">
        <f>IF(VLOOKUP($A11,'Pre-Assessment Estimator'!$A$10:$AA$226,K$2,FALSE)=0,"",VLOOKUP($A11,'Pre-Assessment Estimator'!$A$10:$AA$226,K$2,FALSE))</f>
        <v/>
      </c>
      <c r="L11" s="509" t="str">
        <f>IF(VLOOKUP($A11,'Pre-Assessment Estimator'!$A$10:$AA$226,L$2,FALSE)=0,"",VLOOKUP($A11,'Pre-Assessment Estimator'!$A$10:$AA$226,L$2,FALSE))</f>
        <v/>
      </c>
      <c r="M11" s="510" t="str">
        <f>IF(VLOOKUP($A11,'Pre-Assessment Estimator'!$A$10:$AA$226,M$2,FALSE)=0,"",VLOOKUP($A11,'Pre-Assessment Estimator'!$A$10:$AA$226,M$2,FALSE))</f>
        <v/>
      </c>
      <c r="N11" s="511"/>
      <c r="O11" s="512" t="str">
        <f>IF(VLOOKUP($A11,'Pre-Assessment Estimator'!$A$10:$AA$226,O$2,FALSE)=0,"",VLOOKUP($A11,'Pre-Assessment Estimator'!$A$10:$AA$226,O$2,FALSE))</f>
        <v/>
      </c>
      <c r="P11" s="507" t="str">
        <f>VLOOKUP($A11,'Pre-Assessment Estimator'!$A$10:$AA$226,P$2,FALSE)</f>
        <v>0 c. 0 %</v>
      </c>
      <c r="Q11" s="506" t="str">
        <f>VLOOKUP($A11,'Pre-Assessment Estimator'!$A$10:$AA$226,Q$2,FALSE)</f>
        <v>N/A</v>
      </c>
      <c r="R11" s="509" t="str">
        <f>IF(VLOOKUP($A11,'Pre-Assessment Estimator'!$A$10:$AA$226,R$2,FALSE)=0,"",VLOOKUP($A11,'Pre-Assessment Estimator'!$A$10:$AA$226,R$2,FALSE))</f>
        <v/>
      </c>
      <c r="S11" s="509" t="str">
        <f>IF(VLOOKUP($A11,'Pre-Assessment Estimator'!$A$10:$AA$226,S$2,FALSE)=0,"",VLOOKUP($A11,'Pre-Assessment Estimator'!$A$10:$AA$226,S$2,FALSE))</f>
        <v/>
      </c>
      <c r="T11" s="510" t="str">
        <f>IF(VLOOKUP($A11,'Pre-Assessment Estimator'!$A$10:$AA$226,T$2,FALSE)=0,"",VLOOKUP($A11,'Pre-Assessment Estimator'!$A$10:$AA$226,T$2,FALSE))</f>
        <v/>
      </c>
      <c r="U11" s="513"/>
      <c r="V11" s="512" t="str">
        <f>IF(VLOOKUP($A11,'Pre-Assessment Estimator'!$A$10:$AA$226,V$2,FALSE)=0,"",VLOOKUP($A11,'Pre-Assessment Estimator'!$A$10:$AA$226,V$2,FALSE))</f>
        <v/>
      </c>
      <c r="W11" s="507" t="str">
        <f>VLOOKUP($A11,'Pre-Assessment Estimator'!$A$10:$AA$226,W$2,FALSE)</f>
        <v>0 c. 0 %</v>
      </c>
      <c r="X11" s="506" t="str">
        <f>VLOOKUP($A11,'Pre-Assessment Estimator'!$A$10:$AA$226,X$2,FALSE)</f>
        <v>N/A</v>
      </c>
      <c r="Y11" s="509" t="str">
        <f>IF(VLOOKUP($A11,'Pre-Assessment Estimator'!$A$10:$AA$226,Y$2,FALSE)=0,"",VLOOKUP($A11,'Pre-Assessment Estimator'!$A$10:$AA$226,Y$2,FALSE))</f>
        <v/>
      </c>
      <c r="Z11" s="509" t="str">
        <f>IF(VLOOKUP($A11,'Pre-Assessment Estimator'!$A$10:$AA$226,Z$2,FALSE)=0,"",VLOOKUP($A11,'Pre-Assessment Estimator'!$A$10:$AA$226,Z$2,FALSE))</f>
        <v/>
      </c>
      <c r="AA11" s="322" t="str">
        <f>IF(VLOOKUP($A11,'Pre-Assessment Estimator'!$A$10:$AA$226,AA$2,FALSE)=0,"",VLOOKUP($A11,'Pre-Assessment Estimator'!$A$10:$AA$226,AA$2,FALSE))</f>
        <v/>
      </c>
      <c r="AB11" s="605">
        <v>2</v>
      </c>
      <c r="AC11" s="509" t="str">
        <f>IF(VLOOKUP($A11,'Pre-Assessment Estimator'!$A$10:$AC$226,AC$2,FALSE)=0,"",VLOOKUP($A11,'Pre-Assessment Estimator'!$A$10:$AC$226,AC$2,FALSE))</f>
        <v>N/A</v>
      </c>
      <c r="AG11" s="15">
        <f>IF(G11="",1,IF(G11=0,2,1))</f>
        <v>1</v>
      </c>
      <c r="AI11" s="1" t="s">
        <v>293</v>
      </c>
    </row>
    <row r="12" spans="1:51" x14ac:dyDescent="0.25">
      <c r="A12" s="716">
        <v>3</v>
      </c>
      <c r="B12" s="1022" t="s">
        <v>61</v>
      </c>
      <c r="C12" s="1022"/>
      <c r="D12" s="1044" t="str">
        <f>VLOOKUP($A12,'Pre-Assessment Estimator'!$A$10:$AA$226,D$2,FALSE)</f>
        <v>Man 01</v>
      </c>
      <c r="E12" s="1044">
        <f>VLOOKUP($A12,'Pre-Assessment Estimator'!$A$10:$AA$226,E$2,FALSE)</f>
        <v>1</v>
      </c>
      <c r="F12" s="1045" t="str">
        <f>VLOOKUP($A12,'Pre-Assessment Estimator'!$A$10:$AA$226,F$2,FALSE)</f>
        <v>Planning project delivery</v>
      </c>
      <c r="G12" s="506">
        <f>VLOOKUP($A12,'Pre-Assessment Estimator'!$A$10:$AA$226,G$2,FALSE)</f>
        <v>1</v>
      </c>
      <c r="H12" s="512" t="str">
        <f>IF(VLOOKUP($A12,'Pre-Assessment Estimator'!$A$10:$AA$226,H$2,FALSE)=0,"",VLOOKUP($A12,'Pre-Assessment Estimator'!$A$10:$AA$226,H$2,FALSE))</f>
        <v/>
      </c>
      <c r="I12" s="507">
        <f>VLOOKUP($A12,'Pre-Assessment Estimator'!$A$10:$AA$226,I$2,FALSE)</f>
        <v>0</v>
      </c>
      <c r="J12" s="506" t="str">
        <f>VLOOKUP($A12,'Pre-Assessment Estimator'!$A$10:$AA$226,J$2,FALSE)</f>
        <v>Very Good</v>
      </c>
      <c r="K12" s="509" t="str">
        <f>IF(VLOOKUP($A12,'Pre-Assessment Estimator'!$A$10:$AA$226,K$2,FALSE)=0,"",VLOOKUP($A12,'Pre-Assessment Estimator'!$A$10:$AA$226,K$2,FALSE))</f>
        <v/>
      </c>
      <c r="L12" s="509" t="str">
        <f>IF(VLOOKUP($A12,'Pre-Assessment Estimator'!$A$10:$AA$226,L$2,FALSE)=0,"",VLOOKUP($A12,'Pre-Assessment Estimator'!$A$10:$AA$226,L$2,FALSE))</f>
        <v/>
      </c>
      <c r="M12" s="510" t="str">
        <f>IF(VLOOKUP($A12,'Pre-Assessment Estimator'!$A$10:$AA$226,M$2,FALSE)=0,"",VLOOKUP($A12,'Pre-Assessment Estimator'!$A$10:$AA$226,M$2,FALSE))</f>
        <v/>
      </c>
      <c r="N12" s="511"/>
      <c r="O12" s="512" t="str">
        <f>IF(VLOOKUP($A12,'Pre-Assessment Estimator'!$A$10:$AA$226,O$2,FALSE)=0,"",VLOOKUP($A12,'Pre-Assessment Estimator'!$A$10:$AA$226,O$2,FALSE))</f>
        <v/>
      </c>
      <c r="P12" s="507">
        <f>VLOOKUP($A12,'Pre-Assessment Estimator'!$A$10:$AA$226,P$2,FALSE)</f>
        <v>0</v>
      </c>
      <c r="Q12" s="506" t="str">
        <f>VLOOKUP($A12,'Pre-Assessment Estimator'!$A$10:$AA$226,Q$2,FALSE)</f>
        <v>Very Good</v>
      </c>
      <c r="R12" s="509" t="str">
        <f>IF(VLOOKUP($A12,'Pre-Assessment Estimator'!$A$10:$AA$226,R$2,FALSE)=0,"",VLOOKUP($A12,'Pre-Assessment Estimator'!$A$10:$AA$226,R$2,FALSE))</f>
        <v/>
      </c>
      <c r="S12" s="509" t="str">
        <f>IF(VLOOKUP($A12,'Pre-Assessment Estimator'!$A$10:$AA$226,S$2,FALSE)=0,"",VLOOKUP($A12,'Pre-Assessment Estimator'!$A$10:$AA$226,S$2,FALSE))</f>
        <v/>
      </c>
      <c r="T12" s="510" t="str">
        <f>IF(VLOOKUP($A12,'Pre-Assessment Estimator'!$A$10:$AA$226,T$2,FALSE)=0,"",VLOOKUP($A12,'Pre-Assessment Estimator'!$A$10:$AA$226,T$2,FALSE))</f>
        <v/>
      </c>
      <c r="U12" s="513"/>
      <c r="V12" s="512" t="str">
        <f>IF(VLOOKUP($A12,'Pre-Assessment Estimator'!$A$10:$AA$226,V$2,FALSE)=0,"",VLOOKUP($A12,'Pre-Assessment Estimator'!$A$10:$AA$226,V$2,FALSE))</f>
        <v/>
      </c>
      <c r="W12" s="507">
        <f>VLOOKUP($A12,'Pre-Assessment Estimator'!$A$10:$AA$226,W$2,FALSE)</f>
        <v>0</v>
      </c>
      <c r="X12" s="506" t="str">
        <f>VLOOKUP($A12,'Pre-Assessment Estimator'!$A$10:$AA$226,X$2,FALSE)</f>
        <v>Very Good</v>
      </c>
      <c r="Y12" s="509" t="str">
        <f>IF(VLOOKUP($A12,'Pre-Assessment Estimator'!$A$10:$AA$226,Y$2,FALSE)=0,"",VLOOKUP($A12,'Pre-Assessment Estimator'!$A$10:$AA$226,Y$2,FALSE))</f>
        <v/>
      </c>
      <c r="Z12" s="509" t="str">
        <f>IF(VLOOKUP($A12,'Pre-Assessment Estimator'!$A$10:$AA$226,Z$2,FALSE)=0,"",VLOOKUP($A12,'Pre-Assessment Estimator'!$A$10:$AA$226,Z$2,FALSE))</f>
        <v/>
      </c>
      <c r="AA12" s="322" t="str">
        <f>IF(VLOOKUP($A12,'Pre-Assessment Estimator'!$A$10:$AA$226,AA$2,FALSE)=0,"",VLOOKUP($A12,'Pre-Assessment Estimator'!$A$10:$AA$226,AA$2,FALSE))</f>
        <v/>
      </c>
      <c r="AB12" s="605">
        <v>3</v>
      </c>
      <c r="AC12" s="509" t="str">
        <f>IF(VLOOKUP($A12,'Pre-Assessment Estimator'!$A$10:$AC$226,AC$2,FALSE)=0,"",VLOOKUP($A12,'Pre-Assessment Estimator'!$A$10:$AC$226,AC$2,FALSE))</f>
        <v>Very Good</v>
      </c>
      <c r="AG12" s="15">
        <f>IF(G12="",1,IF(G12=0,2,1))</f>
        <v>1</v>
      </c>
      <c r="AI12" s="1" t="s">
        <v>294</v>
      </c>
      <c r="AM12" s="16"/>
    </row>
    <row r="13" spans="1:51" ht="30" x14ac:dyDescent="0.25">
      <c r="A13" s="716">
        <v>4</v>
      </c>
      <c r="B13" s="1022" t="s">
        <v>61</v>
      </c>
      <c r="C13" s="1022"/>
      <c r="D13" s="1044" t="str">
        <f>VLOOKUP($A13,'Pre-Assessment Estimator'!$A$10:$AA$226,D$2,FALSE)</f>
        <v>Man 01</v>
      </c>
      <c r="E13" s="1044" t="str">
        <f>VLOOKUP($A13,'Pre-Assessment Estimator'!$A$10:$AA$226,E$2,FALSE)</f>
        <v>2-3</v>
      </c>
      <c r="F13" s="1045" t="str">
        <f>VLOOKUP($A13,'Pre-Assessment Estimator'!$A$10:$AA$226,F$2,FALSE)</f>
        <v>Climate gas calculation for whole building life cycle (EU taxonomy requirement: criterion 2-3)</v>
      </c>
      <c r="G13" s="506">
        <f>VLOOKUP($A13,'Pre-Assessment Estimator'!$A$10:$AA$226,G$2,FALSE)</f>
        <v>1</v>
      </c>
      <c r="H13" s="512" t="str">
        <f>IF(VLOOKUP($A13,'Pre-Assessment Estimator'!$A$10:$AA$226,H$2,FALSE)=0,"",VLOOKUP($A13,'Pre-Assessment Estimator'!$A$10:$AA$226,H$2,FALSE))</f>
        <v/>
      </c>
      <c r="I13" s="507">
        <f>VLOOKUP($A13,'Pre-Assessment Estimator'!$A$10:$AA$226,I$2,FALSE)</f>
        <v>0</v>
      </c>
      <c r="J13" s="506" t="str">
        <f>VLOOKUP($A13,'Pre-Assessment Estimator'!$A$10:$AA$226,J$2,FALSE)</f>
        <v>Very Good</v>
      </c>
      <c r="K13" s="509" t="str">
        <f>IF(VLOOKUP($A13,'Pre-Assessment Estimator'!$A$10:$AA$226,K$2,FALSE)=0,"",VLOOKUP($A13,'Pre-Assessment Estimator'!$A$10:$AA$226,K$2,FALSE))</f>
        <v/>
      </c>
      <c r="L13" s="509" t="str">
        <f>IF(VLOOKUP($A13,'Pre-Assessment Estimator'!$A$10:$AA$226,L$2,FALSE)=0,"",VLOOKUP($A13,'Pre-Assessment Estimator'!$A$10:$AA$226,L$2,FALSE))</f>
        <v/>
      </c>
      <c r="M13" s="510" t="str">
        <f>IF(VLOOKUP($A13,'Pre-Assessment Estimator'!$A$10:$AA$226,M$2,FALSE)=0,"",VLOOKUP($A13,'Pre-Assessment Estimator'!$A$10:$AA$226,M$2,FALSE))</f>
        <v/>
      </c>
      <c r="N13" s="511"/>
      <c r="O13" s="512" t="str">
        <f>IF(VLOOKUP($A13,'Pre-Assessment Estimator'!$A$10:$AA$226,O$2,FALSE)=0,"",VLOOKUP($A13,'Pre-Assessment Estimator'!$A$10:$AA$226,O$2,FALSE))</f>
        <v/>
      </c>
      <c r="P13" s="507">
        <f>VLOOKUP($A13,'Pre-Assessment Estimator'!$A$10:$AA$226,P$2,FALSE)</f>
        <v>0</v>
      </c>
      <c r="Q13" s="506" t="str">
        <f>VLOOKUP($A13,'Pre-Assessment Estimator'!$A$10:$AA$226,Q$2,FALSE)</f>
        <v>Very Good</v>
      </c>
      <c r="R13" s="509" t="str">
        <f>IF(VLOOKUP($A13,'Pre-Assessment Estimator'!$A$10:$AA$226,R$2,FALSE)=0,"",VLOOKUP($A13,'Pre-Assessment Estimator'!$A$10:$AA$226,R$2,FALSE))</f>
        <v/>
      </c>
      <c r="S13" s="509" t="str">
        <f>IF(VLOOKUP($A13,'Pre-Assessment Estimator'!$A$10:$AA$226,S$2,FALSE)=0,"",VLOOKUP($A13,'Pre-Assessment Estimator'!$A$10:$AA$226,S$2,FALSE))</f>
        <v/>
      </c>
      <c r="T13" s="510" t="str">
        <f>IF(VLOOKUP($A13,'Pre-Assessment Estimator'!$A$10:$AA$226,T$2,FALSE)=0,"",VLOOKUP($A13,'Pre-Assessment Estimator'!$A$10:$AA$226,T$2,FALSE))</f>
        <v/>
      </c>
      <c r="U13" s="513"/>
      <c r="V13" s="512" t="str">
        <f>IF(VLOOKUP($A13,'Pre-Assessment Estimator'!$A$10:$AA$226,V$2,FALSE)=0,"",VLOOKUP($A13,'Pre-Assessment Estimator'!$A$10:$AA$226,V$2,FALSE))</f>
        <v/>
      </c>
      <c r="W13" s="507">
        <f>VLOOKUP($A13,'Pre-Assessment Estimator'!$A$10:$AA$226,W$2,FALSE)</f>
        <v>0</v>
      </c>
      <c r="X13" s="506" t="str">
        <f>VLOOKUP($A13,'Pre-Assessment Estimator'!$A$10:$AA$226,X$2,FALSE)</f>
        <v>Very Good</v>
      </c>
      <c r="Y13" s="509" t="str">
        <f>IF(VLOOKUP($A13,'Pre-Assessment Estimator'!$A$10:$AA$226,Y$2,FALSE)=0,"",VLOOKUP($A13,'Pre-Assessment Estimator'!$A$10:$AA$226,Y$2,FALSE))</f>
        <v/>
      </c>
      <c r="Z13" s="509" t="str">
        <f>IF(VLOOKUP($A13,'Pre-Assessment Estimator'!$A$10:$AA$226,Z$2,FALSE)=0,"",VLOOKUP($A13,'Pre-Assessment Estimator'!$A$10:$AA$226,Z$2,FALSE))</f>
        <v/>
      </c>
      <c r="AA13" s="322" t="str">
        <f>IF(VLOOKUP($A13,'Pre-Assessment Estimator'!$A$10:$AA$226,AA$2,FALSE)=0,"",VLOOKUP($A13,'Pre-Assessment Estimator'!$A$10:$AA$226,AA$2,FALSE))</f>
        <v/>
      </c>
      <c r="AB13" s="605">
        <v>4</v>
      </c>
      <c r="AC13" s="509" t="str">
        <f>IF(VLOOKUP($A13,'Pre-Assessment Estimator'!$A$10:$AC$226,AC$2,FALSE)=0,"",VLOOKUP($A13,'Pre-Assessment Estimator'!$A$10:$AC$226,AC$2,FALSE))</f>
        <v>Very Good</v>
      </c>
      <c r="AG13" s="15">
        <f>IF(G13="",1,IF(G13=0,2,1))</f>
        <v>1</v>
      </c>
      <c r="AM13" s="16"/>
    </row>
    <row r="14" spans="1:51" x14ac:dyDescent="0.25">
      <c r="A14" s="716">
        <v>5</v>
      </c>
      <c r="B14" s="1022" t="s">
        <v>61</v>
      </c>
      <c r="C14" s="1022"/>
      <c r="D14" s="1044" t="str">
        <f>VLOOKUP($A14,'Pre-Assessment Estimator'!$A$10:$AA$226,D$2,FALSE)</f>
        <v>Man 01</v>
      </c>
      <c r="E14" s="1044" t="str">
        <f>VLOOKUP($A14,'Pre-Assessment Estimator'!$A$10:$AA$226,E$2,FALSE)</f>
        <v>4-6</v>
      </c>
      <c r="F14" s="1045" t="str">
        <f>VLOOKUP($A14,'Pre-Assessment Estimator'!$A$10:$AA$226,F$2,FALSE)</f>
        <v>Third party stakeholder consultation</v>
      </c>
      <c r="G14" s="506">
        <f>VLOOKUP($A14,'Pre-Assessment Estimator'!$A$10:$AA$226,G$2,FALSE)</f>
        <v>1</v>
      </c>
      <c r="H14" s="512" t="str">
        <f>IF(VLOOKUP($A14,'Pre-Assessment Estimator'!$A$10:$AA$226,H$2,FALSE)=0,"",VLOOKUP($A14,'Pre-Assessment Estimator'!$A$10:$AA$226,H$2,FALSE))</f>
        <v/>
      </c>
      <c r="I14" s="507">
        <f>VLOOKUP($A14,'Pre-Assessment Estimator'!$A$10:$AA$226,I$2,FALSE)</f>
        <v>0</v>
      </c>
      <c r="J14" s="506" t="str">
        <f>VLOOKUP($A14,'Pre-Assessment Estimator'!$A$10:$AA$226,J$2,FALSE)</f>
        <v>N/A</v>
      </c>
      <c r="K14" s="509" t="str">
        <f>IF(VLOOKUP($A14,'Pre-Assessment Estimator'!$A$10:$AA$226,K$2,FALSE)=0,"",VLOOKUP($A14,'Pre-Assessment Estimator'!$A$10:$AA$226,K$2,FALSE))</f>
        <v/>
      </c>
      <c r="L14" s="509" t="str">
        <f>IF(VLOOKUP($A14,'Pre-Assessment Estimator'!$A$10:$AA$226,L$2,FALSE)=0,"",VLOOKUP($A14,'Pre-Assessment Estimator'!$A$10:$AA$226,L$2,FALSE))</f>
        <v/>
      </c>
      <c r="M14" s="510" t="str">
        <f>IF(VLOOKUP($A14,'Pre-Assessment Estimator'!$A$10:$AA$226,M$2,FALSE)=0,"",VLOOKUP($A14,'Pre-Assessment Estimator'!$A$10:$AA$226,M$2,FALSE))</f>
        <v/>
      </c>
      <c r="N14" s="511"/>
      <c r="O14" s="512" t="str">
        <f>IF(VLOOKUP($A14,'Pre-Assessment Estimator'!$A$10:$AA$226,O$2,FALSE)=0,"",VLOOKUP($A14,'Pre-Assessment Estimator'!$A$10:$AA$226,O$2,FALSE))</f>
        <v/>
      </c>
      <c r="P14" s="507">
        <f>VLOOKUP($A14,'Pre-Assessment Estimator'!$A$10:$AA$226,P$2,FALSE)</f>
        <v>0</v>
      </c>
      <c r="Q14" s="506" t="str">
        <f>VLOOKUP($A14,'Pre-Assessment Estimator'!$A$10:$AA$226,Q$2,FALSE)</f>
        <v>N/A</v>
      </c>
      <c r="R14" s="509" t="str">
        <f>IF(VLOOKUP($A14,'Pre-Assessment Estimator'!$A$10:$AA$226,R$2,FALSE)=0,"",VLOOKUP($A14,'Pre-Assessment Estimator'!$A$10:$AA$226,R$2,FALSE))</f>
        <v/>
      </c>
      <c r="S14" s="509" t="str">
        <f>IF(VLOOKUP($A14,'Pre-Assessment Estimator'!$A$10:$AA$226,S$2,FALSE)=0,"",VLOOKUP($A14,'Pre-Assessment Estimator'!$A$10:$AA$226,S$2,FALSE))</f>
        <v/>
      </c>
      <c r="T14" s="510" t="str">
        <f>IF(VLOOKUP($A14,'Pre-Assessment Estimator'!$A$10:$AA$226,T$2,FALSE)=0,"",VLOOKUP($A14,'Pre-Assessment Estimator'!$A$10:$AA$226,T$2,FALSE))</f>
        <v/>
      </c>
      <c r="U14" s="513"/>
      <c r="V14" s="512" t="str">
        <f>IF(VLOOKUP($A14,'Pre-Assessment Estimator'!$A$10:$AA$226,V$2,FALSE)=0,"",VLOOKUP($A14,'Pre-Assessment Estimator'!$A$10:$AA$226,V$2,FALSE))</f>
        <v/>
      </c>
      <c r="W14" s="507">
        <f>VLOOKUP($A14,'Pre-Assessment Estimator'!$A$10:$AA$226,W$2,FALSE)</f>
        <v>0</v>
      </c>
      <c r="X14" s="506" t="str">
        <f>VLOOKUP($A14,'Pre-Assessment Estimator'!$A$10:$AA$226,X$2,FALSE)</f>
        <v>N/A</v>
      </c>
      <c r="Y14" s="509" t="str">
        <f>IF(VLOOKUP($A14,'Pre-Assessment Estimator'!$A$10:$AA$226,Y$2,FALSE)=0,"",VLOOKUP($A14,'Pre-Assessment Estimator'!$A$10:$AA$226,Y$2,FALSE))</f>
        <v/>
      </c>
      <c r="Z14" s="509" t="str">
        <f>IF(VLOOKUP($A14,'Pre-Assessment Estimator'!$A$10:$AA$226,Z$2,FALSE)=0,"",VLOOKUP($A14,'Pre-Assessment Estimator'!$A$10:$AA$226,Z$2,FALSE))</f>
        <v/>
      </c>
      <c r="AA14" s="322" t="str">
        <f>IF(VLOOKUP($A14,'Pre-Assessment Estimator'!$A$10:$AA$226,AA$2,FALSE)=0,"",VLOOKUP($A14,'Pre-Assessment Estimator'!$A$10:$AA$226,AA$2,FALSE))</f>
        <v/>
      </c>
      <c r="AB14" s="605">
        <v>5</v>
      </c>
      <c r="AC14" s="509" t="str">
        <f>IF(VLOOKUP($A14,'Pre-Assessment Estimator'!$A$10:$AC$226,AC$2,FALSE)=0,"",VLOOKUP($A14,'Pre-Assessment Estimator'!$A$10:$AC$226,AC$2,FALSE))</f>
        <v>N/A</v>
      </c>
      <c r="AG14" s="15">
        <f>IF(G14="",1,IF(G14=0,2,1))</f>
        <v>1</v>
      </c>
      <c r="AM14" s="16"/>
      <c r="AO14" s="352"/>
    </row>
    <row r="15" spans="1:51" x14ac:dyDescent="0.25">
      <c r="A15" s="716">
        <v>6</v>
      </c>
      <c r="B15" s="1022" t="s">
        <v>61</v>
      </c>
      <c r="C15" s="1022"/>
      <c r="D15" s="1044" t="str">
        <f>VLOOKUP($A15,'Pre-Assessment Estimator'!$A$10:$AA$226,D$2,FALSE)</f>
        <v>Man 01</v>
      </c>
      <c r="E15" s="1044" t="str">
        <f>VLOOKUP($A15,'Pre-Assessment Estimator'!$A$10:$AA$226,E$2,FALSE)</f>
        <v>7-9</v>
      </c>
      <c r="F15" s="1045" t="str">
        <f>VLOOKUP($A15,'Pre-Assessment Estimator'!$A$10:$AA$226,F$2,FALSE)</f>
        <v>BREEAM-NOR AP (stage 2 and 3)</v>
      </c>
      <c r="G15" s="506">
        <f>VLOOKUP($A15,'Pre-Assessment Estimator'!$A$10:$AA$226,G$2,FALSE)</f>
        <v>1</v>
      </c>
      <c r="H15" s="512" t="str">
        <f>IF(VLOOKUP($A15,'Pre-Assessment Estimator'!$A$10:$AA$226,H$2,FALSE)=0,"",VLOOKUP($A15,'Pre-Assessment Estimator'!$A$10:$AA$226,H$2,FALSE))</f>
        <v/>
      </c>
      <c r="I15" s="507">
        <f>VLOOKUP($A15,'Pre-Assessment Estimator'!$A$10:$AA$226,I$2,FALSE)</f>
        <v>0</v>
      </c>
      <c r="J15" s="506" t="str">
        <f>VLOOKUP($A15,'Pre-Assessment Estimator'!$A$10:$AA$226,J$2,FALSE)</f>
        <v>N/A</v>
      </c>
      <c r="K15" s="509" t="str">
        <f>IF(VLOOKUP($A15,'Pre-Assessment Estimator'!$A$10:$AA$226,K$2,FALSE)=0,"",VLOOKUP($A15,'Pre-Assessment Estimator'!$A$10:$AA$226,K$2,FALSE))</f>
        <v/>
      </c>
      <c r="L15" s="509" t="str">
        <f>IF(VLOOKUP($A15,'Pre-Assessment Estimator'!$A$10:$AA$226,L$2,FALSE)=0,"",VLOOKUP($A15,'Pre-Assessment Estimator'!$A$10:$AA$226,L$2,FALSE))</f>
        <v/>
      </c>
      <c r="M15" s="510" t="str">
        <f>IF(VLOOKUP($A15,'Pre-Assessment Estimator'!$A$10:$AA$226,M$2,FALSE)=0,"",VLOOKUP($A15,'Pre-Assessment Estimator'!$A$10:$AA$226,M$2,FALSE))</f>
        <v/>
      </c>
      <c r="N15" s="511"/>
      <c r="O15" s="512" t="str">
        <f>IF(VLOOKUP($A15,'Pre-Assessment Estimator'!$A$10:$AA$226,O$2,FALSE)=0,"",VLOOKUP($A15,'Pre-Assessment Estimator'!$A$10:$AA$226,O$2,FALSE))</f>
        <v/>
      </c>
      <c r="P15" s="507">
        <f>VLOOKUP($A15,'Pre-Assessment Estimator'!$A$10:$AA$226,P$2,FALSE)</f>
        <v>0</v>
      </c>
      <c r="Q15" s="506" t="str">
        <f>VLOOKUP($A15,'Pre-Assessment Estimator'!$A$10:$AA$226,Q$2,FALSE)</f>
        <v>N/A</v>
      </c>
      <c r="R15" s="509" t="str">
        <f>IF(VLOOKUP($A15,'Pre-Assessment Estimator'!$A$10:$AA$226,R$2,FALSE)=0,"",VLOOKUP($A15,'Pre-Assessment Estimator'!$A$10:$AA$226,R$2,FALSE))</f>
        <v/>
      </c>
      <c r="S15" s="509" t="str">
        <f>IF(VLOOKUP($A15,'Pre-Assessment Estimator'!$A$10:$AA$226,S$2,FALSE)=0,"",VLOOKUP($A15,'Pre-Assessment Estimator'!$A$10:$AA$226,S$2,FALSE))</f>
        <v/>
      </c>
      <c r="T15" s="510" t="str">
        <f>IF(VLOOKUP($A15,'Pre-Assessment Estimator'!$A$10:$AA$226,T$2,FALSE)=0,"",VLOOKUP($A15,'Pre-Assessment Estimator'!$A$10:$AA$226,T$2,FALSE))</f>
        <v/>
      </c>
      <c r="U15" s="513"/>
      <c r="V15" s="512" t="str">
        <f>IF(VLOOKUP($A15,'Pre-Assessment Estimator'!$A$10:$AA$226,V$2,FALSE)=0,"",VLOOKUP($A15,'Pre-Assessment Estimator'!$A$10:$AA$226,V$2,FALSE))</f>
        <v/>
      </c>
      <c r="W15" s="507">
        <f>VLOOKUP($A15,'Pre-Assessment Estimator'!$A$10:$AA$226,W$2,FALSE)</f>
        <v>0</v>
      </c>
      <c r="X15" s="506" t="str">
        <f>VLOOKUP($A15,'Pre-Assessment Estimator'!$A$10:$AA$226,X$2,FALSE)</f>
        <v>N/A</v>
      </c>
      <c r="Y15" s="509" t="str">
        <f>IF(VLOOKUP($A15,'Pre-Assessment Estimator'!$A$10:$AA$226,Y$2,FALSE)=0,"",VLOOKUP($A15,'Pre-Assessment Estimator'!$A$10:$AA$226,Y$2,FALSE))</f>
        <v/>
      </c>
      <c r="Z15" s="509" t="str">
        <f>IF(VLOOKUP($A15,'Pre-Assessment Estimator'!$A$10:$AA$226,Z$2,FALSE)=0,"",VLOOKUP($A15,'Pre-Assessment Estimator'!$A$10:$AA$226,Z$2,FALSE))</f>
        <v/>
      </c>
      <c r="AA15" s="322" t="str">
        <f>IF(VLOOKUP($A15,'Pre-Assessment Estimator'!$A$10:$AA$226,AA$2,FALSE)=0,"",VLOOKUP($A15,'Pre-Assessment Estimator'!$A$10:$AA$226,AA$2,FALSE))</f>
        <v/>
      </c>
      <c r="AB15" s="605">
        <v>6</v>
      </c>
      <c r="AC15" s="509" t="str">
        <f>IF(VLOOKUP($A15,'Pre-Assessment Estimator'!$A$10:$AC$226,AC$2,FALSE)=0,"",VLOOKUP($A15,'Pre-Assessment Estimator'!$A$10:$AC$226,AC$2,FALSE))</f>
        <v>N/A</v>
      </c>
      <c r="AG15" s="15">
        <f>IF(G15="",1,IF(G15=0,2,1))</f>
        <v>1</v>
      </c>
      <c r="AH15" s="353"/>
      <c r="AM15" s="16"/>
    </row>
    <row r="16" spans="1:51" x14ac:dyDescent="0.25">
      <c r="A16" s="716">
        <v>7</v>
      </c>
      <c r="B16" s="1022" t="s">
        <v>61</v>
      </c>
      <c r="C16" s="1022"/>
      <c r="D16" s="1044" t="str">
        <f>VLOOKUP($A16,'Pre-Assessment Estimator'!$A$10:$AA$226,D$2,FALSE)</f>
        <v>Man 01</v>
      </c>
      <c r="E16" s="1044" t="str">
        <f>VLOOKUP($A16,'Pre-Assessment Estimator'!$A$10:$AA$226,E$2,FALSE)</f>
        <v>10-12</v>
      </c>
      <c r="F16" s="1045" t="str">
        <f>VLOOKUP($A16,'Pre-Assessment Estimator'!$A$10:$AA$226,F$2,FALSE)</f>
        <v>BREEAM-NOR AP (stage 4)</v>
      </c>
      <c r="G16" s="506">
        <f>VLOOKUP($A16,'Pre-Assessment Estimator'!$A$10:$AA$226,G$2,FALSE)</f>
        <v>1</v>
      </c>
      <c r="H16" s="512" t="str">
        <f>IF(VLOOKUP($A16,'Pre-Assessment Estimator'!$A$10:$AA$226,H$2,FALSE)=0,"",VLOOKUP($A16,'Pre-Assessment Estimator'!$A$10:$AA$226,H$2,FALSE))</f>
        <v/>
      </c>
      <c r="I16" s="507">
        <f>VLOOKUP($A16,'Pre-Assessment Estimator'!$A$10:$AA$226,I$2,FALSE)</f>
        <v>0</v>
      </c>
      <c r="J16" s="506" t="str">
        <f>VLOOKUP($A16,'Pre-Assessment Estimator'!$A$10:$AA$226,J$2,FALSE)</f>
        <v>N/A</v>
      </c>
      <c r="K16" s="509" t="str">
        <f>IF(VLOOKUP($A16,'Pre-Assessment Estimator'!$A$10:$AA$226,K$2,FALSE)=0,"",VLOOKUP($A16,'Pre-Assessment Estimator'!$A$10:$AA$226,K$2,FALSE))</f>
        <v/>
      </c>
      <c r="L16" s="509" t="str">
        <f>IF(VLOOKUP($A16,'Pre-Assessment Estimator'!$A$10:$AA$226,L$2,FALSE)=0,"",VLOOKUP($A16,'Pre-Assessment Estimator'!$A$10:$AA$226,L$2,FALSE))</f>
        <v/>
      </c>
      <c r="M16" s="510" t="str">
        <f>IF(VLOOKUP($A16,'Pre-Assessment Estimator'!$A$10:$AA$226,M$2,FALSE)=0,"",VLOOKUP($A16,'Pre-Assessment Estimator'!$A$10:$AA$226,M$2,FALSE))</f>
        <v/>
      </c>
      <c r="N16" s="511"/>
      <c r="O16" s="512" t="str">
        <f>IF(VLOOKUP($A16,'Pre-Assessment Estimator'!$A$10:$AA$226,O$2,FALSE)=0,"",VLOOKUP($A16,'Pre-Assessment Estimator'!$A$10:$AA$226,O$2,FALSE))</f>
        <v/>
      </c>
      <c r="P16" s="507">
        <f>VLOOKUP($A16,'Pre-Assessment Estimator'!$A$10:$AA$226,P$2,FALSE)</f>
        <v>0</v>
      </c>
      <c r="Q16" s="506" t="str">
        <f>VLOOKUP($A16,'Pre-Assessment Estimator'!$A$10:$AA$226,Q$2,FALSE)</f>
        <v>N/A</v>
      </c>
      <c r="R16" s="509" t="str">
        <f>IF(VLOOKUP($A16,'Pre-Assessment Estimator'!$A$10:$AA$226,R$2,FALSE)=0,"",VLOOKUP($A16,'Pre-Assessment Estimator'!$A$10:$AA$226,R$2,FALSE))</f>
        <v/>
      </c>
      <c r="S16" s="509" t="str">
        <f>IF(VLOOKUP($A16,'Pre-Assessment Estimator'!$A$10:$AA$226,S$2,FALSE)=0,"",VLOOKUP($A16,'Pre-Assessment Estimator'!$A$10:$AA$226,S$2,FALSE))</f>
        <v/>
      </c>
      <c r="T16" s="510" t="str">
        <f>IF(VLOOKUP($A16,'Pre-Assessment Estimator'!$A$10:$AA$226,T$2,FALSE)=0,"",VLOOKUP($A16,'Pre-Assessment Estimator'!$A$10:$AA$226,T$2,FALSE))</f>
        <v/>
      </c>
      <c r="U16" s="513"/>
      <c r="V16" s="512" t="str">
        <f>IF(VLOOKUP($A16,'Pre-Assessment Estimator'!$A$10:$AA$226,V$2,FALSE)=0,"",VLOOKUP($A16,'Pre-Assessment Estimator'!$A$10:$AA$226,V$2,FALSE))</f>
        <v/>
      </c>
      <c r="W16" s="507">
        <f>VLOOKUP($A16,'Pre-Assessment Estimator'!$A$10:$AA$226,W$2,FALSE)</f>
        <v>0</v>
      </c>
      <c r="X16" s="506" t="str">
        <f>VLOOKUP($A16,'Pre-Assessment Estimator'!$A$10:$AA$226,X$2,FALSE)</f>
        <v>N/A</v>
      </c>
      <c r="Y16" s="509" t="str">
        <f>IF(VLOOKUP($A16,'Pre-Assessment Estimator'!$A$10:$AA$226,Y$2,FALSE)=0,"",VLOOKUP($A16,'Pre-Assessment Estimator'!$A$10:$AA$226,Y$2,FALSE))</f>
        <v/>
      </c>
      <c r="Z16" s="509" t="str">
        <f>IF(VLOOKUP($A16,'Pre-Assessment Estimator'!$A$10:$AA$226,Z$2,FALSE)=0,"",VLOOKUP($A16,'Pre-Assessment Estimator'!$A$10:$AA$226,Z$2,FALSE))</f>
        <v/>
      </c>
      <c r="AA16" s="322" t="str">
        <f>IF(VLOOKUP($A16,'Pre-Assessment Estimator'!$A$10:$AA$226,AA$2,FALSE)=0,"",VLOOKUP($A16,'Pre-Assessment Estimator'!$A$10:$AA$226,AA$2,FALSE))</f>
        <v/>
      </c>
      <c r="AB16" s="605">
        <v>7</v>
      </c>
      <c r="AC16" s="509"/>
      <c r="AG16" s="15">
        <f t="shared" ref="AG16:AG81" si="0">IF(G16="",1,IF(G16=0,2,1))</f>
        <v>1</v>
      </c>
      <c r="AH16" s="353"/>
      <c r="AM16" s="16"/>
    </row>
    <row r="17" spans="1:39" x14ac:dyDescent="0.25">
      <c r="A17" s="716">
        <v>8</v>
      </c>
      <c r="B17" s="1022" t="s">
        <v>61</v>
      </c>
      <c r="C17" s="1022"/>
      <c r="D17" s="1043" t="str">
        <f>VLOOKUP($A17,'Pre-Assessment Estimator'!$A$10:$AA$226,D$2,FALSE)</f>
        <v>Man 02</v>
      </c>
      <c r="E17" s="1044"/>
      <c r="F17" s="1043" t="str">
        <f>VLOOKUP($A17,'Pre-Assessment Estimator'!$A$10:$AA$226,F$2,FALSE)</f>
        <v>Man 02 Life cycle cost and service life planning</v>
      </c>
      <c r="G17" s="506">
        <f>VLOOKUP($A17,'Pre-Assessment Estimator'!$A$10:$AA$226,G$2,FALSE)</f>
        <v>3</v>
      </c>
      <c r="H17" s="512" t="str">
        <f>IF(VLOOKUP($A17,'Pre-Assessment Estimator'!$A$10:$AA$226,H$2,FALSE)=0,"",VLOOKUP($A17,'Pre-Assessment Estimator'!$A$10:$AA$226,H$2,FALSE))</f>
        <v/>
      </c>
      <c r="I17" s="507" t="str">
        <f>VLOOKUP($A17,'Pre-Assessment Estimator'!$A$10:$AA$226,I$2,FALSE)</f>
        <v>0 c. 0 %</v>
      </c>
      <c r="J17" s="506" t="str">
        <f>VLOOKUP($A17,'Pre-Assessment Estimator'!$A$10:$AA$226,J$2,FALSE)</f>
        <v>N/A</v>
      </c>
      <c r="K17" s="509" t="str">
        <f>IF(VLOOKUP($A17,'Pre-Assessment Estimator'!$A$10:$AA$226,K$2,FALSE)=0,"",VLOOKUP($A17,'Pre-Assessment Estimator'!$A$10:$AA$226,K$2,FALSE))</f>
        <v/>
      </c>
      <c r="L17" s="509" t="str">
        <f>IF(VLOOKUP($A17,'Pre-Assessment Estimator'!$A$10:$AA$226,L$2,FALSE)=0,"",VLOOKUP($A17,'Pre-Assessment Estimator'!$A$10:$AA$226,L$2,FALSE))</f>
        <v/>
      </c>
      <c r="M17" s="510" t="str">
        <f>IF(VLOOKUP($A17,'Pre-Assessment Estimator'!$A$10:$AA$226,M$2,FALSE)=0,"",VLOOKUP($A17,'Pre-Assessment Estimator'!$A$10:$AA$226,M$2,FALSE))</f>
        <v/>
      </c>
      <c r="N17" s="511"/>
      <c r="O17" s="512" t="str">
        <f>IF(VLOOKUP($A17,'Pre-Assessment Estimator'!$A$10:$AA$226,O$2,FALSE)=0,"",VLOOKUP($A17,'Pre-Assessment Estimator'!$A$10:$AA$226,O$2,FALSE))</f>
        <v/>
      </c>
      <c r="P17" s="507" t="str">
        <f>VLOOKUP($A17,'Pre-Assessment Estimator'!$A$10:$AA$226,P$2,FALSE)</f>
        <v>0 c. 0 %</v>
      </c>
      <c r="Q17" s="506" t="str">
        <f>VLOOKUP($A17,'Pre-Assessment Estimator'!$A$10:$AA$226,Q$2,FALSE)</f>
        <v>N/A</v>
      </c>
      <c r="R17" s="509" t="str">
        <f>IF(VLOOKUP($A17,'Pre-Assessment Estimator'!$A$10:$AA$226,R$2,FALSE)=0,"",VLOOKUP($A17,'Pre-Assessment Estimator'!$A$10:$AA$226,R$2,FALSE))</f>
        <v/>
      </c>
      <c r="S17" s="509" t="str">
        <f>IF(VLOOKUP($A17,'Pre-Assessment Estimator'!$A$10:$AA$226,S$2,FALSE)=0,"",VLOOKUP($A17,'Pre-Assessment Estimator'!$A$10:$AA$226,S$2,FALSE))</f>
        <v/>
      </c>
      <c r="T17" s="510" t="str">
        <f>IF(VLOOKUP($A17,'Pre-Assessment Estimator'!$A$10:$AA$226,T$2,FALSE)=0,"",VLOOKUP($A17,'Pre-Assessment Estimator'!$A$10:$AA$226,T$2,FALSE))</f>
        <v/>
      </c>
      <c r="U17" s="513"/>
      <c r="V17" s="512" t="str">
        <f>IF(VLOOKUP($A17,'Pre-Assessment Estimator'!$A$10:$AA$226,V$2,FALSE)=0,"",VLOOKUP($A17,'Pre-Assessment Estimator'!$A$10:$AA$226,V$2,FALSE))</f>
        <v/>
      </c>
      <c r="W17" s="507" t="str">
        <f>VLOOKUP($A17,'Pre-Assessment Estimator'!$A$10:$AA$226,W$2,FALSE)</f>
        <v>0 c. 0 %</v>
      </c>
      <c r="X17" s="506" t="str">
        <f>VLOOKUP($A17,'Pre-Assessment Estimator'!$A$10:$AA$226,X$2,FALSE)</f>
        <v>N/A</v>
      </c>
      <c r="Y17" s="509" t="str">
        <f>IF(VLOOKUP($A17,'Pre-Assessment Estimator'!$A$10:$AA$226,Y$2,FALSE)=0,"",VLOOKUP($A17,'Pre-Assessment Estimator'!$A$10:$AA$226,Y$2,FALSE))</f>
        <v/>
      </c>
      <c r="Z17" s="509" t="str">
        <f>IF(VLOOKUP($A17,'Pre-Assessment Estimator'!$A$10:$AA$226,Z$2,FALSE)=0,"",VLOOKUP($A17,'Pre-Assessment Estimator'!$A$10:$AA$226,Z$2,FALSE))</f>
        <v/>
      </c>
      <c r="AA17" s="322" t="str">
        <f>IF(VLOOKUP($A17,'Pre-Assessment Estimator'!$A$10:$AA$226,AA$2,FALSE)=0,"",VLOOKUP($A17,'Pre-Assessment Estimator'!$A$10:$AA$226,AA$2,FALSE))</f>
        <v/>
      </c>
      <c r="AB17" s="605">
        <v>8</v>
      </c>
      <c r="AC17" s="509"/>
      <c r="AG17" s="15">
        <f t="shared" si="0"/>
        <v>1</v>
      </c>
      <c r="AH17" s="353"/>
      <c r="AM17" s="16"/>
    </row>
    <row r="18" spans="1:39" x14ac:dyDescent="0.25">
      <c r="A18" s="716">
        <v>9</v>
      </c>
      <c r="B18" s="1022" t="s">
        <v>61</v>
      </c>
      <c r="C18" s="1022"/>
      <c r="D18" s="1044" t="str">
        <f>VLOOKUP($A18,'Pre-Assessment Estimator'!$A$10:$AA$226,D$2,FALSE)</f>
        <v>Man 02</v>
      </c>
      <c r="E18" s="1044" t="str">
        <f>VLOOKUP($A18,'Pre-Assessment Estimator'!$A$10:$AA$226,E$2,FALSE)</f>
        <v>1-4</v>
      </c>
      <c r="F18" s="1045" t="str">
        <f>VLOOKUP($A18,'Pre-Assessment Estimator'!$A$10:$AA$226,F$2,FALSE)</f>
        <v>Elemental life cycle cost (LCC) and capital cost reporting</v>
      </c>
      <c r="G18" s="506">
        <f>VLOOKUP($A18,'Pre-Assessment Estimator'!$A$10:$AA$226,G$2,FALSE)</f>
        <v>2</v>
      </c>
      <c r="H18" s="512" t="str">
        <f>IF(VLOOKUP($A18,'Pre-Assessment Estimator'!$A$10:$AA$226,H$2,FALSE)=0,"",VLOOKUP($A18,'Pre-Assessment Estimator'!$A$10:$AA$226,H$2,FALSE))</f>
        <v/>
      </c>
      <c r="I18" s="507">
        <f>VLOOKUP($A18,'Pre-Assessment Estimator'!$A$10:$AA$226,I$2,FALSE)</f>
        <v>0</v>
      </c>
      <c r="J18" s="506" t="str">
        <f>VLOOKUP($A18,'Pre-Assessment Estimator'!$A$10:$AA$226,J$2,FALSE)</f>
        <v>N/A</v>
      </c>
      <c r="K18" s="509" t="str">
        <f>IF(VLOOKUP($A18,'Pre-Assessment Estimator'!$A$10:$AA$226,K$2,FALSE)=0,"",VLOOKUP($A18,'Pre-Assessment Estimator'!$A$10:$AA$226,K$2,FALSE))</f>
        <v/>
      </c>
      <c r="L18" s="509" t="str">
        <f>IF(VLOOKUP($A18,'Pre-Assessment Estimator'!$A$10:$AA$226,L$2,FALSE)=0,"",VLOOKUP($A18,'Pre-Assessment Estimator'!$A$10:$AA$226,L$2,FALSE))</f>
        <v/>
      </c>
      <c r="M18" s="510" t="str">
        <f>IF(VLOOKUP($A18,'Pre-Assessment Estimator'!$A$10:$AA$226,M$2,FALSE)=0,"",VLOOKUP($A18,'Pre-Assessment Estimator'!$A$10:$AA$226,M$2,FALSE))</f>
        <v/>
      </c>
      <c r="N18" s="511"/>
      <c r="O18" s="512" t="str">
        <f>IF(VLOOKUP($A18,'Pre-Assessment Estimator'!$A$10:$AA$226,O$2,FALSE)=0,"",VLOOKUP($A18,'Pre-Assessment Estimator'!$A$10:$AA$226,O$2,FALSE))</f>
        <v/>
      </c>
      <c r="P18" s="507">
        <f>VLOOKUP($A18,'Pre-Assessment Estimator'!$A$10:$AA$226,P$2,FALSE)</f>
        <v>0</v>
      </c>
      <c r="Q18" s="506" t="str">
        <f>VLOOKUP($A18,'Pre-Assessment Estimator'!$A$10:$AA$226,Q$2,FALSE)</f>
        <v>N/A</v>
      </c>
      <c r="R18" s="509" t="str">
        <f>IF(VLOOKUP($A18,'Pre-Assessment Estimator'!$A$10:$AA$226,R$2,FALSE)=0,"",VLOOKUP($A18,'Pre-Assessment Estimator'!$A$10:$AA$226,R$2,FALSE))</f>
        <v/>
      </c>
      <c r="S18" s="509" t="str">
        <f>IF(VLOOKUP($A18,'Pre-Assessment Estimator'!$A$10:$AA$226,S$2,FALSE)=0,"",VLOOKUP($A18,'Pre-Assessment Estimator'!$A$10:$AA$226,S$2,FALSE))</f>
        <v/>
      </c>
      <c r="T18" s="510" t="str">
        <f>IF(VLOOKUP($A18,'Pre-Assessment Estimator'!$A$10:$AA$226,T$2,FALSE)=0,"",VLOOKUP($A18,'Pre-Assessment Estimator'!$A$10:$AA$226,T$2,FALSE))</f>
        <v/>
      </c>
      <c r="U18" s="513"/>
      <c r="V18" s="512" t="str">
        <f>IF(VLOOKUP($A18,'Pre-Assessment Estimator'!$A$10:$AA$226,V$2,FALSE)=0,"",VLOOKUP($A18,'Pre-Assessment Estimator'!$A$10:$AA$226,V$2,FALSE))</f>
        <v/>
      </c>
      <c r="W18" s="507">
        <f>VLOOKUP($A18,'Pre-Assessment Estimator'!$A$10:$AA$226,W$2,FALSE)</f>
        <v>0</v>
      </c>
      <c r="X18" s="506" t="str">
        <f>VLOOKUP($A18,'Pre-Assessment Estimator'!$A$10:$AA$226,X$2,FALSE)</f>
        <v>N/A</v>
      </c>
      <c r="Y18" s="509" t="str">
        <f>IF(VLOOKUP($A18,'Pre-Assessment Estimator'!$A$10:$AA$226,Y$2,FALSE)=0,"",VLOOKUP($A18,'Pre-Assessment Estimator'!$A$10:$AA$226,Y$2,FALSE))</f>
        <v/>
      </c>
      <c r="Z18" s="509" t="str">
        <f>IF(VLOOKUP($A18,'Pre-Assessment Estimator'!$A$10:$AA$226,Z$2,FALSE)=0,"",VLOOKUP($A18,'Pre-Assessment Estimator'!$A$10:$AA$226,Z$2,FALSE))</f>
        <v/>
      </c>
      <c r="AA18" s="322" t="str">
        <f>IF(VLOOKUP($A18,'Pre-Assessment Estimator'!$A$10:$AA$226,AA$2,FALSE)=0,"",VLOOKUP($A18,'Pre-Assessment Estimator'!$A$10:$AA$226,AA$2,FALSE))</f>
        <v/>
      </c>
      <c r="AB18" s="605">
        <v>9</v>
      </c>
      <c r="AC18" s="509"/>
      <c r="AG18" s="15">
        <f t="shared" si="0"/>
        <v>1</v>
      </c>
      <c r="AH18" s="353"/>
      <c r="AM18" s="16"/>
    </row>
    <row r="19" spans="1:39" x14ac:dyDescent="0.25">
      <c r="A19" s="716">
        <v>10</v>
      </c>
      <c r="B19" s="1022" t="s">
        <v>61</v>
      </c>
      <c r="C19" s="1022"/>
      <c r="D19" s="1044" t="str">
        <f>VLOOKUP($A19,'Pre-Assessment Estimator'!$A$10:$AA$226,D$2,FALSE)</f>
        <v>Man 02</v>
      </c>
      <c r="E19" s="1044" t="str">
        <f>VLOOKUP($A19,'Pre-Assessment Estimator'!$A$10:$AA$226,E$2,FALSE)</f>
        <v>5-6</v>
      </c>
      <c r="F19" s="1045" t="str">
        <f>VLOOKUP($A19,'Pre-Assessment Estimator'!$A$10:$AA$226,F$2,FALSE)</f>
        <v>Component level life option appraisal</v>
      </c>
      <c r="G19" s="506">
        <f>VLOOKUP($A19,'Pre-Assessment Estimator'!$A$10:$AA$226,G$2,FALSE)</f>
        <v>1</v>
      </c>
      <c r="H19" s="512" t="str">
        <f>IF(VLOOKUP($A19,'Pre-Assessment Estimator'!$A$10:$AA$226,H$2,FALSE)=0,"",VLOOKUP($A19,'Pre-Assessment Estimator'!$A$10:$AA$226,H$2,FALSE))</f>
        <v/>
      </c>
      <c r="I19" s="507">
        <f>VLOOKUP($A19,'Pre-Assessment Estimator'!$A$10:$AA$226,I$2,FALSE)</f>
        <v>0</v>
      </c>
      <c r="J19" s="506" t="str">
        <f>VLOOKUP($A19,'Pre-Assessment Estimator'!$A$10:$AA$226,J$2,FALSE)</f>
        <v>N/A</v>
      </c>
      <c r="K19" s="509" t="str">
        <f>IF(VLOOKUP($A19,'Pre-Assessment Estimator'!$A$10:$AA$226,K$2,FALSE)=0,"",VLOOKUP($A19,'Pre-Assessment Estimator'!$A$10:$AA$226,K$2,FALSE))</f>
        <v/>
      </c>
      <c r="L19" s="509" t="str">
        <f>IF(VLOOKUP($A19,'Pre-Assessment Estimator'!$A$10:$AA$226,L$2,FALSE)=0,"",VLOOKUP($A19,'Pre-Assessment Estimator'!$A$10:$AA$226,L$2,FALSE))</f>
        <v/>
      </c>
      <c r="M19" s="510" t="str">
        <f>IF(VLOOKUP($A19,'Pre-Assessment Estimator'!$A$10:$AA$226,M$2,FALSE)=0,"",VLOOKUP($A19,'Pre-Assessment Estimator'!$A$10:$AA$226,M$2,FALSE))</f>
        <v/>
      </c>
      <c r="N19" s="511"/>
      <c r="O19" s="512" t="str">
        <f>IF(VLOOKUP($A19,'Pre-Assessment Estimator'!$A$10:$AA$226,O$2,FALSE)=0,"",VLOOKUP($A19,'Pre-Assessment Estimator'!$A$10:$AA$226,O$2,FALSE))</f>
        <v/>
      </c>
      <c r="P19" s="507">
        <f>VLOOKUP($A19,'Pre-Assessment Estimator'!$A$10:$AA$226,P$2,FALSE)</f>
        <v>0</v>
      </c>
      <c r="Q19" s="506" t="str">
        <f>VLOOKUP($A19,'Pre-Assessment Estimator'!$A$10:$AA$226,Q$2,FALSE)</f>
        <v>N/A</v>
      </c>
      <c r="R19" s="509" t="str">
        <f>IF(VLOOKUP($A19,'Pre-Assessment Estimator'!$A$10:$AA$226,R$2,FALSE)=0,"",VLOOKUP($A19,'Pre-Assessment Estimator'!$A$10:$AA$226,R$2,FALSE))</f>
        <v/>
      </c>
      <c r="S19" s="509" t="str">
        <f>IF(VLOOKUP($A19,'Pre-Assessment Estimator'!$A$10:$AA$226,S$2,FALSE)=0,"",VLOOKUP($A19,'Pre-Assessment Estimator'!$A$10:$AA$226,S$2,FALSE))</f>
        <v/>
      </c>
      <c r="T19" s="510" t="str">
        <f>IF(VLOOKUP($A19,'Pre-Assessment Estimator'!$A$10:$AA$226,T$2,FALSE)=0,"",VLOOKUP($A19,'Pre-Assessment Estimator'!$A$10:$AA$226,T$2,FALSE))</f>
        <v/>
      </c>
      <c r="U19" s="513"/>
      <c r="V19" s="512" t="str">
        <f>IF(VLOOKUP($A19,'Pre-Assessment Estimator'!$A$10:$AA$226,V$2,FALSE)=0,"",VLOOKUP($A19,'Pre-Assessment Estimator'!$A$10:$AA$226,V$2,FALSE))</f>
        <v/>
      </c>
      <c r="W19" s="507">
        <f>VLOOKUP($A19,'Pre-Assessment Estimator'!$A$10:$AA$226,W$2,FALSE)</f>
        <v>0</v>
      </c>
      <c r="X19" s="506" t="str">
        <f>VLOOKUP($A19,'Pre-Assessment Estimator'!$A$10:$AA$226,X$2,FALSE)</f>
        <v>N/A</v>
      </c>
      <c r="Y19" s="509" t="str">
        <f>IF(VLOOKUP($A19,'Pre-Assessment Estimator'!$A$10:$AA$226,Y$2,FALSE)=0,"",VLOOKUP($A19,'Pre-Assessment Estimator'!$A$10:$AA$226,Y$2,FALSE))</f>
        <v/>
      </c>
      <c r="Z19" s="509" t="str">
        <f>IF(VLOOKUP($A19,'Pre-Assessment Estimator'!$A$10:$AA$226,Z$2,FALSE)=0,"",VLOOKUP($A19,'Pre-Assessment Estimator'!$A$10:$AA$226,Z$2,FALSE))</f>
        <v/>
      </c>
      <c r="AA19" s="322" t="str">
        <f>IF(VLOOKUP($A19,'Pre-Assessment Estimator'!$A$10:$AA$226,AA$2,FALSE)=0,"",VLOOKUP($A19,'Pre-Assessment Estimator'!$A$10:$AA$226,AA$2,FALSE))</f>
        <v/>
      </c>
      <c r="AB19" s="605">
        <v>10</v>
      </c>
      <c r="AC19" s="509"/>
      <c r="AG19" s="15">
        <f t="shared" si="0"/>
        <v>1</v>
      </c>
      <c r="AH19" s="353"/>
      <c r="AM19" s="16"/>
    </row>
    <row r="20" spans="1:39" x14ac:dyDescent="0.25">
      <c r="A20" s="716">
        <v>11</v>
      </c>
      <c r="B20" s="1022" t="s">
        <v>61</v>
      </c>
      <c r="C20" s="1022"/>
      <c r="D20" s="1043" t="str">
        <f>VLOOKUP($A20,'Pre-Assessment Estimator'!$A$10:$AA$226,D$2,FALSE)</f>
        <v>Man 03</v>
      </c>
      <c r="E20" s="1044"/>
      <c r="F20" s="1043" t="str">
        <f>VLOOKUP($A20,'Pre-Assessment Estimator'!$A$10:$AA$226,F$2,FALSE)</f>
        <v>Man 03 Responsible construction practices</v>
      </c>
      <c r="G20" s="506">
        <f>VLOOKUP($A20,'Pre-Assessment Estimator'!$A$10:$AA$226,G$2,FALSE)</f>
        <v>7</v>
      </c>
      <c r="H20" s="512" t="str">
        <f>IF(VLOOKUP($A20,'Pre-Assessment Estimator'!$A$10:$AA$226,H$2,FALSE)=0,"",VLOOKUP($A20,'Pre-Assessment Estimator'!$A$10:$AA$226,H$2,FALSE))</f>
        <v/>
      </c>
      <c r="I20" s="507" t="str">
        <f>VLOOKUP($A20,'Pre-Assessment Estimator'!$A$10:$AA$226,I$2,FALSE)</f>
        <v>0 c. 0 %</v>
      </c>
      <c r="J20" s="506" t="str">
        <f>VLOOKUP($A20,'Pre-Assessment Estimator'!$A$10:$AA$226,J$2,FALSE)</f>
        <v>N/A</v>
      </c>
      <c r="K20" s="509" t="str">
        <f>IF(VLOOKUP($A20,'Pre-Assessment Estimator'!$A$10:$AA$226,K$2,FALSE)=0,"",VLOOKUP($A20,'Pre-Assessment Estimator'!$A$10:$AA$226,K$2,FALSE))</f>
        <v/>
      </c>
      <c r="L20" s="509" t="str">
        <f>IF(VLOOKUP($A20,'Pre-Assessment Estimator'!$A$10:$AA$226,L$2,FALSE)=0,"",VLOOKUP($A20,'Pre-Assessment Estimator'!$A$10:$AA$226,L$2,FALSE))</f>
        <v/>
      </c>
      <c r="M20" s="510" t="str">
        <f>IF(VLOOKUP($A20,'Pre-Assessment Estimator'!$A$10:$AA$226,M$2,FALSE)=0,"",VLOOKUP($A20,'Pre-Assessment Estimator'!$A$10:$AA$226,M$2,FALSE))</f>
        <v/>
      </c>
      <c r="N20" s="511"/>
      <c r="O20" s="512" t="str">
        <f>IF(VLOOKUP($A20,'Pre-Assessment Estimator'!$A$10:$AA$226,O$2,FALSE)=0,"",VLOOKUP($A20,'Pre-Assessment Estimator'!$A$10:$AA$226,O$2,FALSE))</f>
        <v/>
      </c>
      <c r="P20" s="507" t="str">
        <f>VLOOKUP($A20,'Pre-Assessment Estimator'!$A$10:$AA$226,P$2,FALSE)</f>
        <v>0 c. 0 %</v>
      </c>
      <c r="Q20" s="506" t="str">
        <f>VLOOKUP($A20,'Pre-Assessment Estimator'!$A$10:$AA$226,Q$2,FALSE)</f>
        <v>N/A</v>
      </c>
      <c r="R20" s="509" t="str">
        <f>IF(VLOOKUP($A20,'Pre-Assessment Estimator'!$A$10:$AA$226,R$2,FALSE)=0,"",VLOOKUP($A20,'Pre-Assessment Estimator'!$A$10:$AA$226,R$2,FALSE))</f>
        <v/>
      </c>
      <c r="S20" s="509" t="str">
        <f>IF(VLOOKUP($A20,'Pre-Assessment Estimator'!$A$10:$AA$226,S$2,FALSE)=0,"",VLOOKUP($A20,'Pre-Assessment Estimator'!$A$10:$AA$226,S$2,FALSE))</f>
        <v/>
      </c>
      <c r="T20" s="510" t="str">
        <f>IF(VLOOKUP($A20,'Pre-Assessment Estimator'!$A$10:$AA$226,T$2,FALSE)=0,"",VLOOKUP($A20,'Pre-Assessment Estimator'!$A$10:$AA$226,T$2,FALSE))</f>
        <v/>
      </c>
      <c r="U20" s="513"/>
      <c r="V20" s="512" t="str">
        <f>IF(VLOOKUP($A20,'Pre-Assessment Estimator'!$A$10:$AA$226,V$2,FALSE)=0,"",VLOOKUP($A20,'Pre-Assessment Estimator'!$A$10:$AA$226,V$2,FALSE))</f>
        <v/>
      </c>
      <c r="W20" s="507" t="str">
        <f>VLOOKUP($A20,'Pre-Assessment Estimator'!$A$10:$AA$226,W$2,FALSE)</f>
        <v>0 c. 0 %</v>
      </c>
      <c r="X20" s="506" t="str">
        <f>VLOOKUP($A20,'Pre-Assessment Estimator'!$A$10:$AA$226,X$2,FALSE)</f>
        <v>N/A</v>
      </c>
      <c r="Y20" s="509" t="str">
        <f>IF(VLOOKUP($A20,'Pre-Assessment Estimator'!$A$10:$AA$226,Y$2,FALSE)=0,"",VLOOKUP($A20,'Pre-Assessment Estimator'!$A$10:$AA$226,Y$2,FALSE))</f>
        <v/>
      </c>
      <c r="Z20" s="509" t="str">
        <f>IF(VLOOKUP($A20,'Pre-Assessment Estimator'!$A$10:$AA$226,Z$2,FALSE)=0,"",VLOOKUP($A20,'Pre-Assessment Estimator'!$A$10:$AA$226,Z$2,FALSE))</f>
        <v/>
      </c>
      <c r="AA20" s="322" t="str">
        <f>IF(VLOOKUP($A20,'Pre-Assessment Estimator'!$A$10:$AA$226,AA$2,FALSE)=0,"",VLOOKUP($A20,'Pre-Assessment Estimator'!$A$10:$AA$226,AA$2,FALSE))</f>
        <v/>
      </c>
      <c r="AB20" s="605">
        <v>11</v>
      </c>
      <c r="AC20" s="509"/>
      <c r="AG20" s="15">
        <f t="shared" si="0"/>
        <v>1</v>
      </c>
      <c r="AH20" s="353"/>
      <c r="AM20" s="16"/>
    </row>
    <row r="21" spans="1:39" x14ac:dyDescent="0.25">
      <c r="A21" s="716">
        <v>12</v>
      </c>
      <c r="B21" s="1022" t="s">
        <v>61</v>
      </c>
      <c r="C21" s="1022"/>
      <c r="D21" s="1044" t="str">
        <f>VLOOKUP($A21,'Pre-Assessment Estimator'!$A$10:$AA$226,D$2,FALSE)</f>
        <v>Man 03</v>
      </c>
      <c r="E21" s="1044">
        <f>VLOOKUP($A21,'Pre-Assessment Estimator'!$A$10:$AA$226,E$2,FALSE)</f>
        <v>1</v>
      </c>
      <c r="F21" s="1045" t="str">
        <f>VLOOKUP($A21,'Pre-Assessment Estimator'!$A$10:$AA$226,F$2,FALSE)</f>
        <v>Environmental managment</v>
      </c>
      <c r="G21" s="506">
        <f>VLOOKUP($A21,'Pre-Assessment Estimator'!$A$10:$AA$226,G$2,FALSE)</f>
        <v>1</v>
      </c>
      <c r="H21" s="512" t="str">
        <f>IF(VLOOKUP($A21,'Pre-Assessment Estimator'!$A$10:$AA$226,H$2,FALSE)=0,"",VLOOKUP($A21,'Pre-Assessment Estimator'!$A$10:$AA$226,H$2,FALSE))</f>
        <v/>
      </c>
      <c r="I21" s="507">
        <f>VLOOKUP($A21,'Pre-Assessment Estimator'!$A$10:$AA$226,I$2,FALSE)</f>
        <v>0</v>
      </c>
      <c r="J21" s="506" t="str">
        <f>VLOOKUP($A21,'Pre-Assessment Estimator'!$A$10:$AA$226,J$2,FALSE)</f>
        <v>N/A</v>
      </c>
      <c r="K21" s="509" t="str">
        <f>IF(VLOOKUP($A21,'Pre-Assessment Estimator'!$A$10:$AA$226,K$2,FALSE)=0,"",VLOOKUP($A21,'Pre-Assessment Estimator'!$A$10:$AA$226,K$2,FALSE))</f>
        <v/>
      </c>
      <c r="L21" s="509" t="str">
        <f>IF(VLOOKUP($A21,'Pre-Assessment Estimator'!$A$10:$AA$226,L$2,FALSE)=0,"",VLOOKUP($A21,'Pre-Assessment Estimator'!$A$10:$AA$226,L$2,FALSE))</f>
        <v/>
      </c>
      <c r="M21" s="510" t="str">
        <f>IF(VLOOKUP($A21,'Pre-Assessment Estimator'!$A$10:$AA$226,M$2,FALSE)=0,"",VLOOKUP($A21,'Pre-Assessment Estimator'!$A$10:$AA$226,M$2,FALSE))</f>
        <v/>
      </c>
      <c r="N21" s="511"/>
      <c r="O21" s="512" t="str">
        <f>IF(VLOOKUP($A21,'Pre-Assessment Estimator'!$A$10:$AA$226,O$2,FALSE)=0,"",VLOOKUP($A21,'Pre-Assessment Estimator'!$A$10:$AA$226,O$2,FALSE))</f>
        <v/>
      </c>
      <c r="P21" s="507">
        <f>VLOOKUP($A21,'Pre-Assessment Estimator'!$A$10:$AA$226,P$2,FALSE)</f>
        <v>0</v>
      </c>
      <c r="Q21" s="506" t="str">
        <f>VLOOKUP($A21,'Pre-Assessment Estimator'!$A$10:$AA$226,Q$2,FALSE)</f>
        <v>N/A</v>
      </c>
      <c r="R21" s="509" t="str">
        <f>IF(VLOOKUP($A21,'Pre-Assessment Estimator'!$A$10:$AA$226,R$2,FALSE)=0,"",VLOOKUP($A21,'Pre-Assessment Estimator'!$A$10:$AA$226,R$2,FALSE))</f>
        <v/>
      </c>
      <c r="S21" s="509" t="str">
        <f>IF(VLOOKUP($A21,'Pre-Assessment Estimator'!$A$10:$AA$226,S$2,FALSE)=0,"",VLOOKUP($A21,'Pre-Assessment Estimator'!$A$10:$AA$226,S$2,FALSE))</f>
        <v/>
      </c>
      <c r="T21" s="510" t="str">
        <f>IF(VLOOKUP($A21,'Pre-Assessment Estimator'!$A$10:$AA$226,T$2,FALSE)=0,"",VLOOKUP($A21,'Pre-Assessment Estimator'!$A$10:$AA$226,T$2,FALSE))</f>
        <v/>
      </c>
      <c r="U21" s="513"/>
      <c r="V21" s="512" t="str">
        <f>IF(VLOOKUP($A21,'Pre-Assessment Estimator'!$A$10:$AA$226,V$2,FALSE)=0,"",VLOOKUP($A21,'Pre-Assessment Estimator'!$A$10:$AA$226,V$2,FALSE))</f>
        <v/>
      </c>
      <c r="W21" s="507">
        <f>VLOOKUP($A21,'Pre-Assessment Estimator'!$A$10:$AA$226,W$2,FALSE)</f>
        <v>0</v>
      </c>
      <c r="X21" s="506" t="str">
        <f>VLOOKUP($A21,'Pre-Assessment Estimator'!$A$10:$AA$226,X$2,FALSE)</f>
        <v>N/A</v>
      </c>
      <c r="Y21" s="509" t="str">
        <f>IF(VLOOKUP($A21,'Pre-Assessment Estimator'!$A$10:$AA$226,Y$2,FALSE)=0,"",VLOOKUP($A21,'Pre-Assessment Estimator'!$A$10:$AA$226,Y$2,FALSE))</f>
        <v/>
      </c>
      <c r="Z21" s="509" t="str">
        <f>IF(VLOOKUP($A21,'Pre-Assessment Estimator'!$A$10:$AA$226,Z$2,FALSE)=0,"",VLOOKUP($A21,'Pre-Assessment Estimator'!$A$10:$AA$226,Z$2,FALSE))</f>
        <v/>
      </c>
      <c r="AA21" s="322" t="str">
        <f>IF(VLOOKUP($A21,'Pre-Assessment Estimator'!$A$10:$AA$226,AA$2,FALSE)=0,"",VLOOKUP($A21,'Pre-Assessment Estimator'!$A$10:$AA$226,AA$2,FALSE))</f>
        <v/>
      </c>
      <c r="AB21" s="605">
        <v>12</v>
      </c>
      <c r="AC21" s="509"/>
      <c r="AG21" s="15">
        <f t="shared" si="0"/>
        <v>1</v>
      </c>
      <c r="AH21" s="353"/>
      <c r="AM21" s="16"/>
    </row>
    <row r="22" spans="1:39" x14ac:dyDescent="0.25">
      <c r="A22" s="716">
        <v>13</v>
      </c>
      <c r="B22" s="1022" t="s">
        <v>61</v>
      </c>
      <c r="C22" s="1022"/>
      <c r="D22" s="1044" t="str">
        <f>VLOOKUP($A22,'Pre-Assessment Estimator'!$A$10:$AA$226,D$2,FALSE)</f>
        <v>Man 03</v>
      </c>
      <c r="E22" s="1044" t="str">
        <f>VLOOKUP($A22,'Pre-Assessment Estimator'!$A$10:$AA$226,E$2,FALSE)</f>
        <v>2-4</v>
      </c>
      <c r="F22" s="1045" t="str">
        <f>VLOOKUP($A22,'Pre-Assessment Estimator'!$A$10:$AA$226,F$2,FALSE)</f>
        <v>BREEAM-NOR AP and BREEAM performance targets (stage 5 and 6)</v>
      </c>
      <c r="G22" s="506">
        <f>VLOOKUP($A22,'Pre-Assessment Estimator'!$A$10:$AA$226,G$2,FALSE)</f>
        <v>1</v>
      </c>
      <c r="H22" s="512" t="str">
        <f>IF(VLOOKUP($A22,'Pre-Assessment Estimator'!$A$10:$AA$226,H$2,FALSE)=0,"",VLOOKUP($A22,'Pre-Assessment Estimator'!$A$10:$AA$226,H$2,FALSE))</f>
        <v/>
      </c>
      <c r="I22" s="507">
        <f>VLOOKUP($A22,'Pre-Assessment Estimator'!$A$10:$AA$226,I$2,FALSE)</f>
        <v>0</v>
      </c>
      <c r="J22" s="506" t="str">
        <f>VLOOKUP($A22,'Pre-Assessment Estimator'!$A$10:$AA$226,J$2,FALSE)</f>
        <v>N/A</v>
      </c>
      <c r="K22" s="509" t="str">
        <f>IF(VLOOKUP($A22,'Pre-Assessment Estimator'!$A$10:$AA$226,K$2,FALSE)=0,"",VLOOKUP($A22,'Pre-Assessment Estimator'!$A$10:$AA$226,K$2,FALSE))</f>
        <v/>
      </c>
      <c r="L22" s="509" t="str">
        <f>IF(VLOOKUP($A22,'Pre-Assessment Estimator'!$A$10:$AA$226,L$2,FALSE)=0,"",VLOOKUP($A22,'Pre-Assessment Estimator'!$A$10:$AA$226,L$2,FALSE))</f>
        <v/>
      </c>
      <c r="M22" s="510" t="str">
        <f>IF(VLOOKUP($A22,'Pre-Assessment Estimator'!$A$10:$AA$226,M$2,FALSE)=0,"",VLOOKUP($A22,'Pre-Assessment Estimator'!$A$10:$AA$226,M$2,FALSE))</f>
        <v/>
      </c>
      <c r="N22" s="511"/>
      <c r="O22" s="512" t="str">
        <f>IF(VLOOKUP($A22,'Pre-Assessment Estimator'!$A$10:$AA$226,O$2,FALSE)=0,"",VLOOKUP($A22,'Pre-Assessment Estimator'!$A$10:$AA$226,O$2,FALSE))</f>
        <v/>
      </c>
      <c r="P22" s="507">
        <f>VLOOKUP($A22,'Pre-Assessment Estimator'!$A$10:$AA$226,P$2,FALSE)</f>
        <v>0</v>
      </c>
      <c r="Q22" s="506" t="str">
        <f>VLOOKUP($A22,'Pre-Assessment Estimator'!$A$10:$AA$226,Q$2,FALSE)</f>
        <v>N/A</v>
      </c>
      <c r="R22" s="509" t="str">
        <f>IF(VLOOKUP($A22,'Pre-Assessment Estimator'!$A$10:$AA$226,R$2,FALSE)=0,"",VLOOKUP($A22,'Pre-Assessment Estimator'!$A$10:$AA$226,R$2,FALSE))</f>
        <v/>
      </c>
      <c r="S22" s="509" t="str">
        <f>IF(VLOOKUP($A22,'Pre-Assessment Estimator'!$A$10:$AA$226,S$2,FALSE)=0,"",VLOOKUP($A22,'Pre-Assessment Estimator'!$A$10:$AA$226,S$2,FALSE))</f>
        <v/>
      </c>
      <c r="T22" s="510" t="str">
        <f>IF(VLOOKUP($A22,'Pre-Assessment Estimator'!$A$10:$AA$226,T$2,FALSE)=0,"",VLOOKUP($A22,'Pre-Assessment Estimator'!$A$10:$AA$226,T$2,FALSE))</f>
        <v/>
      </c>
      <c r="U22" s="513"/>
      <c r="V22" s="512" t="str">
        <f>IF(VLOOKUP($A22,'Pre-Assessment Estimator'!$A$10:$AA$226,V$2,FALSE)=0,"",VLOOKUP($A22,'Pre-Assessment Estimator'!$A$10:$AA$226,V$2,FALSE))</f>
        <v/>
      </c>
      <c r="W22" s="507">
        <f>VLOOKUP($A22,'Pre-Assessment Estimator'!$A$10:$AA$226,W$2,FALSE)</f>
        <v>0</v>
      </c>
      <c r="X22" s="506" t="str">
        <f>VLOOKUP($A22,'Pre-Assessment Estimator'!$A$10:$AA$226,X$2,FALSE)</f>
        <v>N/A</v>
      </c>
      <c r="Y22" s="509" t="str">
        <f>IF(VLOOKUP($A22,'Pre-Assessment Estimator'!$A$10:$AA$226,Y$2,FALSE)=0,"",VLOOKUP($A22,'Pre-Assessment Estimator'!$A$10:$AA$226,Y$2,FALSE))</f>
        <v/>
      </c>
      <c r="Z22" s="509" t="str">
        <f>IF(VLOOKUP($A22,'Pre-Assessment Estimator'!$A$10:$AA$226,Z$2,FALSE)=0,"",VLOOKUP($A22,'Pre-Assessment Estimator'!$A$10:$AA$226,Z$2,FALSE))</f>
        <v/>
      </c>
      <c r="AA22" s="322" t="str">
        <f>IF(VLOOKUP($A22,'Pre-Assessment Estimator'!$A$10:$AA$226,AA$2,FALSE)=0,"",VLOOKUP($A22,'Pre-Assessment Estimator'!$A$10:$AA$226,AA$2,FALSE))</f>
        <v/>
      </c>
      <c r="AB22" s="605">
        <v>13</v>
      </c>
      <c r="AC22" s="509"/>
      <c r="AG22" s="15">
        <f t="shared" si="0"/>
        <v>1</v>
      </c>
      <c r="AH22" s="353"/>
      <c r="AM22" s="16"/>
    </row>
    <row r="23" spans="1:39" ht="30" x14ac:dyDescent="0.25">
      <c r="A23" s="716">
        <v>14</v>
      </c>
      <c r="B23" s="1022" t="s">
        <v>61</v>
      </c>
      <c r="C23" s="1022"/>
      <c r="D23" s="1044" t="str">
        <f>VLOOKUP($A23,'Pre-Assessment Estimator'!$A$10:$AA$226,D$2,FALSE)</f>
        <v>Man 03</v>
      </c>
      <c r="E23" s="1044" t="str">
        <f>VLOOKUP($A23,'Pre-Assessment Estimator'!$A$10:$AA$226,E$2,FALSE)</f>
        <v>5-6</v>
      </c>
      <c r="F23" s="1045" t="str">
        <f>VLOOKUP($A23,'Pre-Assessment Estimator'!$A$10:$AA$226,F$2,FALSE)</f>
        <v>Considerate contruction: clean and tidy building process and checklist A1 (EU taxonomy requirement: criterion 5-6)</v>
      </c>
      <c r="G23" s="506">
        <f>VLOOKUP($A23,'Pre-Assessment Estimator'!$A$10:$AA$226,G$2,FALSE)</f>
        <v>1</v>
      </c>
      <c r="H23" s="512" t="str">
        <f>IF(VLOOKUP($A23,'Pre-Assessment Estimator'!$A$10:$AA$226,H$2,FALSE)=0,"",VLOOKUP($A23,'Pre-Assessment Estimator'!$A$10:$AA$226,H$2,FALSE))</f>
        <v/>
      </c>
      <c r="I23" s="507">
        <f>VLOOKUP($A23,'Pre-Assessment Estimator'!$A$10:$AA$226,I$2,FALSE)</f>
        <v>0</v>
      </c>
      <c r="J23" s="506" t="str">
        <f>VLOOKUP($A23,'Pre-Assessment Estimator'!$A$10:$AA$226,J$2,FALSE)</f>
        <v>Unclassified</v>
      </c>
      <c r="K23" s="509" t="str">
        <f>IF(VLOOKUP($A23,'Pre-Assessment Estimator'!$A$10:$AA$226,K$2,FALSE)=0,"",VLOOKUP($A23,'Pre-Assessment Estimator'!$A$10:$AA$226,K$2,FALSE))</f>
        <v/>
      </c>
      <c r="L23" s="509" t="str">
        <f>IF(VLOOKUP($A23,'Pre-Assessment Estimator'!$A$10:$AA$226,L$2,FALSE)=0,"",VLOOKUP($A23,'Pre-Assessment Estimator'!$A$10:$AA$226,L$2,FALSE))</f>
        <v/>
      </c>
      <c r="M23" s="510" t="str">
        <f>IF(VLOOKUP($A23,'Pre-Assessment Estimator'!$A$10:$AA$226,M$2,FALSE)=0,"",VLOOKUP($A23,'Pre-Assessment Estimator'!$A$10:$AA$226,M$2,FALSE))</f>
        <v/>
      </c>
      <c r="N23" s="511"/>
      <c r="O23" s="512" t="str">
        <f>IF(VLOOKUP($A23,'Pre-Assessment Estimator'!$A$10:$AA$226,O$2,FALSE)=0,"",VLOOKUP($A23,'Pre-Assessment Estimator'!$A$10:$AA$226,O$2,FALSE))</f>
        <v/>
      </c>
      <c r="P23" s="507">
        <f>VLOOKUP($A23,'Pre-Assessment Estimator'!$A$10:$AA$226,P$2,FALSE)</f>
        <v>0</v>
      </c>
      <c r="Q23" s="506" t="str">
        <f>VLOOKUP($A23,'Pre-Assessment Estimator'!$A$10:$AA$226,Q$2,FALSE)</f>
        <v>Unclassified</v>
      </c>
      <c r="R23" s="509" t="str">
        <f>IF(VLOOKUP($A23,'Pre-Assessment Estimator'!$A$10:$AA$226,R$2,FALSE)=0,"",VLOOKUP($A23,'Pre-Assessment Estimator'!$A$10:$AA$226,R$2,FALSE))</f>
        <v/>
      </c>
      <c r="S23" s="509" t="str">
        <f>IF(VLOOKUP($A23,'Pre-Assessment Estimator'!$A$10:$AA$226,S$2,FALSE)=0,"",VLOOKUP($A23,'Pre-Assessment Estimator'!$A$10:$AA$226,S$2,FALSE))</f>
        <v/>
      </c>
      <c r="T23" s="510" t="str">
        <f>IF(VLOOKUP($A23,'Pre-Assessment Estimator'!$A$10:$AA$226,T$2,FALSE)=0,"",VLOOKUP($A23,'Pre-Assessment Estimator'!$A$10:$AA$226,T$2,FALSE))</f>
        <v/>
      </c>
      <c r="U23" s="513"/>
      <c r="V23" s="512" t="str">
        <f>IF(VLOOKUP($A23,'Pre-Assessment Estimator'!$A$10:$AA$226,V$2,FALSE)=0,"",VLOOKUP($A23,'Pre-Assessment Estimator'!$A$10:$AA$226,V$2,FALSE))</f>
        <v/>
      </c>
      <c r="W23" s="507">
        <f>VLOOKUP($A23,'Pre-Assessment Estimator'!$A$10:$AA$226,W$2,FALSE)</f>
        <v>0</v>
      </c>
      <c r="X23" s="506" t="str">
        <f>VLOOKUP($A23,'Pre-Assessment Estimator'!$A$10:$AA$226,X$2,FALSE)</f>
        <v>Unclassified</v>
      </c>
      <c r="Y23" s="509" t="str">
        <f>IF(VLOOKUP($A23,'Pre-Assessment Estimator'!$A$10:$AA$226,Y$2,FALSE)=0,"",VLOOKUP($A23,'Pre-Assessment Estimator'!$A$10:$AA$226,Y$2,FALSE))</f>
        <v/>
      </c>
      <c r="Z23" s="509" t="str">
        <f>IF(VLOOKUP($A23,'Pre-Assessment Estimator'!$A$10:$AA$226,Z$2,FALSE)=0,"",VLOOKUP($A23,'Pre-Assessment Estimator'!$A$10:$AA$226,Z$2,FALSE))</f>
        <v/>
      </c>
      <c r="AA23" s="322" t="str">
        <f>IF(VLOOKUP($A23,'Pre-Assessment Estimator'!$A$10:$AA$226,AA$2,FALSE)=0,"",VLOOKUP($A23,'Pre-Assessment Estimator'!$A$10:$AA$226,AA$2,FALSE))</f>
        <v/>
      </c>
      <c r="AB23" s="605">
        <v>14</v>
      </c>
      <c r="AC23" s="509"/>
      <c r="AG23" s="15">
        <f t="shared" si="0"/>
        <v>1</v>
      </c>
      <c r="AH23" s="353"/>
      <c r="AM23" s="16"/>
    </row>
    <row r="24" spans="1:39" ht="30" x14ac:dyDescent="0.25">
      <c r="A24" s="716">
        <v>15</v>
      </c>
      <c r="B24" s="1022" t="s">
        <v>61</v>
      </c>
      <c r="C24" s="1022"/>
      <c r="D24" s="1044" t="str">
        <f>VLOOKUP($A24,'Pre-Assessment Estimator'!$A$10:$AA$226,D$2,FALSE)</f>
        <v>Man 03</v>
      </c>
      <c r="E24" s="1044" t="str">
        <f>VLOOKUP($A24,'Pre-Assessment Estimator'!$A$10:$AA$226,E$2,FALSE)</f>
        <v>7-9</v>
      </c>
      <c r="F24" s="1045" t="str">
        <f>VLOOKUP($A24,'Pre-Assessment Estimator'!$A$10:$AA$226,F$2,FALSE)</f>
        <v>Considerate contruction: INSTA 800 and checklist A1 (EU taxonomy requirement: criterion 7-9)</v>
      </c>
      <c r="G24" s="506">
        <f>VLOOKUP($A24,'Pre-Assessment Estimator'!$A$10:$AA$226,G$2,FALSE)</f>
        <v>1</v>
      </c>
      <c r="H24" s="512" t="str">
        <f>IF(VLOOKUP($A24,'Pre-Assessment Estimator'!$A$10:$AA$226,H$2,FALSE)=0,"",VLOOKUP($A24,'Pre-Assessment Estimator'!$A$10:$AA$226,H$2,FALSE))</f>
        <v/>
      </c>
      <c r="I24" s="507">
        <f>VLOOKUP($A24,'Pre-Assessment Estimator'!$A$10:$AA$226,I$2,FALSE)</f>
        <v>0</v>
      </c>
      <c r="J24" s="506" t="str">
        <f>VLOOKUP($A24,'Pre-Assessment Estimator'!$A$10:$AA$226,J$2,FALSE)</f>
        <v>Good</v>
      </c>
      <c r="K24" s="509" t="str">
        <f>IF(VLOOKUP($A24,'Pre-Assessment Estimator'!$A$10:$AA$226,K$2,FALSE)=0,"",VLOOKUP($A24,'Pre-Assessment Estimator'!$A$10:$AA$226,K$2,FALSE))</f>
        <v/>
      </c>
      <c r="L24" s="509" t="str">
        <f>IF(VLOOKUP($A24,'Pre-Assessment Estimator'!$A$10:$AA$226,L$2,FALSE)=0,"",VLOOKUP($A24,'Pre-Assessment Estimator'!$A$10:$AA$226,L$2,FALSE))</f>
        <v/>
      </c>
      <c r="M24" s="510" t="str">
        <f>IF(VLOOKUP($A24,'Pre-Assessment Estimator'!$A$10:$AA$226,M$2,FALSE)=0,"",VLOOKUP($A24,'Pre-Assessment Estimator'!$A$10:$AA$226,M$2,FALSE))</f>
        <v/>
      </c>
      <c r="N24" s="511"/>
      <c r="O24" s="512" t="str">
        <f>IF(VLOOKUP($A24,'Pre-Assessment Estimator'!$A$10:$AA$226,O$2,FALSE)=0,"",VLOOKUP($A24,'Pre-Assessment Estimator'!$A$10:$AA$226,O$2,FALSE))</f>
        <v/>
      </c>
      <c r="P24" s="507">
        <f>VLOOKUP($A24,'Pre-Assessment Estimator'!$A$10:$AA$226,P$2,FALSE)</f>
        <v>0</v>
      </c>
      <c r="Q24" s="506" t="str">
        <f>VLOOKUP($A24,'Pre-Assessment Estimator'!$A$10:$AA$226,Q$2,FALSE)</f>
        <v>Good</v>
      </c>
      <c r="R24" s="509" t="str">
        <f>IF(VLOOKUP($A24,'Pre-Assessment Estimator'!$A$10:$AA$226,R$2,FALSE)=0,"",VLOOKUP($A24,'Pre-Assessment Estimator'!$A$10:$AA$226,R$2,FALSE))</f>
        <v/>
      </c>
      <c r="S24" s="509" t="str">
        <f>IF(VLOOKUP($A24,'Pre-Assessment Estimator'!$A$10:$AA$226,S$2,FALSE)=0,"",VLOOKUP($A24,'Pre-Assessment Estimator'!$A$10:$AA$226,S$2,FALSE))</f>
        <v/>
      </c>
      <c r="T24" s="510" t="str">
        <f>IF(VLOOKUP($A24,'Pre-Assessment Estimator'!$A$10:$AA$226,T$2,FALSE)=0,"",VLOOKUP($A24,'Pre-Assessment Estimator'!$A$10:$AA$226,T$2,FALSE))</f>
        <v/>
      </c>
      <c r="U24" s="513"/>
      <c r="V24" s="512" t="str">
        <f>IF(VLOOKUP($A24,'Pre-Assessment Estimator'!$A$10:$AA$226,V$2,FALSE)=0,"",VLOOKUP($A24,'Pre-Assessment Estimator'!$A$10:$AA$226,V$2,FALSE))</f>
        <v/>
      </c>
      <c r="W24" s="507">
        <f>VLOOKUP($A24,'Pre-Assessment Estimator'!$A$10:$AA$226,W$2,FALSE)</f>
        <v>0</v>
      </c>
      <c r="X24" s="506" t="str">
        <f>VLOOKUP($A24,'Pre-Assessment Estimator'!$A$10:$AA$226,X$2,FALSE)</f>
        <v>Good</v>
      </c>
      <c r="Y24" s="509" t="str">
        <f>IF(VLOOKUP($A24,'Pre-Assessment Estimator'!$A$10:$AA$226,Y$2,FALSE)=0,"",VLOOKUP($A24,'Pre-Assessment Estimator'!$A$10:$AA$226,Y$2,FALSE))</f>
        <v/>
      </c>
      <c r="Z24" s="509" t="str">
        <f>IF(VLOOKUP($A24,'Pre-Assessment Estimator'!$A$10:$AA$226,Z$2,FALSE)=0,"",VLOOKUP($A24,'Pre-Assessment Estimator'!$A$10:$AA$226,Z$2,FALSE))</f>
        <v/>
      </c>
      <c r="AA24" s="322" t="str">
        <f>IF(VLOOKUP($A24,'Pre-Assessment Estimator'!$A$10:$AA$226,AA$2,FALSE)=0,"",VLOOKUP($A24,'Pre-Assessment Estimator'!$A$10:$AA$226,AA$2,FALSE))</f>
        <v/>
      </c>
      <c r="AB24" s="605">
        <v>15</v>
      </c>
      <c r="AC24" s="509"/>
      <c r="AG24" s="15">
        <f t="shared" si="0"/>
        <v>1</v>
      </c>
      <c r="AH24" s="353"/>
      <c r="AM24" s="16"/>
    </row>
    <row r="25" spans="1:39" x14ac:dyDescent="0.25">
      <c r="A25" s="716">
        <v>16</v>
      </c>
      <c r="B25" s="1022" t="s">
        <v>61</v>
      </c>
      <c r="C25" s="1022"/>
      <c r="D25" s="1044" t="str">
        <f>VLOOKUP($A25,'Pre-Assessment Estimator'!$A$10:$AA$226,D$2,FALSE)</f>
        <v>Man 03</v>
      </c>
      <c r="E25" s="1044" t="str">
        <f>VLOOKUP($A25,'Pre-Assessment Estimator'!$A$10:$AA$226,E$2,FALSE)</f>
        <v>10-11</v>
      </c>
      <c r="F25" s="1045" t="str">
        <f>VLOOKUP($A25,'Pre-Assessment Estimator'!$A$10:$AA$226,F$2,FALSE)</f>
        <v>Energy consumption from activities on the construction site (step 2-4)</v>
      </c>
      <c r="G25" s="506">
        <f>VLOOKUP($A25,'Pre-Assessment Estimator'!$A$10:$AA$226,G$2,FALSE)</f>
        <v>1</v>
      </c>
      <c r="H25" s="512" t="str">
        <f>IF(VLOOKUP($A25,'Pre-Assessment Estimator'!$A$10:$AA$226,H$2,FALSE)=0,"",VLOOKUP($A25,'Pre-Assessment Estimator'!$A$10:$AA$226,H$2,FALSE))</f>
        <v/>
      </c>
      <c r="I25" s="507">
        <f>VLOOKUP($A25,'Pre-Assessment Estimator'!$A$10:$AA$226,I$2,FALSE)</f>
        <v>0</v>
      </c>
      <c r="J25" s="506" t="str">
        <f>VLOOKUP($A25,'Pre-Assessment Estimator'!$A$10:$AA$226,J$2,FALSE)</f>
        <v>Very Good</v>
      </c>
      <c r="K25" s="509" t="str">
        <f>IF(VLOOKUP($A25,'Pre-Assessment Estimator'!$A$10:$AA$226,K$2,FALSE)=0,"",VLOOKUP($A25,'Pre-Assessment Estimator'!$A$10:$AA$226,K$2,FALSE))</f>
        <v/>
      </c>
      <c r="L25" s="509" t="str">
        <f>IF(VLOOKUP($A25,'Pre-Assessment Estimator'!$A$10:$AA$226,L$2,FALSE)=0,"",VLOOKUP($A25,'Pre-Assessment Estimator'!$A$10:$AA$226,L$2,FALSE))</f>
        <v/>
      </c>
      <c r="M25" s="510" t="str">
        <f>IF(VLOOKUP($A25,'Pre-Assessment Estimator'!$A$10:$AA$226,M$2,FALSE)=0,"",VLOOKUP($A25,'Pre-Assessment Estimator'!$A$10:$AA$226,M$2,FALSE))</f>
        <v/>
      </c>
      <c r="N25" s="511"/>
      <c r="O25" s="512" t="str">
        <f>IF(VLOOKUP($A25,'Pre-Assessment Estimator'!$A$10:$AA$226,O$2,FALSE)=0,"",VLOOKUP($A25,'Pre-Assessment Estimator'!$A$10:$AA$226,O$2,FALSE))</f>
        <v/>
      </c>
      <c r="P25" s="507">
        <f>VLOOKUP($A25,'Pre-Assessment Estimator'!$A$10:$AA$226,P$2,FALSE)</f>
        <v>0</v>
      </c>
      <c r="Q25" s="506" t="str">
        <f>VLOOKUP($A25,'Pre-Assessment Estimator'!$A$10:$AA$226,Q$2,FALSE)</f>
        <v>Very Good</v>
      </c>
      <c r="R25" s="509" t="str">
        <f>IF(VLOOKUP($A25,'Pre-Assessment Estimator'!$A$10:$AA$226,R$2,FALSE)=0,"",VLOOKUP($A25,'Pre-Assessment Estimator'!$A$10:$AA$226,R$2,FALSE))</f>
        <v/>
      </c>
      <c r="S25" s="509" t="str">
        <f>IF(VLOOKUP($A25,'Pre-Assessment Estimator'!$A$10:$AA$226,S$2,FALSE)=0,"",VLOOKUP($A25,'Pre-Assessment Estimator'!$A$10:$AA$226,S$2,FALSE))</f>
        <v/>
      </c>
      <c r="T25" s="510" t="str">
        <f>IF(VLOOKUP($A25,'Pre-Assessment Estimator'!$A$10:$AA$226,T$2,FALSE)=0,"",VLOOKUP($A25,'Pre-Assessment Estimator'!$A$10:$AA$226,T$2,FALSE))</f>
        <v/>
      </c>
      <c r="U25" s="513"/>
      <c r="V25" s="512" t="str">
        <f>IF(VLOOKUP($A25,'Pre-Assessment Estimator'!$A$10:$AA$226,V$2,FALSE)=0,"",VLOOKUP($A25,'Pre-Assessment Estimator'!$A$10:$AA$226,V$2,FALSE))</f>
        <v/>
      </c>
      <c r="W25" s="507">
        <f>VLOOKUP($A25,'Pre-Assessment Estimator'!$A$10:$AA$226,W$2,FALSE)</f>
        <v>0</v>
      </c>
      <c r="X25" s="506" t="str">
        <f>VLOOKUP($A25,'Pre-Assessment Estimator'!$A$10:$AA$226,X$2,FALSE)</f>
        <v>Very Good</v>
      </c>
      <c r="Y25" s="509" t="str">
        <f>IF(VLOOKUP($A25,'Pre-Assessment Estimator'!$A$10:$AA$226,Y$2,FALSE)=0,"",VLOOKUP($A25,'Pre-Assessment Estimator'!$A$10:$AA$226,Y$2,FALSE))</f>
        <v/>
      </c>
      <c r="Z25" s="509" t="str">
        <f>IF(VLOOKUP($A25,'Pre-Assessment Estimator'!$A$10:$AA$226,Z$2,FALSE)=0,"",VLOOKUP($A25,'Pre-Assessment Estimator'!$A$10:$AA$226,Z$2,FALSE))</f>
        <v/>
      </c>
      <c r="AA25" s="322" t="str">
        <f>IF(VLOOKUP($A25,'Pre-Assessment Estimator'!$A$10:$AA$226,AA$2,FALSE)=0,"",VLOOKUP($A25,'Pre-Assessment Estimator'!$A$10:$AA$226,AA$2,FALSE))</f>
        <v/>
      </c>
      <c r="AB25" s="605">
        <v>16</v>
      </c>
      <c r="AC25" s="509"/>
      <c r="AG25" s="15">
        <f t="shared" si="0"/>
        <v>1</v>
      </c>
      <c r="AH25" s="353"/>
      <c r="AM25" s="16"/>
    </row>
    <row r="26" spans="1:39" x14ac:dyDescent="0.25">
      <c r="A26" s="716">
        <v>17</v>
      </c>
      <c r="B26" s="1022" t="s">
        <v>61</v>
      </c>
      <c r="C26" s="1022"/>
      <c r="D26" s="1044" t="str">
        <f>VLOOKUP($A26,'Pre-Assessment Estimator'!$A$10:$AA$226,D$2,FALSE)</f>
        <v>Man 03</v>
      </c>
      <c r="E26" s="1044" t="str">
        <f>VLOOKUP($A26,'Pre-Assessment Estimator'!$A$10:$AA$226,E$2,FALSE)</f>
        <v>12-13</v>
      </c>
      <c r="F26" s="1045" t="str">
        <f>VLOOKUP($A26,'Pre-Assessment Estimator'!$A$10:$AA$226,F$2,FALSE)</f>
        <v>Energy consumption from transport of masses and waste (step 2-4)</v>
      </c>
      <c r="G26" s="506">
        <f>VLOOKUP($A26,'Pre-Assessment Estimator'!$A$10:$AA$226,G$2,FALSE)</f>
        <v>2</v>
      </c>
      <c r="H26" s="512" t="str">
        <f>IF(VLOOKUP($A26,'Pre-Assessment Estimator'!$A$10:$AA$226,H$2,FALSE)=0,"",VLOOKUP($A26,'Pre-Assessment Estimator'!$A$10:$AA$226,H$2,FALSE))</f>
        <v/>
      </c>
      <c r="I26" s="507">
        <f>VLOOKUP($A26,'Pre-Assessment Estimator'!$A$10:$AA$226,I$2,FALSE)</f>
        <v>0</v>
      </c>
      <c r="J26" s="506" t="str">
        <f>VLOOKUP($A26,'Pre-Assessment Estimator'!$A$10:$AA$226,J$2,FALSE)</f>
        <v>Very Good</v>
      </c>
      <c r="K26" s="509" t="str">
        <f>IF(VLOOKUP($A26,'Pre-Assessment Estimator'!$A$10:$AA$226,K$2,FALSE)=0,"",VLOOKUP($A26,'Pre-Assessment Estimator'!$A$10:$AA$226,K$2,FALSE))</f>
        <v/>
      </c>
      <c r="L26" s="509" t="str">
        <f>IF(VLOOKUP($A26,'Pre-Assessment Estimator'!$A$10:$AA$226,L$2,FALSE)=0,"",VLOOKUP($A26,'Pre-Assessment Estimator'!$A$10:$AA$226,L$2,FALSE))</f>
        <v/>
      </c>
      <c r="M26" s="510" t="str">
        <f>IF(VLOOKUP($A26,'Pre-Assessment Estimator'!$A$10:$AA$226,M$2,FALSE)=0,"",VLOOKUP($A26,'Pre-Assessment Estimator'!$A$10:$AA$226,M$2,FALSE))</f>
        <v/>
      </c>
      <c r="N26" s="511"/>
      <c r="O26" s="512" t="str">
        <f>IF(VLOOKUP($A26,'Pre-Assessment Estimator'!$A$10:$AA$226,O$2,FALSE)=0,"",VLOOKUP($A26,'Pre-Assessment Estimator'!$A$10:$AA$226,O$2,FALSE))</f>
        <v/>
      </c>
      <c r="P26" s="507">
        <f>VLOOKUP($A26,'Pre-Assessment Estimator'!$A$10:$AA$226,P$2,FALSE)</f>
        <v>0</v>
      </c>
      <c r="Q26" s="506" t="str">
        <f>VLOOKUP($A26,'Pre-Assessment Estimator'!$A$10:$AA$226,Q$2,FALSE)</f>
        <v>Very Good</v>
      </c>
      <c r="R26" s="509" t="str">
        <f>IF(VLOOKUP($A26,'Pre-Assessment Estimator'!$A$10:$AA$226,R$2,FALSE)=0,"",VLOOKUP($A26,'Pre-Assessment Estimator'!$A$10:$AA$226,R$2,FALSE))</f>
        <v/>
      </c>
      <c r="S26" s="509" t="str">
        <f>IF(VLOOKUP($A26,'Pre-Assessment Estimator'!$A$10:$AA$226,S$2,FALSE)=0,"",VLOOKUP($A26,'Pre-Assessment Estimator'!$A$10:$AA$226,S$2,FALSE))</f>
        <v/>
      </c>
      <c r="T26" s="510" t="str">
        <f>IF(VLOOKUP($A26,'Pre-Assessment Estimator'!$A$10:$AA$226,T$2,FALSE)=0,"",VLOOKUP($A26,'Pre-Assessment Estimator'!$A$10:$AA$226,T$2,FALSE))</f>
        <v/>
      </c>
      <c r="U26" s="513"/>
      <c r="V26" s="512" t="str">
        <f>IF(VLOOKUP($A26,'Pre-Assessment Estimator'!$A$10:$AA$226,V$2,FALSE)=0,"",VLOOKUP($A26,'Pre-Assessment Estimator'!$A$10:$AA$226,V$2,FALSE))</f>
        <v/>
      </c>
      <c r="W26" s="507">
        <f>VLOOKUP($A26,'Pre-Assessment Estimator'!$A$10:$AA$226,W$2,FALSE)</f>
        <v>0</v>
      </c>
      <c r="X26" s="506" t="str">
        <f>VLOOKUP($A26,'Pre-Assessment Estimator'!$A$10:$AA$226,X$2,FALSE)</f>
        <v>Very Good</v>
      </c>
      <c r="Y26" s="509" t="str">
        <f>IF(VLOOKUP($A26,'Pre-Assessment Estimator'!$A$10:$AA$226,Y$2,FALSE)=0,"",VLOOKUP($A26,'Pre-Assessment Estimator'!$A$10:$AA$226,Y$2,FALSE))</f>
        <v/>
      </c>
      <c r="Z26" s="509" t="str">
        <f>IF(VLOOKUP($A26,'Pre-Assessment Estimator'!$A$10:$AA$226,Z$2,FALSE)=0,"",VLOOKUP($A26,'Pre-Assessment Estimator'!$A$10:$AA$226,Z$2,FALSE))</f>
        <v/>
      </c>
      <c r="AA26" s="322" t="str">
        <f>IF(VLOOKUP($A26,'Pre-Assessment Estimator'!$A$10:$AA$226,AA$2,FALSE)=0,"",VLOOKUP($A26,'Pre-Assessment Estimator'!$A$10:$AA$226,AA$2,FALSE))</f>
        <v/>
      </c>
      <c r="AB26" s="605">
        <v>17</v>
      </c>
      <c r="AC26" s="509"/>
      <c r="AG26" s="15">
        <f t="shared" si="0"/>
        <v>1</v>
      </c>
      <c r="AH26" s="353"/>
      <c r="AM26" s="16"/>
    </row>
    <row r="27" spans="1:39" x14ac:dyDescent="0.25">
      <c r="A27" s="716">
        <v>18</v>
      </c>
      <c r="B27" s="1022" t="s">
        <v>61</v>
      </c>
      <c r="C27" s="1022"/>
      <c r="D27" s="1043" t="str">
        <f>VLOOKUP($A27,'Pre-Assessment Estimator'!$A$10:$AA$226,D$2,FALSE)</f>
        <v>Man 04</v>
      </c>
      <c r="E27" s="1044"/>
      <c r="F27" s="1043" t="str">
        <f>VLOOKUP($A27,'Pre-Assessment Estimator'!$A$10:$AA$226,F$2,FALSE)</f>
        <v>Man 04 Commissioning and handover</v>
      </c>
      <c r="G27" s="506">
        <f>VLOOKUP($A27,'Pre-Assessment Estimator'!$A$10:$AA$226,G$2,FALSE)</f>
        <v>3</v>
      </c>
      <c r="H27" s="512" t="str">
        <f>IF(VLOOKUP($A27,'Pre-Assessment Estimator'!$A$10:$AA$226,H$2,FALSE)=0,"",VLOOKUP($A27,'Pre-Assessment Estimator'!$A$10:$AA$226,H$2,FALSE))</f>
        <v/>
      </c>
      <c r="I27" s="507" t="str">
        <f>VLOOKUP($A27,'Pre-Assessment Estimator'!$A$10:$AA$226,I$2,FALSE)</f>
        <v>0 c. 0 %</v>
      </c>
      <c r="J27" s="506" t="str">
        <f>VLOOKUP($A27,'Pre-Assessment Estimator'!$A$10:$AA$226,J$2,FALSE)</f>
        <v>N/A</v>
      </c>
      <c r="K27" s="509" t="str">
        <f>IF(VLOOKUP($A27,'Pre-Assessment Estimator'!$A$10:$AA$226,K$2,FALSE)=0,"",VLOOKUP($A27,'Pre-Assessment Estimator'!$A$10:$AA$226,K$2,FALSE))</f>
        <v/>
      </c>
      <c r="L27" s="509" t="str">
        <f>IF(VLOOKUP($A27,'Pre-Assessment Estimator'!$A$10:$AA$226,L$2,FALSE)=0,"",VLOOKUP($A27,'Pre-Assessment Estimator'!$A$10:$AA$226,L$2,FALSE))</f>
        <v/>
      </c>
      <c r="M27" s="510" t="str">
        <f>IF(VLOOKUP($A27,'Pre-Assessment Estimator'!$A$10:$AA$226,M$2,FALSE)=0,"",VLOOKUP($A27,'Pre-Assessment Estimator'!$A$10:$AA$226,M$2,FALSE))</f>
        <v/>
      </c>
      <c r="N27" s="511"/>
      <c r="O27" s="512" t="str">
        <f>IF(VLOOKUP($A27,'Pre-Assessment Estimator'!$A$10:$AA$226,O$2,FALSE)=0,"",VLOOKUP($A27,'Pre-Assessment Estimator'!$A$10:$AA$226,O$2,FALSE))</f>
        <v/>
      </c>
      <c r="P27" s="507" t="str">
        <f>VLOOKUP($A27,'Pre-Assessment Estimator'!$A$10:$AA$226,P$2,FALSE)</f>
        <v>0 c. 0 %</v>
      </c>
      <c r="Q27" s="506" t="str">
        <f>VLOOKUP($A27,'Pre-Assessment Estimator'!$A$10:$AA$226,Q$2,FALSE)</f>
        <v>N/A</v>
      </c>
      <c r="R27" s="509" t="str">
        <f>IF(VLOOKUP($A27,'Pre-Assessment Estimator'!$A$10:$AA$226,R$2,FALSE)=0,"",VLOOKUP($A27,'Pre-Assessment Estimator'!$A$10:$AA$226,R$2,FALSE))</f>
        <v/>
      </c>
      <c r="S27" s="509" t="str">
        <f>IF(VLOOKUP($A27,'Pre-Assessment Estimator'!$A$10:$AA$226,S$2,FALSE)=0,"",VLOOKUP($A27,'Pre-Assessment Estimator'!$A$10:$AA$226,S$2,FALSE))</f>
        <v/>
      </c>
      <c r="T27" s="510" t="str">
        <f>IF(VLOOKUP($A27,'Pre-Assessment Estimator'!$A$10:$AA$226,T$2,FALSE)=0,"",VLOOKUP($A27,'Pre-Assessment Estimator'!$A$10:$AA$226,T$2,FALSE))</f>
        <v/>
      </c>
      <c r="U27" s="513"/>
      <c r="V27" s="512" t="str">
        <f>IF(VLOOKUP($A27,'Pre-Assessment Estimator'!$A$10:$AA$226,V$2,FALSE)=0,"",VLOOKUP($A27,'Pre-Assessment Estimator'!$A$10:$AA$226,V$2,FALSE))</f>
        <v/>
      </c>
      <c r="W27" s="507" t="str">
        <f>VLOOKUP($A27,'Pre-Assessment Estimator'!$A$10:$AA$226,W$2,FALSE)</f>
        <v>0 c. 0 %</v>
      </c>
      <c r="X27" s="506" t="str">
        <f>VLOOKUP($A27,'Pre-Assessment Estimator'!$A$10:$AA$226,X$2,FALSE)</f>
        <v>N/A</v>
      </c>
      <c r="Y27" s="509" t="str">
        <f>IF(VLOOKUP($A27,'Pre-Assessment Estimator'!$A$10:$AA$226,Y$2,FALSE)=0,"",VLOOKUP($A27,'Pre-Assessment Estimator'!$A$10:$AA$226,Y$2,FALSE))</f>
        <v/>
      </c>
      <c r="Z27" s="509" t="str">
        <f>IF(VLOOKUP($A27,'Pre-Assessment Estimator'!$A$10:$AA$226,Z$2,FALSE)=0,"",VLOOKUP($A27,'Pre-Assessment Estimator'!$A$10:$AA$226,Z$2,FALSE))</f>
        <v/>
      </c>
      <c r="AA27" s="322" t="str">
        <f>IF(VLOOKUP($A27,'Pre-Assessment Estimator'!$A$10:$AA$226,AA$2,FALSE)=0,"",VLOOKUP($A27,'Pre-Assessment Estimator'!$A$10:$AA$226,AA$2,FALSE))</f>
        <v/>
      </c>
      <c r="AB27" s="605">
        <v>18</v>
      </c>
      <c r="AC27" s="509"/>
      <c r="AG27" s="15">
        <f t="shared" si="0"/>
        <v>1</v>
      </c>
      <c r="AH27" s="353"/>
      <c r="AM27" s="16"/>
    </row>
    <row r="28" spans="1:39" x14ac:dyDescent="0.25">
      <c r="A28" s="716">
        <v>19</v>
      </c>
      <c r="B28" s="1022" t="s">
        <v>61</v>
      </c>
      <c r="C28" s="1022"/>
      <c r="D28" s="1044" t="str">
        <f>VLOOKUP($A28,'Pre-Assessment Estimator'!$A$10:$AA$226,D$2,FALSE)</f>
        <v>Man 04</v>
      </c>
      <c r="E28" s="1044" t="str">
        <f>VLOOKUP($A28,'Pre-Assessment Estimator'!$A$10:$AA$226,E$2,FALSE)</f>
        <v>1-4</v>
      </c>
      <c r="F28" s="1045" t="str">
        <f>VLOOKUP($A28,'Pre-Assessment Estimator'!$A$10:$AA$226,F$2,FALSE)</f>
        <v xml:space="preserve">Commissioning - testing schedule and responsibilities </v>
      </c>
      <c r="G28" s="506">
        <f>VLOOKUP($A28,'Pre-Assessment Estimator'!$A$10:$AA$226,G$2,FALSE)</f>
        <v>1</v>
      </c>
      <c r="H28" s="512" t="str">
        <f>IF(VLOOKUP($A28,'Pre-Assessment Estimator'!$A$10:$AA$226,H$2,FALSE)=0,"",VLOOKUP($A28,'Pre-Assessment Estimator'!$A$10:$AA$226,H$2,FALSE))</f>
        <v/>
      </c>
      <c r="I28" s="507">
        <f>VLOOKUP($A28,'Pre-Assessment Estimator'!$A$10:$AA$226,I$2,FALSE)</f>
        <v>0</v>
      </c>
      <c r="J28" s="506" t="str">
        <f>VLOOKUP($A28,'Pre-Assessment Estimator'!$A$10:$AA$226,J$2,FALSE)</f>
        <v>Unclassified</v>
      </c>
      <c r="K28" s="509" t="str">
        <f>IF(VLOOKUP($A28,'Pre-Assessment Estimator'!$A$10:$AA$226,K$2,FALSE)=0,"",VLOOKUP($A28,'Pre-Assessment Estimator'!$A$10:$AA$226,K$2,FALSE))</f>
        <v/>
      </c>
      <c r="L28" s="509" t="str">
        <f>IF(VLOOKUP($A28,'Pre-Assessment Estimator'!$A$10:$AA$226,L$2,FALSE)=0,"",VLOOKUP($A28,'Pre-Assessment Estimator'!$A$10:$AA$226,L$2,FALSE))</f>
        <v/>
      </c>
      <c r="M28" s="510" t="str">
        <f>IF(VLOOKUP($A28,'Pre-Assessment Estimator'!$A$10:$AA$226,M$2,FALSE)=0,"",VLOOKUP($A28,'Pre-Assessment Estimator'!$A$10:$AA$226,M$2,FALSE))</f>
        <v/>
      </c>
      <c r="N28" s="511"/>
      <c r="O28" s="512" t="str">
        <f>IF(VLOOKUP($A28,'Pre-Assessment Estimator'!$A$10:$AA$226,O$2,FALSE)=0,"",VLOOKUP($A28,'Pre-Assessment Estimator'!$A$10:$AA$226,O$2,FALSE))</f>
        <v/>
      </c>
      <c r="P28" s="507">
        <f>VLOOKUP($A28,'Pre-Assessment Estimator'!$A$10:$AA$226,P$2,FALSE)</f>
        <v>0</v>
      </c>
      <c r="Q28" s="506" t="str">
        <f>VLOOKUP($A28,'Pre-Assessment Estimator'!$A$10:$AA$226,Q$2,FALSE)</f>
        <v>Unclassified</v>
      </c>
      <c r="R28" s="509" t="str">
        <f>IF(VLOOKUP($A28,'Pre-Assessment Estimator'!$A$10:$AA$226,R$2,FALSE)=0,"",VLOOKUP($A28,'Pre-Assessment Estimator'!$A$10:$AA$226,R$2,FALSE))</f>
        <v/>
      </c>
      <c r="S28" s="509" t="str">
        <f>IF(VLOOKUP($A28,'Pre-Assessment Estimator'!$A$10:$AA$226,S$2,FALSE)=0,"",VLOOKUP($A28,'Pre-Assessment Estimator'!$A$10:$AA$226,S$2,FALSE))</f>
        <v/>
      </c>
      <c r="T28" s="510" t="str">
        <f>IF(VLOOKUP($A28,'Pre-Assessment Estimator'!$A$10:$AA$226,T$2,FALSE)=0,"",VLOOKUP($A28,'Pre-Assessment Estimator'!$A$10:$AA$226,T$2,FALSE))</f>
        <v/>
      </c>
      <c r="U28" s="513"/>
      <c r="V28" s="512" t="str">
        <f>IF(VLOOKUP($A28,'Pre-Assessment Estimator'!$A$10:$AA$226,V$2,FALSE)=0,"",VLOOKUP($A28,'Pre-Assessment Estimator'!$A$10:$AA$226,V$2,FALSE))</f>
        <v/>
      </c>
      <c r="W28" s="507">
        <f>VLOOKUP($A28,'Pre-Assessment Estimator'!$A$10:$AA$226,W$2,FALSE)</f>
        <v>0</v>
      </c>
      <c r="X28" s="506" t="str">
        <f>VLOOKUP($A28,'Pre-Assessment Estimator'!$A$10:$AA$226,X$2,FALSE)</f>
        <v>Unclassified</v>
      </c>
      <c r="Y28" s="509" t="str">
        <f>IF(VLOOKUP($A28,'Pre-Assessment Estimator'!$A$10:$AA$226,Y$2,FALSE)=0,"",VLOOKUP($A28,'Pre-Assessment Estimator'!$A$10:$AA$226,Y$2,FALSE))</f>
        <v/>
      </c>
      <c r="Z28" s="509" t="str">
        <f>IF(VLOOKUP($A28,'Pre-Assessment Estimator'!$A$10:$AA$226,Z$2,FALSE)=0,"",VLOOKUP($A28,'Pre-Assessment Estimator'!$A$10:$AA$226,Z$2,FALSE))</f>
        <v/>
      </c>
      <c r="AA28" s="322" t="str">
        <f>IF(VLOOKUP($A28,'Pre-Assessment Estimator'!$A$10:$AA$226,AA$2,FALSE)=0,"",VLOOKUP($A28,'Pre-Assessment Estimator'!$A$10:$AA$226,AA$2,FALSE))</f>
        <v/>
      </c>
      <c r="AB28" s="605">
        <v>19</v>
      </c>
      <c r="AC28" s="509"/>
      <c r="AG28" s="15">
        <f t="shared" si="0"/>
        <v>1</v>
      </c>
      <c r="AH28" s="353"/>
      <c r="AM28" s="16"/>
    </row>
    <row r="29" spans="1:39" x14ac:dyDescent="0.25">
      <c r="A29" s="716">
        <v>20</v>
      </c>
      <c r="B29" s="1022" t="s">
        <v>61</v>
      </c>
      <c r="C29" s="1022"/>
      <c r="D29" s="1044" t="str">
        <f>VLOOKUP($A29,'Pre-Assessment Estimator'!$A$10:$AA$226,D$2,FALSE)</f>
        <v>Man 04</v>
      </c>
      <c r="E29" s="1044" t="str">
        <f>VLOOKUP($A29,'Pre-Assessment Estimator'!$A$10:$AA$226,E$2,FALSE)</f>
        <v>5-7</v>
      </c>
      <c r="F29" s="1045" t="str">
        <f>VLOOKUP($A29,'Pre-Assessment Estimator'!$A$10:$AA$226,F$2,FALSE)</f>
        <v>Commissioning - design, preperation and implementation</v>
      </c>
      <c r="G29" s="506">
        <f>VLOOKUP($A29,'Pre-Assessment Estimator'!$A$10:$AA$226,G$2,FALSE)</f>
        <v>1</v>
      </c>
      <c r="H29" s="512" t="str">
        <f>IF(VLOOKUP($A29,'Pre-Assessment Estimator'!$A$10:$AA$226,H$2,FALSE)=0,"",VLOOKUP($A29,'Pre-Assessment Estimator'!$A$10:$AA$226,H$2,FALSE))</f>
        <v/>
      </c>
      <c r="I29" s="507">
        <f>VLOOKUP($A29,'Pre-Assessment Estimator'!$A$10:$AA$226,I$2,FALSE)</f>
        <v>0</v>
      </c>
      <c r="J29" s="506" t="str">
        <f>VLOOKUP($A29,'Pre-Assessment Estimator'!$A$10:$AA$226,J$2,FALSE)</f>
        <v>N/A</v>
      </c>
      <c r="K29" s="509" t="str">
        <f>IF(VLOOKUP($A29,'Pre-Assessment Estimator'!$A$10:$AA$226,K$2,FALSE)=0,"",VLOOKUP($A29,'Pre-Assessment Estimator'!$A$10:$AA$226,K$2,FALSE))</f>
        <v/>
      </c>
      <c r="L29" s="509" t="str">
        <f>IF(VLOOKUP($A29,'Pre-Assessment Estimator'!$A$10:$AA$226,L$2,FALSE)=0,"",VLOOKUP($A29,'Pre-Assessment Estimator'!$A$10:$AA$226,L$2,FALSE))</f>
        <v/>
      </c>
      <c r="M29" s="510" t="str">
        <f>IF(VLOOKUP($A29,'Pre-Assessment Estimator'!$A$10:$AA$226,M$2,FALSE)=0,"",VLOOKUP($A29,'Pre-Assessment Estimator'!$A$10:$AA$226,M$2,FALSE))</f>
        <v/>
      </c>
      <c r="N29" s="511"/>
      <c r="O29" s="512" t="str">
        <f>IF(VLOOKUP($A29,'Pre-Assessment Estimator'!$A$10:$AA$226,O$2,FALSE)=0,"",VLOOKUP($A29,'Pre-Assessment Estimator'!$A$10:$AA$226,O$2,FALSE))</f>
        <v/>
      </c>
      <c r="P29" s="507">
        <f>VLOOKUP($A29,'Pre-Assessment Estimator'!$A$10:$AA$226,P$2,FALSE)</f>
        <v>0</v>
      </c>
      <c r="Q29" s="506" t="str">
        <f>VLOOKUP($A29,'Pre-Assessment Estimator'!$A$10:$AA$226,Q$2,FALSE)</f>
        <v>N/A</v>
      </c>
      <c r="R29" s="509" t="str">
        <f>IF(VLOOKUP($A29,'Pre-Assessment Estimator'!$A$10:$AA$226,R$2,FALSE)=0,"",VLOOKUP($A29,'Pre-Assessment Estimator'!$A$10:$AA$226,R$2,FALSE))</f>
        <v/>
      </c>
      <c r="S29" s="509" t="str">
        <f>IF(VLOOKUP($A29,'Pre-Assessment Estimator'!$A$10:$AA$226,S$2,FALSE)=0,"",VLOOKUP($A29,'Pre-Assessment Estimator'!$A$10:$AA$226,S$2,FALSE))</f>
        <v/>
      </c>
      <c r="T29" s="510" t="str">
        <f>IF(VLOOKUP($A29,'Pre-Assessment Estimator'!$A$10:$AA$226,T$2,FALSE)=0,"",VLOOKUP($A29,'Pre-Assessment Estimator'!$A$10:$AA$226,T$2,FALSE))</f>
        <v/>
      </c>
      <c r="U29" s="513"/>
      <c r="V29" s="512" t="str">
        <f>IF(VLOOKUP($A29,'Pre-Assessment Estimator'!$A$10:$AA$226,V$2,FALSE)=0,"",VLOOKUP($A29,'Pre-Assessment Estimator'!$A$10:$AA$226,V$2,FALSE))</f>
        <v/>
      </c>
      <c r="W29" s="507">
        <f>VLOOKUP($A29,'Pre-Assessment Estimator'!$A$10:$AA$226,W$2,FALSE)</f>
        <v>0</v>
      </c>
      <c r="X29" s="506" t="str">
        <f>VLOOKUP($A29,'Pre-Assessment Estimator'!$A$10:$AA$226,X$2,FALSE)</f>
        <v>N/A</v>
      </c>
      <c r="Y29" s="509" t="str">
        <f>IF(VLOOKUP($A29,'Pre-Assessment Estimator'!$A$10:$AA$226,Y$2,FALSE)=0,"",VLOOKUP($A29,'Pre-Assessment Estimator'!$A$10:$AA$226,Y$2,FALSE))</f>
        <v/>
      </c>
      <c r="Z29" s="509" t="str">
        <f>IF(VLOOKUP($A29,'Pre-Assessment Estimator'!$A$10:$AA$226,Z$2,FALSE)=0,"",VLOOKUP($A29,'Pre-Assessment Estimator'!$A$10:$AA$226,Z$2,FALSE))</f>
        <v/>
      </c>
      <c r="AA29" s="322" t="str">
        <f>IF(VLOOKUP($A29,'Pre-Assessment Estimator'!$A$10:$AA$226,AA$2,FALSE)=0,"",VLOOKUP($A29,'Pre-Assessment Estimator'!$A$10:$AA$226,AA$2,FALSE))</f>
        <v/>
      </c>
      <c r="AB29" s="605">
        <v>20</v>
      </c>
      <c r="AC29" s="509"/>
      <c r="AG29" s="15">
        <f t="shared" si="0"/>
        <v>1</v>
      </c>
      <c r="AH29" s="353"/>
      <c r="AM29" s="16"/>
    </row>
    <row r="30" spans="1:39" x14ac:dyDescent="0.25">
      <c r="A30" s="716">
        <v>21</v>
      </c>
      <c r="B30" s="1022" t="s">
        <v>61</v>
      </c>
      <c r="C30" s="1022"/>
      <c r="D30" s="1044" t="str">
        <f>VLOOKUP($A30,'Pre-Assessment Estimator'!$A$10:$AA$226,D$2,FALSE)</f>
        <v>Man 04</v>
      </c>
      <c r="E30" s="1044" t="str">
        <f>VLOOKUP($A30,'Pre-Assessment Estimator'!$A$10:$AA$226,E$2,FALSE)</f>
        <v>8-9</v>
      </c>
      <c r="F30" s="1045" t="str">
        <f>VLOOKUP($A30,'Pre-Assessment Estimator'!$A$10:$AA$226,F$2,FALSE)</f>
        <v>Prepare for good handover</v>
      </c>
      <c r="G30" s="506">
        <f>VLOOKUP($A30,'Pre-Assessment Estimator'!$A$10:$AA$226,G$2,FALSE)</f>
        <v>1</v>
      </c>
      <c r="H30" s="512" t="str">
        <f>IF(VLOOKUP($A30,'Pre-Assessment Estimator'!$A$10:$AA$226,H$2,FALSE)=0,"",VLOOKUP($A30,'Pre-Assessment Estimator'!$A$10:$AA$226,H$2,FALSE))</f>
        <v/>
      </c>
      <c r="I30" s="507">
        <f>VLOOKUP($A30,'Pre-Assessment Estimator'!$A$10:$AA$226,I$2,FALSE)</f>
        <v>0</v>
      </c>
      <c r="J30" s="506" t="str">
        <f>VLOOKUP($A30,'Pre-Assessment Estimator'!$A$10:$AA$226,J$2,FALSE)</f>
        <v>Good</v>
      </c>
      <c r="K30" s="509" t="str">
        <f>IF(VLOOKUP($A30,'Pre-Assessment Estimator'!$A$10:$AA$226,K$2,FALSE)=0,"",VLOOKUP($A30,'Pre-Assessment Estimator'!$A$10:$AA$226,K$2,FALSE))</f>
        <v/>
      </c>
      <c r="L30" s="509" t="str">
        <f>IF(VLOOKUP($A30,'Pre-Assessment Estimator'!$A$10:$AA$226,L$2,FALSE)=0,"",VLOOKUP($A30,'Pre-Assessment Estimator'!$A$10:$AA$226,L$2,FALSE))</f>
        <v/>
      </c>
      <c r="M30" s="510" t="str">
        <f>IF(VLOOKUP($A30,'Pre-Assessment Estimator'!$A$10:$AA$226,M$2,FALSE)=0,"",VLOOKUP($A30,'Pre-Assessment Estimator'!$A$10:$AA$226,M$2,FALSE))</f>
        <v/>
      </c>
      <c r="N30" s="511"/>
      <c r="O30" s="512" t="str">
        <f>IF(VLOOKUP($A30,'Pre-Assessment Estimator'!$A$10:$AA$226,O$2,FALSE)=0,"",VLOOKUP($A30,'Pre-Assessment Estimator'!$A$10:$AA$226,O$2,FALSE))</f>
        <v/>
      </c>
      <c r="P30" s="507">
        <f>VLOOKUP($A30,'Pre-Assessment Estimator'!$A$10:$AA$226,P$2,FALSE)</f>
        <v>0</v>
      </c>
      <c r="Q30" s="506" t="str">
        <f>VLOOKUP($A30,'Pre-Assessment Estimator'!$A$10:$AA$226,Q$2,FALSE)</f>
        <v>Good</v>
      </c>
      <c r="R30" s="509" t="str">
        <f>IF(VLOOKUP($A30,'Pre-Assessment Estimator'!$A$10:$AA$226,R$2,FALSE)=0,"",VLOOKUP($A30,'Pre-Assessment Estimator'!$A$10:$AA$226,R$2,FALSE))</f>
        <v/>
      </c>
      <c r="S30" s="509" t="str">
        <f>IF(VLOOKUP($A30,'Pre-Assessment Estimator'!$A$10:$AA$226,S$2,FALSE)=0,"",VLOOKUP($A30,'Pre-Assessment Estimator'!$A$10:$AA$226,S$2,FALSE))</f>
        <v/>
      </c>
      <c r="T30" s="510" t="str">
        <f>IF(VLOOKUP($A30,'Pre-Assessment Estimator'!$A$10:$AA$226,T$2,FALSE)=0,"",VLOOKUP($A30,'Pre-Assessment Estimator'!$A$10:$AA$226,T$2,FALSE))</f>
        <v/>
      </c>
      <c r="U30" s="513"/>
      <c r="V30" s="512" t="str">
        <f>IF(VLOOKUP($A30,'Pre-Assessment Estimator'!$A$10:$AA$226,V$2,FALSE)=0,"",VLOOKUP($A30,'Pre-Assessment Estimator'!$A$10:$AA$226,V$2,FALSE))</f>
        <v/>
      </c>
      <c r="W30" s="507">
        <f>VLOOKUP($A30,'Pre-Assessment Estimator'!$A$10:$AA$226,W$2,FALSE)</f>
        <v>0</v>
      </c>
      <c r="X30" s="506" t="str">
        <f>VLOOKUP($A30,'Pre-Assessment Estimator'!$A$10:$AA$226,X$2,FALSE)</f>
        <v>Good</v>
      </c>
      <c r="Y30" s="509" t="str">
        <f>IF(VLOOKUP($A30,'Pre-Assessment Estimator'!$A$10:$AA$226,Y$2,FALSE)=0,"",VLOOKUP($A30,'Pre-Assessment Estimator'!$A$10:$AA$226,Y$2,FALSE))</f>
        <v/>
      </c>
      <c r="Z30" s="509" t="str">
        <f>IF(VLOOKUP($A30,'Pre-Assessment Estimator'!$A$10:$AA$226,Z$2,FALSE)=0,"",VLOOKUP($A30,'Pre-Assessment Estimator'!$A$10:$AA$226,Z$2,FALSE))</f>
        <v/>
      </c>
      <c r="AA30" s="322" t="str">
        <f>IF(VLOOKUP($A30,'Pre-Assessment Estimator'!$A$10:$AA$226,AA$2,FALSE)=0,"",VLOOKUP($A30,'Pre-Assessment Estimator'!$A$10:$AA$226,AA$2,FALSE))</f>
        <v/>
      </c>
      <c r="AB30" s="605">
        <v>21</v>
      </c>
      <c r="AC30" s="509"/>
      <c r="AG30" s="15">
        <f t="shared" si="0"/>
        <v>1</v>
      </c>
      <c r="AH30" s="353"/>
      <c r="AM30" s="16"/>
    </row>
    <row r="31" spans="1:39" x14ac:dyDescent="0.25">
      <c r="A31" s="716">
        <v>22</v>
      </c>
      <c r="B31" s="1022" t="s">
        <v>61</v>
      </c>
      <c r="C31" s="1022"/>
      <c r="D31" s="1043" t="str">
        <f>VLOOKUP($A31,'Pre-Assessment Estimator'!$A$10:$AA$226,D$2,FALSE)</f>
        <v>Man 05</v>
      </c>
      <c r="E31" s="1044"/>
      <c r="F31" s="1043" t="str">
        <f>VLOOKUP($A31,'Pre-Assessment Estimator'!$A$10:$AA$226,F$2,FALSE)</f>
        <v>Man 05 Aftercare</v>
      </c>
      <c r="G31" s="506">
        <f>VLOOKUP($A31,'Pre-Assessment Estimator'!$A$10:$AA$226,G$2,FALSE)</f>
        <v>3</v>
      </c>
      <c r="H31" s="512" t="str">
        <f>IF(VLOOKUP($A31,'Pre-Assessment Estimator'!$A$10:$AA$226,H$2,FALSE)=0,"",VLOOKUP($A31,'Pre-Assessment Estimator'!$A$10:$AA$226,H$2,FALSE))</f>
        <v/>
      </c>
      <c r="I31" s="507" t="str">
        <f>VLOOKUP($A31,'Pre-Assessment Estimator'!$A$10:$AA$226,I$2,FALSE)</f>
        <v>0 c. 0 %</v>
      </c>
      <c r="J31" s="506" t="str">
        <f>VLOOKUP($A31,'Pre-Assessment Estimator'!$A$10:$AA$226,J$2,FALSE)</f>
        <v>N/A</v>
      </c>
      <c r="K31" s="509" t="str">
        <f>IF(VLOOKUP($A31,'Pre-Assessment Estimator'!$A$10:$AA$226,K$2,FALSE)=0,"",VLOOKUP($A31,'Pre-Assessment Estimator'!$A$10:$AA$226,K$2,FALSE))</f>
        <v/>
      </c>
      <c r="L31" s="509" t="str">
        <f>IF(VLOOKUP($A31,'Pre-Assessment Estimator'!$A$10:$AA$226,L$2,FALSE)=0,"",VLOOKUP($A31,'Pre-Assessment Estimator'!$A$10:$AA$226,L$2,FALSE))</f>
        <v/>
      </c>
      <c r="M31" s="510" t="str">
        <f>IF(VLOOKUP($A31,'Pre-Assessment Estimator'!$A$10:$AA$226,M$2,FALSE)=0,"",VLOOKUP($A31,'Pre-Assessment Estimator'!$A$10:$AA$226,M$2,FALSE))</f>
        <v/>
      </c>
      <c r="N31" s="511"/>
      <c r="O31" s="512" t="str">
        <f>IF(VLOOKUP($A31,'Pre-Assessment Estimator'!$A$10:$AA$226,O$2,FALSE)=0,"",VLOOKUP($A31,'Pre-Assessment Estimator'!$A$10:$AA$226,O$2,FALSE))</f>
        <v/>
      </c>
      <c r="P31" s="507" t="str">
        <f>VLOOKUP($A31,'Pre-Assessment Estimator'!$A$10:$AA$226,P$2,FALSE)</f>
        <v>0 c. 0 %</v>
      </c>
      <c r="Q31" s="506" t="str">
        <f>VLOOKUP($A31,'Pre-Assessment Estimator'!$A$10:$AA$226,Q$2,FALSE)</f>
        <v>N/A</v>
      </c>
      <c r="R31" s="509" t="str">
        <f>IF(VLOOKUP($A31,'Pre-Assessment Estimator'!$A$10:$AA$226,R$2,FALSE)=0,"",VLOOKUP($A31,'Pre-Assessment Estimator'!$A$10:$AA$226,R$2,FALSE))</f>
        <v/>
      </c>
      <c r="S31" s="509" t="str">
        <f>IF(VLOOKUP($A31,'Pre-Assessment Estimator'!$A$10:$AA$226,S$2,FALSE)=0,"",VLOOKUP($A31,'Pre-Assessment Estimator'!$A$10:$AA$226,S$2,FALSE))</f>
        <v/>
      </c>
      <c r="T31" s="510" t="str">
        <f>IF(VLOOKUP($A31,'Pre-Assessment Estimator'!$A$10:$AA$226,T$2,FALSE)=0,"",VLOOKUP($A31,'Pre-Assessment Estimator'!$A$10:$AA$226,T$2,FALSE))</f>
        <v/>
      </c>
      <c r="U31" s="513"/>
      <c r="V31" s="512" t="str">
        <f>IF(VLOOKUP($A31,'Pre-Assessment Estimator'!$A$10:$AA$226,V$2,FALSE)=0,"",VLOOKUP($A31,'Pre-Assessment Estimator'!$A$10:$AA$226,V$2,FALSE))</f>
        <v/>
      </c>
      <c r="W31" s="507" t="str">
        <f>VLOOKUP($A31,'Pre-Assessment Estimator'!$A$10:$AA$226,W$2,FALSE)</f>
        <v>0 c. 0 %</v>
      </c>
      <c r="X31" s="506" t="str">
        <f>VLOOKUP($A31,'Pre-Assessment Estimator'!$A$10:$AA$226,X$2,FALSE)</f>
        <v>N/A</v>
      </c>
      <c r="Y31" s="509" t="str">
        <f>IF(VLOOKUP($A31,'Pre-Assessment Estimator'!$A$10:$AA$226,Y$2,FALSE)=0,"",VLOOKUP($A31,'Pre-Assessment Estimator'!$A$10:$AA$226,Y$2,FALSE))</f>
        <v/>
      </c>
      <c r="Z31" s="509" t="str">
        <f>IF(VLOOKUP($A31,'Pre-Assessment Estimator'!$A$10:$AA$226,Z$2,FALSE)=0,"",VLOOKUP($A31,'Pre-Assessment Estimator'!$A$10:$AA$226,Z$2,FALSE))</f>
        <v/>
      </c>
      <c r="AA31" s="322" t="str">
        <f>IF(VLOOKUP($A31,'Pre-Assessment Estimator'!$A$10:$AA$226,AA$2,FALSE)=0,"",VLOOKUP($A31,'Pre-Assessment Estimator'!$A$10:$AA$226,AA$2,FALSE))</f>
        <v/>
      </c>
      <c r="AB31" s="605">
        <v>22</v>
      </c>
      <c r="AC31" s="509"/>
      <c r="AG31" s="15">
        <f t="shared" si="0"/>
        <v>1</v>
      </c>
      <c r="AH31" s="353"/>
      <c r="AM31" s="16"/>
    </row>
    <row r="32" spans="1:39" x14ac:dyDescent="0.25">
      <c r="A32" s="716">
        <v>23</v>
      </c>
      <c r="B32" s="1022" t="s">
        <v>61</v>
      </c>
      <c r="C32" s="1022"/>
      <c r="D32" s="1044" t="str">
        <f>VLOOKUP($A32,'Pre-Assessment Estimator'!$A$10:$AA$226,D$2,FALSE)</f>
        <v>Man 05</v>
      </c>
      <c r="E32" s="1044" t="str">
        <f>VLOOKUP($A32,'Pre-Assessment Estimator'!$A$10:$AA$226,E$2,FALSE)</f>
        <v>1-2</v>
      </c>
      <c r="F32" s="1045" t="str">
        <f>VLOOKUP($A32,'Pre-Assessment Estimator'!$A$10:$AA$226,F$2,FALSE)</f>
        <v>Aftercare support</v>
      </c>
      <c r="G32" s="506">
        <f>VLOOKUP($A32,'Pre-Assessment Estimator'!$A$10:$AA$226,G$2,FALSE)</f>
        <v>1</v>
      </c>
      <c r="H32" s="512" t="str">
        <f>IF(VLOOKUP($A32,'Pre-Assessment Estimator'!$A$10:$AA$226,H$2,FALSE)=0,"",VLOOKUP($A32,'Pre-Assessment Estimator'!$A$10:$AA$226,H$2,FALSE))</f>
        <v/>
      </c>
      <c r="I32" s="507">
        <f>VLOOKUP($A32,'Pre-Assessment Estimator'!$A$10:$AA$226,I$2,FALSE)</f>
        <v>0</v>
      </c>
      <c r="J32" s="506" t="str">
        <f>VLOOKUP($A32,'Pre-Assessment Estimator'!$A$10:$AA$226,J$2,FALSE)</f>
        <v>N/A</v>
      </c>
      <c r="K32" s="509" t="str">
        <f>IF(VLOOKUP($A32,'Pre-Assessment Estimator'!$A$10:$AA$226,K$2,FALSE)=0,"",VLOOKUP($A32,'Pre-Assessment Estimator'!$A$10:$AA$226,K$2,FALSE))</f>
        <v/>
      </c>
      <c r="L32" s="509" t="str">
        <f>IF(VLOOKUP($A32,'Pre-Assessment Estimator'!$A$10:$AA$226,L$2,FALSE)=0,"",VLOOKUP($A32,'Pre-Assessment Estimator'!$A$10:$AA$226,L$2,FALSE))</f>
        <v/>
      </c>
      <c r="M32" s="510" t="str">
        <f>IF(VLOOKUP($A32,'Pre-Assessment Estimator'!$A$10:$AA$226,M$2,FALSE)=0,"",VLOOKUP($A32,'Pre-Assessment Estimator'!$A$10:$AA$226,M$2,FALSE))</f>
        <v/>
      </c>
      <c r="N32" s="511"/>
      <c r="O32" s="512" t="str">
        <f>IF(VLOOKUP($A32,'Pre-Assessment Estimator'!$A$10:$AA$226,O$2,FALSE)=0,"",VLOOKUP($A32,'Pre-Assessment Estimator'!$A$10:$AA$226,O$2,FALSE))</f>
        <v/>
      </c>
      <c r="P32" s="507">
        <f>VLOOKUP($A32,'Pre-Assessment Estimator'!$A$10:$AA$226,P$2,FALSE)</f>
        <v>0</v>
      </c>
      <c r="Q32" s="506" t="str">
        <f>VLOOKUP($A32,'Pre-Assessment Estimator'!$A$10:$AA$226,Q$2,FALSE)</f>
        <v>N/A</v>
      </c>
      <c r="R32" s="509" t="str">
        <f>IF(VLOOKUP($A32,'Pre-Assessment Estimator'!$A$10:$AA$226,R$2,FALSE)=0,"",VLOOKUP($A32,'Pre-Assessment Estimator'!$A$10:$AA$226,R$2,FALSE))</f>
        <v/>
      </c>
      <c r="S32" s="509" t="str">
        <f>IF(VLOOKUP($A32,'Pre-Assessment Estimator'!$A$10:$AA$226,S$2,FALSE)=0,"",VLOOKUP($A32,'Pre-Assessment Estimator'!$A$10:$AA$226,S$2,FALSE))</f>
        <v/>
      </c>
      <c r="T32" s="510" t="str">
        <f>IF(VLOOKUP($A32,'Pre-Assessment Estimator'!$A$10:$AA$226,T$2,FALSE)=0,"",VLOOKUP($A32,'Pre-Assessment Estimator'!$A$10:$AA$226,T$2,FALSE))</f>
        <v/>
      </c>
      <c r="U32" s="513"/>
      <c r="V32" s="512" t="str">
        <f>IF(VLOOKUP($A32,'Pre-Assessment Estimator'!$A$10:$AA$226,V$2,FALSE)=0,"",VLOOKUP($A32,'Pre-Assessment Estimator'!$A$10:$AA$226,V$2,FALSE))</f>
        <v/>
      </c>
      <c r="W32" s="507">
        <f>VLOOKUP($A32,'Pre-Assessment Estimator'!$A$10:$AA$226,W$2,FALSE)</f>
        <v>0</v>
      </c>
      <c r="X32" s="506" t="str">
        <f>VLOOKUP($A32,'Pre-Assessment Estimator'!$A$10:$AA$226,X$2,FALSE)</f>
        <v>N/A</v>
      </c>
      <c r="Y32" s="509" t="str">
        <f>IF(VLOOKUP($A32,'Pre-Assessment Estimator'!$A$10:$AA$226,Y$2,FALSE)=0,"",VLOOKUP($A32,'Pre-Assessment Estimator'!$A$10:$AA$226,Y$2,FALSE))</f>
        <v/>
      </c>
      <c r="Z32" s="509" t="str">
        <f>IF(VLOOKUP($A32,'Pre-Assessment Estimator'!$A$10:$AA$226,Z$2,FALSE)=0,"",VLOOKUP($A32,'Pre-Assessment Estimator'!$A$10:$AA$226,Z$2,FALSE))</f>
        <v/>
      </c>
      <c r="AA32" s="322" t="str">
        <f>IF(VLOOKUP($A32,'Pre-Assessment Estimator'!$A$10:$AA$226,AA$2,FALSE)=0,"",VLOOKUP($A32,'Pre-Assessment Estimator'!$A$10:$AA$226,AA$2,FALSE))</f>
        <v/>
      </c>
      <c r="AB32" s="605">
        <v>23</v>
      </c>
      <c r="AC32" s="509"/>
      <c r="AG32" s="15">
        <f t="shared" si="0"/>
        <v>1</v>
      </c>
      <c r="AH32" s="353"/>
      <c r="AM32" s="16"/>
    </row>
    <row r="33" spans="1:43" x14ac:dyDescent="0.25">
      <c r="A33" s="716">
        <v>24</v>
      </c>
      <c r="B33" s="1022" t="s">
        <v>61</v>
      </c>
      <c r="C33" s="1022"/>
      <c r="D33" s="1044" t="str">
        <f>VLOOKUP($A33,'Pre-Assessment Estimator'!$A$10:$AA$226,D$2,FALSE)</f>
        <v>Man 05</v>
      </c>
      <c r="E33" s="1044" t="str">
        <f>VLOOKUP($A33,'Pre-Assessment Estimator'!$A$10:$AA$226,E$2,FALSE)</f>
        <v>3 or 4</v>
      </c>
      <c r="F33" s="1045" t="str">
        <f>VLOOKUP($A33,'Pre-Assessment Estimator'!$A$10:$AA$226,F$2,FALSE)</f>
        <v>Sesonal commisioning</v>
      </c>
      <c r="G33" s="506">
        <f>VLOOKUP($A33,'Pre-Assessment Estimator'!$A$10:$AA$226,G$2,FALSE)</f>
        <v>1</v>
      </c>
      <c r="H33" s="512" t="str">
        <f>IF(VLOOKUP($A33,'Pre-Assessment Estimator'!$A$10:$AA$226,H$2,FALSE)=0,"",VLOOKUP($A33,'Pre-Assessment Estimator'!$A$10:$AA$226,H$2,FALSE))</f>
        <v/>
      </c>
      <c r="I33" s="507">
        <f>VLOOKUP($A33,'Pre-Assessment Estimator'!$A$10:$AA$226,I$2,FALSE)</f>
        <v>0</v>
      </c>
      <c r="J33" s="506" t="str">
        <f>VLOOKUP($A33,'Pre-Assessment Estimator'!$A$10:$AA$226,J$2,FALSE)</f>
        <v>Very Good</v>
      </c>
      <c r="K33" s="509" t="str">
        <f>IF(VLOOKUP($A33,'Pre-Assessment Estimator'!$A$10:$AA$226,K$2,FALSE)=0,"",VLOOKUP($A33,'Pre-Assessment Estimator'!$A$10:$AA$226,K$2,FALSE))</f>
        <v/>
      </c>
      <c r="L33" s="509" t="str">
        <f>IF(VLOOKUP($A33,'Pre-Assessment Estimator'!$A$10:$AA$226,L$2,FALSE)=0,"",VLOOKUP($A33,'Pre-Assessment Estimator'!$A$10:$AA$226,L$2,FALSE))</f>
        <v/>
      </c>
      <c r="M33" s="510" t="str">
        <f>IF(VLOOKUP($A33,'Pre-Assessment Estimator'!$A$10:$AA$226,M$2,FALSE)=0,"",VLOOKUP($A33,'Pre-Assessment Estimator'!$A$10:$AA$226,M$2,FALSE))</f>
        <v/>
      </c>
      <c r="N33" s="511"/>
      <c r="O33" s="512" t="str">
        <f>IF(VLOOKUP($A33,'Pre-Assessment Estimator'!$A$10:$AA$226,O$2,FALSE)=0,"",VLOOKUP($A33,'Pre-Assessment Estimator'!$A$10:$AA$226,O$2,FALSE))</f>
        <v/>
      </c>
      <c r="P33" s="507">
        <f>VLOOKUP($A33,'Pre-Assessment Estimator'!$A$10:$AA$226,P$2,FALSE)</f>
        <v>0</v>
      </c>
      <c r="Q33" s="506" t="str">
        <f>VLOOKUP($A33,'Pre-Assessment Estimator'!$A$10:$AA$226,Q$2,FALSE)</f>
        <v>Very Good</v>
      </c>
      <c r="R33" s="509" t="str">
        <f>IF(VLOOKUP($A33,'Pre-Assessment Estimator'!$A$10:$AA$226,R$2,FALSE)=0,"",VLOOKUP($A33,'Pre-Assessment Estimator'!$A$10:$AA$226,R$2,FALSE))</f>
        <v/>
      </c>
      <c r="S33" s="509" t="str">
        <f>IF(VLOOKUP($A33,'Pre-Assessment Estimator'!$A$10:$AA$226,S$2,FALSE)=0,"",VLOOKUP($A33,'Pre-Assessment Estimator'!$A$10:$AA$226,S$2,FALSE))</f>
        <v/>
      </c>
      <c r="T33" s="510" t="str">
        <f>IF(VLOOKUP($A33,'Pre-Assessment Estimator'!$A$10:$AA$226,T$2,FALSE)=0,"",VLOOKUP($A33,'Pre-Assessment Estimator'!$A$10:$AA$226,T$2,FALSE))</f>
        <v/>
      </c>
      <c r="U33" s="513"/>
      <c r="V33" s="512" t="str">
        <f>IF(VLOOKUP($A33,'Pre-Assessment Estimator'!$A$10:$AA$226,V$2,FALSE)=0,"",VLOOKUP($A33,'Pre-Assessment Estimator'!$A$10:$AA$226,V$2,FALSE))</f>
        <v/>
      </c>
      <c r="W33" s="507">
        <f>VLOOKUP($A33,'Pre-Assessment Estimator'!$A$10:$AA$226,W$2,FALSE)</f>
        <v>0</v>
      </c>
      <c r="X33" s="506" t="str">
        <f>VLOOKUP($A33,'Pre-Assessment Estimator'!$A$10:$AA$226,X$2,FALSE)</f>
        <v>Very Good</v>
      </c>
      <c r="Y33" s="509" t="str">
        <f>IF(VLOOKUP($A33,'Pre-Assessment Estimator'!$A$10:$AA$226,Y$2,FALSE)=0,"",VLOOKUP($A33,'Pre-Assessment Estimator'!$A$10:$AA$226,Y$2,FALSE))</f>
        <v/>
      </c>
      <c r="Z33" s="509" t="str">
        <f>IF(VLOOKUP($A33,'Pre-Assessment Estimator'!$A$10:$AA$226,Z$2,FALSE)=0,"",VLOOKUP($A33,'Pre-Assessment Estimator'!$A$10:$AA$226,Z$2,FALSE))</f>
        <v/>
      </c>
      <c r="AA33" s="322" t="str">
        <f>IF(VLOOKUP($A33,'Pre-Assessment Estimator'!$A$10:$AA$226,AA$2,FALSE)=0,"",VLOOKUP($A33,'Pre-Assessment Estimator'!$A$10:$AA$226,AA$2,FALSE))</f>
        <v/>
      </c>
      <c r="AB33" s="605">
        <v>24</v>
      </c>
      <c r="AC33" s="509"/>
      <c r="AG33" s="15">
        <f t="shared" si="0"/>
        <v>1</v>
      </c>
      <c r="AH33" s="353"/>
      <c r="AM33" s="16"/>
    </row>
    <row r="34" spans="1:43" x14ac:dyDescent="0.25">
      <c r="A34" s="716">
        <v>25</v>
      </c>
      <c r="B34" s="1022" t="s">
        <v>61</v>
      </c>
      <c r="C34" s="1022"/>
      <c r="D34" s="1044" t="str">
        <f>VLOOKUP($A34,'Pre-Assessment Estimator'!$A$10:$AA$226,D$2,FALSE)</f>
        <v>Man 05</v>
      </c>
      <c r="E34" s="1044" t="str">
        <f>VLOOKUP($A34,'Pre-Assessment Estimator'!$A$10:$AA$226,E$2,FALSE)</f>
        <v>5-6</v>
      </c>
      <c r="F34" s="1045" t="str">
        <f>VLOOKUP($A34,'Pre-Assessment Estimator'!$A$10:$AA$226,F$2,FALSE)</f>
        <v>Post-occypancy evaluation</v>
      </c>
      <c r="G34" s="506">
        <f>VLOOKUP($A34,'Pre-Assessment Estimator'!$A$10:$AA$226,G$2,FALSE)</f>
        <v>1</v>
      </c>
      <c r="H34" s="512" t="str">
        <f>IF(VLOOKUP($A34,'Pre-Assessment Estimator'!$A$10:$AA$226,H$2,FALSE)=0,"",VLOOKUP($A34,'Pre-Assessment Estimator'!$A$10:$AA$226,H$2,FALSE))</f>
        <v/>
      </c>
      <c r="I34" s="507">
        <f>VLOOKUP($A34,'Pre-Assessment Estimator'!$A$10:$AA$226,I$2,FALSE)</f>
        <v>0</v>
      </c>
      <c r="J34" s="506" t="str">
        <f>VLOOKUP($A34,'Pre-Assessment Estimator'!$A$10:$AA$226,J$2,FALSE)</f>
        <v>N/A</v>
      </c>
      <c r="K34" s="509" t="str">
        <f>IF(VLOOKUP($A34,'Pre-Assessment Estimator'!$A$10:$AA$226,K$2,FALSE)=0,"",VLOOKUP($A34,'Pre-Assessment Estimator'!$A$10:$AA$226,K$2,FALSE))</f>
        <v/>
      </c>
      <c r="L34" s="509" t="str">
        <f>IF(VLOOKUP($A34,'Pre-Assessment Estimator'!$A$10:$AA$226,L$2,FALSE)=0,"",VLOOKUP($A34,'Pre-Assessment Estimator'!$A$10:$AA$226,L$2,FALSE))</f>
        <v/>
      </c>
      <c r="M34" s="510" t="str">
        <f>IF(VLOOKUP($A34,'Pre-Assessment Estimator'!$A$10:$AA$226,M$2,FALSE)=0,"",VLOOKUP($A34,'Pre-Assessment Estimator'!$A$10:$AA$226,M$2,FALSE))</f>
        <v/>
      </c>
      <c r="N34" s="511"/>
      <c r="O34" s="512" t="str">
        <f>IF(VLOOKUP($A34,'Pre-Assessment Estimator'!$A$10:$AA$226,O$2,FALSE)=0,"",VLOOKUP($A34,'Pre-Assessment Estimator'!$A$10:$AA$226,O$2,FALSE))</f>
        <v/>
      </c>
      <c r="P34" s="507">
        <f>VLOOKUP($A34,'Pre-Assessment Estimator'!$A$10:$AA$226,P$2,FALSE)</f>
        <v>0</v>
      </c>
      <c r="Q34" s="506" t="str">
        <f>VLOOKUP($A34,'Pre-Assessment Estimator'!$A$10:$AA$226,Q$2,FALSE)</f>
        <v>N/A</v>
      </c>
      <c r="R34" s="509" t="str">
        <f>IF(VLOOKUP($A34,'Pre-Assessment Estimator'!$A$10:$AA$226,R$2,FALSE)=0,"",VLOOKUP($A34,'Pre-Assessment Estimator'!$A$10:$AA$226,R$2,FALSE))</f>
        <v/>
      </c>
      <c r="S34" s="509" t="str">
        <f>IF(VLOOKUP($A34,'Pre-Assessment Estimator'!$A$10:$AA$226,S$2,FALSE)=0,"",VLOOKUP($A34,'Pre-Assessment Estimator'!$A$10:$AA$226,S$2,FALSE))</f>
        <v/>
      </c>
      <c r="T34" s="510" t="str">
        <f>IF(VLOOKUP($A34,'Pre-Assessment Estimator'!$A$10:$AA$226,T$2,FALSE)=0,"",VLOOKUP($A34,'Pre-Assessment Estimator'!$A$10:$AA$226,T$2,FALSE))</f>
        <v/>
      </c>
      <c r="U34" s="513"/>
      <c r="V34" s="512" t="str">
        <f>IF(VLOOKUP($A34,'Pre-Assessment Estimator'!$A$10:$AA$226,V$2,FALSE)=0,"",VLOOKUP($A34,'Pre-Assessment Estimator'!$A$10:$AA$226,V$2,FALSE))</f>
        <v/>
      </c>
      <c r="W34" s="507">
        <f>VLOOKUP($A34,'Pre-Assessment Estimator'!$A$10:$AA$226,W$2,FALSE)</f>
        <v>0</v>
      </c>
      <c r="X34" s="506" t="str">
        <f>VLOOKUP($A34,'Pre-Assessment Estimator'!$A$10:$AA$226,X$2,FALSE)</f>
        <v>N/A</v>
      </c>
      <c r="Y34" s="509" t="str">
        <f>IF(VLOOKUP($A34,'Pre-Assessment Estimator'!$A$10:$AA$226,Y$2,FALSE)=0,"",VLOOKUP($A34,'Pre-Assessment Estimator'!$A$10:$AA$226,Y$2,FALSE))</f>
        <v/>
      </c>
      <c r="Z34" s="509" t="str">
        <f>IF(VLOOKUP($A34,'Pre-Assessment Estimator'!$A$10:$AA$226,Z$2,FALSE)=0,"",VLOOKUP($A34,'Pre-Assessment Estimator'!$A$10:$AA$226,Z$2,FALSE))</f>
        <v/>
      </c>
      <c r="AA34" s="322" t="str">
        <f>IF(VLOOKUP($A34,'Pre-Assessment Estimator'!$A$10:$AA$226,AA$2,FALSE)=0,"",VLOOKUP($A34,'Pre-Assessment Estimator'!$A$10:$AA$226,AA$2,FALSE))</f>
        <v/>
      </c>
      <c r="AB34" s="605">
        <v>25</v>
      </c>
      <c r="AC34" s="509"/>
      <c r="AG34" s="15">
        <f t="shared" si="0"/>
        <v>1</v>
      </c>
      <c r="AH34" s="353"/>
      <c r="AM34" s="16"/>
    </row>
    <row r="35" spans="1:43" ht="30" customHeight="1" thickBot="1" x14ac:dyDescent="0.3">
      <c r="A35" s="716">
        <v>26</v>
      </c>
      <c r="B35" s="1022" t="s">
        <v>61</v>
      </c>
      <c r="C35" s="1022"/>
      <c r="D35" s="1046"/>
      <c r="E35" s="1046"/>
      <c r="F35" s="1046" t="str">
        <f>VLOOKUP($A35,'Pre-Assessment Estimator'!$A$10:$AA$226,F$2,FALSE)</f>
        <v>Total performance management</v>
      </c>
      <c r="G35" s="514">
        <f>VLOOKUP($A35,'Pre-Assessment Estimator'!$A$10:$AA$226,G$2,FALSE)</f>
        <v>21</v>
      </c>
      <c r="H35" s="516" t="str">
        <f>IF(VLOOKUP($A35,'Pre-Assessment Estimator'!$A$10:$AA$226,H$2,FALSE)=0,"",VLOOKUP($A35,'Pre-Assessment Estimator'!$A$10:$AA$226,H$2,FALSE))</f>
        <v/>
      </c>
      <c r="I35" s="515">
        <f>VLOOKUP($A35,'Pre-Assessment Estimator'!$A$10:$AA$226,I$2,FALSE)</f>
        <v>0</v>
      </c>
      <c r="J35" s="514" t="str">
        <f>VLOOKUP($A35,'Pre-Assessment Estimator'!$A$10:$AA$226,J$2,FALSE)</f>
        <v>Credits achieved: 0</v>
      </c>
      <c r="K35" s="994" t="str">
        <f>IF(VLOOKUP($A35,'Pre-Assessment Estimator'!$A$10:$AA$226,K$2,FALSE)=0,"",VLOOKUP($A35,'Pre-Assessment Estimator'!$A$10:$AA$226,K$2,FALSE))</f>
        <v/>
      </c>
      <c r="L35" s="994" t="str">
        <f>IF(VLOOKUP($A35,'Pre-Assessment Estimator'!$A$10:$AA$226,L$2,FALSE)=0,"",VLOOKUP($A35,'Pre-Assessment Estimator'!$A$10:$AA$226,L$2,FALSE))</f>
        <v/>
      </c>
      <c r="M35" s="1013" t="str">
        <f>IF(VLOOKUP($A35,'Pre-Assessment Estimator'!$A$10:$AA$226,M$2,FALSE)=0,"",VLOOKUP($A35,'Pre-Assessment Estimator'!$A$10:$AA$226,M$2,FALSE))</f>
        <v/>
      </c>
      <c r="N35" s="1014"/>
      <c r="O35" s="516" t="str">
        <f>IF(VLOOKUP($A35,'Pre-Assessment Estimator'!$A$10:$AA$226,O$2,FALSE)=0,"",VLOOKUP($A35,'Pre-Assessment Estimator'!$A$10:$AA$226,O$2,FALSE))</f>
        <v/>
      </c>
      <c r="P35" s="515">
        <f>VLOOKUP($A35,'Pre-Assessment Estimator'!$A$10:$AA$226,P$2,FALSE)</f>
        <v>0</v>
      </c>
      <c r="Q35" s="514" t="str">
        <f>VLOOKUP($A35,'Pre-Assessment Estimator'!$A$10:$AA$226,Q$2,FALSE)</f>
        <v>Credits achieved: 0</v>
      </c>
      <c r="R35" s="994" t="str">
        <f>IF(VLOOKUP($A35,'Pre-Assessment Estimator'!$A$10:$AA$226,R$2,FALSE)=0,"",VLOOKUP($A35,'Pre-Assessment Estimator'!$A$10:$AA$226,R$2,FALSE))</f>
        <v/>
      </c>
      <c r="S35" s="994" t="str">
        <f>IF(VLOOKUP($A35,'Pre-Assessment Estimator'!$A$10:$AA$226,S$2,FALSE)=0,"",VLOOKUP($A35,'Pre-Assessment Estimator'!$A$10:$AA$226,S$2,FALSE))</f>
        <v/>
      </c>
      <c r="T35" s="1013" t="str">
        <f>IF(VLOOKUP($A35,'Pre-Assessment Estimator'!$A$10:$AA$226,T$2,FALSE)=0,"",VLOOKUP($A35,'Pre-Assessment Estimator'!$A$10:$AA$226,T$2,FALSE))</f>
        <v/>
      </c>
      <c r="U35" s="1015"/>
      <c r="V35" s="516" t="str">
        <f>IF(VLOOKUP($A35,'Pre-Assessment Estimator'!$A$10:$AA$226,V$2,FALSE)=0,"",VLOOKUP($A35,'Pre-Assessment Estimator'!$A$10:$AA$226,V$2,FALSE))</f>
        <v/>
      </c>
      <c r="W35" s="515">
        <f>VLOOKUP($A35,'Pre-Assessment Estimator'!$A$10:$AA$226,W$2,FALSE)</f>
        <v>0</v>
      </c>
      <c r="X35" s="514" t="str">
        <f>VLOOKUP($A35,'Pre-Assessment Estimator'!$A$10:$AA$226,X$2,FALSE)</f>
        <v>Credits achieved: 0</v>
      </c>
      <c r="Y35" s="994" t="str">
        <f>IF(VLOOKUP($A35,'Pre-Assessment Estimator'!$A$10:$AA$226,Y$2,FALSE)=0,"",VLOOKUP($A35,'Pre-Assessment Estimator'!$A$10:$AA$226,Y$2,FALSE))</f>
        <v/>
      </c>
      <c r="Z35" s="994" t="str">
        <f>IF(VLOOKUP($A35,'Pre-Assessment Estimator'!$A$10:$AA$226,Z$2,FALSE)=0,"",VLOOKUP($A35,'Pre-Assessment Estimator'!$A$10:$AA$226,Z$2,FALSE))</f>
        <v/>
      </c>
      <c r="AA35" s="1016" t="str">
        <f>IF(VLOOKUP($A35,'Pre-Assessment Estimator'!$A$10:$AA$226,AA$2,FALSE)=0,"",VLOOKUP($A35,'Pre-Assessment Estimator'!$A$10:$AA$226,AA$2,FALSE))</f>
        <v/>
      </c>
      <c r="AB35" s="605">
        <v>26</v>
      </c>
      <c r="AC35" s="509" t="str">
        <f>IF(VLOOKUP($A35,'Pre-Assessment Estimator'!$A$10:$AC$226,AC$2,FALSE)=0,"",VLOOKUP($A35,'Pre-Assessment Estimator'!$A$10:$AC$226,AC$2,FALSE))</f>
        <v>Credits achieved: 0</v>
      </c>
      <c r="AG35" s="15">
        <f t="shared" si="0"/>
        <v>1</v>
      </c>
      <c r="AH35" s="353"/>
      <c r="AM35" s="16"/>
    </row>
    <row r="36" spans="1:43" x14ac:dyDescent="0.25">
      <c r="A36" s="716">
        <v>27</v>
      </c>
      <c r="B36" s="1022" t="s">
        <v>61</v>
      </c>
      <c r="C36" s="1022"/>
      <c r="D36" s="517"/>
      <c r="E36" s="517"/>
      <c r="F36" s="517"/>
      <c r="G36" s="518"/>
      <c r="H36" s="518"/>
      <c r="I36" s="518"/>
      <c r="J36" s="518"/>
      <c r="K36" s="517"/>
      <c r="L36" s="518"/>
      <c r="M36" s="517"/>
      <c r="N36" s="511"/>
      <c r="O36" s="518"/>
      <c r="P36" s="518"/>
      <c r="Q36" s="518"/>
      <c r="R36" s="517"/>
      <c r="S36" s="518"/>
      <c r="T36" s="517"/>
      <c r="U36" s="513"/>
      <c r="V36" s="518"/>
      <c r="W36" s="518"/>
      <c r="X36" s="518"/>
      <c r="Y36" s="517"/>
      <c r="Z36" s="518"/>
      <c r="AA36" s="300"/>
      <c r="AB36" s="605">
        <v>27</v>
      </c>
      <c r="AC36" s="517"/>
      <c r="AG36" s="15">
        <f t="shared" si="0"/>
        <v>1</v>
      </c>
      <c r="AM36" s="16"/>
      <c r="AO36" s="15"/>
      <c r="AQ36" s="15"/>
    </row>
    <row r="37" spans="1:43" ht="18.75" x14ac:dyDescent="0.25">
      <c r="A37" s="716">
        <v>28</v>
      </c>
      <c r="B37" s="1022" t="s">
        <v>64</v>
      </c>
      <c r="C37" s="1022"/>
      <c r="D37" s="519"/>
      <c r="E37" s="519"/>
      <c r="F37" s="519" t="s">
        <v>64</v>
      </c>
      <c r="G37" s="502"/>
      <c r="H37" s="502"/>
      <c r="I37" s="502"/>
      <c r="J37" s="502"/>
      <c r="K37" s="503" t="str">
        <f>IF(VLOOKUP($A37,'Pre-Assessment Estimator'!$A$10:$AA$226,K$2,FALSE)=0,"",VLOOKUP($A37,'Pre-Assessment Estimator'!$A$10:$AA$226,K$2,FALSE))</f>
        <v/>
      </c>
      <c r="L37" s="502" t="str">
        <f>IF(VLOOKUP($A37,'Pre-Assessment Estimator'!$A$10:$AA$226,L$2,FALSE)=0,"",VLOOKUP($A37,'Pre-Assessment Estimator'!$A$10:$AA$226,L$2,FALSE))</f>
        <v/>
      </c>
      <c r="M37" s="503" t="str">
        <f>IF(VLOOKUP($A37,'Pre-Assessment Estimator'!$A$10:$AA$226,M$2,FALSE)=0,"",VLOOKUP($A37,'Pre-Assessment Estimator'!$A$10:$AA$226,M$2,FALSE))</f>
        <v/>
      </c>
      <c r="N37" s="511"/>
      <c r="O37" s="502" t="str">
        <f>IF(VLOOKUP($A37,'Pre-Assessment Estimator'!$A$10:$AA$226,O$2,FALSE)=0,"",VLOOKUP($A37,'Pre-Assessment Estimator'!$A$10:$AA$226,O$2,FALSE))</f>
        <v/>
      </c>
      <c r="P37" s="502"/>
      <c r="Q37" s="502"/>
      <c r="R37" s="503" t="str">
        <f>IF(VLOOKUP($A37,'Pre-Assessment Estimator'!$A$10:$AA$226,R$2,FALSE)=0,"",VLOOKUP($A37,'Pre-Assessment Estimator'!$A$10:$AA$226,R$2,FALSE))</f>
        <v/>
      </c>
      <c r="S37" s="502" t="str">
        <f>IF(VLOOKUP($A37,'Pre-Assessment Estimator'!$A$10:$AA$226,S$2,FALSE)=0,"",VLOOKUP($A37,'Pre-Assessment Estimator'!$A$10:$AA$226,S$2,FALSE))</f>
        <v/>
      </c>
      <c r="T37" s="503" t="str">
        <f>IF(VLOOKUP($A37,'Pre-Assessment Estimator'!$A$10:$AA$226,T$2,FALSE)=0,"",VLOOKUP($A37,'Pre-Assessment Estimator'!$A$10:$AA$226,T$2,FALSE))</f>
        <v/>
      </c>
      <c r="U37" s="513"/>
      <c r="V37" s="502" t="str">
        <f>IF(VLOOKUP($A37,'Pre-Assessment Estimator'!$A$10:$AA$226,V$2,FALSE)=0,"",VLOOKUP($A37,'Pre-Assessment Estimator'!$A$10:$AA$226,V$2,FALSE))</f>
        <v/>
      </c>
      <c r="W37" s="502"/>
      <c r="X37" s="502"/>
      <c r="Y37" s="503" t="str">
        <f>IF(VLOOKUP($A37,'Pre-Assessment Estimator'!$A$10:$AA$226,Y$2,FALSE)=0,"",VLOOKUP($A37,'Pre-Assessment Estimator'!$A$10:$AA$226,Y$2,FALSE))</f>
        <v/>
      </c>
      <c r="Z37" s="502" t="str">
        <f>IF(VLOOKUP($A37,'Pre-Assessment Estimator'!$A$10:$AA$226,Z$2,FALSE)=0,"",VLOOKUP($A37,'Pre-Assessment Estimator'!$A$10:$AA$226,Z$2,FALSE))</f>
        <v/>
      </c>
      <c r="AA37" s="351" t="str">
        <f>IF(VLOOKUP($A37,'Pre-Assessment Estimator'!$A$10:$AA$226,AA$2,FALSE)=0,"",VLOOKUP($A37,'Pre-Assessment Estimator'!$A$10:$AA$226,AA$2,FALSE))</f>
        <v/>
      </c>
      <c r="AB37" s="605">
        <v>28</v>
      </c>
      <c r="AC37" s="606"/>
      <c r="AG37" s="15">
        <f t="shared" si="0"/>
        <v>1</v>
      </c>
      <c r="AM37" s="16"/>
      <c r="AO37" s="15"/>
      <c r="AQ37" s="15"/>
    </row>
    <row r="38" spans="1:43" x14ac:dyDescent="0.25">
      <c r="A38" s="716">
        <v>29</v>
      </c>
      <c r="B38" s="1022" t="s">
        <v>64</v>
      </c>
      <c r="C38" s="1022"/>
      <c r="D38" s="1043" t="str">
        <f>VLOOKUP($A38,'Pre-Assessment Estimator'!$A$10:$AA$226,D$2,FALSE)</f>
        <v>Hea 01</v>
      </c>
      <c r="E38" s="1044"/>
      <c r="F38" s="1043" t="str">
        <f>VLOOKUP($A38,'Pre-Assessment Estimator'!$A$10:$AA$226,F$2,FALSE)</f>
        <v>Hea 01 Visual comfort</v>
      </c>
      <c r="G38" s="506">
        <f>VLOOKUP($A38,'Pre-Assessment Estimator'!$A$10:$AA$226,G$2,FALSE)</f>
        <v>7</v>
      </c>
      <c r="H38" s="512" t="str">
        <f>IF(VLOOKUP($A38,'Pre-Assessment Estimator'!$A$10:$AA$226,H$2,FALSE)=0,"",VLOOKUP($A38,'Pre-Assessment Estimator'!$A$10:$AA$226,H$2,FALSE))</f>
        <v/>
      </c>
      <c r="I38" s="1012" t="str">
        <f>VLOOKUP($A38,'Pre-Assessment Estimator'!$A$10:$AA$226,I$2,FALSE)</f>
        <v>0 c. 0 %</v>
      </c>
      <c r="J38" s="508" t="str">
        <f>VLOOKUP($A38,'Pre-Assessment Estimator'!$A$10:$AA$226,J$2,FALSE)</f>
        <v>N/A</v>
      </c>
      <c r="K38" s="509" t="str">
        <f>IF(VLOOKUP($A38,'Pre-Assessment Estimator'!$A$10:$AA$226,K$2,FALSE)=0,"",VLOOKUP($A38,'Pre-Assessment Estimator'!$A$10:$AA$226,K$2,FALSE))</f>
        <v/>
      </c>
      <c r="L38" s="509" t="str">
        <f>IF(VLOOKUP($A38,'Pre-Assessment Estimator'!$A$10:$AA$226,L$2,FALSE)=0,"",VLOOKUP($A38,'Pre-Assessment Estimator'!$A$10:$AA$226,L$2,FALSE))</f>
        <v/>
      </c>
      <c r="M38" s="510" t="str">
        <f>IF(VLOOKUP($A38,'Pre-Assessment Estimator'!$A$10:$AA$226,M$2,FALSE)=0,"",VLOOKUP($A38,'Pre-Assessment Estimator'!$A$10:$AA$226,M$2,FALSE))</f>
        <v/>
      </c>
      <c r="N38" s="511"/>
      <c r="O38" s="512" t="str">
        <f>IF(VLOOKUP($A38,'Pre-Assessment Estimator'!$A$10:$AA$226,O$2,FALSE)=0,"",VLOOKUP($A38,'Pre-Assessment Estimator'!$A$10:$AA$226,O$2,FALSE))</f>
        <v/>
      </c>
      <c r="P38" s="507" t="str">
        <f>VLOOKUP($A38,'Pre-Assessment Estimator'!$A$10:$AA$226,P$2,FALSE)</f>
        <v>0 c. 0 %</v>
      </c>
      <c r="Q38" s="506" t="str">
        <f>VLOOKUP($A38,'Pre-Assessment Estimator'!$A$10:$AA$226,Q$2,FALSE)</f>
        <v>N/A</v>
      </c>
      <c r="R38" s="509" t="str">
        <f>IF(VLOOKUP($A38,'Pre-Assessment Estimator'!$A$10:$AA$226,R$2,FALSE)=0,"",VLOOKUP($A38,'Pre-Assessment Estimator'!$A$10:$AA$226,R$2,FALSE))</f>
        <v/>
      </c>
      <c r="S38" s="509" t="str">
        <f>IF(VLOOKUP($A38,'Pre-Assessment Estimator'!$A$10:$AA$226,S$2,FALSE)=0,"",VLOOKUP($A38,'Pre-Assessment Estimator'!$A$10:$AA$226,S$2,FALSE))</f>
        <v/>
      </c>
      <c r="T38" s="510" t="str">
        <f>IF(VLOOKUP($A38,'Pre-Assessment Estimator'!$A$10:$AA$226,T$2,FALSE)=0,"",VLOOKUP($A38,'Pre-Assessment Estimator'!$A$10:$AA$226,T$2,FALSE))</f>
        <v/>
      </c>
      <c r="U38" s="513"/>
      <c r="V38" s="512" t="str">
        <f>IF(VLOOKUP($A38,'Pre-Assessment Estimator'!$A$10:$AA$226,V$2,FALSE)=0,"",VLOOKUP($A38,'Pre-Assessment Estimator'!$A$10:$AA$226,V$2,FALSE))</f>
        <v/>
      </c>
      <c r="W38" s="507" t="str">
        <f>VLOOKUP($A38,'Pre-Assessment Estimator'!$A$10:$AA$226,W$2,FALSE)</f>
        <v>0 c. 0 %</v>
      </c>
      <c r="X38" s="506" t="str">
        <f>VLOOKUP($A38,'Pre-Assessment Estimator'!$A$10:$AA$226,X$2,FALSE)</f>
        <v>N/A</v>
      </c>
      <c r="Y38" s="509" t="str">
        <f>IF(VLOOKUP($A38,'Pre-Assessment Estimator'!$A$10:$AA$226,Y$2,FALSE)=0,"",VLOOKUP($A38,'Pre-Assessment Estimator'!$A$10:$AA$226,Y$2,FALSE))</f>
        <v/>
      </c>
      <c r="Z38" s="509" t="str">
        <f>IF(VLOOKUP($A38,'Pre-Assessment Estimator'!$A$10:$AA$226,Z$2,FALSE)=0,"",VLOOKUP($A38,'Pre-Assessment Estimator'!$A$10:$AA$226,Z$2,FALSE))</f>
        <v/>
      </c>
      <c r="AA38" s="322" t="str">
        <f>IF(VLOOKUP($A38,'Pre-Assessment Estimator'!$A$10:$AA$226,AA$2,FALSE)=0,"",VLOOKUP($A38,'Pre-Assessment Estimator'!$A$10:$AA$226,AA$2,FALSE))</f>
        <v/>
      </c>
      <c r="AB38" s="605">
        <v>29</v>
      </c>
      <c r="AC38" s="509" t="str">
        <f>IF(VLOOKUP($A38,'Pre-Assessment Estimator'!$A$10:$AC$226,AC$2,FALSE)=0,"",VLOOKUP($A38,'Pre-Assessment Estimator'!$A$10:$AC$226,AC$2,FALSE))</f>
        <v>N/A</v>
      </c>
      <c r="AG38" s="15">
        <f t="shared" si="0"/>
        <v>1</v>
      </c>
      <c r="AO38" s="15"/>
      <c r="AQ38" s="15"/>
    </row>
    <row r="39" spans="1:43" x14ac:dyDescent="0.25">
      <c r="A39" s="716">
        <v>30</v>
      </c>
      <c r="B39" s="1022" t="s">
        <v>64</v>
      </c>
      <c r="C39" s="1022"/>
      <c r="D39" s="1044" t="str">
        <f>VLOOKUP($A39,'Pre-Assessment Estimator'!$A$10:$AA$226,D$2,FALSE)</f>
        <v>Hea 01</v>
      </c>
      <c r="E39" s="1044" t="str">
        <f>VLOOKUP($A39,'Pre-Assessment Estimator'!$A$10:$AA$226,E$2,FALSE)</f>
        <v>1-2</v>
      </c>
      <c r="F39" s="1045" t="str">
        <f>VLOOKUP($A39,'Pre-Assessment Estimator'!$A$10:$AA$226,F$2,FALSE)</f>
        <v>Pre-requisite: limitation of light flicker and stroboscopic effect</v>
      </c>
      <c r="G39" s="506" t="str">
        <f>VLOOKUP($A39,'Pre-Assessment Estimator'!$A$10:$AA$226,G$2,FALSE)</f>
        <v>Yes/No</v>
      </c>
      <c r="H39" s="512" t="str">
        <f>IF(VLOOKUP($A39,'Pre-Assessment Estimator'!$A$10:$AA$226,H$2,FALSE)=0,"",VLOOKUP($A39,'Pre-Assessment Estimator'!$A$10:$AA$226,H$2,FALSE))</f>
        <v/>
      </c>
      <c r="I39" s="1012" t="str">
        <f>VLOOKUP($A39,'Pre-Assessment Estimator'!$A$10:$AA$226,I$2,FALSE)</f>
        <v>-</v>
      </c>
      <c r="J39" s="508" t="str">
        <f>VLOOKUP($A39,'Pre-Assessment Estimator'!$A$10:$AA$226,J$2,FALSE)</f>
        <v>Unclassified</v>
      </c>
      <c r="K39" s="509" t="str">
        <f>IF(VLOOKUP($A39,'Pre-Assessment Estimator'!$A$10:$AA$226,K$2,FALSE)=0,"",VLOOKUP($A39,'Pre-Assessment Estimator'!$A$10:$AA$226,K$2,FALSE))</f>
        <v/>
      </c>
      <c r="L39" s="509" t="str">
        <f>IF(VLOOKUP($A39,'Pre-Assessment Estimator'!$A$10:$AA$226,L$2,FALSE)=0,"",VLOOKUP($A39,'Pre-Assessment Estimator'!$A$10:$AA$226,L$2,FALSE))</f>
        <v/>
      </c>
      <c r="M39" s="510" t="str">
        <f>IF(VLOOKUP($A39,'Pre-Assessment Estimator'!$A$10:$AA$226,M$2,FALSE)=0,"",VLOOKUP($A39,'Pre-Assessment Estimator'!$A$10:$AA$226,M$2,FALSE))</f>
        <v/>
      </c>
      <c r="N39" s="511"/>
      <c r="O39" s="512" t="str">
        <f>IF(VLOOKUP($A39,'Pre-Assessment Estimator'!$A$10:$AA$226,O$2,FALSE)=0,"",VLOOKUP($A39,'Pre-Assessment Estimator'!$A$10:$AA$226,O$2,FALSE))</f>
        <v/>
      </c>
      <c r="P39" s="507" t="str">
        <f>VLOOKUP($A39,'Pre-Assessment Estimator'!$A$10:$AA$226,P$2,FALSE)</f>
        <v>-</v>
      </c>
      <c r="Q39" s="506" t="str">
        <f>VLOOKUP($A39,'Pre-Assessment Estimator'!$A$10:$AA$226,Q$2,FALSE)</f>
        <v>Unclassified</v>
      </c>
      <c r="R39" s="509" t="str">
        <f>IF(VLOOKUP($A39,'Pre-Assessment Estimator'!$A$10:$AA$226,R$2,FALSE)=0,"",VLOOKUP($A39,'Pre-Assessment Estimator'!$A$10:$AA$226,R$2,FALSE))</f>
        <v/>
      </c>
      <c r="S39" s="509" t="str">
        <f>IF(VLOOKUP($A39,'Pre-Assessment Estimator'!$A$10:$AA$226,S$2,FALSE)=0,"",VLOOKUP($A39,'Pre-Assessment Estimator'!$A$10:$AA$226,S$2,FALSE))</f>
        <v/>
      </c>
      <c r="T39" s="510" t="str">
        <f>IF(VLOOKUP($A39,'Pre-Assessment Estimator'!$A$10:$AA$226,T$2,FALSE)=0,"",VLOOKUP($A39,'Pre-Assessment Estimator'!$A$10:$AA$226,T$2,FALSE))</f>
        <v/>
      </c>
      <c r="U39" s="513"/>
      <c r="V39" s="512" t="str">
        <f>IF(VLOOKUP($A39,'Pre-Assessment Estimator'!$A$10:$AA$226,V$2,FALSE)=0,"",VLOOKUP($A39,'Pre-Assessment Estimator'!$A$10:$AA$226,V$2,FALSE))</f>
        <v/>
      </c>
      <c r="W39" s="507" t="str">
        <f>VLOOKUP($A39,'Pre-Assessment Estimator'!$A$10:$AA$226,W$2,FALSE)</f>
        <v>-</v>
      </c>
      <c r="X39" s="506" t="str">
        <f>VLOOKUP($A39,'Pre-Assessment Estimator'!$A$10:$AA$226,X$2,FALSE)</f>
        <v>Unclassified</v>
      </c>
      <c r="Y39" s="509" t="str">
        <f>IF(VLOOKUP($A39,'Pre-Assessment Estimator'!$A$10:$AA$226,Y$2,FALSE)=0,"",VLOOKUP($A39,'Pre-Assessment Estimator'!$A$10:$AA$226,Y$2,FALSE))</f>
        <v/>
      </c>
      <c r="Z39" s="509" t="str">
        <f>IF(VLOOKUP($A39,'Pre-Assessment Estimator'!$A$10:$AA$226,Z$2,FALSE)=0,"",VLOOKUP($A39,'Pre-Assessment Estimator'!$A$10:$AA$226,Z$2,FALSE))</f>
        <v/>
      </c>
      <c r="AA39" s="322" t="str">
        <f>IF(VLOOKUP($A39,'Pre-Assessment Estimator'!$A$10:$AA$226,AA$2,FALSE)=0,"",VLOOKUP($A39,'Pre-Assessment Estimator'!$A$10:$AA$226,AA$2,FALSE))</f>
        <v/>
      </c>
      <c r="AB39" s="605">
        <v>30</v>
      </c>
      <c r="AC39" s="509" t="str">
        <f>IF(VLOOKUP($A39,'Pre-Assessment Estimator'!$A$10:$AC$226,AC$2,FALSE)=0,"",VLOOKUP($A39,'Pre-Assessment Estimator'!$A$10:$AC$226,AC$2,FALSE))</f>
        <v>Unclassified</v>
      </c>
      <c r="AG39" s="15">
        <f t="shared" si="0"/>
        <v>1</v>
      </c>
      <c r="AO39" s="15"/>
      <c r="AQ39" s="15"/>
    </row>
    <row r="40" spans="1:43" x14ac:dyDescent="0.25">
      <c r="A40" s="716">
        <v>31</v>
      </c>
      <c r="B40" s="1022" t="s">
        <v>64</v>
      </c>
      <c r="C40" s="1022"/>
      <c r="D40" s="1044" t="str">
        <f>VLOOKUP($A40,'Pre-Assessment Estimator'!$A$10:$AA$226,D$2,FALSE)</f>
        <v>Hea 01</v>
      </c>
      <c r="E40" s="1044">
        <f>VLOOKUP($A40,'Pre-Assessment Estimator'!$A$10:$AA$226,E$2,FALSE)</f>
        <v>3</v>
      </c>
      <c r="F40" s="1045" t="str">
        <f>VLOOKUP($A40,'Pre-Assessment Estimator'!$A$10:$AA$226,F$2,FALSE)</f>
        <v>Pre-requisite: daylight assessments</v>
      </c>
      <c r="G40" s="506" t="str">
        <f>VLOOKUP($A40,'Pre-Assessment Estimator'!$A$10:$AA$226,G$2,FALSE)</f>
        <v>Yes/No</v>
      </c>
      <c r="H40" s="512" t="str">
        <f>IF(VLOOKUP($A40,'Pre-Assessment Estimator'!$A$10:$AA$226,H$2,FALSE)=0,"",VLOOKUP($A40,'Pre-Assessment Estimator'!$A$10:$AA$226,H$2,FALSE))</f>
        <v/>
      </c>
      <c r="I40" s="1012" t="str">
        <f>VLOOKUP($A40,'Pre-Assessment Estimator'!$A$10:$AA$226,I$2,FALSE)</f>
        <v>-</v>
      </c>
      <c r="J40" s="508" t="str">
        <f>VLOOKUP($A40,'Pre-Assessment Estimator'!$A$10:$AA$226,J$2,FALSE)</f>
        <v>Unclassified</v>
      </c>
      <c r="K40" s="509" t="str">
        <f>IF(VLOOKUP($A40,'Pre-Assessment Estimator'!$A$10:$AA$226,K$2,FALSE)=0,"",VLOOKUP($A40,'Pre-Assessment Estimator'!$A$10:$AA$226,K$2,FALSE))</f>
        <v/>
      </c>
      <c r="L40" s="509" t="str">
        <f>IF(VLOOKUP($A40,'Pre-Assessment Estimator'!$A$10:$AA$226,L$2,FALSE)=0,"",VLOOKUP($A40,'Pre-Assessment Estimator'!$A$10:$AA$226,L$2,FALSE))</f>
        <v/>
      </c>
      <c r="M40" s="510" t="str">
        <f>IF(VLOOKUP($A40,'Pre-Assessment Estimator'!$A$10:$AA$226,M$2,FALSE)=0,"",VLOOKUP($A40,'Pre-Assessment Estimator'!$A$10:$AA$226,M$2,FALSE))</f>
        <v/>
      </c>
      <c r="N40" s="511"/>
      <c r="O40" s="512" t="str">
        <f>IF(VLOOKUP($A40,'Pre-Assessment Estimator'!$A$10:$AA$226,O$2,FALSE)=0,"",VLOOKUP($A40,'Pre-Assessment Estimator'!$A$10:$AA$226,O$2,FALSE))</f>
        <v/>
      </c>
      <c r="P40" s="507" t="str">
        <f>VLOOKUP($A40,'Pre-Assessment Estimator'!$A$10:$AA$226,P$2,FALSE)</f>
        <v>-</v>
      </c>
      <c r="Q40" s="506" t="str">
        <f>VLOOKUP($A40,'Pre-Assessment Estimator'!$A$10:$AA$226,Q$2,FALSE)</f>
        <v>Unclassified</v>
      </c>
      <c r="R40" s="509" t="str">
        <f>IF(VLOOKUP($A40,'Pre-Assessment Estimator'!$A$10:$AA$226,R$2,FALSE)=0,"",VLOOKUP($A40,'Pre-Assessment Estimator'!$A$10:$AA$226,R$2,FALSE))</f>
        <v/>
      </c>
      <c r="S40" s="509" t="str">
        <f>IF(VLOOKUP($A40,'Pre-Assessment Estimator'!$A$10:$AA$226,S$2,FALSE)=0,"",VLOOKUP($A40,'Pre-Assessment Estimator'!$A$10:$AA$226,S$2,FALSE))</f>
        <v/>
      </c>
      <c r="T40" s="510" t="str">
        <f>IF(VLOOKUP($A40,'Pre-Assessment Estimator'!$A$10:$AA$226,T$2,FALSE)=0,"",VLOOKUP($A40,'Pre-Assessment Estimator'!$A$10:$AA$226,T$2,FALSE))</f>
        <v/>
      </c>
      <c r="U40" s="513"/>
      <c r="V40" s="512" t="str">
        <f>IF(VLOOKUP($A40,'Pre-Assessment Estimator'!$A$10:$AA$226,V$2,FALSE)=0,"",VLOOKUP($A40,'Pre-Assessment Estimator'!$A$10:$AA$226,V$2,FALSE))</f>
        <v/>
      </c>
      <c r="W40" s="507" t="str">
        <f>VLOOKUP($A40,'Pre-Assessment Estimator'!$A$10:$AA$226,W$2,FALSE)</f>
        <v>-</v>
      </c>
      <c r="X40" s="506" t="str">
        <f>VLOOKUP($A40,'Pre-Assessment Estimator'!$A$10:$AA$226,X$2,FALSE)</f>
        <v>Unclassified</v>
      </c>
      <c r="Y40" s="509" t="str">
        <f>IF(VLOOKUP($A40,'Pre-Assessment Estimator'!$A$10:$AA$226,Y$2,FALSE)=0,"",VLOOKUP($A40,'Pre-Assessment Estimator'!$A$10:$AA$226,Y$2,FALSE))</f>
        <v/>
      </c>
      <c r="Z40" s="509" t="str">
        <f>IF(VLOOKUP($A40,'Pre-Assessment Estimator'!$A$10:$AA$226,Z$2,FALSE)=0,"",VLOOKUP($A40,'Pre-Assessment Estimator'!$A$10:$AA$226,Z$2,FALSE))</f>
        <v/>
      </c>
      <c r="AA40" s="322" t="str">
        <f>IF(VLOOKUP($A40,'Pre-Assessment Estimator'!$A$10:$AA$226,AA$2,FALSE)=0,"",VLOOKUP($A40,'Pre-Assessment Estimator'!$A$10:$AA$226,AA$2,FALSE))</f>
        <v/>
      </c>
      <c r="AB40" s="605">
        <v>30</v>
      </c>
      <c r="AC40" s="509" t="str">
        <f>IF(VLOOKUP($A40,'Pre-Assessment Estimator'!$A$10:$AC$226,AC$2,FALSE)=0,"",VLOOKUP($A40,'Pre-Assessment Estimator'!$A$10:$AC$226,AC$2,FALSE))</f>
        <v>Unclassified</v>
      </c>
      <c r="AG40" s="15">
        <f t="shared" ref="AG40" si="1">IF(G40="",1,IF(G40=0,2,1))</f>
        <v>1</v>
      </c>
      <c r="AO40" s="15"/>
      <c r="AQ40" s="15"/>
    </row>
    <row r="41" spans="1:43" x14ac:dyDescent="0.25">
      <c r="A41" s="716">
        <v>32</v>
      </c>
      <c r="B41" s="1022" t="s">
        <v>64</v>
      </c>
      <c r="C41" s="1022"/>
      <c r="D41" s="1044" t="str">
        <f>VLOOKUP($A41,'Pre-Assessment Estimator'!$A$10:$AA$226,D$2,FALSE)</f>
        <v>Hea 01</v>
      </c>
      <c r="E41" s="1044">
        <f>VLOOKUP($A41,'Pre-Assessment Estimator'!$A$10:$AA$226,E$2,FALSE)</f>
        <v>4</v>
      </c>
      <c r="F41" s="1045" t="str">
        <f>VLOOKUP($A41,'Pre-Assessment Estimator'!$A$10:$AA$226,F$2,FALSE)</f>
        <v>Daylighting</v>
      </c>
      <c r="G41" s="506">
        <f>VLOOKUP($A41,'Pre-Assessment Estimator'!$A$10:$AA$226,G$2,FALSE)</f>
        <v>3</v>
      </c>
      <c r="H41" s="512" t="str">
        <f>IF(VLOOKUP($A41,'Pre-Assessment Estimator'!$A$10:$AA$226,H$2,FALSE)=0,"",VLOOKUP($A41,'Pre-Assessment Estimator'!$A$10:$AA$226,H$2,FALSE))</f>
        <v/>
      </c>
      <c r="I41" s="1012">
        <f>VLOOKUP($A41,'Pre-Assessment Estimator'!$A$10:$AA$226,I$2,FALSE)</f>
        <v>0</v>
      </c>
      <c r="J41" s="508" t="str">
        <f>VLOOKUP($A41,'Pre-Assessment Estimator'!$A$10:$AA$226,J$2,FALSE)</f>
        <v>N/A</v>
      </c>
      <c r="K41" s="509" t="str">
        <f>IF(VLOOKUP($A41,'Pre-Assessment Estimator'!$A$10:$AA$226,K$2,FALSE)=0,"",VLOOKUP($A41,'Pre-Assessment Estimator'!$A$10:$AA$226,K$2,FALSE))</f>
        <v/>
      </c>
      <c r="L41" s="509" t="str">
        <f>IF(VLOOKUP($A41,'Pre-Assessment Estimator'!$A$10:$AA$226,L$2,FALSE)=0,"",VLOOKUP($A41,'Pre-Assessment Estimator'!$A$10:$AA$226,L$2,FALSE))</f>
        <v/>
      </c>
      <c r="M41" s="510" t="str">
        <f>IF(VLOOKUP($A41,'Pre-Assessment Estimator'!$A$10:$AA$226,M$2,FALSE)=0,"",VLOOKUP($A41,'Pre-Assessment Estimator'!$A$10:$AA$226,M$2,FALSE))</f>
        <v/>
      </c>
      <c r="N41" s="511"/>
      <c r="O41" s="512" t="str">
        <f>IF(VLOOKUP($A41,'Pre-Assessment Estimator'!$A$10:$AA$226,O$2,FALSE)=0,"",VLOOKUP($A41,'Pre-Assessment Estimator'!$A$10:$AA$226,O$2,FALSE))</f>
        <v/>
      </c>
      <c r="P41" s="507">
        <f>VLOOKUP($A41,'Pre-Assessment Estimator'!$A$10:$AA$226,P$2,FALSE)</f>
        <v>0</v>
      </c>
      <c r="Q41" s="506" t="str">
        <f>VLOOKUP($A41,'Pre-Assessment Estimator'!$A$10:$AA$226,Q$2,FALSE)</f>
        <v>N/A</v>
      </c>
      <c r="R41" s="509" t="str">
        <f>IF(VLOOKUP($A41,'Pre-Assessment Estimator'!$A$10:$AA$226,R$2,FALSE)=0,"",VLOOKUP($A41,'Pre-Assessment Estimator'!$A$10:$AA$226,R$2,FALSE))</f>
        <v/>
      </c>
      <c r="S41" s="509" t="str">
        <f>IF(VLOOKUP($A41,'Pre-Assessment Estimator'!$A$10:$AA$226,S$2,FALSE)=0,"",VLOOKUP($A41,'Pre-Assessment Estimator'!$A$10:$AA$226,S$2,FALSE))</f>
        <v/>
      </c>
      <c r="T41" s="510" t="str">
        <f>IF(VLOOKUP($A41,'Pre-Assessment Estimator'!$A$10:$AA$226,T$2,FALSE)=0,"",VLOOKUP($A41,'Pre-Assessment Estimator'!$A$10:$AA$226,T$2,FALSE))</f>
        <v/>
      </c>
      <c r="U41" s="513"/>
      <c r="V41" s="512" t="str">
        <f>IF(VLOOKUP($A41,'Pre-Assessment Estimator'!$A$10:$AA$226,V$2,FALSE)=0,"",VLOOKUP($A41,'Pre-Assessment Estimator'!$A$10:$AA$226,V$2,FALSE))</f>
        <v/>
      </c>
      <c r="W41" s="507">
        <f>VLOOKUP($A41,'Pre-Assessment Estimator'!$A$10:$AA$226,W$2,FALSE)</f>
        <v>0</v>
      </c>
      <c r="X41" s="506" t="str">
        <f>VLOOKUP($A41,'Pre-Assessment Estimator'!$A$10:$AA$226,X$2,FALSE)</f>
        <v>N/A</v>
      </c>
      <c r="Y41" s="509" t="str">
        <f>IF(VLOOKUP($A41,'Pre-Assessment Estimator'!$A$10:$AA$226,Y$2,FALSE)=0,"",VLOOKUP($A41,'Pre-Assessment Estimator'!$A$10:$AA$226,Y$2,FALSE))</f>
        <v/>
      </c>
      <c r="Z41" s="509" t="str">
        <f>IF(VLOOKUP($A41,'Pre-Assessment Estimator'!$A$10:$AA$226,Z$2,FALSE)=0,"",VLOOKUP($A41,'Pre-Assessment Estimator'!$A$10:$AA$226,Z$2,FALSE))</f>
        <v/>
      </c>
      <c r="AA41" s="322" t="str">
        <f>IF(VLOOKUP($A41,'Pre-Assessment Estimator'!$A$10:$AA$226,AA$2,FALSE)=0,"",VLOOKUP($A41,'Pre-Assessment Estimator'!$A$10:$AA$226,AA$2,FALSE))</f>
        <v/>
      </c>
      <c r="AB41" s="605">
        <v>31</v>
      </c>
      <c r="AC41" s="509" t="str">
        <f>IF(VLOOKUP($A41,'Pre-Assessment Estimator'!$A$10:$AC$226,AC$2,FALSE)=0,"",VLOOKUP($A41,'Pre-Assessment Estimator'!$A$10:$AC$226,AC$2,FALSE))</f>
        <v>N/A</v>
      </c>
      <c r="AG41" s="15">
        <f t="shared" si="0"/>
        <v>1</v>
      </c>
      <c r="AO41" s="15"/>
      <c r="AP41" s="15"/>
      <c r="AQ41" s="15"/>
    </row>
    <row r="42" spans="1:43" x14ac:dyDescent="0.25">
      <c r="A42" s="716">
        <v>33</v>
      </c>
      <c r="B42" s="1022" t="s">
        <v>64</v>
      </c>
      <c r="C42" s="1022"/>
      <c r="D42" s="1044" t="str">
        <f>VLOOKUP($A42,'Pre-Assessment Estimator'!$A$10:$AA$226,D$2,FALSE)</f>
        <v>Hea 01</v>
      </c>
      <c r="E42" s="1044" t="str">
        <f>VLOOKUP($A42,'Pre-Assessment Estimator'!$A$10:$AA$226,E$2,FALSE)</f>
        <v>5-7</v>
      </c>
      <c r="F42" s="1045" t="str">
        <f>VLOOKUP($A42,'Pre-Assessment Estimator'!$A$10:$AA$226,F$2,FALSE)</f>
        <v xml:space="preserve">Control of glare from sunlight </v>
      </c>
      <c r="G42" s="506">
        <f>VLOOKUP($A42,'Pre-Assessment Estimator'!$A$10:$AA$226,G$2,FALSE)</f>
        <v>1</v>
      </c>
      <c r="H42" s="512" t="str">
        <f>IF(VLOOKUP($A42,'Pre-Assessment Estimator'!$A$10:$AA$226,H$2,FALSE)=0,"",VLOOKUP($A42,'Pre-Assessment Estimator'!$A$10:$AA$226,H$2,FALSE))</f>
        <v/>
      </c>
      <c r="I42" s="1012">
        <f>VLOOKUP($A42,'Pre-Assessment Estimator'!$A$10:$AA$226,I$2,FALSE)</f>
        <v>0</v>
      </c>
      <c r="J42" s="508" t="str">
        <f>VLOOKUP($A42,'Pre-Assessment Estimator'!$A$10:$AA$226,J$2,FALSE)</f>
        <v>N/A</v>
      </c>
      <c r="K42" s="509" t="str">
        <f>IF(VLOOKUP($A42,'Pre-Assessment Estimator'!$A$10:$AA$226,K$2,FALSE)=0,"",VLOOKUP($A42,'Pre-Assessment Estimator'!$A$10:$AA$226,K$2,FALSE))</f>
        <v/>
      </c>
      <c r="L42" s="509" t="str">
        <f>IF(VLOOKUP($A42,'Pre-Assessment Estimator'!$A$10:$AA$226,L$2,FALSE)=0,"",VLOOKUP($A42,'Pre-Assessment Estimator'!$A$10:$AA$226,L$2,FALSE))</f>
        <v/>
      </c>
      <c r="M42" s="510" t="str">
        <f>IF(VLOOKUP($A42,'Pre-Assessment Estimator'!$A$10:$AA$226,M$2,FALSE)=0,"",VLOOKUP($A42,'Pre-Assessment Estimator'!$A$10:$AA$226,M$2,FALSE))</f>
        <v/>
      </c>
      <c r="N42" s="511"/>
      <c r="O42" s="512" t="str">
        <f>IF(VLOOKUP($A42,'Pre-Assessment Estimator'!$A$10:$AA$226,O$2,FALSE)=0,"",VLOOKUP($A42,'Pre-Assessment Estimator'!$A$10:$AA$226,O$2,FALSE))</f>
        <v/>
      </c>
      <c r="P42" s="507">
        <f>VLOOKUP($A42,'Pre-Assessment Estimator'!$A$10:$AA$226,P$2,FALSE)</f>
        <v>0</v>
      </c>
      <c r="Q42" s="506" t="str">
        <f>VLOOKUP($A42,'Pre-Assessment Estimator'!$A$10:$AA$226,Q$2,FALSE)</f>
        <v>N/A</v>
      </c>
      <c r="R42" s="509" t="str">
        <f>IF(VLOOKUP($A42,'Pre-Assessment Estimator'!$A$10:$AA$226,R$2,FALSE)=0,"",VLOOKUP($A42,'Pre-Assessment Estimator'!$A$10:$AA$226,R$2,FALSE))</f>
        <v/>
      </c>
      <c r="S42" s="509" t="str">
        <f>IF(VLOOKUP($A42,'Pre-Assessment Estimator'!$A$10:$AA$226,S$2,FALSE)=0,"",VLOOKUP($A42,'Pre-Assessment Estimator'!$A$10:$AA$226,S$2,FALSE))</f>
        <v/>
      </c>
      <c r="T42" s="510" t="str">
        <f>IF(VLOOKUP($A42,'Pre-Assessment Estimator'!$A$10:$AA$226,T$2,FALSE)=0,"",VLOOKUP($A42,'Pre-Assessment Estimator'!$A$10:$AA$226,T$2,FALSE))</f>
        <v/>
      </c>
      <c r="U42" s="513"/>
      <c r="V42" s="512" t="str">
        <f>IF(VLOOKUP($A42,'Pre-Assessment Estimator'!$A$10:$AA$226,V$2,FALSE)=0,"",VLOOKUP($A42,'Pre-Assessment Estimator'!$A$10:$AA$226,V$2,FALSE))</f>
        <v/>
      </c>
      <c r="W42" s="507">
        <f>VLOOKUP($A42,'Pre-Assessment Estimator'!$A$10:$AA$226,W$2,FALSE)</f>
        <v>0</v>
      </c>
      <c r="X42" s="506" t="str">
        <f>VLOOKUP($A42,'Pre-Assessment Estimator'!$A$10:$AA$226,X$2,FALSE)</f>
        <v>N/A</v>
      </c>
      <c r="Y42" s="509" t="str">
        <f>IF(VLOOKUP($A42,'Pre-Assessment Estimator'!$A$10:$AA$226,Y$2,FALSE)=0,"",VLOOKUP($A42,'Pre-Assessment Estimator'!$A$10:$AA$226,Y$2,FALSE))</f>
        <v/>
      </c>
      <c r="Z42" s="509" t="str">
        <f>IF(VLOOKUP($A42,'Pre-Assessment Estimator'!$A$10:$AA$226,Z$2,FALSE)=0,"",VLOOKUP($A42,'Pre-Assessment Estimator'!$A$10:$AA$226,Z$2,FALSE))</f>
        <v/>
      </c>
      <c r="AA42" s="322" t="str">
        <f>IF(VLOOKUP($A42,'Pre-Assessment Estimator'!$A$10:$AA$226,AA$2,FALSE)=0,"",VLOOKUP($A42,'Pre-Assessment Estimator'!$A$10:$AA$226,AA$2,FALSE))</f>
        <v/>
      </c>
      <c r="AB42" s="605">
        <v>32</v>
      </c>
      <c r="AC42" s="509" t="str">
        <f>IF(VLOOKUP($A42,'Pre-Assessment Estimator'!$A$10:$AC$226,AC$2,FALSE)=0,"",VLOOKUP($A42,'Pre-Assessment Estimator'!$A$10:$AC$226,AC$2,FALSE))</f>
        <v>N/A</v>
      </c>
      <c r="AG42" s="15">
        <f t="shared" si="0"/>
        <v>1</v>
      </c>
      <c r="AO42" s="15"/>
      <c r="AP42" s="15"/>
      <c r="AQ42" s="15"/>
    </row>
    <row r="43" spans="1:43" x14ac:dyDescent="0.25">
      <c r="A43" s="716">
        <v>34</v>
      </c>
      <c r="B43" s="1022" t="s">
        <v>64</v>
      </c>
      <c r="C43" s="1022"/>
      <c r="D43" s="1044" t="str">
        <f>VLOOKUP($A43,'Pre-Assessment Estimator'!$A$10:$AA$226,D$2,FALSE)</f>
        <v>Hea 01</v>
      </c>
      <c r="E43" s="1044" t="str">
        <f>VLOOKUP($A43,'Pre-Assessment Estimator'!$A$10:$AA$226,E$2,FALSE)</f>
        <v>8-9</v>
      </c>
      <c r="F43" s="1045" t="str">
        <f>VLOOKUP($A43,'Pre-Assessment Estimator'!$A$10:$AA$226,F$2,FALSE)</f>
        <v xml:space="preserve">View out </v>
      </c>
      <c r="G43" s="506">
        <f>VLOOKUP($A43,'Pre-Assessment Estimator'!$A$10:$AA$226,G$2,FALSE)</f>
        <v>1</v>
      </c>
      <c r="H43" s="512" t="str">
        <f>IF(VLOOKUP($A43,'Pre-Assessment Estimator'!$A$10:$AA$226,H$2,FALSE)=0,"",VLOOKUP($A43,'Pre-Assessment Estimator'!$A$10:$AA$226,H$2,FALSE))</f>
        <v/>
      </c>
      <c r="I43" s="1012">
        <f>VLOOKUP($A43,'Pre-Assessment Estimator'!$A$10:$AA$226,I$2,FALSE)</f>
        <v>0</v>
      </c>
      <c r="J43" s="508" t="str">
        <f>VLOOKUP($A43,'Pre-Assessment Estimator'!$A$10:$AA$226,J$2,FALSE)</f>
        <v>N/A</v>
      </c>
      <c r="K43" s="509" t="str">
        <f>IF(VLOOKUP($A43,'Pre-Assessment Estimator'!$A$10:$AA$226,K$2,FALSE)=0,"",VLOOKUP($A43,'Pre-Assessment Estimator'!$A$10:$AA$226,K$2,FALSE))</f>
        <v/>
      </c>
      <c r="L43" s="509" t="str">
        <f>IF(VLOOKUP($A43,'Pre-Assessment Estimator'!$A$10:$AA$226,L$2,FALSE)=0,"",VLOOKUP($A43,'Pre-Assessment Estimator'!$A$10:$AA$226,L$2,FALSE))</f>
        <v/>
      </c>
      <c r="M43" s="510" t="str">
        <f>IF(VLOOKUP($A43,'Pre-Assessment Estimator'!$A$10:$AA$226,M$2,FALSE)=0,"",VLOOKUP($A43,'Pre-Assessment Estimator'!$A$10:$AA$226,M$2,FALSE))</f>
        <v/>
      </c>
      <c r="N43" s="511"/>
      <c r="O43" s="512" t="str">
        <f>IF(VLOOKUP($A43,'Pre-Assessment Estimator'!$A$10:$AA$226,O$2,FALSE)=0,"",VLOOKUP($A43,'Pre-Assessment Estimator'!$A$10:$AA$226,O$2,FALSE))</f>
        <v/>
      </c>
      <c r="P43" s="507">
        <f>VLOOKUP($A43,'Pre-Assessment Estimator'!$A$10:$AA$226,P$2,FALSE)</f>
        <v>0</v>
      </c>
      <c r="Q43" s="506" t="str">
        <f>VLOOKUP($A43,'Pre-Assessment Estimator'!$A$10:$AA$226,Q$2,FALSE)</f>
        <v>N/A</v>
      </c>
      <c r="R43" s="509" t="str">
        <f>IF(VLOOKUP($A43,'Pre-Assessment Estimator'!$A$10:$AA$226,R$2,FALSE)=0,"",VLOOKUP($A43,'Pre-Assessment Estimator'!$A$10:$AA$226,R$2,FALSE))</f>
        <v/>
      </c>
      <c r="S43" s="509" t="str">
        <f>IF(VLOOKUP($A43,'Pre-Assessment Estimator'!$A$10:$AA$226,S$2,FALSE)=0,"",VLOOKUP($A43,'Pre-Assessment Estimator'!$A$10:$AA$226,S$2,FALSE))</f>
        <v/>
      </c>
      <c r="T43" s="510" t="str">
        <f>IF(VLOOKUP($A43,'Pre-Assessment Estimator'!$A$10:$AA$226,T$2,FALSE)=0,"",VLOOKUP($A43,'Pre-Assessment Estimator'!$A$10:$AA$226,T$2,FALSE))</f>
        <v/>
      </c>
      <c r="U43" s="513"/>
      <c r="V43" s="512" t="str">
        <f>IF(VLOOKUP($A43,'Pre-Assessment Estimator'!$A$10:$AA$226,V$2,FALSE)=0,"",VLOOKUP($A43,'Pre-Assessment Estimator'!$A$10:$AA$226,V$2,FALSE))</f>
        <v/>
      </c>
      <c r="W43" s="507">
        <f>VLOOKUP($A43,'Pre-Assessment Estimator'!$A$10:$AA$226,W$2,FALSE)</f>
        <v>0</v>
      </c>
      <c r="X43" s="506" t="str">
        <f>VLOOKUP($A43,'Pre-Assessment Estimator'!$A$10:$AA$226,X$2,FALSE)</f>
        <v>N/A</v>
      </c>
      <c r="Y43" s="509" t="str">
        <f>IF(VLOOKUP($A43,'Pre-Assessment Estimator'!$A$10:$AA$226,Y$2,FALSE)=0,"",VLOOKUP($A43,'Pre-Assessment Estimator'!$A$10:$AA$226,Y$2,FALSE))</f>
        <v/>
      </c>
      <c r="Z43" s="509" t="str">
        <f>IF(VLOOKUP($A43,'Pre-Assessment Estimator'!$A$10:$AA$226,Z$2,FALSE)=0,"",VLOOKUP($A43,'Pre-Assessment Estimator'!$A$10:$AA$226,Z$2,FALSE))</f>
        <v/>
      </c>
      <c r="AA43" s="322" t="str">
        <f>IF(VLOOKUP($A43,'Pre-Assessment Estimator'!$A$10:$AA$226,AA$2,FALSE)=0,"",VLOOKUP($A43,'Pre-Assessment Estimator'!$A$10:$AA$226,AA$2,FALSE))</f>
        <v/>
      </c>
      <c r="AB43" s="605">
        <v>33</v>
      </c>
      <c r="AC43" s="509" t="str">
        <f>IF(VLOOKUP($A43,'Pre-Assessment Estimator'!$A$10:$AC$226,AC$2,FALSE)=0,"",VLOOKUP($A43,'Pre-Assessment Estimator'!$A$10:$AC$226,AC$2,FALSE))</f>
        <v>N/A</v>
      </c>
      <c r="AG43" s="15">
        <f t="shared" si="0"/>
        <v>1</v>
      </c>
      <c r="AO43" s="15"/>
      <c r="AP43" s="15"/>
      <c r="AQ43" s="15"/>
    </row>
    <row r="44" spans="1:43" x14ac:dyDescent="0.25">
      <c r="A44" s="716">
        <v>35</v>
      </c>
      <c r="B44" s="1022" t="s">
        <v>64</v>
      </c>
      <c r="C44" s="1022"/>
      <c r="D44" s="1044" t="str">
        <f>VLOOKUP($A44,'Pre-Assessment Estimator'!$A$10:$AA$226,D$2,FALSE)</f>
        <v>Hea 01</v>
      </c>
      <c r="E44" s="1044">
        <f>VLOOKUP($A44,'Pre-Assessment Estimator'!$A$10:$AA$226,E$2,FALSE)</f>
        <v>10</v>
      </c>
      <c r="F44" s="1045" t="str">
        <f>VLOOKUP($A44,'Pre-Assessment Estimator'!$A$10:$AA$226,F$2,FALSE)</f>
        <v xml:space="preserve">Sunlight </v>
      </c>
      <c r="G44" s="506">
        <f>VLOOKUP($A44,'Pre-Assessment Estimator'!$A$10:$AA$226,G$2,FALSE)</f>
        <v>1</v>
      </c>
      <c r="H44" s="512" t="str">
        <f>IF(VLOOKUP($A44,'Pre-Assessment Estimator'!$A$10:$AA$226,H$2,FALSE)=0,"",VLOOKUP($A44,'Pre-Assessment Estimator'!$A$10:$AA$226,H$2,FALSE))</f>
        <v/>
      </c>
      <c r="I44" s="1012">
        <f>VLOOKUP($A44,'Pre-Assessment Estimator'!$A$10:$AA$226,I$2,FALSE)</f>
        <v>0</v>
      </c>
      <c r="J44" s="508" t="str">
        <f>VLOOKUP($A44,'Pre-Assessment Estimator'!$A$10:$AA$226,J$2,FALSE)</f>
        <v>N/A</v>
      </c>
      <c r="K44" s="509" t="str">
        <f>IF(VLOOKUP($A44,'Pre-Assessment Estimator'!$A$10:$AA$226,K$2,FALSE)=0,"",VLOOKUP($A44,'Pre-Assessment Estimator'!$A$10:$AA$226,K$2,FALSE))</f>
        <v/>
      </c>
      <c r="L44" s="509" t="str">
        <f>IF(VLOOKUP($A44,'Pre-Assessment Estimator'!$A$10:$AA$226,L$2,FALSE)=0,"",VLOOKUP($A44,'Pre-Assessment Estimator'!$A$10:$AA$226,L$2,FALSE))</f>
        <v/>
      </c>
      <c r="M44" s="510" t="str">
        <f>IF(VLOOKUP($A44,'Pre-Assessment Estimator'!$A$10:$AA$226,M$2,FALSE)=0,"",VLOOKUP($A44,'Pre-Assessment Estimator'!$A$10:$AA$226,M$2,FALSE))</f>
        <v/>
      </c>
      <c r="N44" s="511"/>
      <c r="O44" s="512" t="str">
        <f>IF(VLOOKUP($A44,'Pre-Assessment Estimator'!$A$10:$AA$226,O$2,FALSE)=0,"",VLOOKUP($A44,'Pre-Assessment Estimator'!$A$10:$AA$226,O$2,FALSE))</f>
        <v/>
      </c>
      <c r="P44" s="507">
        <f>VLOOKUP($A44,'Pre-Assessment Estimator'!$A$10:$AA$226,P$2,FALSE)</f>
        <v>0</v>
      </c>
      <c r="Q44" s="506" t="str">
        <f>VLOOKUP($A44,'Pre-Assessment Estimator'!$A$10:$AA$226,Q$2,FALSE)</f>
        <v>N/A</v>
      </c>
      <c r="R44" s="509" t="str">
        <f>IF(VLOOKUP($A44,'Pre-Assessment Estimator'!$A$10:$AA$226,R$2,FALSE)=0,"",VLOOKUP($A44,'Pre-Assessment Estimator'!$A$10:$AA$226,R$2,FALSE))</f>
        <v/>
      </c>
      <c r="S44" s="509" t="str">
        <f>IF(VLOOKUP($A44,'Pre-Assessment Estimator'!$A$10:$AA$226,S$2,FALSE)=0,"",VLOOKUP($A44,'Pre-Assessment Estimator'!$A$10:$AA$226,S$2,FALSE))</f>
        <v/>
      </c>
      <c r="T44" s="510" t="str">
        <f>IF(VLOOKUP($A44,'Pre-Assessment Estimator'!$A$10:$AA$226,T$2,FALSE)=0,"",VLOOKUP($A44,'Pre-Assessment Estimator'!$A$10:$AA$226,T$2,FALSE))</f>
        <v/>
      </c>
      <c r="U44" s="513"/>
      <c r="V44" s="512" t="str">
        <f>IF(VLOOKUP($A44,'Pre-Assessment Estimator'!$A$10:$AA$226,V$2,FALSE)=0,"",VLOOKUP($A44,'Pre-Assessment Estimator'!$A$10:$AA$226,V$2,FALSE))</f>
        <v/>
      </c>
      <c r="W44" s="507">
        <f>VLOOKUP($A44,'Pre-Assessment Estimator'!$A$10:$AA$226,W$2,FALSE)</f>
        <v>0</v>
      </c>
      <c r="X44" s="506" t="str">
        <f>VLOOKUP($A44,'Pre-Assessment Estimator'!$A$10:$AA$226,X$2,FALSE)</f>
        <v>N/A</v>
      </c>
      <c r="Y44" s="509" t="str">
        <f>IF(VLOOKUP($A44,'Pre-Assessment Estimator'!$A$10:$AA$226,Y$2,FALSE)=0,"",VLOOKUP($A44,'Pre-Assessment Estimator'!$A$10:$AA$226,Y$2,FALSE))</f>
        <v/>
      </c>
      <c r="Z44" s="509" t="str">
        <f>IF(VLOOKUP($A44,'Pre-Assessment Estimator'!$A$10:$AA$226,Z$2,FALSE)=0,"",VLOOKUP($A44,'Pre-Assessment Estimator'!$A$10:$AA$226,Z$2,FALSE))</f>
        <v/>
      </c>
      <c r="AA44" s="322" t="str">
        <f>IF(VLOOKUP($A44,'Pre-Assessment Estimator'!$A$10:$AA$226,AA$2,FALSE)=0,"",VLOOKUP($A44,'Pre-Assessment Estimator'!$A$10:$AA$226,AA$2,FALSE))</f>
        <v/>
      </c>
      <c r="AB44" s="605">
        <v>34</v>
      </c>
      <c r="AC44" s="509"/>
      <c r="AG44" s="15">
        <f t="shared" si="0"/>
        <v>1</v>
      </c>
      <c r="AO44" s="15"/>
      <c r="AP44" s="15"/>
      <c r="AQ44" s="15"/>
    </row>
    <row r="45" spans="1:43" x14ac:dyDescent="0.25">
      <c r="A45" s="716">
        <v>36</v>
      </c>
      <c r="B45" s="1022" t="s">
        <v>64</v>
      </c>
      <c r="C45" s="1022"/>
      <c r="D45" s="1044" t="str">
        <f>VLOOKUP($A45,'Pre-Assessment Estimator'!$A$10:$AA$226,D$2,FALSE)</f>
        <v>Hea 01</v>
      </c>
      <c r="E45" s="1044" t="str">
        <f>VLOOKUP($A45,'Pre-Assessment Estimator'!$A$10:$AA$226,E$2,FALSE)</f>
        <v>11-15</v>
      </c>
      <c r="F45" s="1045" t="str">
        <f>VLOOKUP($A45,'Pre-Assessment Estimator'!$A$10:$AA$226,F$2,FALSE)</f>
        <v xml:space="preserve">Internal and external lighting levels, zoning and control </v>
      </c>
      <c r="G45" s="506">
        <f>VLOOKUP($A45,'Pre-Assessment Estimator'!$A$10:$AA$226,G$2,FALSE)</f>
        <v>1</v>
      </c>
      <c r="H45" s="512" t="str">
        <f>IF(VLOOKUP($A45,'Pre-Assessment Estimator'!$A$10:$AA$226,H$2,FALSE)=0,"",VLOOKUP($A45,'Pre-Assessment Estimator'!$A$10:$AA$226,H$2,FALSE))</f>
        <v/>
      </c>
      <c r="I45" s="1012">
        <f>VLOOKUP($A45,'Pre-Assessment Estimator'!$A$10:$AA$226,I$2,FALSE)</f>
        <v>0</v>
      </c>
      <c r="J45" s="508" t="str">
        <f>VLOOKUP($A45,'Pre-Assessment Estimator'!$A$10:$AA$226,J$2,FALSE)</f>
        <v>N/A</v>
      </c>
      <c r="K45" s="509" t="str">
        <f>IF(VLOOKUP($A45,'Pre-Assessment Estimator'!$A$10:$AA$226,K$2,FALSE)=0,"",VLOOKUP($A45,'Pre-Assessment Estimator'!$A$10:$AA$226,K$2,FALSE))</f>
        <v/>
      </c>
      <c r="L45" s="509" t="str">
        <f>IF(VLOOKUP($A45,'Pre-Assessment Estimator'!$A$10:$AA$226,L$2,FALSE)=0,"",VLOOKUP($A45,'Pre-Assessment Estimator'!$A$10:$AA$226,L$2,FALSE))</f>
        <v/>
      </c>
      <c r="M45" s="510" t="str">
        <f>IF(VLOOKUP($A45,'Pre-Assessment Estimator'!$A$10:$AA$226,M$2,FALSE)=0,"",VLOOKUP($A45,'Pre-Assessment Estimator'!$A$10:$AA$226,M$2,FALSE))</f>
        <v/>
      </c>
      <c r="N45" s="511"/>
      <c r="O45" s="512" t="str">
        <f>IF(VLOOKUP($A45,'Pre-Assessment Estimator'!$A$10:$AA$226,O$2,FALSE)=0,"",VLOOKUP($A45,'Pre-Assessment Estimator'!$A$10:$AA$226,O$2,FALSE))</f>
        <v/>
      </c>
      <c r="P45" s="507">
        <f>VLOOKUP($A45,'Pre-Assessment Estimator'!$A$10:$AA$226,P$2,FALSE)</f>
        <v>0</v>
      </c>
      <c r="Q45" s="506" t="str">
        <f>VLOOKUP($A45,'Pre-Assessment Estimator'!$A$10:$AA$226,Q$2,FALSE)</f>
        <v>N/A</v>
      </c>
      <c r="R45" s="509" t="str">
        <f>IF(VLOOKUP($A45,'Pre-Assessment Estimator'!$A$10:$AA$226,R$2,FALSE)=0,"",VLOOKUP($A45,'Pre-Assessment Estimator'!$A$10:$AA$226,R$2,FALSE))</f>
        <v/>
      </c>
      <c r="S45" s="509" t="str">
        <f>IF(VLOOKUP($A45,'Pre-Assessment Estimator'!$A$10:$AA$226,S$2,FALSE)=0,"",VLOOKUP($A45,'Pre-Assessment Estimator'!$A$10:$AA$226,S$2,FALSE))</f>
        <v/>
      </c>
      <c r="T45" s="510" t="str">
        <f>IF(VLOOKUP($A45,'Pre-Assessment Estimator'!$A$10:$AA$226,T$2,FALSE)=0,"",VLOOKUP($A45,'Pre-Assessment Estimator'!$A$10:$AA$226,T$2,FALSE))</f>
        <v/>
      </c>
      <c r="U45" s="513"/>
      <c r="V45" s="512" t="str">
        <f>IF(VLOOKUP($A45,'Pre-Assessment Estimator'!$A$10:$AA$226,V$2,FALSE)=0,"",VLOOKUP($A45,'Pre-Assessment Estimator'!$A$10:$AA$226,V$2,FALSE))</f>
        <v/>
      </c>
      <c r="W45" s="507">
        <f>VLOOKUP($A45,'Pre-Assessment Estimator'!$A$10:$AA$226,W$2,FALSE)</f>
        <v>0</v>
      </c>
      <c r="X45" s="506" t="str">
        <f>VLOOKUP($A45,'Pre-Assessment Estimator'!$A$10:$AA$226,X$2,FALSE)</f>
        <v>N/A</v>
      </c>
      <c r="Y45" s="509" t="str">
        <f>IF(VLOOKUP($A45,'Pre-Assessment Estimator'!$A$10:$AA$226,Y$2,FALSE)=0,"",VLOOKUP($A45,'Pre-Assessment Estimator'!$A$10:$AA$226,Y$2,FALSE))</f>
        <v/>
      </c>
      <c r="Z45" s="509" t="str">
        <f>IF(VLOOKUP($A45,'Pre-Assessment Estimator'!$A$10:$AA$226,Z$2,FALSE)=0,"",VLOOKUP($A45,'Pre-Assessment Estimator'!$A$10:$AA$226,Z$2,FALSE))</f>
        <v/>
      </c>
      <c r="AA45" s="322" t="str">
        <f>IF(VLOOKUP($A45,'Pre-Assessment Estimator'!$A$10:$AA$226,AA$2,FALSE)=0,"",VLOOKUP($A45,'Pre-Assessment Estimator'!$A$10:$AA$226,AA$2,FALSE))</f>
        <v/>
      </c>
      <c r="AB45" s="605">
        <v>35</v>
      </c>
      <c r="AC45" s="509"/>
      <c r="AG45" s="15">
        <f t="shared" si="0"/>
        <v>1</v>
      </c>
      <c r="AO45" s="15"/>
      <c r="AP45" s="15"/>
      <c r="AQ45" s="15"/>
    </row>
    <row r="46" spans="1:43" x14ac:dyDescent="0.25">
      <c r="A46" s="716">
        <v>37</v>
      </c>
      <c r="B46" s="1022" t="s">
        <v>64</v>
      </c>
      <c r="C46" s="1022"/>
      <c r="D46" s="1043" t="str">
        <f>VLOOKUP($A46,'Pre-Assessment Estimator'!$A$10:$AA$226,D$2,FALSE)</f>
        <v>Hea 02</v>
      </c>
      <c r="E46" s="1044"/>
      <c r="F46" s="1043" t="str">
        <f>VLOOKUP($A46,'Pre-Assessment Estimator'!$A$10:$AA$226,F$2,FALSE)</f>
        <v>Hea 02 Indoor air quality</v>
      </c>
      <c r="G46" s="506">
        <f>VLOOKUP($A46,'Pre-Assessment Estimator'!$A$10:$AA$226,G$2,FALSE)</f>
        <v>4</v>
      </c>
      <c r="H46" s="512" t="str">
        <f>IF(VLOOKUP($A46,'Pre-Assessment Estimator'!$A$10:$AA$226,H$2,FALSE)=0,"",VLOOKUP($A46,'Pre-Assessment Estimator'!$A$10:$AA$226,H$2,FALSE))</f>
        <v/>
      </c>
      <c r="I46" s="1012" t="str">
        <f>VLOOKUP($A46,'Pre-Assessment Estimator'!$A$10:$AA$226,I$2,FALSE)</f>
        <v>0 c. 0 %</v>
      </c>
      <c r="J46" s="508" t="str">
        <f>VLOOKUP($A46,'Pre-Assessment Estimator'!$A$10:$AA$226,J$2,FALSE)</f>
        <v>N/A</v>
      </c>
      <c r="K46" s="509" t="str">
        <f>IF(VLOOKUP($A46,'Pre-Assessment Estimator'!$A$10:$AA$226,K$2,FALSE)=0,"",VLOOKUP($A46,'Pre-Assessment Estimator'!$A$10:$AA$226,K$2,FALSE))</f>
        <v/>
      </c>
      <c r="L46" s="509" t="str">
        <f>IF(VLOOKUP($A46,'Pre-Assessment Estimator'!$A$10:$AA$226,L$2,FALSE)=0,"",VLOOKUP($A46,'Pre-Assessment Estimator'!$A$10:$AA$226,L$2,FALSE))</f>
        <v/>
      </c>
      <c r="M46" s="510" t="str">
        <f>IF(VLOOKUP($A46,'Pre-Assessment Estimator'!$A$10:$AA$226,M$2,FALSE)=0,"",VLOOKUP($A46,'Pre-Assessment Estimator'!$A$10:$AA$226,M$2,FALSE))</f>
        <v/>
      </c>
      <c r="N46" s="511"/>
      <c r="O46" s="512" t="str">
        <f>IF(VLOOKUP($A46,'Pre-Assessment Estimator'!$A$10:$AA$226,O$2,FALSE)=0,"",VLOOKUP($A46,'Pre-Assessment Estimator'!$A$10:$AA$226,O$2,FALSE))</f>
        <v/>
      </c>
      <c r="P46" s="507" t="str">
        <f>VLOOKUP($A46,'Pre-Assessment Estimator'!$A$10:$AA$226,P$2,FALSE)</f>
        <v>0 c. 0 %</v>
      </c>
      <c r="Q46" s="506" t="str">
        <f>VLOOKUP($A46,'Pre-Assessment Estimator'!$A$10:$AA$226,Q$2,FALSE)</f>
        <v>N/A</v>
      </c>
      <c r="R46" s="509" t="str">
        <f>IF(VLOOKUP($A46,'Pre-Assessment Estimator'!$A$10:$AA$226,R$2,FALSE)=0,"",VLOOKUP($A46,'Pre-Assessment Estimator'!$A$10:$AA$226,R$2,FALSE))</f>
        <v/>
      </c>
      <c r="S46" s="509" t="str">
        <f>IF(VLOOKUP($A46,'Pre-Assessment Estimator'!$A$10:$AA$226,S$2,FALSE)=0,"",VLOOKUP($A46,'Pre-Assessment Estimator'!$A$10:$AA$226,S$2,FALSE))</f>
        <v/>
      </c>
      <c r="T46" s="510" t="str">
        <f>IF(VLOOKUP($A46,'Pre-Assessment Estimator'!$A$10:$AA$226,T$2,FALSE)=0,"",VLOOKUP($A46,'Pre-Assessment Estimator'!$A$10:$AA$226,T$2,FALSE))</f>
        <v/>
      </c>
      <c r="U46" s="513"/>
      <c r="V46" s="512" t="str">
        <f>IF(VLOOKUP($A46,'Pre-Assessment Estimator'!$A$10:$AA$226,V$2,FALSE)=0,"",VLOOKUP($A46,'Pre-Assessment Estimator'!$A$10:$AA$226,V$2,FALSE))</f>
        <v/>
      </c>
      <c r="W46" s="507" t="str">
        <f>VLOOKUP($A46,'Pre-Assessment Estimator'!$A$10:$AA$226,W$2,FALSE)</f>
        <v>0 c. 0 %</v>
      </c>
      <c r="X46" s="506" t="str">
        <f>VLOOKUP($A46,'Pre-Assessment Estimator'!$A$10:$AA$226,X$2,FALSE)</f>
        <v>N/A</v>
      </c>
      <c r="Y46" s="509" t="str">
        <f>IF(VLOOKUP($A46,'Pre-Assessment Estimator'!$A$10:$AA$226,Y$2,FALSE)=0,"",VLOOKUP($A46,'Pre-Assessment Estimator'!$A$10:$AA$226,Y$2,FALSE))</f>
        <v/>
      </c>
      <c r="Z46" s="509" t="str">
        <f>IF(VLOOKUP($A46,'Pre-Assessment Estimator'!$A$10:$AA$226,Z$2,FALSE)=0,"",VLOOKUP($A46,'Pre-Assessment Estimator'!$A$10:$AA$226,Z$2,FALSE))</f>
        <v/>
      </c>
      <c r="AA46" s="322" t="str">
        <f>IF(VLOOKUP($A46,'Pre-Assessment Estimator'!$A$10:$AA$226,AA$2,FALSE)=0,"",VLOOKUP($A46,'Pre-Assessment Estimator'!$A$10:$AA$226,AA$2,FALSE))</f>
        <v/>
      </c>
      <c r="AB46" s="605">
        <v>36</v>
      </c>
      <c r="AC46" s="509"/>
      <c r="AG46" s="15">
        <f t="shared" si="0"/>
        <v>1</v>
      </c>
      <c r="AO46" s="15"/>
      <c r="AP46" s="15"/>
      <c r="AQ46" s="15"/>
    </row>
    <row r="47" spans="1:43" ht="30" x14ac:dyDescent="0.25">
      <c r="A47" s="716">
        <v>38</v>
      </c>
      <c r="B47" s="1022" t="s">
        <v>64</v>
      </c>
      <c r="C47" s="1022"/>
      <c r="D47" s="1044" t="str">
        <f>VLOOKUP($A47,'Pre-Assessment Estimator'!$A$10:$AA$226,D$2,FALSE)</f>
        <v>Hea 02</v>
      </c>
      <c r="E47" s="1044" t="str">
        <f>VLOOKUP($A47,'Pre-Assessment Estimator'!$A$10:$AA$226,E$2,FALSE)</f>
        <v>1-2</v>
      </c>
      <c r="F47" s="1045" t="str">
        <f>VLOOKUP($A47,'Pre-Assessment Estimator'!$A$10:$AA$226,F$2,FALSE)</f>
        <v>Pre-requisite: A site-specific indoor air quality plan has been produced</v>
      </c>
      <c r="G47" s="506" t="str">
        <f>VLOOKUP($A47,'Pre-Assessment Estimator'!$A$10:$AA$226,G$2,FALSE)</f>
        <v>Yes/No</v>
      </c>
      <c r="H47" s="512" t="str">
        <f>IF(VLOOKUP($A47,'Pre-Assessment Estimator'!$A$10:$AA$226,H$2,FALSE)=0,"",VLOOKUP($A47,'Pre-Assessment Estimator'!$A$10:$AA$226,H$2,FALSE))</f>
        <v/>
      </c>
      <c r="I47" s="1012" t="str">
        <f>VLOOKUP($A47,'Pre-Assessment Estimator'!$A$10:$AA$226,I$2,FALSE)</f>
        <v>-</v>
      </c>
      <c r="J47" s="508" t="str">
        <f>VLOOKUP($A47,'Pre-Assessment Estimator'!$A$10:$AA$226,J$2,FALSE)</f>
        <v>Unclassified</v>
      </c>
      <c r="K47" s="509" t="str">
        <f>IF(VLOOKUP($A47,'Pre-Assessment Estimator'!$A$10:$AA$226,K$2,FALSE)=0,"",VLOOKUP($A47,'Pre-Assessment Estimator'!$A$10:$AA$226,K$2,FALSE))</f>
        <v/>
      </c>
      <c r="L47" s="509" t="str">
        <f>IF(VLOOKUP($A47,'Pre-Assessment Estimator'!$A$10:$AA$226,L$2,FALSE)=0,"",VLOOKUP($A47,'Pre-Assessment Estimator'!$A$10:$AA$226,L$2,FALSE))</f>
        <v/>
      </c>
      <c r="M47" s="510" t="str">
        <f>IF(VLOOKUP($A47,'Pre-Assessment Estimator'!$A$10:$AA$226,M$2,FALSE)=0,"",VLOOKUP($A47,'Pre-Assessment Estimator'!$A$10:$AA$226,M$2,FALSE))</f>
        <v/>
      </c>
      <c r="N47" s="511"/>
      <c r="O47" s="512" t="str">
        <f>IF(VLOOKUP($A47,'Pre-Assessment Estimator'!$A$10:$AA$226,O$2,FALSE)=0,"",VLOOKUP($A47,'Pre-Assessment Estimator'!$A$10:$AA$226,O$2,FALSE))</f>
        <v/>
      </c>
      <c r="P47" s="507" t="str">
        <f>VLOOKUP($A47,'Pre-Assessment Estimator'!$A$10:$AA$226,P$2,FALSE)</f>
        <v>-</v>
      </c>
      <c r="Q47" s="506" t="str">
        <f>VLOOKUP($A47,'Pre-Assessment Estimator'!$A$10:$AA$226,Q$2,FALSE)</f>
        <v>Unclassified</v>
      </c>
      <c r="R47" s="509" t="str">
        <f>IF(VLOOKUP($A47,'Pre-Assessment Estimator'!$A$10:$AA$226,R$2,FALSE)=0,"",VLOOKUP($A47,'Pre-Assessment Estimator'!$A$10:$AA$226,R$2,FALSE))</f>
        <v/>
      </c>
      <c r="S47" s="509" t="str">
        <f>IF(VLOOKUP($A47,'Pre-Assessment Estimator'!$A$10:$AA$226,S$2,FALSE)=0,"",VLOOKUP($A47,'Pre-Assessment Estimator'!$A$10:$AA$226,S$2,FALSE))</f>
        <v/>
      </c>
      <c r="T47" s="510" t="str">
        <f>IF(VLOOKUP($A47,'Pre-Assessment Estimator'!$A$10:$AA$226,T$2,FALSE)=0,"",VLOOKUP($A47,'Pre-Assessment Estimator'!$A$10:$AA$226,T$2,FALSE))</f>
        <v/>
      </c>
      <c r="U47" s="513"/>
      <c r="V47" s="512" t="str">
        <f>IF(VLOOKUP($A47,'Pre-Assessment Estimator'!$A$10:$AA$226,V$2,FALSE)=0,"",VLOOKUP($A47,'Pre-Assessment Estimator'!$A$10:$AA$226,V$2,FALSE))</f>
        <v/>
      </c>
      <c r="W47" s="507" t="str">
        <f>VLOOKUP($A47,'Pre-Assessment Estimator'!$A$10:$AA$226,W$2,FALSE)</f>
        <v>-</v>
      </c>
      <c r="X47" s="506" t="str">
        <f>VLOOKUP($A47,'Pre-Assessment Estimator'!$A$10:$AA$226,X$2,FALSE)</f>
        <v>Unclassified</v>
      </c>
      <c r="Y47" s="509" t="str">
        <f>IF(VLOOKUP($A47,'Pre-Assessment Estimator'!$A$10:$AA$226,Y$2,FALSE)=0,"",VLOOKUP($A47,'Pre-Assessment Estimator'!$A$10:$AA$226,Y$2,FALSE))</f>
        <v/>
      </c>
      <c r="Z47" s="509" t="str">
        <f>IF(VLOOKUP($A47,'Pre-Assessment Estimator'!$A$10:$AA$226,Z$2,FALSE)=0,"",VLOOKUP($A47,'Pre-Assessment Estimator'!$A$10:$AA$226,Z$2,FALSE))</f>
        <v/>
      </c>
      <c r="AA47" s="322" t="str">
        <f>IF(VLOOKUP($A47,'Pre-Assessment Estimator'!$A$10:$AA$226,AA$2,FALSE)=0,"",VLOOKUP($A47,'Pre-Assessment Estimator'!$A$10:$AA$226,AA$2,FALSE))</f>
        <v/>
      </c>
      <c r="AB47" s="605">
        <v>37</v>
      </c>
      <c r="AC47" s="509"/>
      <c r="AG47" s="15">
        <f t="shared" si="0"/>
        <v>1</v>
      </c>
      <c r="AO47" s="15"/>
      <c r="AP47" s="15"/>
      <c r="AQ47" s="15"/>
    </row>
    <row r="48" spans="1:43" x14ac:dyDescent="0.25">
      <c r="A48" s="716">
        <v>39</v>
      </c>
      <c r="B48" s="1022" t="s">
        <v>64</v>
      </c>
      <c r="C48" s="1022"/>
      <c r="D48" s="1044" t="str">
        <f>VLOOKUP($A48,'Pre-Assessment Estimator'!$A$10:$AA$226,D$2,FALSE)</f>
        <v>Hea 02</v>
      </c>
      <c r="E48" s="1044">
        <f>VLOOKUP($A48,'Pre-Assessment Estimator'!$A$10:$AA$226,E$2,FALSE)</f>
        <v>3</v>
      </c>
      <c r="F48" s="1045" t="str">
        <f>VLOOKUP($A48,'Pre-Assessment Estimator'!$A$10:$AA$226,F$2,FALSE)</f>
        <v>Ventilation</v>
      </c>
      <c r="G48" s="506">
        <f>VLOOKUP($A48,'Pre-Assessment Estimator'!$A$10:$AA$226,G$2,FALSE)</f>
        <v>1</v>
      </c>
      <c r="H48" s="512" t="str">
        <f>IF(VLOOKUP($A48,'Pre-Assessment Estimator'!$A$10:$AA$226,H$2,FALSE)=0,"",VLOOKUP($A48,'Pre-Assessment Estimator'!$A$10:$AA$226,H$2,FALSE))</f>
        <v/>
      </c>
      <c r="I48" s="1012">
        <f>VLOOKUP($A48,'Pre-Assessment Estimator'!$A$10:$AA$226,I$2,FALSE)</f>
        <v>0</v>
      </c>
      <c r="J48" s="508" t="str">
        <f>VLOOKUP($A48,'Pre-Assessment Estimator'!$A$10:$AA$226,J$2,FALSE)</f>
        <v>N/A</v>
      </c>
      <c r="K48" s="509" t="str">
        <f>IF(VLOOKUP($A48,'Pre-Assessment Estimator'!$A$10:$AA$226,K$2,FALSE)=0,"",VLOOKUP($A48,'Pre-Assessment Estimator'!$A$10:$AA$226,K$2,FALSE))</f>
        <v/>
      </c>
      <c r="L48" s="509" t="str">
        <f>IF(VLOOKUP($A48,'Pre-Assessment Estimator'!$A$10:$AA$226,L$2,FALSE)=0,"",VLOOKUP($A48,'Pre-Assessment Estimator'!$A$10:$AA$226,L$2,FALSE))</f>
        <v/>
      </c>
      <c r="M48" s="510" t="str">
        <f>IF(VLOOKUP($A48,'Pre-Assessment Estimator'!$A$10:$AA$226,M$2,FALSE)=0,"",VLOOKUP($A48,'Pre-Assessment Estimator'!$A$10:$AA$226,M$2,FALSE))</f>
        <v/>
      </c>
      <c r="N48" s="511"/>
      <c r="O48" s="512" t="str">
        <f>IF(VLOOKUP($A48,'Pre-Assessment Estimator'!$A$10:$AA$226,O$2,FALSE)=0,"",VLOOKUP($A48,'Pre-Assessment Estimator'!$A$10:$AA$226,O$2,FALSE))</f>
        <v/>
      </c>
      <c r="P48" s="507">
        <f>VLOOKUP($A48,'Pre-Assessment Estimator'!$A$10:$AA$226,P$2,FALSE)</f>
        <v>0</v>
      </c>
      <c r="Q48" s="506" t="str">
        <f>VLOOKUP($A48,'Pre-Assessment Estimator'!$A$10:$AA$226,Q$2,FALSE)</f>
        <v>N/A</v>
      </c>
      <c r="R48" s="509" t="str">
        <f>IF(VLOOKUP($A48,'Pre-Assessment Estimator'!$A$10:$AA$226,R$2,FALSE)=0,"",VLOOKUP($A48,'Pre-Assessment Estimator'!$A$10:$AA$226,R$2,FALSE))</f>
        <v/>
      </c>
      <c r="S48" s="509" t="str">
        <f>IF(VLOOKUP($A48,'Pre-Assessment Estimator'!$A$10:$AA$226,S$2,FALSE)=0,"",VLOOKUP($A48,'Pre-Assessment Estimator'!$A$10:$AA$226,S$2,FALSE))</f>
        <v/>
      </c>
      <c r="T48" s="510" t="str">
        <f>IF(VLOOKUP($A48,'Pre-Assessment Estimator'!$A$10:$AA$226,T$2,FALSE)=0,"",VLOOKUP($A48,'Pre-Assessment Estimator'!$A$10:$AA$226,T$2,FALSE))</f>
        <v/>
      </c>
      <c r="U48" s="513"/>
      <c r="V48" s="512" t="str">
        <f>IF(VLOOKUP($A48,'Pre-Assessment Estimator'!$A$10:$AA$226,V$2,FALSE)=0,"",VLOOKUP($A48,'Pre-Assessment Estimator'!$A$10:$AA$226,V$2,FALSE))</f>
        <v/>
      </c>
      <c r="W48" s="507">
        <f>VLOOKUP($A48,'Pre-Assessment Estimator'!$A$10:$AA$226,W$2,FALSE)</f>
        <v>0</v>
      </c>
      <c r="X48" s="506" t="str">
        <f>VLOOKUP($A48,'Pre-Assessment Estimator'!$A$10:$AA$226,X$2,FALSE)</f>
        <v>N/A</v>
      </c>
      <c r="Y48" s="509" t="str">
        <f>IF(VLOOKUP($A48,'Pre-Assessment Estimator'!$A$10:$AA$226,Y$2,FALSE)=0,"",VLOOKUP($A48,'Pre-Assessment Estimator'!$A$10:$AA$226,Y$2,FALSE))</f>
        <v/>
      </c>
      <c r="Z48" s="509" t="str">
        <f>IF(VLOOKUP($A48,'Pre-Assessment Estimator'!$A$10:$AA$226,Z$2,FALSE)=0,"",VLOOKUP($A48,'Pre-Assessment Estimator'!$A$10:$AA$226,Z$2,FALSE))</f>
        <v/>
      </c>
      <c r="AA48" s="322" t="str">
        <f>IF(VLOOKUP($A48,'Pre-Assessment Estimator'!$A$10:$AA$226,AA$2,FALSE)=0,"",VLOOKUP($A48,'Pre-Assessment Estimator'!$A$10:$AA$226,AA$2,FALSE))</f>
        <v/>
      </c>
      <c r="AB48" s="605">
        <v>38</v>
      </c>
      <c r="AC48" s="509"/>
      <c r="AG48" s="15">
        <f t="shared" si="0"/>
        <v>1</v>
      </c>
      <c r="AO48" s="15"/>
      <c r="AP48" s="15"/>
      <c r="AQ48" s="15"/>
    </row>
    <row r="49" spans="1:43" ht="30" x14ac:dyDescent="0.25">
      <c r="A49" s="716">
        <v>40</v>
      </c>
      <c r="B49" s="1022" t="s">
        <v>64</v>
      </c>
      <c r="C49" s="1022"/>
      <c r="D49" s="1044" t="str">
        <f>VLOOKUP($A49,'Pre-Assessment Estimator'!$A$10:$AA$226,D$2,FALSE)</f>
        <v>Hea 02</v>
      </c>
      <c r="E49" s="1044" t="str">
        <f>VLOOKUP($A49,'Pre-Assessment Estimator'!$A$10:$AA$226,E$2,FALSE)</f>
        <v>4 or 5</v>
      </c>
      <c r="F49" s="1045" t="str">
        <f>VLOOKUP($A49,'Pre-Assessment Estimator'!$A$10:$AA$226,F$2,FALSE)</f>
        <v>Emissions from construction products (EU taxonomy requirement: criterion 5)</v>
      </c>
      <c r="G49" s="506">
        <f>VLOOKUP($A49,'Pre-Assessment Estimator'!$A$10:$AA$226,G$2,FALSE)</f>
        <v>2</v>
      </c>
      <c r="H49" s="512" t="str">
        <f>IF(VLOOKUP($A49,'Pre-Assessment Estimator'!$A$10:$AA$226,H$2,FALSE)=0,"",VLOOKUP($A49,'Pre-Assessment Estimator'!$A$10:$AA$226,H$2,FALSE))</f>
        <v/>
      </c>
      <c r="I49" s="1012">
        <f>VLOOKUP($A49,'Pre-Assessment Estimator'!$A$10:$AA$226,I$2,FALSE)</f>
        <v>0</v>
      </c>
      <c r="J49" s="508" t="str">
        <f>VLOOKUP($A49,'Pre-Assessment Estimator'!$A$10:$AA$226,J$2,FALSE)</f>
        <v>Good</v>
      </c>
      <c r="K49" s="509" t="str">
        <f>IF(VLOOKUP($A49,'Pre-Assessment Estimator'!$A$10:$AA$226,K$2,FALSE)=0,"",VLOOKUP($A49,'Pre-Assessment Estimator'!$A$10:$AA$226,K$2,FALSE))</f>
        <v/>
      </c>
      <c r="L49" s="509" t="str">
        <f>IF(VLOOKUP($A49,'Pre-Assessment Estimator'!$A$10:$AA$226,L$2,FALSE)=0,"",VLOOKUP($A49,'Pre-Assessment Estimator'!$A$10:$AA$226,L$2,FALSE))</f>
        <v/>
      </c>
      <c r="M49" s="510" t="str">
        <f>IF(VLOOKUP($A49,'Pre-Assessment Estimator'!$A$10:$AA$226,M$2,FALSE)=0,"",VLOOKUP($A49,'Pre-Assessment Estimator'!$A$10:$AA$226,M$2,FALSE))</f>
        <v/>
      </c>
      <c r="N49" s="511"/>
      <c r="O49" s="512" t="str">
        <f>IF(VLOOKUP($A49,'Pre-Assessment Estimator'!$A$10:$AA$226,O$2,FALSE)=0,"",VLOOKUP($A49,'Pre-Assessment Estimator'!$A$10:$AA$226,O$2,FALSE))</f>
        <v/>
      </c>
      <c r="P49" s="507">
        <f>VLOOKUP($A49,'Pre-Assessment Estimator'!$A$10:$AA$226,P$2,FALSE)</f>
        <v>0</v>
      </c>
      <c r="Q49" s="506" t="str">
        <f>VLOOKUP($A49,'Pre-Assessment Estimator'!$A$10:$AA$226,Q$2,FALSE)</f>
        <v>Good</v>
      </c>
      <c r="R49" s="509" t="str">
        <f>IF(VLOOKUP($A49,'Pre-Assessment Estimator'!$A$10:$AA$226,R$2,FALSE)=0,"",VLOOKUP($A49,'Pre-Assessment Estimator'!$A$10:$AA$226,R$2,FALSE))</f>
        <v/>
      </c>
      <c r="S49" s="509" t="str">
        <f>IF(VLOOKUP($A49,'Pre-Assessment Estimator'!$A$10:$AA$226,S$2,FALSE)=0,"",VLOOKUP($A49,'Pre-Assessment Estimator'!$A$10:$AA$226,S$2,FALSE))</f>
        <v/>
      </c>
      <c r="T49" s="510" t="str">
        <f>IF(VLOOKUP($A49,'Pre-Assessment Estimator'!$A$10:$AA$226,T$2,FALSE)=0,"",VLOOKUP($A49,'Pre-Assessment Estimator'!$A$10:$AA$226,T$2,FALSE))</f>
        <v/>
      </c>
      <c r="U49" s="513"/>
      <c r="V49" s="512" t="str">
        <f>IF(VLOOKUP($A49,'Pre-Assessment Estimator'!$A$10:$AA$226,V$2,FALSE)=0,"",VLOOKUP($A49,'Pre-Assessment Estimator'!$A$10:$AA$226,V$2,FALSE))</f>
        <v/>
      </c>
      <c r="W49" s="507">
        <f>VLOOKUP($A49,'Pre-Assessment Estimator'!$A$10:$AA$226,W$2,FALSE)</f>
        <v>0</v>
      </c>
      <c r="X49" s="506" t="str">
        <f>VLOOKUP($A49,'Pre-Assessment Estimator'!$A$10:$AA$226,X$2,FALSE)</f>
        <v>Good</v>
      </c>
      <c r="Y49" s="509" t="str">
        <f>IF(VLOOKUP($A49,'Pre-Assessment Estimator'!$A$10:$AA$226,Y$2,FALSE)=0,"",VLOOKUP($A49,'Pre-Assessment Estimator'!$A$10:$AA$226,Y$2,FALSE))</f>
        <v/>
      </c>
      <c r="Z49" s="509" t="str">
        <f>IF(VLOOKUP($A49,'Pre-Assessment Estimator'!$A$10:$AA$226,Z$2,FALSE)=0,"",VLOOKUP($A49,'Pre-Assessment Estimator'!$A$10:$AA$226,Z$2,FALSE))</f>
        <v/>
      </c>
      <c r="AA49" s="322" t="str">
        <f>IF(VLOOKUP($A49,'Pre-Assessment Estimator'!$A$10:$AA$226,AA$2,FALSE)=0,"",VLOOKUP($A49,'Pre-Assessment Estimator'!$A$10:$AA$226,AA$2,FALSE))</f>
        <v/>
      </c>
      <c r="AB49" s="605">
        <v>39</v>
      </c>
      <c r="AC49" s="509"/>
      <c r="AG49" s="15">
        <f t="shared" si="0"/>
        <v>1</v>
      </c>
      <c r="AO49" s="15"/>
      <c r="AP49" s="15"/>
      <c r="AQ49" s="15"/>
    </row>
    <row r="50" spans="1:43" x14ac:dyDescent="0.25">
      <c r="A50" s="716">
        <v>41</v>
      </c>
      <c r="B50" s="1022" t="s">
        <v>64</v>
      </c>
      <c r="C50" s="1022"/>
      <c r="D50" s="1044" t="str">
        <f>VLOOKUP($A50,'Pre-Assessment Estimator'!$A$10:$AA$226,D$2,FALSE)</f>
        <v>Hea 02</v>
      </c>
      <c r="E50" s="1044" t="str">
        <f>VLOOKUP($A50,'Pre-Assessment Estimator'!$A$10:$AA$226,E$2,FALSE)</f>
        <v>6-11</v>
      </c>
      <c r="F50" s="1045" t="str">
        <f>VLOOKUP($A50,'Pre-Assessment Estimator'!$A$10:$AA$226,F$2,FALSE)</f>
        <v xml:space="preserve">Post-construction indoor air quality measurement </v>
      </c>
      <c r="G50" s="506">
        <f>VLOOKUP($A50,'Pre-Assessment Estimator'!$A$10:$AA$226,G$2,FALSE)</f>
        <v>1</v>
      </c>
      <c r="H50" s="512" t="str">
        <f>IF(VLOOKUP($A50,'Pre-Assessment Estimator'!$A$10:$AA$226,H$2,FALSE)=0,"",VLOOKUP($A50,'Pre-Assessment Estimator'!$A$10:$AA$226,H$2,FALSE))</f>
        <v/>
      </c>
      <c r="I50" s="1012">
        <f>VLOOKUP($A50,'Pre-Assessment Estimator'!$A$10:$AA$226,I$2,FALSE)</f>
        <v>0</v>
      </c>
      <c r="J50" s="508" t="str">
        <f>VLOOKUP($A50,'Pre-Assessment Estimator'!$A$10:$AA$226,J$2,FALSE)</f>
        <v>N/A</v>
      </c>
      <c r="K50" s="509" t="str">
        <f>IF(VLOOKUP($A50,'Pre-Assessment Estimator'!$A$10:$AA$226,K$2,FALSE)=0,"",VLOOKUP($A50,'Pre-Assessment Estimator'!$A$10:$AA$226,K$2,FALSE))</f>
        <v/>
      </c>
      <c r="L50" s="509" t="str">
        <f>IF(VLOOKUP($A50,'Pre-Assessment Estimator'!$A$10:$AA$226,L$2,FALSE)=0,"",VLOOKUP($A50,'Pre-Assessment Estimator'!$A$10:$AA$226,L$2,FALSE))</f>
        <v/>
      </c>
      <c r="M50" s="510" t="str">
        <f>IF(VLOOKUP($A50,'Pre-Assessment Estimator'!$A$10:$AA$226,M$2,FALSE)=0,"",VLOOKUP($A50,'Pre-Assessment Estimator'!$A$10:$AA$226,M$2,FALSE))</f>
        <v/>
      </c>
      <c r="N50" s="511"/>
      <c r="O50" s="512" t="str">
        <f>IF(VLOOKUP($A50,'Pre-Assessment Estimator'!$A$10:$AA$226,O$2,FALSE)=0,"",VLOOKUP($A50,'Pre-Assessment Estimator'!$A$10:$AA$226,O$2,FALSE))</f>
        <v/>
      </c>
      <c r="P50" s="507">
        <f>VLOOKUP($A50,'Pre-Assessment Estimator'!$A$10:$AA$226,P$2,FALSE)</f>
        <v>0</v>
      </c>
      <c r="Q50" s="506" t="str">
        <f>VLOOKUP($A50,'Pre-Assessment Estimator'!$A$10:$AA$226,Q$2,FALSE)</f>
        <v>N/A</v>
      </c>
      <c r="R50" s="509" t="str">
        <f>IF(VLOOKUP($A50,'Pre-Assessment Estimator'!$A$10:$AA$226,R$2,FALSE)=0,"",VLOOKUP($A50,'Pre-Assessment Estimator'!$A$10:$AA$226,R$2,FALSE))</f>
        <v/>
      </c>
      <c r="S50" s="509" t="str">
        <f>IF(VLOOKUP($A50,'Pre-Assessment Estimator'!$A$10:$AA$226,S$2,FALSE)=0,"",VLOOKUP($A50,'Pre-Assessment Estimator'!$A$10:$AA$226,S$2,FALSE))</f>
        <v/>
      </c>
      <c r="T50" s="510" t="str">
        <f>IF(VLOOKUP($A50,'Pre-Assessment Estimator'!$A$10:$AA$226,T$2,FALSE)=0,"",VLOOKUP($A50,'Pre-Assessment Estimator'!$A$10:$AA$226,T$2,FALSE))</f>
        <v/>
      </c>
      <c r="U50" s="513"/>
      <c r="V50" s="512" t="str">
        <f>IF(VLOOKUP($A50,'Pre-Assessment Estimator'!$A$10:$AA$226,V$2,FALSE)=0,"",VLOOKUP($A50,'Pre-Assessment Estimator'!$A$10:$AA$226,V$2,FALSE))</f>
        <v/>
      </c>
      <c r="W50" s="507">
        <f>VLOOKUP($A50,'Pre-Assessment Estimator'!$A$10:$AA$226,W$2,FALSE)</f>
        <v>0</v>
      </c>
      <c r="X50" s="506" t="str">
        <f>VLOOKUP($A50,'Pre-Assessment Estimator'!$A$10:$AA$226,X$2,FALSE)</f>
        <v>N/A</v>
      </c>
      <c r="Y50" s="509" t="str">
        <f>IF(VLOOKUP($A50,'Pre-Assessment Estimator'!$A$10:$AA$226,Y$2,FALSE)=0,"",VLOOKUP($A50,'Pre-Assessment Estimator'!$A$10:$AA$226,Y$2,FALSE))</f>
        <v/>
      </c>
      <c r="Z50" s="509" t="str">
        <f>IF(VLOOKUP($A50,'Pre-Assessment Estimator'!$A$10:$AA$226,Z$2,FALSE)=0,"",VLOOKUP($A50,'Pre-Assessment Estimator'!$A$10:$AA$226,Z$2,FALSE))</f>
        <v/>
      </c>
      <c r="AA50" s="322" t="str">
        <f>IF(VLOOKUP($A50,'Pre-Assessment Estimator'!$A$10:$AA$226,AA$2,FALSE)=0,"",VLOOKUP($A50,'Pre-Assessment Estimator'!$A$10:$AA$226,AA$2,FALSE))</f>
        <v/>
      </c>
      <c r="AB50" s="605">
        <v>40</v>
      </c>
      <c r="AC50" s="509"/>
      <c r="AG50" s="15">
        <f t="shared" si="0"/>
        <v>1</v>
      </c>
      <c r="AO50" s="15"/>
      <c r="AP50" s="15"/>
      <c r="AQ50" s="15"/>
    </row>
    <row r="51" spans="1:43" x14ac:dyDescent="0.25">
      <c r="A51" s="716">
        <v>42</v>
      </c>
      <c r="B51" s="1022" t="s">
        <v>64</v>
      </c>
      <c r="C51" s="1022"/>
      <c r="D51" s="1043" t="str">
        <f>VLOOKUP($A51,'Pre-Assessment Estimator'!$A$10:$AA$226,D$2,FALSE)</f>
        <v>Hea 03</v>
      </c>
      <c r="E51" s="1044"/>
      <c r="F51" s="1043" t="str">
        <f>VLOOKUP($A51,'Pre-Assessment Estimator'!$A$10:$AA$226,F$2,FALSE)</f>
        <v>Hea 03 Thermal comfort</v>
      </c>
      <c r="G51" s="506">
        <f>VLOOKUP($A51,'Pre-Assessment Estimator'!$A$10:$AA$226,G$2,FALSE)</f>
        <v>3</v>
      </c>
      <c r="H51" s="512" t="str">
        <f>IF(VLOOKUP($A51,'Pre-Assessment Estimator'!$A$10:$AA$226,H$2,FALSE)=0,"",VLOOKUP($A51,'Pre-Assessment Estimator'!$A$10:$AA$226,H$2,FALSE))</f>
        <v/>
      </c>
      <c r="I51" s="1012" t="str">
        <f>VLOOKUP($A51,'Pre-Assessment Estimator'!$A$10:$AA$226,I$2,FALSE)</f>
        <v>0 c. 0 %</v>
      </c>
      <c r="J51" s="508" t="str">
        <f>VLOOKUP($A51,'Pre-Assessment Estimator'!$A$10:$AA$226,J$2,FALSE)</f>
        <v>N/A</v>
      </c>
      <c r="K51" s="509" t="str">
        <f>IF(VLOOKUP($A51,'Pre-Assessment Estimator'!$A$10:$AA$226,K$2,FALSE)=0,"",VLOOKUP($A51,'Pre-Assessment Estimator'!$A$10:$AA$226,K$2,FALSE))</f>
        <v/>
      </c>
      <c r="L51" s="509" t="str">
        <f>IF(VLOOKUP($A51,'Pre-Assessment Estimator'!$A$10:$AA$226,L$2,FALSE)=0,"",VLOOKUP($A51,'Pre-Assessment Estimator'!$A$10:$AA$226,L$2,FALSE))</f>
        <v/>
      </c>
      <c r="M51" s="510" t="str">
        <f>IF(VLOOKUP($A51,'Pre-Assessment Estimator'!$A$10:$AA$226,M$2,FALSE)=0,"",VLOOKUP($A51,'Pre-Assessment Estimator'!$A$10:$AA$226,M$2,FALSE))</f>
        <v/>
      </c>
      <c r="N51" s="511"/>
      <c r="O51" s="512" t="str">
        <f>IF(VLOOKUP($A51,'Pre-Assessment Estimator'!$A$10:$AA$226,O$2,FALSE)=0,"",VLOOKUP($A51,'Pre-Assessment Estimator'!$A$10:$AA$226,O$2,FALSE))</f>
        <v/>
      </c>
      <c r="P51" s="507" t="str">
        <f>VLOOKUP($A51,'Pre-Assessment Estimator'!$A$10:$AA$226,P$2,FALSE)</f>
        <v>0 c. 0 %</v>
      </c>
      <c r="Q51" s="506" t="str">
        <f>VLOOKUP($A51,'Pre-Assessment Estimator'!$A$10:$AA$226,Q$2,FALSE)</f>
        <v>N/A</v>
      </c>
      <c r="R51" s="509" t="str">
        <f>IF(VLOOKUP($A51,'Pre-Assessment Estimator'!$A$10:$AA$226,R$2,FALSE)=0,"",VLOOKUP($A51,'Pre-Assessment Estimator'!$A$10:$AA$226,R$2,FALSE))</f>
        <v/>
      </c>
      <c r="S51" s="509" t="str">
        <f>IF(VLOOKUP($A51,'Pre-Assessment Estimator'!$A$10:$AA$226,S$2,FALSE)=0,"",VLOOKUP($A51,'Pre-Assessment Estimator'!$A$10:$AA$226,S$2,FALSE))</f>
        <v/>
      </c>
      <c r="T51" s="510" t="str">
        <f>IF(VLOOKUP($A51,'Pre-Assessment Estimator'!$A$10:$AA$226,T$2,FALSE)=0,"",VLOOKUP($A51,'Pre-Assessment Estimator'!$A$10:$AA$226,T$2,FALSE))</f>
        <v/>
      </c>
      <c r="U51" s="513"/>
      <c r="V51" s="512" t="str">
        <f>IF(VLOOKUP($A51,'Pre-Assessment Estimator'!$A$10:$AA$226,V$2,FALSE)=0,"",VLOOKUP($A51,'Pre-Assessment Estimator'!$A$10:$AA$226,V$2,FALSE))</f>
        <v/>
      </c>
      <c r="W51" s="507" t="str">
        <f>VLOOKUP($A51,'Pre-Assessment Estimator'!$A$10:$AA$226,W$2,FALSE)</f>
        <v>0 c. 0 %</v>
      </c>
      <c r="X51" s="506" t="str">
        <f>VLOOKUP($A51,'Pre-Assessment Estimator'!$A$10:$AA$226,X$2,FALSE)</f>
        <v>N/A</v>
      </c>
      <c r="Y51" s="509" t="str">
        <f>IF(VLOOKUP($A51,'Pre-Assessment Estimator'!$A$10:$AA$226,Y$2,FALSE)=0,"",VLOOKUP($A51,'Pre-Assessment Estimator'!$A$10:$AA$226,Y$2,FALSE))</f>
        <v/>
      </c>
      <c r="Z51" s="509" t="str">
        <f>IF(VLOOKUP($A51,'Pre-Assessment Estimator'!$A$10:$AA$226,Z$2,FALSE)=0,"",VLOOKUP($A51,'Pre-Assessment Estimator'!$A$10:$AA$226,Z$2,FALSE))</f>
        <v/>
      </c>
      <c r="AA51" s="322" t="str">
        <f>IF(VLOOKUP($A51,'Pre-Assessment Estimator'!$A$10:$AA$226,AA$2,FALSE)=0,"",VLOOKUP($A51,'Pre-Assessment Estimator'!$A$10:$AA$226,AA$2,FALSE))</f>
        <v/>
      </c>
      <c r="AB51" s="605">
        <v>41</v>
      </c>
      <c r="AC51" s="509"/>
      <c r="AG51" s="15">
        <f t="shared" si="0"/>
        <v>1</v>
      </c>
      <c r="AO51" s="15"/>
      <c r="AP51" s="15"/>
      <c r="AQ51" s="15"/>
    </row>
    <row r="52" spans="1:43" x14ac:dyDescent="0.25">
      <c r="A52" s="716">
        <v>43</v>
      </c>
      <c r="B52" s="1022" t="s">
        <v>64</v>
      </c>
      <c r="C52" s="1022"/>
      <c r="D52" s="1044" t="str">
        <f>VLOOKUP($A52,'Pre-Assessment Estimator'!$A$10:$AA$226,D$2,FALSE)</f>
        <v>Hea 03</v>
      </c>
      <c r="E52" s="1044" t="str">
        <f>VLOOKUP($A52,'Pre-Assessment Estimator'!$A$10:$AA$226,E$2,FALSE)</f>
        <v>1-4</v>
      </c>
      <c r="F52" s="1045" t="str">
        <f>VLOOKUP($A52,'Pre-Assessment Estimator'!$A$10:$AA$226,F$2,FALSE)</f>
        <v xml:space="preserve">Thermal modelling </v>
      </c>
      <c r="G52" s="506">
        <f>VLOOKUP($A52,'Pre-Assessment Estimator'!$A$10:$AA$226,G$2,FALSE)</f>
        <v>1</v>
      </c>
      <c r="H52" s="512" t="str">
        <f>IF(VLOOKUP($A52,'Pre-Assessment Estimator'!$A$10:$AA$226,H$2,FALSE)=0,"",VLOOKUP($A52,'Pre-Assessment Estimator'!$A$10:$AA$226,H$2,FALSE))</f>
        <v/>
      </c>
      <c r="I52" s="1012">
        <f>VLOOKUP($A52,'Pre-Assessment Estimator'!$A$10:$AA$226,I$2,FALSE)</f>
        <v>0</v>
      </c>
      <c r="J52" s="508" t="str">
        <f>VLOOKUP($A52,'Pre-Assessment Estimator'!$A$10:$AA$226,J$2,FALSE)</f>
        <v>N/A</v>
      </c>
      <c r="K52" s="509" t="str">
        <f>IF(VLOOKUP($A52,'Pre-Assessment Estimator'!$A$10:$AA$226,K$2,FALSE)=0,"",VLOOKUP($A52,'Pre-Assessment Estimator'!$A$10:$AA$226,K$2,FALSE))</f>
        <v/>
      </c>
      <c r="L52" s="509" t="str">
        <f>IF(VLOOKUP($A52,'Pre-Assessment Estimator'!$A$10:$AA$226,L$2,FALSE)=0,"",VLOOKUP($A52,'Pre-Assessment Estimator'!$A$10:$AA$226,L$2,FALSE))</f>
        <v/>
      </c>
      <c r="M52" s="510" t="str">
        <f>IF(VLOOKUP($A52,'Pre-Assessment Estimator'!$A$10:$AA$226,M$2,FALSE)=0,"",VLOOKUP($A52,'Pre-Assessment Estimator'!$A$10:$AA$226,M$2,FALSE))</f>
        <v/>
      </c>
      <c r="N52" s="511"/>
      <c r="O52" s="512" t="str">
        <f>IF(VLOOKUP($A52,'Pre-Assessment Estimator'!$A$10:$AA$226,O$2,FALSE)=0,"",VLOOKUP($A52,'Pre-Assessment Estimator'!$A$10:$AA$226,O$2,FALSE))</f>
        <v/>
      </c>
      <c r="P52" s="507">
        <f>VLOOKUP($A52,'Pre-Assessment Estimator'!$A$10:$AA$226,P$2,FALSE)</f>
        <v>0</v>
      </c>
      <c r="Q52" s="506" t="str">
        <f>VLOOKUP($A52,'Pre-Assessment Estimator'!$A$10:$AA$226,Q$2,FALSE)</f>
        <v>N/A</v>
      </c>
      <c r="R52" s="509" t="str">
        <f>IF(VLOOKUP($A52,'Pre-Assessment Estimator'!$A$10:$AA$226,R$2,FALSE)=0,"",VLOOKUP($A52,'Pre-Assessment Estimator'!$A$10:$AA$226,R$2,FALSE))</f>
        <v/>
      </c>
      <c r="S52" s="509" t="str">
        <f>IF(VLOOKUP($A52,'Pre-Assessment Estimator'!$A$10:$AA$226,S$2,FALSE)=0,"",VLOOKUP($A52,'Pre-Assessment Estimator'!$A$10:$AA$226,S$2,FALSE))</f>
        <v/>
      </c>
      <c r="T52" s="510" t="str">
        <f>IF(VLOOKUP($A52,'Pre-Assessment Estimator'!$A$10:$AA$226,T$2,FALSE)=0,"",VLOOKUP($A52,'Pre-Assessment Estimator'!$A$10:$AA$226,T$2,FALSE))</f>
        <v/>
      </c>
      <c r="U52" s="513"/>
      <c r="V52" s="512" t="str">
        <f>IF(VLOOKUP($A52,'Pre-Assessment Estimator'!$A$10:$AA$226,V$2,FALSE)=0,"",VLOOKUP($A52,'Pre-Assessment Estimator'!$A$10:$AA$226,V$2,FALSE))</f>
        <v/>
      </c>
      <c r="W52" s="507">
        <f>VLOOKUP($A52,'Pre-Assessment Estimator'!$A$10:$AA$226,W$2,FALSE)</f>
        <v>0</v>
      </c>
      <c r="X52" s="506" t="str">
        <f>VLOOKUP($A52,'Pre-Assessment Estimator'!$A$10:$AA$226,X$2,FALSE)</f>
        <v>N/A</v>
      </c>
      <c r="Y52" s="509" t="str">
        <f>IF(VLOOKUP($A52,'Pre-Assessment Estimator'!$A$10:$AA$226,Y$2,FALSE)=0,"",VLOOKUP($A52,'Pre-Assessment Estimator'!$A$10:$AA$226,Y$2,FALSE))</f>
        <v/>
      </c>
      <c r="Z52" s="509" t="str">
        <f>IF(VLOOKUP($A52,'Pre-Assessment Estimator'!$A$10:$AA$226,Z$2,FALSE)=0,"",VLOOKUP($A52,'Pre-Assessment Estimator'!$A$10:$AA$226,Z$2,FALSE))</f>
        <v/>
      </c>
      <c r="AA52" s="322" t="str">
        <f>IF(VLOOKUP($A52,'Pre-Assessment Estimator'!$A$10:$AA$226,AA$2,FALSE)=0,"",VLOOKUP($A52,'Pre-Assessment Estimator'!$A$10:$AA$226,AA$2,FALSE))</f>
        <v/>
      </c>
      <c r="AB52" s="605">
        <v>42</v>
      </c>
      <c r="AC52" s="509"/>
      <c r="AG52" s="15">
        <f t="shared" si="0"/>
        <v>1</v>
      </c>
      <c r="AO52" s="15"/>
      <c r="AP52" s="15"/>
      <c r="AQ52" s="15"/>
    </row>
    <row r="53" spans="1:43" x14ac:dyDescent="0.25">
      <c r="A53" s="716">
        <v>44</v>
      </c>
      <c r="B53" s="1022" t="s">
        <v>64</v>
      </c>
      <c r="C53" s="1022"/>
      <c r="D53" s="1044" t="str">
        <f>VLOOKUP($A53,'Pre-Assessment Estimator'!$A$10:$AA$226,D$2,FALSE)</f>
        <v>Hea 03</v>
      </c>
      <c r="E53" s="1044" t="str">
        <f>VLOOKUP($A53,'Pre-Assessment Estimator'!$A$10:$AA$226,E$2,FALSE)</f>
        <v>5-8</v>
      </c>
      <c r="F53" s="1045" t="str">
        <f>VLOOKUP($A53,'Pre-Assessment Estimator'!$A$10:$AA$226,F$2,FALSE)</f>
        <v xml:space="preserve">Design for future thermal comfort </v>
      </c>
      <c r="G53" s="506">
        <f>VLOOKUP($A53,'Pre-Assessment Estimator'!$A$10:$AA$226,G$2,FALSE)</f>
        <v>1</v>
      </c>
      <c r="H53" s="512" t="str">
        <f>IF(VLOOKUP($A53,'Pre-Assessment Estimator'!$A$10:$AA$226,H$2,FALSE)=0,"",VLOOKUP($A53,'Pre-Assessment Estimator'!$A$10:$AA$226,H$2,FALSE))</f>
        <v/>
      </c>
      <c r="I53" s="1012">
        <f>VLOOKUP($A53,'Pre-Assessment Estimator'!$A$10:$AA$226,I$2,FALSE)</f>
        <v>0</v>
      </c>
      <c r="J53" s="508" t="str">
        <f>VLOOKUP($A53,'Pre-Assessment Estimator'!$A$10:$AA$226,J$2,FALSE)</f>
        <v>N/A</v>
      </c>
      <c r="K53" s="509" t="str">
        <f>IF(VLOOKUP($A53,'Pre-Assessment Estimator'!$A$10:$AA$226,K$2,FALSE)=0,"",VLOOKUP($A53,'Pre-Assessment Estimator'!$A$10:$AA$226,K$2,FALSE))</f>
        <v/>
      </c>
      <c r="L53" s="509" t="str">
        <f>IF(VLOOKUP($A53,'Pre-Assessment Estimator'!$A$10:$AA$226,L$2,FALSE)=0,"",VLOOKUP($A53,'Pre-Assessment Estimator'!$A$10:$AA$226,L$2,FALSE))</f>
        <v/>
      </c>
      <c r="M53" s="510" t="str">
        <f>IF(VLOOKUP($A53,'Pre-Assessment Estimator'!$A$10:$AA$226,M$2,FALSE)=0,"",VLOOKUP($A53,'Pre-Assessment Estimator'!$A$10:$AA$226,M$2,FALSE))</f>
        <v/>
      </c>
      <c r="N53" s="511"/>
      <c r="O53" s="512" t="str">
        <f>IF(VLOOKUP($A53,'Pre-Assessment Estimator'!$A$10:$AA$226,O$2,FALSE)=0,"",VLOOKUP($A53,'Pre-Assessment Estimator'!$A$10:$AA$226,O$2,FALSE))</f>
        <v/>
      </c>
      <c r="P53" s="507">
        <f>VLOOKUP($A53,'Pre-Assessment Estimator'!$A$10:$AA$226,P$2,FALSE)</f>
        <v>0</v>
      </c>
      <c r="Q53" s="506" t="str">
        <f>VLOOKUP($A53,'Pre-Assessment Estimator'!$A$10:$AA$226,Q$2,FALSE)</f>
        <v>N/A</v>
      </c>
      <c r="R53" s="509" t="str">
        <f>IF(VLOOKUP($A53,'Pre-Assessment Estimator'!$A$10:$AA$226,R$2,FALSE)=0,"",VLOOKUP($A53,'Pre-Assessment Estimator'!$A$10:$AA$226,R$2,FALSE))</f>
        <v/>
      </c>
      <c r="S53" s="509" t="str">
        <f>IF(VLOOKUP($A53,'Pre-Assessment Estimator'!$A$10:$AA$226,S$2,FALSE)=0,"",VLOOKUP($A53,'Pre-Assessment Estimator'!$A$10:$AA$226,S$2,FALSE))</f>
        <v/>
      </c>
      <c r="T53" s="510" t="str">
        <f>IF(VLOOKUP($A53,'Pre-Assessment Estimator'!$A$10:$AA$226,T$2,FALSE)=0,"",VLOOKUP($A53,'Pre-Assessment Estimator'!$A$10:$AA$226,T$2,FALSE))</f>
        <v/>
      </c>
      <c r="U53" s="513"/>
      <c r="V53" s="512" t="str">
        <f>IF(VLOOKUP($A53,'Pre-Assessment Estimator'!$A$10:$AA$226,V$2,FALSE)=0,"",VLOOKUP($A53,'Pre-Assessment Estimator'!$A$10:$AA$226,V$2,FALSE))</f>
        <v/>
      </c>
      <c r="W53" s="507">
        <f>VLOOKUP($A53,'Pre-Assessment Estimator'!$A$10:$AA$226,W$2,FALSE)</f>
        <v>0</v>
      </c>
      <c r="X53" s="506" t="str">
        <f>VLOOKUP($A53,'Pre-Assessment Estimator'!$A$10:$AA$226,X$2,FALSE)</f>
        <v>N/A</v>
      </c>
      <c r="Y53" s="509" t="str">
        <f>IF(VLOOKUP($A53,'Pre-Assessment Estimator'!$A$10:$AA$226,Y$2,FALSE)=0,"",VLOOKUP($A53,'Pre-Assessment Estimator'!$A$10:$AA$226,Y$2,FALSE))</f>
        <v/>
      </c>
      <c r="Z53" s="509" t="str">
        <f>IF(VLOOKUP($A53,'Pre-Assessment Estimator'!$A$10:$AA$226,Z$2,FALSE)=0,"",VLOOKUP($A53,'Pre-Assessment Estimator'!$A$10:$AA$226,Z$2,FALSE))</f>
        <v/>
      </c>
      <c r="AA53" s="322" t="str">
        <f>IF(VLOOKUP($A53,'Pre-Assessment Estimator'!$A$10:$AA$226,AA$2,FALSE)=0,"",VLOOKUP($A53,'Pre-Assessment Estimator'!$A$10:$AA$226,AA$2,FALSE))</f>
        <v/>
      </c>
      <c r="AB53" s="605">
        <v>43</v>
      </c>
      <c r="AC53" s="509"/>
      <c r="AG53" s="15">
        <f t="shared" si="0"/>
        <v>1</v>
      </c>
      <c r="AO53" s="15"/>
      <c r="AP53" s="15"/>
      <c r="AQ53" s="15"/>
    </row>
    <row r="54" spans="1:43" x14ac:dyDescent="0.25">
      <c r="A54" s="716">
        <v>45</v>
      </c>
      <c r="B54" s="1022" t="s">
        <v>64</v>
      </c>
      <c r="C54" s="1022"/>
      <c r="D54" s="1044" t="str">
        <f>VLOOKUP($A54,'Pre-Assessment Estimator'!$A$10:$AA$226,D$2,FALSE)</f>
        <v>Hea 03</v>
      </c>
      <c r="E54" s="1044" t="str">
        <f>VLOOKUP($A54,'Pre-Assessment Estimator'!$A$10:$AA$226,E$2,FALSE)</f>
        <v>9-11</v>
      </c>
      <c r="F54" s="1045" t="str">
        <f>VLOOKUP($A54,'Pre-Assessment Estimator'!$A$10:$AA$226,F$2,FALSE)</f>
        <v xml:space="preserve">Thermal zoning and controls </v>
      </c>
      <c r="G54" s="506">
        <f>VLOOKUP($A54,'Pre-Assessment Estimator'!$A$10:$AA$226,G$2,FALSE)</f>
        <v>1</v>
      </c>
      <c r="H54" s="512" t="str">
        <f>IF(VLOOKUP($A54,'Pre-Assessment Estimator'!$A$10:$AA$226,H$2,FALSE)=0,"",VLOOKUP($A54,'Pre-Assessment Estimator'!$A$10:$AA$226,H$2,FALSE))</f>
        <v/>
      </c>
      <c r="I54" s="1012">
        <f>VLOOKUP($A54,'Pre-Assessment Estimator'!$A$10:$AA$226,I$2,FALSE)</f>
        <v>0</v>
      </c>
      <c r="J54" s="508" t="str">
        <f>VLOOKUP($A54,'Pre-Assessment Estimator'!$A$10:$AA$226,J$2,FALSE)</f>
        <v>N/A</v>
      </c>
      <c r="K54" s="509" t="str">
        <f>IF(VLOOKUP($A54,'Pre-Assessment Estimator'!$A$10:$AA$226,K$2,FALSE)=0,"",VLOOKUP($A54,'Pre-Assessment Estimator'!$A$10:$AA$226,K$2,FALSE))</f>
        <v/>
      </c>
      <c r="L54" s="509" t="str">
        <f>IF(VLOOKUP($A54,'Pre-Assessment Estimator'!$A$10:$AA$226,L$2,FALSE)=0,"",VLOOKUP($A54,'Pre-Assessment Estimator'!$A$10:$AA$226,L$2,FALSE))</f>
        <v/>
      </c>
      <c r="M54" s="510" t="str">
        <f>IF(VLOOKUP($A54,'Pre-Assessment Estimator'!$A$10:$AA$226,M$2,FALSE)=0,"",VLOOKUP($A54,'Pre-Assessment Estimator'!$A$10:$AA$226,M$2,FALSE))</f>
        <v/>
      </c>
      <c r="N54" s="511"/>
      <c r="O54" s="512" t="str">
        <f>IF(VLOOKUP($A54,'Pre-Assessment Estimator'!$A$10:$AA$226,O$2,FALSE)=0,"",VLOOKUP($A54,'Pre-Assessment Estimator'!$A$10:$AA$226,O$2,FALSE))</f>
        <v/>
      </c>
      <c r="P54" s="507">
        <f>VLOOKUP($A54,'Pre-Assessment Estimator'!$A$10:$AA$226,P$2,FALSE)</f>
        <v>0</v>
      </c>
      <c r="Q54" s="506" t="str">
        <f>VLOOKUP($A54,'Pre-Assessment Estimator'!$A$10:$AA$226,Q$2,FALSE)</f>
        <v>N/A</v>
      </c>
      <c r="R54" s="509" t="str">
        <f>IF(VLOOKUP($A54,'Pre-Assessment Estimator'!$A$10:$AA$226,R$2,FALSE)=0,"",VLOOKUP($A54,'Pre-Assessment Estimator'!$A$10:$AA$226,R$2,FALSE))</f>
        <v/>
      </c>
      <c r="S54" s="509" t="str">
        <f>IF(VLOOKUP($A54,'Pre-Assessment Estimator'!$A$10:$AA$226,S$2,FALSE)=0,"",VLOOKUP($A54,'Pre-Assessment Estimator'!$A$10:$AA$226,S$2,FALSE))</f>
        <v/>
      </c>
      <c r="T54" s="510" t="str">
        <f>IF(VLOOKUP($A54,'Pre-Assessment Estimator'!$A$10:$AA$226,T$2,FALSE)=0,"",VLOOKUP($A54,'Pre-Assessment Estimator'!$A$10:$AA$226,T$2,FALSE))</f>
        <v/>
      </c>
      <c r="U54" s="513"/>
      <c r="V54" s="512" t="str">
        <f>IF(VLOOKUP($A54,'Pre-Assessment Estimator'!$A$10:$AA$226,V$2,FALSE)=0,"",VLOOKUP($A54,'Pre-Assessment Estimator'!$A$10:$AA$226,V$2,FALSE))</f>
        <v/>
      </c>
      <c r="W54" s="507">
        <f>VLOOKUP($A54,'Pre-Assessment Estimator'!$A$10:$AA$226,W$2,FALSE)</f>
        <v>0</v>
      </c>
      <c r="X54" s="506" t="str">
        <f>VLOOKUP($A54,'Pre-Assessment Estimator'!$A$10:$AA$226,X$2,FALSE)</f>
        <v>N/A</v>
      </c>
      <c r="Y54" s="509" t="str">
        <f>IF(VLOOKUP($A54,'Pre-Assessment Estimator'!$A$10:$AA$226,Y$2,FALSE)=0,"",VLOOKUP($A54,'Pre-Assessment Estimator'!$A$10:$AA$226,Y$2,FALSE))</f>
        <v/>
      </c>
      <c r="Z54" s="509" t="str">
        <f>IF(VLOOKUP($A54,'Pre-Assessment Estimator'!$A$10:$AA$226,Z$2,FALSE)=0,"",VLOOKUP($A54,'Pre-Assessment Estimator'!$A$10:$AA$226,Z$2,FALSE))</f>
        <v/>
      </c>
      <c r="AA54" s="322" t="str">
        <f>IF(VLOOKUP($A54,'Pre-Assessment Estimator'!$A$10:$AA$226,AA$2,FALSE)=0,"",VLOOKUP($A54,'Pre-Assessment Estimator'!$A$10:$AA$226,AA$2,FALSE))</f>
        <v/>
      </c>
      <c r="AB54" s="605">
        <v>44</v>
      </c>
      <c r="AC54" s="509"/>
      <c r="AG54" s="15">
        <f t="shared" si="0"/>
        <v>1</v>
      </c>
      <c r="AO54" s="15"/>
      <c r="AP54" s="15"/>
      <c r="AQ54" s="15"/>
    </row>
    <row r="55" spans="1:43" x14ac:dyDescent="0.25">
      <c r="A55" s="716">
        <v>46</v>
      </c>
      <c r="B55" s="1022" t="s">
        <v>64</v>
      </c>
      <c r="C55" s="1022"/>
      <c r="D55" s="1043" t="str">
        <f>VLOOKUP($A55,'Pre-Assessment Estimator'!$A$10:$AA$226,D$2,FALSE)</f>
        <v>Hea 05</v>
      </c>
      <c r="E55" s="1044"/>
      <c r="F55" s="1043" t="str">
        <f>VLOOKUP($A55,'Pre-Assessment Estimator'!$A$10:$AA$226,F$2,FALSE)</f>
        <v>Hea 05 Acoustic performance</v>
      </c>
      <c r="G55" s="506">
        <f>VLOOKUP($A55,'Pre-Assessment Estimator'!$A$10:$AA$226,G$2,FALSE)</f>
        <v>3</v>
      </c>
      <c r="H55" s="512" t="str">
        <f>IF(VLOOKUP($A55,'Pre-Assessment Estimator'!$A$10:$AA$226,H$2,FALSE)=0,"",VLOOKUP($A55,'Pre-Assessment Estimator'!$A$10:$AA$226,H$2,FALSE))</f>
        <v/>
      </c>
      <c r="I55" s="1012" t="str">
        <f>VLOOKUP($A55,'Pre-Assessment Estimator'!$A$10:$AA$226,I$2,FALSE)</f>
        <v>0 c. 0 %</v>
      </c>
      <c r="J55" s="508" t="str">
        <f>VLOOKUP($A55,'Pre-Assessment Estimator'!$A$10:$AA$226,J$2,FALSE)</f>
        <v>N/A</v>
      </c>
      <c r="K55" s="509" t="str">
        <f>IF(VLOOKUP($A55,'Pre-Assessment Estimator'!$A$10:$AA$226,K$2,FALSE)=0,"",VLOOKUP($A55,'Pre-Assessment Estimator'!$A$10:$AA$226,K$2,FALSE))</f>
        <v/>
      </c>
      <c r="L55" s="509" t="str">
        <f>IF(VLOOKUP($A55,'Pre-Assessment Estimator'!$A$10:$AA$226,L$2,FALSE)=0,"",VLOOKUP($A55,'Pre-Assessment Estimator'!$A$10:$AA$226,L$2,FALSE))</f>
        <v/>
      </c>
      <c r="M55" s="510" t="str">
        <f>IF(VLOOKUP($A55,'Pre-Assessment Estimator'!$A$10:$AA$226,M$2,FALSE)=0,"",VLOOKUP($A55,'Pre-Assessment Estimator'!$A$10:$AA$226,M$2,FALSE))</f>
        <v/>
      </c>
      <c r="N55" s="511"/>
      <c r="O55" s="512" t="str">
        <f>IF(VLOOKUP($A55,'Pre-Assessment Estimator'!$A$10:$AA$226,O$2,FALSE)=0,"",VLOOKUP($A55,'Pre-Assessment Estimator'!$A$10:$AA$226,O$2,FALSE))</f>
        <v/>
      </c>
      <c r="P55" s="507" t="str">
        <f>VLOOKUP($A55,'Pre-Assessment Estimator'!$A$10:$AA$226,P$2,FALSE)</f>
        <v>0 c. 0 %</v>
      </c>
      <c r="Q55" s="506" t="str">
        <f>VLOOKUP($A55,'Pre-Assessment Estimator'!$A$10:$AA$226,Q$2,FALSE)</f>
        <v>N/A</v>
      </c>
      <c r="R55" s="509" t="str">
        <f>IF(VLOOKUP($A55,'Pre-Assessment Estimator'!$A$10:$AA$226,R$2,FALSE)=0,"",VLOOKUP($A55,'Pre-Assessment Estimator'!$A$10:$AA$226,R$2,FALSE))</f>
        <v/>
      </c>
      <c r="S55" s="509" t="str">
        <f>IF(VLOOKUP($A55,'Pre-Assessment Estimator'!$A$10:$AA$226,S$2,FALSE)=0,"",VLOOKUP($A55,'Pre-Assessment Estimator'!$A$10:$AA$226,S$2,FALSE))</f>
        <v/>
      </c>
      <c r="T55" s="510" t="str">
        <f>IF(VLOOKUP($A55,'Pre-Assessment Estimator'!$A$10:$AA$226,T$2,FALSE)=0,"",VLOOKUP($A55,'Pre-Assessment Estimator'!$A$10:$AA$226,T$2,FALSE))</f>
        <v/>
      </c>
      <c r="U55" s="513"/>
      <c r="V55" s="512" t="str">
        <f>IF(VLOOKUP($A55,'Pre-Assessment Estimator'!$A$10:$AA$226,V$2,FALSE)=0,"",VLOOKUP($A55,'Pre-Assessment Estimator'!$A$10:$AA$226,V$2,FALSE))</f>
        <v/>
      </c>
      <c r="W55" s="507" t="str">
        <f>VLOOKUP($A55,'Pre-Assessment Estimator'!$A$10:$AA$226,W$2,FALSE)</f>
        <v>0 c. 0 %</v>
      </c>
      <c r="X55" s="506" t="str">
        <f>VLOOKUP($A55,'Pre-Assessment Estimator'!$A$10:$AA$226,X$2,FALSE)</f>
        <v>N/A</v>
      </c>
      <c r="Y55" s="509" t="str">
        <f>IF(VLOOKUP($A55,'Pre-Assessment Estimator'!$A$10:$AA$226,Y$2,FALSE)=0,"",VLOOKUP($A55,'Pre-Assessment Estimator'!$A$10:$AA$226,Y$2,FALSE))</f>
        <v/>
      </c>
      <c r="Z55" s="509" t="str">
        <f>IF(VLOOKUP($A55,'Pre-Assessment Estimator'!$A$10:$AA$226,Z$2,FALSE)=0,"",VLOOKUP($A55,'Pre-Assessment Estimator'!$A$10:$AA$226,Z$2,FALSE))</f>
        <v/>
      </c>
      <c r="AA55" s="322" t="str">
        <f>IF(VLOOKUP($A55,'Pre-Assessment Estimator'!$A$10:$AA$226,AA$2,FALSE)=0,"",VLOOKUP($A55,'Pre-Assessment Estimator'!$A$10:$AA$226,AA$2,FALSE))</f>
        <v/>
      </c>
      <c r="AB55" s="605">
        <v>45</v>
      </c>
      <c r="AC55" s="509"/>
      <c r="AG55" s="15">
        <f t="shared" si="0"/>
        <v>1</v>
      </c>
      <c r="AO55" s="15"/>
      <c r="AP55" s="15"/>
      <c r="AQ55" s="15"/>
    </row>
    <row r="56" spans="1:43" x14ac:dyDescent="0.25">
      <c r="A56" s="716">
        <v>47</v>
      </c>
      <c r="B56" s="1022" t="s">
        <v>64</v>
      </c>
      <c r="C56" s="1022"/>
      <c r="D56" s="1044" t="str">
        <f>VLOOKUP($A56,'Pre-Assessment Estimator'!$A$10:$AA$226,D$2,FALSE)</f>
        <v>Hea 05</v>
      </c>
      <c r="E56" s="1044">
        <f>VLOOKUP($A56,'Pre-Assessment Estimator'!$A$10:$AA$226,E$2,FALSE)</f>
        <v>1</v>
      </c>
      <c r="F56" s="1045" t="str">
        <f>VLOOKUP($A56,'Pre-Assessment Estimator'!$A$10:$AA$226,F$2,FALSE)</f>
        <v xml:space="preserve">Pre-requisite: suitably qualified acoustician </v>
      </c>
      <c r="G56" s="506" t="str">
        <f>VLOOKUP($A56,'Pre-Assessment Estimator'!$A$10:$AA$226,G$2,FALSE)</f>
        <v>Yes/No</v>
      </c>
      <c r="H56" s="512" t="str">
        <f>IF(VLOOKUP($A56,'Pre-Assessment Estimator'!$A$10:$AA$226,H$2,FALSE)=0,"",VLOOKUP($A56,'Pre-Assessment Estimator'!$A$10:$AA$226,H$2,FALSE))</f>
        <v/>
      </c>
      <c r="I56" s="1012" t="str">
        <f>VLOOKUP($A56,'Pre-Assessment Estimator'!$A$10:$AA$226,I$2,FALSE)</f>
        <v>-</v>
      </c>
      <c r="J56" s="508" t="str">
        <f>VLOOKUP($A56,'Pre-Assessment Estimator'!$A$10:$AA$226,J$2,FALSE)</f>
        <v>N/A</v>
      </c>
      <c r="K56" s="509" t="str">
        <f>IF(VLOOKUP($A56,'Pre-Assessment Estimator'!$A$10:$AA$226,K$2,FALSE)=0,"",VLOOKUP($A56,'Pre-Assessment Estimator'!$A$10:$AA$226,K$2,FALSE))</f>
        <v/>
      </c>
      <c r="L56" s="509" t="str">
        <f>IF(VLOOKUP($A56,'Pre-Assessment Estimator'!$A$10:$AA$226,L$2,FALSE)=0,"",VLOOKUP($A56,'Pre-Assessment Estimator'!$A$10:$AA$226,L$2,FALSE))</f>
        <v/>
      </c>
      <c r="M56" s="510" t="str">
        <f>IF(VLOOKUP($A56,'Pre-Assessment Estimator'!$A$10:$AA$226,M$2,FALSE)=0,"",VLOOKUP($A56,'Pre-Assessment Estimator'!$A$10:$AA$226,M$2,FALSE))</f>
        <v/>
      </c>
      <c r="N56" s="511"/>
      <c r="O56" s="512" t="str">
        <f>IF(VLOOKUP($A56,'Pre-Assessment Estimator'!$A$10:$AA$226,O$2,FALSE)=0,"",VLOOKUP($A56,'Pre-Assessment Estimator'!$A$10:$AA$226,O$2,FALSE))</f>
        <v/>
      </c>
      <c r="P56" s="507" t="str">
        <f>VLOOKUP($A56,'Pre-Assessment Estimator'!$A$10:$AA$226,P$2,FALSE)</f>
        <v>-</v>
      </c>
      <c r="Q56" s="506" t="str">
        <f>VLOOKUP($A56,'Pre-Assessment Estimator'!$A$10:$AA$226,Q$2,FALSE)</f>
        <v>N/A</v>
      </c>
      <c r="R56" s="509" t="str">
        <f>IF(VLOOKUP($A56,'Pre-Assessment Estimator'!$A$10:$AA$226,R$2,FALSE)=0,"",VLOOKUP($A56,'Pre-Assessment Estimator'!$A$10:$AA$226,R$2,FALSE))</f>
        <v/>
      </c>
      <c r="S56" s="509" t="str">
        <f>IF(VLOOKUP($A56,'Pre-Assessment Estimator'!$A$10:$AA$226,S$2,FALSE)=0,"",VLOOKUP($A56,'Pre-Assessment Estimator'!$A$10:$AA$226,S$2,FALSE))</f>
        <v/>
      </c>
      <c r="T56" s="510" t="str">
        <f>IF(VLOOKUP($A56,'Pre-Assessment Estimator'!$A$10:$AA$226,T$2,FALSE)=0,"",VLOOKUP($A56,'Pre-Assessment Estimator'!$A$10:$AA$226,T$2,FALSE))</f>
        <v/>
      </c>
      <c r="U56" s="513"/>
      <c r="V56" s="512" t="str">
        <f>IF(VLOOKUP($A56,'Pre-Assessment Estimator'!$A$10:$AA$226,V$2,FALSE)=0,"",VLOOKUP($A56,'Pre-Assessment Estimator'!$A$10:$AA$226,V$2,FALSE))</f>
        <v/>
      </c>
      <c r="W56" s="507" t="str">
        <f>VLOOKUP($A56,'Pre-Assessment Estimator'!$A$10:$AA$226,W$2,FALSE)</f>
        <v>-</v>
      </c>
      <c r="X56" s="506" t="str">
        <f>VLOOKUP($A56,'Pre-Assessment Estimator'!$A$10:$AA$226,X$2,FALSE)</f>
        <v>N/A</v>
      </c>
      <c r="Y56" s="509" t="str">
        <f>IF(VLOOKUP($A56,'Pre-Assessment Estimator'!$A$10:$AA$226,Y$2,FALSE)=0,"",VLOOKUP($A56,'Pre-Assessment Estimator'!$A$10:$AA$226,Y$2,FALSE))</f>
        <v/>
      </c>
      <c r="Z56" s="509" t="str">
        <f>IF(VLOOKUP($A56,'Pre-Assessment Estimator'!$A$10:$AA$226,Z$2,FALSE)=0,"",VLOOKUP($A56,'Pre-Assessment Estimator'!$A$10:$AA$226,Z$2,FALSE))</f>
        <v/>
      </c>
      <c r="AA56" s="322" t="str">
        <f>IF(VLOOKUP($A56,'Pre-Assessment Estimator'!$A$10:$AA$226,AA$2,FALSE)=0,"",VLOOKUP($A56,'Pre-Assessment Estimator'!$A$10:$AA$226,AA$2,FALSE))</f>
        <v/>
      </c>
      <c r="AB56" s="605">
        <v>46</v>
      </c>
      <c r="AC56" s="509"/>
      <c r="AG56" s="15">
        <f t="shared" si="0"/>
        <v>1</v>
      </c>
      <c r="AO56" s="15"/>
      <c r="AP56" s="15"/>
      <c r="AQ56" s="15"/>
    </row>
    <row r="57" spans="1:43" x14ac:dyDescent="0.25">
      <c r="A57" s="716">
        <v>48</v>
      </c>
      <c r="B57" s="1022" t="s">
        <v>64</v>
      </c>
      <c r="C57" s="1022"/>
      <c r="D57" s="1044" t="str">
        <f>VLOOKUP($A57,'Pre-Assessment Estimator'!$A$10:$AA$226,D$2,FALSE)</f>
        <v>Hea 05</v>
      </c>
      <c r="E57" s="1044" t="str">
        <f>VLOOKUP($A57,'Pre-Assessment Estimator'!$A$10:$AA$226,E$2,FALSE)</f>
        <v>2-3</v>
      </c>
      <c r="F57" s="1045" t="str">
        <f>VLOOKUP($A57,'Pre-Assessment Estimator'!$A$10:$AA$226,F$2,FALSE)</f>
        <v xml:space="preserve">Sound class requirements </v>
      </c>
      <c r="G57" s="506">
        <f>VLOOKUP($A57,'Pre-Assessment Estimator'!$A$10:$AA$226,G$2,FALSE)</f>
        <v>3</v>
      </c>
      <c r="H57" s="512" t="str">
        <f>IF(VLOOKUP($A57,'Pre-Assessment Estimator'!$A$10:$AA$226,H$2,FALSE)=0,"",VLOOKUP($A57,'Pre-Assessment Estimator'!$A$10:$AA$226,H$2,FALSE))</f>
        <v/>
      </c>
      <c r="I57" s="1012">
        <f>VLOOKUP($A57,'Pre-Assessment Estimator'!$A$10:$AA$226,I$2,FALSE)</f>
        <v>0</v>
      </c>
      <c r="J57" s="508" t="str">
        <f>VLOOKUP($A57,'Pre-Assessment Estimator'!$A$10:$AA$226,J$2,FALSE)</f>
        <v>N/A</v>
      </c>
      <c r="K57" s="509" t="str">
        <f>IF(VLOOKUP($A57,'Pre-Assessment Estimator'!$A$10:$AA$226,K$2,FALSE)=0,"",VLOOKUP($A57,'Pre-Assessment Estimator'!$A$10:$AA$226,K$2,FALSE))</f>
        <v/>
      </c>
      <c r="L57" s="509" t="str">
        <f>IF(VLOOKUP($A57,'Pre-Assessment Estimator'!$A$10:$AA$226,L$2,FALSE)=0,"",VLOOKUP($A57,'Pre-Assessment Estimator'!$A$10:$AA$226,L$2,FALSE))</f>
        <v/>
      </c>
      <c r="M57" s="510" t="str">
        <f>IF(VLOOKUP($A57,'Pre-Assessment Estimator'!$A$10:$AA$226,M$2,FALSE)=0,"",VLOOKUP($A57,'Pre-Assessment Estimator'!$A$10:$AA$226,M$2,FALSE))</f>
        <v/>
      </c>
      <c r="N57" s="511"/>
      <c r="O57" s="512" t="str">
        <f>IF(VLOOKUP($A57,'Pre-Assessment Estimator'!$A$10:$AA$226,O$2,FALSE)=0,"",VLOOKUP($A57,'Pre-Assessment Estimator'!$A$10:$AA$226,O$2,FALSE))</f>
        <v/>
      </c>
      <c r="P57" s="507">
        <f>VLOOKUP($A57,'Pre-Assessment Estimator'!$A$10:$AA$226,P$2,FALSE)</f>
        <v>0</v>
      </c>
      <c r="Q57" s="506" t="str">
        <f>VLOOKUP($A57,'Pre-Assessment Estimator'!$A$10:$AA$226,Q$2,FALSE)</f>
        <v>N/A</v>
      </c>
      <c r="R57" s="509" t="str">
        <f>IF(VLOOKUP($A57,'Pre-Assessment Estimator'!$A$10:$AA$226,R$2,FALSE)=0,"",VLOOKUP($A57,'Pre-Assessment Estimator'!$A$10:$AA$226,R$2,FALSE))</f>
        <v/>
      </c>
      <c r="S57" s="509" t="str">
        <f>IF(VLOOKUP($A57,'Pre-Assessment Estimator'!$A$10:$AA$226,S$2,FALSE)=0,"",VLOOKUP($A57,'Pre-Assessment Estimator'!$A$10:$AA$226,S$2,FALSE))</f>
        <v/>
      </c>
      <c r="T57" s="510" t="str">
        <f>IF(VLOOKUP($A57,'Pre-Assessment Estimator'!$A$10:$AA$226,T$2,FALSE)=0,"",VLOOKUP($A57,'Pre-Assessment Estimator'!$A$10:$AA$226,T$2,FALSE))</f>
        <v/>
      </c>
      <c r="U57" s="513"/>
      <c r="V57" s="512" t="str">
        <f>IF(VLOOKUP($A57,'Pre-Assessment Estimator'!$A$10:$AA$226,V$2,FALSE)=0,"",VLOOKUP($A57,'Pre-Assessment Estimator'!$A$10:$AA$226,V$2,FALSE))</f>
        <v/>
      </c>
      <c r="W57" s="507">
        <f>VLOOKUP($A57,'Pre-Assessment Estimator'!$A$10:$AA$226,W$2,FALSE)</f>
        <v>0</v>
      </c>
      <c r="X57" s="506" t="str">
        <f>VLOOKUP($A57,'Pre-Assessment Estimator'!$A$10:$AA$226,X$2,FALSE)</f>
        <v>N/A</v>
      </c>
      <c r="Y57" s="509" t="str">
        <f>IF(VLOOKUP($A57,'Pre-Assessment Estimator'!$A$10:$AA$226,Y$2,FALSE)=0,"",VLOOKUP($A57,'Pre-Assessment Estimator'!$A$10:$AA$226,Y$2,FALSE))</f>
        <v/>
      </c>
      <c r="Z57" s="509" t="str">
        <f>IF(VLOOKUP($A57,'Pre-Assessment Estimator'!$A$10:$AA$226,Z$2,FALSE)=0,"",VLOOKUP($A57,'Pre-Assessment Estimator'!$A$10:$AA$226,Z$2,FALSE))</f>
        <v/>
      </c>
      <c r="AA57" s="322" t="str">
        <f>IF(VLOOKUP($A57,'Pre-Assessment Estimator'!$A$10:$AA$226,AA$2,FALSE)=0,"",VLOOKUP($A57,'Pre-Assessment Estimator'!$A$10:$AA$226,AA$2,FALSE))</f>
        <v/>
      </c>
      <c r="AB57" s="605">
        <v>47</v>
      </c>
      <c r="AC57" s="509"/>
      <c r="AG57" s="15">
        <f t="shared" si="0"/>
        <v>1</v>
      </c>
      <c r="AO57" s="15"/>
      <c r="AP57" s="15"/>
      <c r="AQ57" s="15"/>
    </row>
    <row r="58" spans="1:43" x14ac:dyDescent="0.25">
      <c r="A58" s="716">
        <v>49</v>
      </c>
      <c r="B58" s="1022" t="s">
        <v>64</v>
      </c>
      <c r="C58" s="1022"/>
      <c r="D58" s="1043" t="str">
        <f>VLOOKUP($A58,'Pre-Assessment Estimator'!$A$10:$AA$226,D$2,FALSE)</f>
        <v>Hea 06</v>
      </c>
      <c r="E58" s="1044"/>
      <c r="F58" s="1043" t="str">
        <f>VLOOKUP($A58,'Pre-Assessment Estimator'!$A$10:$AA$226,F$2,FALSE)</f>
        <v>Hea 06 Safe access</v>
      </c>
      <c r="G58" s="506">
        <f>VLOOKUP($A58,'Pre-Assessment Estimator'!$A$10:$AA$226,G$2,FALSE)</f>
        <v>2</v>
      </c>
      <c r="H58" s="512" t="str">
        <f>IF(VLOOKUP($A58,'Pre-Assessment Estimator'!$A$10:$AA$226,H$2,FALSE)=0,"",VLOOKUP($A58,'Pre-Assessment Estimator'!$A$10:$AA$226,H$2,FALSE))</f>
        <v/>
      </c>
      <c r="I58" s="1012" t="str">
        <f>VLOOKUP($A58,'Pre-Assessment Estimator'!$A$10:$AA$226,I$2,FALSE)</f>
        <v>0 c. 0 %</v>
      </c>
      <c r="J58" s="508" t="str">
        <f>VLOOKUP($A58,'Pre-Assessment Estimator'!$A$10:$AA$226,J$2,FALSE)</f>
        <v>N/A</v>
      </c>
      <c r="K58" s="509" t="str">
        <f>IF(VLOOKUP($A58,'Pre-Assessment Estimator'!$A$10:$AA$226,K$2,FALSE)=0,"",VLOOKUP($A58,'Pre-Assessment Estimator'!$A$10:$AA$226,K$2,FALSE))</f>
        <v/>
      </c>
      <c r="L58" s="509" t="str">
        <f>IF(VLOOKUP($A58,'Pre-Assessment Estimator'!$A$10:$AA$226,L$2,FALSE)=0,"",VLOOKUP($A58,'Pre-Assessment Estimator'!$A$10:$AA$226,L$2,FALSE))</f>
        <v/>
      </c>
      <c r="M58" s="510" t="str">
        <f>IF(VLOOKUP($A58,'Pre-Assessment Estimator'!$A$10:$AA$226,M$2,FALSE)=0,"",VLOOKUP($A58,'Pre-Assessment Estimator'!$A$10:$AA$226,M$2,FALSE))</f>
        <v/>
      </c>
      <c r="N58" s="511"/>
      <c r="O58" s="512" t="str">
        <f>IF(VLOOKUP($A58,'Pre-Assessment Estimator'!$A$10:$AA$226,O$2,FALSE)=0,"",VLOOKUP($A58,'Pre-Assessment Estimator'!$A$10:$AA$226,O$2,FALSE))</f>
        <v/>
      </c>
      <c r="P58" s="507" t="str">
        <f>VLOOKUP($A58,'Pre-Assessment Estimator'!$A$10:$AA$226,P$2,FALSE)</f>
        <v>0 c. 0 %</v>
      </c>
      <c r="Q58" s="506" t="str">
        <f>VLOOKUP($A58,'Pre-Assessment Estimator'!$A$10:$AA$226,Q$2,FALSE)</f>
        <v>N/A</v>
      </c>
      <c r="R58" s="509" t="str">
        <f>IF(VLOOKUP($A58,'Pre-Assessment Estimator'!$A$10:$AA$226,R$2,FALSE)=0,"",VLOOKUP($A58,'Pre-Assessment Estimator'!$A$10:$AA$226,R$2,FALSE))</f>
        <v/>
      </c>
      <c r="S58" s="509" t="str">
        <f>IF(VLOOKUP($A58,'Pre-Assessment Estimator'!$A$10:$AA$226,S$2,FALSE)=0,"",VLOOKUP($A58,'Pre-Assessment Estimator'!$A$10:$AA$226,S$2,FALSE))</f>
        <v/>
      </c>
      <c r="T58" s="510" t="str">
        <f>IF(VLOOKUP($A58,'Pre-Assessment Estimator'!$A$10:$AA$226,T$2,FALSE)=0,"",VLOOKUP($A58,'Pre-Assessment Estimator'!$A$10:$AA$226,T$2,FALSE))</f>
        <v/>
      </c>
      <c r="U58" s="513"/>
      <c r="V58" s="512" t="str">
        <f>IF(VLOOKUP($A58,'Pre-Assessment Estimator'!$A$10:$AA$226,V$2,FALSE)=0,"",VLOOKUP($A58,'Pre-Assessment Estimator'!$A$10:$AA$226,V$2,FALSE))</f>
        <v/>
      </c>
      <c r="W58" s="507" t="str">
        <f>VLOOKUP($A58,'Pre-Assessment Estimator'!$A$10:$AA$226,W$2,FALSE)</f>
        <v>0 c. 0 %</v>
      </c>
      <c r="X58" s="506" t="str">
        <f>VLOOKUP($A58,'Pre-Assessment Estimator'!$A$10:$AA$226,X$2,FALSE)</f>
        <v>N/A</v>
      </c>
      <c r="Y58" s="509" t="str">
        <f>IF(VLOOKUP($A58,'Pre-Assessment Estimator'!$A$10:$AA$226,Y$2,FALSE)=0,"",VLOOKUP($A58,'Pre-Assessment Estimator'!$A$10:$AA$226,Y$2,FALSE))</f>
        <v/>
      </c>
      <c r="Z58" s="509" t="str">
        <f>IF(VLOOKUP($A58,'Pre-Assessment Estimator'!$A$10:$AA$226,Z$2,FALSE)=0,"",VLOOKUP($A58,'Pre-Assessment Estimator'!$A$10:$AA$226,Z$2,FALSE))</f>
        <v/>
      </c>
      <c r="AA58" s="322" t="str">
        <f>IF(VLOOKUP($A58,'Pre-Assessment Estimator'!$A$10:$AA$226,AA$2,FALSE)=0,"",VLOOKUP($A58,'Pre-Assessment Estimator'!$A$10:$AA$226,AA$2,FALSE))</f>
        <v/>
      </c>
      <c r="AB58" s="605">
        <v>48</v>
      </c>
      <c r="AC58" s="509"/>
      <c r="AG58" s="15">
        <f t="shared" si="0"/>
        <v>1</v>
      </c>
      <c r="AO58" s="15"/>
      <c r="AP58" s="15"/>
      <c r="AQ58" s="15"/>
    </row>
    <row r="59" spans="1:43" x14ac:dyDescent="0.25">
      <c r="A59" s="716">
        <v>50</v>
      </c>
      <c r="B59" s="1022" t="s">
        <v>64</v>
      </c>
      <c r="C59" s="1022"/>
      <c r="D59" s="1044" t="str">
        <f>VLOOKUP($A59,'Pre-Assessment Estimator'!$A$10:$AA$226,D$2,FALSE)</f>
        <v>Hea 06</v>
      </c>
      <c r="E59" s="1044" t="str">
        <f>VLOOKUP($A59,'Pre-Assessment Estimator'!$A$10:$AA$226,E$2,FALSE)</f>
        <v>1-5</v>
      </c>
      <c r="F59" s="1045" t="str">
        <f>VLOOKUP($A59,'Pre-Assessment Estimator'!$A$10:$AA$226,F$2,FALSE)</f>
        <v xml:space="preserve">Inclusive design </v>
      </c>
      <c r="G59" s="506">
        <f>VLOOKUP($A59,'Pre-Assessment Estimator'!$A$10:$AA$226,G$2,FALSE)</f>
        <v>1</v>
      </c>
      <c r="H59" s="512" t="str">
        <f>IF(VLOOKUP($A59,'Pre-Assessment Estimator'!$A$10:$AA$226,H$2,FALSE)=0,"",VLOOKUP($A59,'Pre-Assessment Estimator'!$A$10:$AA$226,H$2,FALSE))</f>
        <v/>
      </c>
      <c r="I59" s="1012">
        <f>VLOOKUP($A59,'Pre-Assessment Estimator'!$A$10:$AA$226,I$2,FALSE)</f>
        <v>0</v>
      </c>
      <c r="J59" s="508" t="str">
        <f>VLOOKUP($A59,'Pre-Assessment Estimator'!$A$10:$AA$226,J$2,FALSE)</f>
        <v>N/A</v>
      </c>
      <c r="K59" s="509" t="str">
        <f>IF(VLOOKUP($A59,'Pre-Assessment Estimator'!$A$10:$AA$226,K$2,FALSE)=0,"",VLOOKUP($A59,'Pre-Assessment Estimator'!$A$10:$AA$226,K$2,FALSE))</f>
        <v/>
      </c>
      <c r="L59" s="509" t="str">
        <f>IF(VLOOKUP($A59,'Pre-Assessment Estimator'!$A$10:$AA$226,L$2,FALSE)=0,"",VLOOKUP($A59,'Pre-Assessment Estimator'!$A$10:$AA$226,L$2,FALSE))</f>
        <v/>
      </c>
      <c r="M59" s="510" t="str">
        <f>IF(VLOOKUP($A59,'Pre-Assessment Estimator'!$A$10:$AA$226,M$2,FALSE)=0,"",VLOOKUP($A59,'Pre-Assessment Estimator'!$A$10:$AA$226,M$2,FALSE))</f>
        <v/>
      </c>
      <c r="N59" s="511"/>
      <c r="O59" s="512" t="str">
        <f>IF(VLOOKUP($A59,'Pre-Assessment Estimator'!$A$10:$AA$226,O$2,FALSE)=0,"",VLOOKUP($A59,'Pre-Assessment Estimator'!$A$10:$AA$226,O$2,FALSE))</f>
        <v/>
      </c>
      <c r="P59" s="507">
        <f>VLOOKUP($A59,'Pre-Assessment Estimator'!$A$10:$AA$226,P$2,FALSE)</f>
        <v>0</v>
      </c>
      <c r="Q59" s="506" t="str">
        <f>VLOOKUP($A59,'Pre-Assessment Estimator'!$A$10:$AA$226,Q$2,FALSE)</f>
        <v>N/A</v>
      </c>
      <c r="R59" s="509" t="str">
        <f>IF(VLOOKUP($A59,'Pre-Assessment Estimator'!$A$10:$AA$226,R$2,FALSE)=0,"",VLOOKUP($A59,'Pre-Assessment Estimator'!$A$10:$AA$226,R$2,FALSE))</f>
        <v/>
      </c>
      <c r="S59" s="509" t="str">
        <f>IF(VLOOKUP($A59,'Pre-Assessment Estimator'!$A$10:$AA$226,S$2,FALSE)=0,"",VLOOKUP($A59,'Pre-Assessment Estimator'!$A$10:$AA$226,S$2,FALSE))</f>
        <v/>
      </c>
      <c r="T59" s="510" t="str">
        <f>IF(VLOOKUP($A59,'Pre-Assessment Estimator'!$A$10:$AA$226,T$2,FALSE)=0,"",VLOOKUP($A59,'Pre-Assessment Estimator'!$A$10:$AA$226,T$2,FALSE))</f>
        <v/>
      </c>
      <c r="U59" s="513"/>
      <c r="V59" s="512" t="str">
        <f>IF(VLOOKUP($A59,'Pre-Assessment Estimator'!$A$10:$AA$226,V$2,FALSE)=0,"",VLOOKUP($A59,'Pre-Assessment Estimator'!$A$10:$AA$226,V$2,FALSE))</f>
        <v/>
      </c>
      <c r="W59" s="507">
        <f>VLOOKUP($A59,'Pre-Assessment Estimator'!$A$10:$AA$226,W$2,FALSE)</f>
        <v>0</v>
      </c>
      <c r="X59" s="506" t="str">
        <f>VLOOKUP($A59,'Pre-Assessment Estimator'!$A$10:$AA$226,X$2,FALSE)</f>
        <v>N/A</v>
      </c>
      <c r="Y59" s="509" t="str">
        <f>IF(VLOOKUP($A59,'Pre-Assessment Estimator'!$A$10:$AA$226,Y$2,FALSE)=0,"",VLOOKUP($A59,'Pre-Assessment Estimator'!$A$10:$AA$226,Y$2,FALSE))</f>
        <v/>
      </c>
      <c r="Z59" s="509" t="str">
        <f>IF(VLOOKUP($A59,'Pre-Assessment Estimator'!$A$10:$AA$226,Z$2,FALSE)=0,"",VLOOKUP($A59,'Pre-Assessment Estimator'!$A$10:$AA$226,Z$2,FALSE))</f>
        <v/>
      </c>
      <c r="AA59" s="322" t="str">
        <f>IF(VLOOKUP($A59,'Pre-Assessment Estimator'!$A$10:$AA$226,AA$2,FALSE)=0,"",VLOOKUP($A59,'Pre-Assessment Estimator'!$A$10:$AA$226,AA$2,FALSE))</f>
        <v/>
      </c>
      <c r="AB59" s="605">
        <v>49</v>
      </c>
      <c r="AC59" s="509"/>
      <c r="AG59" s="15">
        <f t="shared" si="0"/>
        <v>1</v>
      </c>
      <c r="AO59" s="15"/>
      <c r="AP59" s="15"/>
      <c r="AQ59" s="15"/>
    </row>
    <row r="60" spans="1:43" x14ac:dyDescent="0.25">
      <c r="A60" s="716">
        <v>51</v>
      </c>
      <c r="B60" s="1022" t="s">
        <v>64</v>
      </c>
      <c r="C60" s="1022"/>
      <c r="D60" s="1044" t="str">
        <f>VLOOKUP($A60,'Pre-Assessment Estimator'!$A$10:$AA$226,D$2,FALSE)</f>
        <v>Hea 06</v>
      </c>
      <c r="E60" s="1044" t="str">
        <f>VLOOKUP($A60,'Pre-Assessment Estimator'!$A$10:$AA$226,E$2,FALSE)</f>
        <v>6-7</v>
      </c>
      <c r="F60" s="1045" t="str">
        <f>VLOOKUP($A60,'Pre-Assessment Estimator'!$A$10:$AA$226,F$2,FALSE)</f>
        <v xml:space="preserve">Biofilik design </v>
      </c>
      <c r="G60" s="506">
        <f>VLOOKUP($A60,'Pre-Assessment Estimator'!$A$10:$AA$226,G$2,FALSE)</f>
        <v>1</v>
      </c>
      <c r="H60" s="512" t="str">
        <f>IF(VLOOKUP($A60,'Pre-Assessment Estimator'!$A$10:$AA$226,H$2,FALSE)=0,"",VLOOKUP($A60,'Pre-Assessment Estimator'!$A$10:$AA$226,H$2,FALSE))</f>
        <v/>
      </c>
      <c r="I60" s="1012">
        <f>VLOOKUP($A60,'Pre-Assessment Estimator'!$A$10:$AA$226,I$2,FALSE)</f>
        <v>0</v>
      </c>
      <c r="J60" s="508" t="str">
        <f>VLOOKUP($A60,'Pre-Assessment Estimator'!$A$10:$AA$226,J$2,FALSE)</f>
        <v>N/A</v>
      </c>
      <c r="K60" s="509" t="str">
        <f>IF(VLOOKUP($A60,'Pre-Assessment Estimator'!$A$10:$AA$226,K$2,FALSE)=0,"",VLOOKUP($A60,'Pre-Assessment Estimator'!$A$10:$AA$226,K$2,FALSE))</f>
        <v/>
      </c>
      <c r="L60" s="509" t="str">
        <f>IF(VLOOKUP($A60,'Pre-Assessment Estimator'!$A$10:$AA$226,L$2,FALSE)=0,"",VLOOKUP($A60,'Pre-Assessment Estimator'!$A$10:$AA$226,L$2,FALSE))</f>
        <v/>
      </c>
      <c r="M60" s="510" t="str">
        <f>IF(VLOOKUP($A60,'Pre-Assessment Estimator'!$A$10:$AA$226,M$2,FALSE)=0,"",VLOOKUP($A60,'Pre-Assessment Estimator'!$A$10:$AA$226,M$2,FALSE))</f>
        <v/>
      </c>
      <c r="N60" s="511"/>
      <c r="O60" s="512" t="str">
        <f>IF(VLOOKUP($A60,'Pre-Assessment Estimator'!$A$10:$AA$226,O$2,FALSE)=0,"",VLOOKUP($A60,'Pre-Assessment Estimator'!$A$10:$AA$226,O$2,FALSE))</f>
        <v/>
      </c>
      <c r="P60" s="507">
        <f>VLOOKUP($A60,'Pre-Assessment Estimator'!$A$10:$AA$226,P$2,FALSE)</f>
        <v>0</v>
      </c>
      <c r="Q60" s="506" t="str">
        <f>VLOOKUP($A60,'Pre-Assessment Estimator'!$A$10:$AA$226,Q$2,FALSE)</f>
        <v>N/A</v>
      </c>
      <c r="R60" s="509" t="str">
        <f>IF(VLOOKUP($A60,'Pre-Assessment Estimator'!$A$10:$AA$226,R$2,FALSE)=0,"",VLOOKUP($A60,'Pre-Assessment Estimator'!$A$10:$AA$226,R$2,FALSE))</f>
        <v/>
      </c>
      <c r="S60" s="509" t="str">
        <f>IF(VLOOKUP($A60,'Pre-Assessment Estimator'!$A$10:$AA$226,S$2,FALSE)=0,"",VLOOKUP($A60,'Pre-Assessment Estimator'!$A$10:$AA$226,S$2,FALSE))</f>
        <v/>
      </c>
      <c r="T60" s="510" t="str">
        <f>IF(VLOOKUP($A60,'Pre-Assessment Estimator'!$A$10:$AA$226,T$2,FALSE)=0,"",VLOOKUP($A60,'Pre-Assessment Estimator'!$A$10:$AA$226,T$2,FALSE))</f>
        <v/>
      </c>
      <c r="U60" s="513"/>
      <c r="V60" s="512" t="str">
        <f>IF(VLOOKUP($A60,'Pre-Assessment Estimator'!$A$10:$AA$226,V$2,FALSE)=0,"",VLOOKUP($A60,'Pre-Assessment Estimator'!$A$10:$AA$226,V$2,FALSE))</f>
        <v/>
      </c>
      <c r="W60" s="507">
        <f>VLOOKUP($A60,'Pre-Assessment Estimator'!$A$10:$AA$226,W$2,FALSE)</f>
        <v>0</v>
      </c>
      <c r="X60" s="506" t="str">
        <f>VLOOKUP($A60,'Pre-Assessment Estimator'!$A$10:$AA$226,X$2,FALSE)</f>
        <v>N/A</v>
      </c>
      <c r="Y60" s="509" t="str">
        <f>IF(VLOOKUP($A60,'Pre-Assessment Estimator'!$A$10:$AA$226,Y$2,FALSE)=0,"",VLOOKUP($A60,'Pre-Assessment Estimator'!$A$10:$AA$226,Y$2,FALSE))</f>
        <v/>
      </c>
      <c r="Z60" s="509" t="str">
        <f>IF(VLOOKUP($A60,'Pre-Assessment Estimator'!$A$10:$AA$226,Z$2,FALSE)=0,"",VLOOKUP($A60,'Pre-Assessment Estimator'!$A$10:$AA$226,Z$2,FALSE))</f>
        <v/>
      </c>
      <c r="AA60" s="322" t="str">
        <f>IF(VLOOKUP($A60,'Pre-Assessment Estimator'!$A$10:$AA$226,AA$2,FALSE)=0,"",VLOOKUP($A60,'Pre-Assessment Estimator'!$A$10:$AA$226,AA$2,FALSE))</f>
        <v/>
      </c>
      <c r="AB60" s="605">
        <v>50</v>
      </c>
      <c r="AC60" s="509"/>
      <c r="AG60" s="15">
        <f t="shared" si="0"/>
        <v>1</v>
      </c>
      <c r="AO60" s="15"/>
      <c r="AP60" s="15"/>
      <c r="AQ60" s="15"/>
    </row>
    <row r="61" spans="1:43" x14ac:dyDescent="0.25">
      <c r="A61" s="716">
        <v>52</v>
      </c>
      <c r="B61" s="1022" t="s">
        <v>64</v>
      </c>
      <c r="C61" s="1022"/>
      <c r="D61" s="1043" t="str">
        <f>VLOOKUP($A61,'Pre-Assessment Estimator'!$A$10:$AA$226,D$2,FALSE)</f>
        <v>Hea 08</v>
      </c>
      <c r="E61" s="1044"/>
      <c r="F61" s="1043" t="str">
        <f>VLOOKUP($A61,'Pre-Assessment Estimator'!$A$10:$AA$226,F$2,FALSE)</f>
        <v>Hea 08 Private space</v>
      </c>
      <c r="G61" s="506">
        <f>VLOOKUP($A61,'Pre-Assessment Estimator'!$A$10:$AA$226,G$2,FALSE)</f>
        <v>0</v>
      </c>
      <c r="H61" s="512" t="str">
        <f>IF(VLOOKUP($A61,'Pre-Assessment Estimator'!$A$10:$AA$226,H$2,FALSE)=0,"",VLOOKUP($A61,'Pre-Assessment Estimator'!$A$10:$AA$226,H$2,FALSE))</f>
        <v/>
      </c>
      <c r="I61" s="1012" t="str">
        <f>VLOOKUP($A61,'Pre-Assessment Estimator'!$A$10:$AA$226,I$2,FALSE)</f>
        <v>0 c. 0 %</v>
      </c>
      <c r="J61" s="508" t="str">
        <f>VLOOKUP($A61,'Pre-Assessment Estimator'!$A$10:$AA$226,J$2,FALSE)</f>
        <v>N/A</v>
      </c>
      <c r="K61" s="509" t="str">
        <f>IF(VLOOKUP($A61,'Pre-Assessment Estimator'!$A$10:$AA$226,K$2,FALSE)=0,"",VLOOKUP($A61,'Pre-Assessment Estimator'!$A$10:$AA$226,K$2,FALSE))</f>
        <v/>
      </c>
      <c r="L61" s="509" t="str">
        <f>IF(VLOOKUP($A61,'Pre-Assessment Estimator'!$A$10:$AA$226,L$2,FALSE)=0,"",VLOOKUP($A61,'Pre-Assessment Estimator'!$A$10:$AA$226,L$2,FALSE))</f>
        <v/>
      </c>
      <c r="M61" s="510" t="str">
        <f>IF(VLOOKUP($A61,'Pre-Assessment Estimator'!$A$10:$AA$226,M$2,FALSE)=0,"",VLOOKUP($A61,'Pre-Assessment Estimator'!$A$10:$AA$226,M$2,FALSE))</f>
        <v/>
      </c>
      <c r="N61" s="511"/>
      <c r="O61" s="512" t="str">
        <f>IF(VLOOKUP($A61,'Pre-Assessment Estimator'!$A$10:$AA$226,O$2,FALSE)=0,"",VLOOKUP($A61,'Pre-Assessment Estimator'!$A$10:$AA$226,O$2,FALSE))</f>
        <v/>
      </c>
      <c r="P61" s="507" t="str">
        <f>VLOOKUP($A61,'Pre-Assessment Estimator'!$A$10:$AA$226,P$2,FALSE)</f>
        <v>0 c. 0 %</v>
      </c>
      <c r="Q61" s="506" t="str">
        <f>VLOOKUP($A61,'Pre-Assessment Estimator'!$A$10:$AA$226,Q$2,FALSE)</f>
        <v>N/A</v>
      </c>
      <c r="R61" s="509" t="str">
        <f>IF(VLOOKUP($A61,'Pre-Assessment Estimator'!$A$10:$AA$226,R$2,FALSE)=0,"",VLOOKUP($A61,'Pre-Assessment Estimator'!$A$10:$AA$226,R$2,FALSE))</f>
        <v/>
      </c>
      <c r="S61" s="509" t="str">
        <f>IF(VLOOKUP($A61,'Pre-Assessment Estimator'!$A$10:$AA$226,S$2,FALSE)=0,"",VLOOKUP($A61,'Pre-Assessment Estimator'!$A$10:$AA$226,S$2,FALSE))</f>
        <v/>
      </c>
      <c r="T61" s="510" t="str">
        <f>IF(VLOOKUP($A61,'Pre-Assessment Estimator'!$A$10:$AA$226,T$2,FALSE)=0,"",VLOOKUP($A61,'Pre-Assessment Estimator'!$A$10:$AA$226,T$2,FALSE))</f>
        <v/>
      </c>
      <c r="U61" s="513"/>
      <c r="V61" s="512" t="str">
        <f>IF(VLOOKUP($A61,'Pre-Assessment Estimator'!$A$10:$AA$226,V$2,FALSE)=0,"",VLOOKUP($A61,'Pre-Assessment Estimator'!$A$10:$AA$226,V$2,FALSE))</f>
        <v/>
      </c>
      <c r="W61" s="507" t="str">
        <f>VLOOKUP($A61,'Pre-Assessment Estimator'!$A$10:$AA$226,W$2,FALSE)</f>
        <v>0 c. 0 %</v>
      </c>
      <c r="X61" s="506" t="str">
        <f>VLOOKUP($A61,'Pre-Assessment Estimator'!$A$10:$AA$226,X$2,FALSE)</f>
        <v>N/A</v>
      </c>
      <c r="Y61" s="509" t="str">
        <f>IF(VLOOKUP($A61,'Pre-Assessment Estimator'!$A$10:$AA$226,Y$2,FALSE)=0,"",VLOOKUP($A61,'Pre-Assessment Estimator'!$A$10:$AA$226,Y$2,FALSE))</f>
        <v/>
      </c>
      <c r="Z61" s="509" t="str">
        <f>IF(VLOOKUP($A61,'Pre-Assessment Estimator'!$A$10:$AA$226,Z$2,FALSE)=0,"",VLOOKUP($A61,'Pre-Assessment Estimator'!$A$10:$AA$226,Z$2,FALSE))</f>
        <v/>
      </c>
      <c r="AA61" s="322" t="str">
        <f>IF(VLOOKUP($A61,'Pre-Assessment Estimator'!$A$10:$AA$226,AA$2,FALSE)=0,"",VLOOKUP($A61,'Pre-Assessment Estimator'!$A$10:$AA$226,AA$2,FALSE))</f>
        <v/>
      </c>
      <c r="AB61" s="605">
        <v>51</v>
      </c>
      <c r="AC61" s="509"/>
      <c r="AG61" s="15">
        <f t="shared" si="0"/>
        <v>2</v>
      </c>
      <c r="AO61" s="15"/>
      <c r="AP61" s="15"/>
      <c r="AQ61" s="15"/>
    </row>
    <row r="62" spans="1:43" x14ac:dyDescent="0.25">
      <c r="A62" s="716">
        <v>53</v>
      </c>
      <c r="B62" s="1022" t="s">
        <v>64</v>
      </c>
      <c r="C62" s="1022"/>
      <c r="D62" s="1044" t="str">
        <f>VLOOKUP($A62,'Pre-Assessment Estimator'!$A$10:$AA$226,D$2,FALSE)</f>
        <v>Hea 08</v>
      </c>
      <c r="E62" s="1044">
        <f>VLOOKUP($A62,'Pre-Assessment Estimator'!$A$10:$AA$226,E$2,FALSE)</f>
        <v>1</v>
      </c>
      <c r="F62" s="1045" t="str">
        <f>VLOOKUP($A62,'Pre-Assessment Estimator'!$A$10:$AA$226,F$2,FALSE)</f>
        <v xml:space="preserve">Private outdoor spaces </v>
      </c>
      <c r="G62" s="506">
        <f>VLOOKUP($A62,'Pre-Assessment Estimator'!$A$10:$AA$226,G$2,FALSE)</f>
        <v>0</v>
      </c>
      <c r="H62" s="512" t="str">
        <f>IF(VLOOKUP($A62,'Pre-Assessment Estimator'!$A$10:$AA$226,H$2,FALSE)=0,"",VLOOKUP($A62,'Pre-Assessment Estimator'!$A$10:$AA$226,H$2,FALSE))</f>
        <v/>
      </c>
      <c r="I62" s="1012">
        <f>VLOOKUP($A62,'Pre-Assessment Estimator'!$A$10:$AA$226,I$2,FALSE)</f>
        <v>0</v>
      </c>
      <c r="J62" s="508" t="str">
        <f>VLOOKUP($A62,'Pre-Assessment Estimator'!$A$10:$AA$226,J$2,FALSE)</f>
        <v>N/A</v>
      </c>
      <c r="K62" s="509" t="str">
        <f>IF(VLOOKUP($A62,'Pre-Assessment Estimator'!$A$10:$AA$226,K$2,FALSE)=0,"",VLOOKUP($A62,'Pre-Assessment Estimator'!$A$10:$AA$226,K$2,FALSE))</f>
        <v/>
      </c>
      <c r="L62" s="509" t="str">
        <f>IF(VLOOKUP($A62,'Pre-Assessment Estimator'!$A$10:$AA$226,L$2,FALSE)=0,"",VLOOKUP($A62,'Pre-Assessment Estimator'!$A$10:$AA$226,L$2,FALSE))</f>
        <v/>
      </c>
      <c r="M62" s="510" t="str">
        <f>IF(VLOOKUP($A62,'Pre-Assessment Estimator'!$A$10:$AA$226,M$2,FALSE)=0,"",VLOOKUP($A62,'Pre-Assessment Estimator'!$A$10:$AA$226,M$2,FALSE))</f>
        <v/>
      </c>
      <c r="N62" s="511"/>
      <c r="O62" s="512" t="str">
        <f>IF(VLOOKUP($A62,'Pre-Assessment Estimator'!$A$10:$AA$226,O$2,FALSE)=0,"",VLOOKUP($A62,'Pre-Assessment Estimator'!$A$10:$AA$226,O$2,FALSE))</f>
        <v/>
      </c>
      <c r="P62" s="507">
        <f>VLOOKUP($A62,'Pre-Assessment Estimator'!$A$10:$AA$226,P$2,FALSE)</f>
        <v>0</v>
      </c>
      <c r="Q62" s="506" t="str">
        <f>VLOOKUP($A62,'Pre-Assessment Estimator'!$A$10:$AA$226,Q$2,FALSE)</f>
        <v>N/A</v>
      </c>
      <c r="R62" s="509" t="str">
        <f>IF(VLOOKUP($A62,'Pre-Assessment Estimator'!$A$10:$AA$226,R$2,FALSE)=0,"",VLOOKUP($A62,'Pre-Assessment Estimator'!$A$10:$AA$226,R$2,FALSE))</f>
        <v/>
      </c>
      <c r="S62" s="509" t="str">
        <f>IF(VLOOKUP($A62,'Pre-Assessment Estimator'!$A$10:$AA$226,S$2,FALSE)=0,"",VLOOKUP($A62,'Pre-Assessment Estimator'!$A$10:$AA$226,S$2,FALSE))</f>
        <v/>
      </c>
      <c r="T62" s="510" t="str">
        <f>IF(VLOOKUP($A62,'Pre-Assessment Estimator'!$A$10:$AA$226,T$2,FALSE)=0,"",VLOOKUP($A62,'Pre-Assessment Estimator'!$A$10:$AA$226,T$2,FALSE))</f>
        <v/>
      </c>
      <c r="U62" s="513"/>
      <c r="V62" s="512" t="str">
        <f>IF(VLOOKUP($A62,'Pre-Assessment Estimator'!$A$10:$AA$226,V$2,FALSE)=0,"",VLOOKUP($A62,'Pre-Assessment Estimator'!$A$10:$AA$226,V$2,FALSE))</f>
        <v/>
      </c>
      <c r="W62" s="507">
        <f>VLOOKUP($A62,'Pre-Assessment Estimator'!$A$10:$AA$226,W$2,FALSE)</f>
        <v>0</v>
      </c>
      <c r="X62" s="506" t="str">
        <f>VLOOKUP($A62,'Pre-Assessment Estimator'!$A$10:$AA$226,X$2,FALSE)</f>
        <v>N/A</v>
      </c>
      <c r="Y62" s="509" t="str">
        <f>IF(VLOOKUP($A62,'Pre-Assessment Estimator'!$A$10:$AA$226,Y$2,FALSE)=0,"",VLOOKUP($A62,'Pre-Assessment Estimator'!$A$10:$AA$226,Y$2,FALSE))</f>
        <v/>
      </c>
      <c r="Z62" s="509" t="str">
        <f>IF(VLOOKUP($A62,'Pre-Assessment Estimator'!$A$10:$AA$226,Z$2,FALSE)=0,"",VLOOKUP($A62,'Pre-Assessment Estimator'!$A$10:$AA$226,Z$2,FALSE))</f>
        <v/>
      </c>
      <c r="AA62" s="322" t="str">
        <f>IF(VLOOKUP($A62,'Pre-Assessment Estimator'!$A$10:$AA$226,AA$2,FALSE)=0,"",VLOOKUP($A62,'Pre-Assessment Estimator'!$A$10:$AA$226,AA$2,FALSE))</f>
        <v/>
      </c>
      <c r="AB62" s="605">
        <v>52</v>
      </c>
      <c r="AC62" s="509"/>
      <c r="AG62" s="15">
        <f t="shared" si="0"/>
        <v>2</v>
      </c>
      <c r="AO62" s="15"/>
      <c r="AP62" s="15"/>
      <c r="AQ62" s="15"/>
    </row>
    <row r="63" spans="1:43" ht="30" customHeight="1" thickBot="1" x14ac:dyDescent="0.3">
      <c r="A63" s="716">
        <v>54</v>
      </c>
      <c r="B63" s="1022" t="s">
        <v>64</v>
      </c>
      <c r="C63" s="1022"/>
      <c r="D63" s="1046"/>
      <c r="E63" s="1046"/>
      <c r="F63" s="1046" t="str">
        <f>VLOOKUP($A63,'Pre-Assessment Estimator'!$A$10:$AA$226,F$2,FALSE)</f>
        <v>Total performance health &amp; wellbeing</v>
      </c>
      <c r="G63" s="514">
        <f>VLOOKUP($A63,'Pre-Assessment Estimator'!$A$10:$AA$226,G$2,FALSE)</f>
        <v>19</v>
      </c>
      <c r="H63" s="516" t="str">
        <f>IF(VLOOKUP($A63,'Pre-Assessment Estimator'!$A$10:$AA$226,H$2,FALSE)=0,"",VLOOKUP($A63,'Pre-Assessment Estimator'!$A$10:$AA$226,H$2,FALSE))</f>
        <v/>
      </c>
      <c r="I63" s="515">
        <f>VLOOKUP($A63,'Pre-Assessment Estimator'!$A$10:$AA$226,I$2,FALSE)</f>
        <v>0</v>
      </c>
      <c r="J63" s="514" t="str">
        <f>VLOOKUP($A63,'Pre-Assessment Estimator'!$A$10:$AA$226,J$2,FALSE)</f>
        <v>Credits achieved: 0</v>
      </c>
      <c r="K63" s="994" t="str">
        <f>IF(VLOOKUP($A63,'Pre-Assessment Estimator'!$A$10:$AA$226,K$2,FALSE)=0,"",VLOOKUP($A63,'Pre-Assessment Estimator'!$A$10:$AA$226,K$2,FALSE))</f>
        <v/>
      </c>
      <c r="L63" s="994" t="str">
        <f>IF(VLOOKUP($A63,'Pre-Assessment Estimator'!$A$10:$AA$226,L$2,FALSE)=0,"",VLOOKUP($A63,'Pre-Assessment Estimator'!$A$10:$AA$226,L$2,FALSE))</f>
        <v/>
      </c>
      <c r="M63" s="1013" t="str">
        <f>IF(VLOOKUP($A63,'Pre-Assessment Estimator'!$A$10:$AA$226,M$2,FALSE)=0,"",VLOOKUP($A63,'Pre-Assessment Estimator'!$A$10:$AA$226,M$2,FALSE))</f>
        <v/>
      </c>
      <c r="N63" s="1014"/>
      <c r="O63" s="516" t="str">
        <f>IF(VLOOKUP($A63,'Pre-Assessment Estimator'!$A$10:$AA$226,O$2,FALSE)=0,"",VLOOKUP($A63,'Pre-Assessment Estimator'!$A$10:$AA$226,O$2,FALSE))</f>
        <v/>
      </c>
      <c r="P63" s="515">
        <f>VLOOKUP($A63,'Pre-Assessment Estimator'!$A$10:$AA$226,P$2,FALSE)</f>
        <v>0</v>
      </c>
      <c r="Q63" s="514" t="str">
        <f>VLOOKUP($A63,'Pre-Assessment Estimator'!$A$10:$AA$226,Q$2,FALSE)</f>
        <v>Credits achieved: 0</v>
      </c>
      <c r="R63" s="994" t="str">
        <f>IF(VLOOKUP($A63,'Pre-Assessment Estimator'!$A$10:$AA$226,R$2,FALSE)=0,"",VLOOKUP($A63,'Pre-Assessment Estimator'!$A$10:$AA$226,R$2,FALSE))</f>
        <v/>
      </c>
      <c r="S63" s="994" t="str">
        <f>IF(VLOOKUP($A63,'Pre-Assessment Estimator'!$A$10:$AA$226,S$2,FALSE)=0,"",VLOOKUP($A63,'Pre-Assessment Estimator'!$A$10:$AA$226,S$2,FALSE))</f>
        <v/>
      </c>
      <c r="T63" s="1013" t="str">
        <f>IF(VLOOKUP($A63,'Pre-Assessment Estimator'!$A$10:$AA$226,T$2,FALSE)=0,"",VLOOKUP($A63,'Pre-Assessment Estimator'!$A$10:$AA$226,T$2,FALSE))</f>
        <v/>
      </c>
      <c r="U63" s="1015"/>
      <c r="V63" s="516" t="str">
        <f>IF(VLOOKUP($A63,'Pre-Assessment Estimator'!$A$10:$AA$226,V$2,FALSE)=0,"",VLOOKUP($A63,'Pre-Assessment Estimator'!$A$10:$AA$226,V$2,FALSE))</f>
        <v/>
      </c>
      <c r="W63" s="515">
        <f>VLOOKUP($A63,'Pre-Assessment Estimator'!$A$10:$AA$226,W$2,FALSE)</f>
        <v>0</v>
      </c>
      <c r="X63" s="514" t="str">
        <f>VLOOKUP($A63,'Pre-Assessment Estimator'!$A$10:$AA$226,X$2,FALSE)</f>
        <v>Credits achieved: 0</v>
      </c>
      <c r="Y63" s="994" t="str">
        <f>IF(VLOOKUP($A63,'Pre-Assessment Estimator'!$A$10:$AA$226,Y$2,FALSE)=0,"",VLOOKUP($A63,'Pre-Assessment Estimator'!$A$10:$AA$226,Y$2,FALSE))</f>
        <v/>
      </c>
      <c r="Z63" s="994" t="str">
        <f>IF(VLOOKUP($A63,'Pre-Assessment Estimator'!$A$10:$AA$226,Z$2,FALSE)=0,"",VLOOKUP($A63,'Pre-Assessment Estimator'!$A$10:$AA$226,Z$2,FALSE))</f>
        <v/>
      </c>
      <c r="AA63" s="1016" t="str">
        <f>IF(VLOOKUP($A63,'Pre-Assessment Estimator'!$A$10:$AA$226,AA$2,FALSE)=0,"",VLOOKUP($A63,'Pre-Assessment Estimator'!$A$10:$AA$226,AA$2,FALSE))</f>
        <v/>
      </c>
      <c r="AB63" s="605">
        <v>53</v>
      </c>
      <c r="AC63" s="509" t="str">
        <f>IF(VLOOKUP($A63,'Pre-Assessment Estimator'!$A$10:$AC$226,AC$2,FALSE)=0,"",VLOOKUP($A63,'Pre-Assessment Estimator'!$A$10:$AC$226,AC$2,FALSE))</f>
        <v>Credits achieved: 0</v>
      </c>
      <c r="AG63" s="15">
        <f t="shared" si="0"/>
        <v>1</v>
      </c>
    </row>
    <row r="64" spans="1:43" x14ac:dyDescent="0.25">
      <c r="A64" s="716">
        <v>55</v>
      </c>
      <c r="B64" s="1022" t="s">
        <v>64</v>
      </c>
      <c r="C64" s="1022"/>
      <c r="D64" s="517"/>
      <c r="E64" s="517"/>
      <c r="F64" s="517"/>
      <c r="G64" s="518"/>
      <c r="H64" s="518"/>
      <c r="I64" s="518"/>
      <c r="J64" s="518"/>
      <c r="K64" s="517"/>
      <c r="L64" s="518"/>
      <c r="M64" s="517"/>
      <c r="N64" s="511"/>
      <c r="O64" s="518"/>
      <c r="P64" s="518"/>
      <c r="Q64" s="518"/>
      <c r="R64" s="517"/>
      <c r="S64" s="518"/>
      <c r="T64" s="517"/>
      <c r="U64" s="513"/>
      <c r="V64" s="518"/>
      <c r="W64" s="518"/>
      <c r="X64" s="518"/>
      <c r="Y64" s="517"/>
      <c r="Z64" s="518"/>
      <c r="AA64" s="300"/>
      <c r="AB64" s="605">
        <v>54</v>
      </c>
      <c r="AC64" s="517"/>
      <c r="AG64" s="15">
        <f t="shared" si="0"/>
        <v>1</v>
      </c>
    </row>
    <row r="65" spans="1:33" ht="18.75" x14ac:dyDescent="0.25">
      <c r="A65" s="716">
        <v>56</v>
      </c>
      <c r="B65" s="1022" t="s">
        <v>65</v>
      </c>
      <c r="C65" s="1022"/>
      <c r="D65" s="519"/>
      <c r="E65" s="519"/>
      <c r="F65" s="519" t="s">
        <v>65</v>
      </c>
      <c r="G65" s="502"/>
      <c r="H65" s="502"/>
      <c r="I65" s="502"/>
      <c r="J65" s="502"/>
      <c r="K65" s="503" t="str">
        <f>IF(VLOOKUP($A65,'Pre-Assessment Estimator'!$A$10:$AA$226,K$2,FALSE)=0,"",VLOOKUP($A65,'Pre-Assessment Estimator'!$A$10:$AA$226,K$2,FALSE))</f>
        <v/>
      </c>
      <c r="L65" s="502" t="str">
        <f>IF(VLOOKUP($A65,'Pre-Assessment Estimator'!$A$10:$AA$226,L$2,FALSE)=0,"",VLOOKUP($A65,'Pre-Assessment Estimator'!$A$10:$AA$226,L$2,FALSE))</f>
        <v/>
      </c>
      <c r="M65" s="503" t="str">
        <f>IF(VLOOKUP($A65,'Pre-Assessment Estimator'!$A$10:$AA$226,M$2,FALSE)=0,"",VLOOKUP($A65,'Pre-Assessment Estimator'!$A$10:$AA$226,M$2,FALSE))</f>
        <v/>
      </c>
      <c r="N65" s="511"/>
      <c r="O65" s="502" t="str">
        <f>IF(VLOOKUP($A65,'Pre-Assessment Estimator'!$A$10:$AA$226,O$2,FALSE)=0,"",VLOOKUP($A65,'Pre-Assessment Estimator'!$A$10:$AA$226,O$2,FALSE))</f>
        <v/>
      </c>
      <c r="P65" s="502"/>
      <c r="Q65" s="502"/>
      <c r="R65" s="503" t="str">
        <f>IF(VLOOKUP($A65,'Pre-Assessment Estimator'!$A$10:$AA$226,R$2,FALSE)=0,"",VLOOKUP($A65,'Pre-Assessment Estimator'!$A$10:$AA$226,R$2,FALSE))</f>
        <v/>
      </c>
      <c r="S65" s="502" t="str">
        <f>IF(VLOOKUP($A65,'Pre-Assessment Estimator'!$A$10:$AA$226,S$2,FALSE)=0,"",VLOOKUP($A65,'Pre-Assessment Estimator'!$A$10:$AA$226,S$2,FALSE))</f>
        <v/>
      </c>
      <c r="T65" s="503" t="str">
        <f>IF(VLOOKUP($A65,'Pre-Assessment Estimator'!$A$10:$AA$226,T$2,FALSE)=0,"",VLOOKUP($A65,'Pre-Assessment Estimator'!$A$10:$AA$226,T$2,FALSE))</f>
        <v/>
      </c>
      <c r="U65" s="513"/>
      <c r="V65" s="502" t="str">
        <f>IF(VLOOKUP($A65,'Pre-Assessment Estimator'!$A$10:$AA$226,V$2,FALSE)=0,"",VLOOKUP($A65,'Pre-Assessment Estimator'!$A$10:$AA$226,V$2,FALSE))</f>
        <v/>
      </c>
      <c r="W65" s="502"/>
      <c r="X65" s="502"/>
      <c r="Y65" s="503" t="str">
        <f>IF(VLOOKUP($A65,'Pre-Assessment Estimator'!$A$10:$AA$226,Y$2,FALSE)=0,"",VLOOKUP($A65,'Pre-Assessment Estimator'!$A$10:$AA$226,Y$2,FALSE))</f>
        <v/>
      </c>
      <c r="Z65" s="502" t="str">
        <f>IF(VLOOKUP($A65,'Pre-Assessment Estimator'!$A$10:$AA$226,Z$2,FALSE)=0,"",VLOOKUP($A65,'Pre-Assessment Estimator'!$A$10:$AA$226,Z$2,FALSE))</f>
        <v/>
      </c>
      <c r="AA65" s="351" t="str">
        <f>IF(VLOOKUP($A65,'Pre-Assessment Estimator'!$A$10:$AA$226,AA$2,FALSE)=0,"",VLOOKUP($A65,'Pre-Assessment Estimator'!$A$10:$AA$226,AA$2,FALSE))</f>
        <v/>
      </c>
      <c r="AB65" s="605">
        <v>55</v>
      </c>
      <c r="AC65" s="606"/>
      <c r="AG65" s="15">
        <f t="shared" si="0"/>
        <v>1</v>
      </c>
    </row>
    <row r="66" spans="1:33" x14ac:dyDescent="0.25">
      <c r="A66" s="716">
        <v>57</v>
      </c>
      <c r="B66" s="1022" t="s">
        <v>65</v>
      </c>
      <c r="C66" s="1022"/>
      <c r="D66" s="1043" t="str">
        <f>VLOOKUP($A66,'Pre-Assessment Estimator'!$A$10:$AA$226,D$2,FALSE)</f>
        <v>Ene 01</v>
      </c>
      <c r="E66" s="1044"/>
      <c r="F66" s="1043" t="str">
        <f>VLOOKUP($A66,'Pre-Assessment Estimator'!$A$10:$AA$226,F$2,FALSE)</f>
        <v>Ene 01 Energy efficiency</v>
      </c>
      <c r="G66" s="506">
        <f>VLOOKUP($A66,'Pre-Assessment Estimator'!$A$10:$AA$226,G$2,FALSE)</f>
        <v>12</v>
      </c>
      <c r="H66" s="512" t="str">
        <f>IF(VLOOKUP($A66,'Pre-Assessment Estimator'!$A$10:$AA$226,H$2,FALSE)=0,"",VLOOKUP($A66,'Pre-Assessment Estimator'!$A$10:$AA$226,H$2,FALSE))</f>
        <v/>
      </c>
      <c r="I66" s="1012" t="str">
        <f>VLOOKUP($A66,'Pre-Assessment Estimator'!$A$10:$AA$226,I$2,FALSE)</f>
        <v>0 c. 0 %</v>
      </c>
      <c r="J66" s="508" t="str">
        <f>VLOOKUP($A66,'Pre-Assessment Estimator'!$A$10:$AA$226,J$2,FALSE)</f>
        <v>N/A</v>
      </c>
      <c r="K66" s="509" t="str">
        <f>IF(VLOOKUP($A66,'Pre-Assessment Estimator'!$A$10:$AA$226,K$2,FALSE)=0,"",VLOOKUP($A66,'Pre-Assessment Estimator'!$A$10:$AA$226,K$2,FALSE))</f>
        <v/>
      </c>
      <c r="L66" s="509" t="str">
        <f>IF(VLOOKUP($A66,'Pre-Assessment Estimator'!$A$10:$AA$226,L$2,FALSE)=0,"",VLOOKUP($A66,'Pre-Assessment Estimator'!$A$10:$AA$226,L$2,FALSE))</f>
        <v/>
      </c>
      <c r="M66" s="510" t="str">
        <f>IF(VLOOKUP($A66,'Pre-Assessment Estimator'!$A$10:$AA$226,M$2,FALSE)=0,"",VLOOKUP($A66,'Pre-Assessment Estimator'!$A$10:$AA$226,M$2,FALSE))</f>
        <v/>
      </c>
      <c r="N66" s="511"/>
      <c r="O66" s="512" t="str">
        <f>IF(VLOOKUP($A66,'Pre-Assessment Estimator'!$A$10:$AA$226,O$2,FALSE)=0,"",VLOOKUP($A66,'Pre-Assessment Estimator'!$A$10:$AA$226,O$2,FALSE))</f>
        <v/>
      </c>
      <c r="P66" s="507" t="str">
        <f>VLOOKUP($A66,'Pre-Assessment Estimator'!$A$10:$AA$226,P$2,FALSE)</f>
        <v>0 c. 0 %</v>
      </c>
      <c r="Q66" s="506" t="str">
        <f>VLOOKUP($A66,'Pre-Assessment Estimator'!$A$10:$AA$226,Q$2,FALSE)</f>
        <v>N/A</v>
      </c>
      <c r="R66" s="509" t="str">
        <f>IF(VLOOKUP($A66,'Pre-Assessment Estimator'!$A$10:$AA$226,R$2,FALSE)=0,"",VLOOKUP($A66,'Pre-Assessment Estimator'!$A$10:$AA$226,R$2,FALSE))</f>
        <v/>
      </c>
      <c r="S66" s="509" t="str">
        <f>IF(VLOOKUP($A66,'Pre-Assessment Estimator'!$A$10:$AA$226,S$2,FALSE)=0,"",VLOOKUP($A66,'Pre-Assessment Estimator'!$A$10:$AA$226,S$2,FALSE))</f>
        <v/>
      </c>
      <c r="T66" s="510" t="str">
        <f>IF(VLOOKUP($A66,'Pre-Assessment Estimator'!$A$10:$AA$226,T$2,FALSE)=0,"",VLOOKUP($A66,'Pre-Assessment Estimator'!$A$10:$AA$226,T$2,FALSE))</f>
        <v/>
      </c>
      <c r="U66" s="513"/>
      <c r="V66" s="512" t="str">
        <f>IF(VLOOKUP($A66,'Pre-Assessment Estimator'!$A$10:$AA$226,V$2,FALSE)=0,"",VLOOKUP($A66,'Pre-Assessment Estimator'!$A$10:$AA$226,V$2,FALSE))</f>
        <v/>
      </c>
      <c r="W66" s="507" t="str">
        <f>VLOOKUP($A66,'Pre-Assessment Estimator'!$A$10:$AA$226,W$2,FALSE)</f>
        <v>0 c. 0 %</v>
      </c>
      <c r="X66" s="506" t="str">
        <f>VLOOKUP($A66,'Pre-Assessment Estimator'!$A$10:$AA$226,X$2,FALSE)</f>
        <v>N/A</v>
      </c>
      <c r="Y66" s="509" t="str">
        <f>IF(VLOOKUP($A66,'Pre-Assessment Estimator'!$A$10:$AA$226,Y$2,FALSE)=0,"",VLOOKUP($A66,'Pre-Assessment Estimator'!$A$10:$AA$226,Y$2,FALSE))</f>
        <v/>
      </c>
      <c r="Z66" s="509" t="str">
        <f>IF(VLOOKUP($A66,'Pre-Assessment Estimator'!$A$10:$AA$226,Z$2,FALSE)=0,"",VLOOKUP($A66,'Pre-Assessment Estimator'!$A$10:$AA$226,Z$2,FALSE))</f>
        <v/>
      </c>
      <c r="AA66" s="322" t="str">
        <f>IF(VLOOKUP($A66,'Pre-Assessment Estimator'!$A$10:$AA$226,AA$2,FALSE)=0,"",VLOOKUP($A66,'Pre-Assessment Estimator'!$A$10:$AA$226,AA$2,FALSE))</f>
        <v/>
      </c>
      <c r="AB66" s="605">
        <v>56</v>
      </c>
      <c r="AC66" s="509" t="str">
        <f>IF(VLOOKUP($A66,'Pre-Assessment Estimator'!$A$10:$AC$226,AC$2,FALSE)=0,"",VLOOKUP($A66,'Pre-Assessment Estimator'!$A$10:$AC$226,AC$2,FALSE))</f>
        <v>N/A</v>
      </c>
      <c r="AG66" s="15">
        <f t="shared" si="0"/>
        <v>1</v>
      </c>
    </row>
    <row r="67" spans="1:33" x14ac:dyDescent="0.25">
      <c r="A67" s="716">
        <v>58</v>
      </c>
      <c r="B67" s="1022" t="s">
        <v>65</v>
      </c>
      <c r="C67" s="1022"/>
      <c r="D67" s="1044" t="str">
        <f>VLOOKUP($A67,'Pre-Assessment Estimator'!$A$10:$AA$226,D$2,FALSE)</f>
        <v>Ene 01</v>
      </c>
      <c r="E67" s="1044" t="str">
        <f>VLOOKUP($A67,'Pre-Assessment Estimator'!$A$10:$AA$226,E$2,FALSE)</f>
        <v>1-4</v>
      </c>
      <c r="F67" s="1045" t="str">
        <f>VLOOKUP($A67,'Pre-Assessment Estimator'!$A$10:$AA$226,F$2,FALSE)</f>
        <v xml:space="preserve">Passive design </v>
      </c>
      <c r="G67" s="506">
        <f>VLOOKUP($A67,'Pre-Assessment Estimator'!$A$10:$AA$226,G$2,FALSE)</f>
        <v>2</v>
      </c>
      <c r="H67" s="512" t="str">
        <f>IF(VLOOKUP($A67,'Pre-Assessment Estimator'!$A$10:$AA$226,H$2,FALSE)=0,"",VLOOKUP($A67,'Pre-Assessment Estimator'!$A$10:$AA$226,H$2,FALSE))</f>
        <v/>
      </c>
      <c r="I67" s="1012">
        <f>VLOOKUP($A67,'Pre-Assessment Estimator'!$A$10:$AA$226,I$2,FALSE)</f>
        <v>0</v>
      </c>
      <c r="J67" s="508" t="str">
        <f>VLOOKUP($A67,'Pre-Assessment Estimator'!$A$10:$AA$226,J$2,FALSE)</f>
        <v>N/A</v>
      </c>
      <c r="K67" s="509" t="str">
        <f>IF(VLOOKUP($A67,'Pre-Assessment Estimator'!$A$10:$AA$226,K$2,FALSE)=0,"",VLOOKUP($A67,'Pre-Assessment Estimator'!$A$10:$AA$226,K$2,FALSE))</f>
        <v/>
      </c>
      <c r="L67" s="509" t="str">
        <f>IF(VLOOKUP($A67,'Pre-Assessment Estimator'!$A$10:$AA$226,L$2,FALSE)=0,"",VLOOKUP($A67,'Pre-Assessment Estimator'!$A$10:$AA$226,L$2,FALSE))</f>
        <v/>
      </c>
      <c r="M67" s="510" t="str">
        <f>IF(VLOOKUP($A67,'Pre-Assessment Estimator'!$A$10:$AA$226,M$2,FALSE)=0,"",VLOOKUP($A67,'Pre-Assessment Estimator'!$A$10:$AA$226,M$2,FALSE))</f>
        <v/>
      </c>
      <c r="N67" s="511"/>
      <c r="O67" s="512" t="str">
        <f>IF(VLOOKUP($A67,'Pre-Assessment Estimator'!$A$10:$AA$226,O$2,FALSE)=0,"",VLOOKUP($A67,'Pre-Assessment Estimator'!$A$10:$AA$226,O$2,FALSE))</f>
        <v/>
      </c>
      <c r="P67" s="507">
        <f>VLOOKUP($A67,'Pre-Assessment Estimator'!$A$10:$AA$226,P$2,FALSE)</f>
        <v>0</v>
      </c>
      <c r="Q67" s="506" t="str">
        <f>VLOOKUP($A67,'Pre-Assessment Estimator'!$A$10:$AA$226,Q$2,FALSE)</f>
        <v>N/A</v>
      </c>
      <c r="R67" s="509" t="str">
        <f>IF(VLOOKUP($A67,'Pre-Assessment Estimator'!$A$10:$AA$226,R$2,FALSE)=0,"",VLOOKUP($A67,'Pre-Assessment Estimator'!$A$10:$AA$226,R$2,FALSE))</f>
        <v/>
      </c>
      <c r="S67" s="509" t="str">
        <f>IF(VLOOKUP($A67,'Pre-Assessment Estimator'!$A$10:$AA$226,S$2,FALSE)=0,"",VLOOKUP($A67,'Pre-Assessment Estimator'!$A$10:$AA$226,S$2,FALSE))</f>
        <v/>
      </c>
      <c r="T67" s="510" t="str">
        <f>IF(VLOOKUP($A67,'Pre-Assessment Estimator'!$A$10:$AA$226,T$2,FALSE)=0,"",VLOOKUP($A67,'Pre-Assessment Estimator'!$A$10:$AA$226,T$2,FALSE))</f>
        <v/>
      </c>
      <c r="U67" s="513"/>
      <c r="V67" s="512" t="str">
        <f>IF(VLOOKUP($A67,'Pre-Assessment Estimator'!$A$10:$AA$226,V$2,FALSE)=0,"",VLOOKUP($A67,'Pre-Assessment Estimator'!$A$10:$AA$226,V$2,FALSE))</f>
        <v/>
      </c>
      <c r="W67" s="507">
        <f>VLOOKUP($A67,'Pre-Assessment Estimator'!$A$10:$AA$226,W$2,FALSE)</f>
        <v>0</v>
      </c>
      <c r="X67" s="506" t="str">
        <f>VLOOKUP($A67,'Pre-Assessment Estimator'!$A$10:$AA$226,X$2,FALSE)</f>
        <v>N/A</v>
      </c>
      <c r="Y67" s="509" t="str">
        <f>IF(VLOOKUP($A67,'Pre-Assessment Estimator'!$A$10:$AA$226,Y$2,FALSE)=0,"",VLOOKUP($A67,'Pre-Assessment Estimator'!$A$10:$AA$226,Y$2,FALSE))</f>
        <v/>
      </c>
      <c r="Z67" s="509" t="str">
        <f>IF(VLOOKUP($A67,'Pre-Assessment Estimator'!$A$10:$AA$226,Z$2,FALSE)=0,"",VLOOKUP($A67,'Pre-Assessment Estimator'!$A$10:$AA$226,Z$2,FALSE))</f>
        <v/>
      </c>
      <c r="AA67" s="322" t="str">
        <f>IF(VLOOKUP($A67,'Pre-Assessment Estimator'!$A$10:$AA$226,AA$2,FALSE)=0,"",VLOOKUP($A67,'Pre-Assessment Estimator'!$A$10:$AA$226,AA$2,FALSE))</f>
        <v/>
      </c>
      <c r="AB67" s="605">
        <v>57</v>
      </c>
      <c r="AC67" s="509" t="str">
        <f>IF(VLOOKUP($A67,'Pre-Assessment Estimator'!$A$10:$AC$226,AC$2,FALSE)=0,"",VLOOKUP($A67,'Pre-Assessment Estimator'!$A$10:$AC$226,AC$2,FALSE))</f>
        <v>N/A</v>
      </c>
      <c r="AG67" s="15">
        <f t="shared" si="0"/>
        <v>1</v>
      </c>
    </row>
    <row r="68" spans="1:33" x14ac:dyDescent="0.25">
      <c r="A68" s="716">
        <v>59</v>
      </c>
      <c r="B68" s="1022" t="s">
        <v>65</v>
      </c>
      <c r="C68" s="1022"/>
      <c r="D68" s="1044" t="str">
        <f>VLOOKUP($A68,'Pre-Assessment Estimator'!$A$10:$AA$226,D$2,FALSE)</f>
        <v>Ene 01</v>
      </c>
      <c r="E68" s="1044" t="str">
        <f>VLOOKUP($A68,'Pre-Assessment Estimator'!$A$10:$AA$226,E$2,FALSE)</f>
        <v>5-8</v>
      </c>
      <c r="F68" s="1045" t="str">
        <f>VLOOKUP($A68,'Pre-Assessment Estimator'!$A$10:$AA$226,F$2,FALSE)</f>
        <v xml:space="preserve">Low and zero carbon technologies </v>
      </c>
      <c r="G68" s="506">
        <f>VLOOKUP($A68,'Pre-Assessment Estimator'!$A$10:$AA$226,G$2,FALSE)</f>
        <v>1</v>
      </c>
      <c r="H68" s="512" t="str">
        <f>IF(VLOOKUP($A68,'Pre-Assessment Estimator'!$A$10:$AA$226,H$2,FALSE)=0,"",VLOOKUP($A68,'Pre-Assessment Estimator'!$A$10:$AA$226,H$2,FALSE))</f>
        <v/>
      </c>
      <c r="I68" s="1012">
        <f>VLOOKUP($A68,'Pre-Assessment Estimator'!$A$10:$AA$226,I$2,FALSE)</f>
        <v>0</v>
      </c>
      <c r="J68" s="508" t="str">
        <f>VLOOKUP($A68,'Pre-Assessment Estimator'!$A$10:$AA$226,J$2,FALSE)</f>
        <v>N/A</v>
      </c>
      <c r="K68" s="509" t="str">
        <f>IF(VLOOKUP($A68,'Pre-Assessment Estimator'!$A$10:$AA$226,K$2,FALSE)=0,"",VLOOKUP($A68,'Pre-Assessment Estimator'!$A$10:$AA$226,K$2,FALSE))</f>
        <v/>
      </c>
      <c r="L68" s="509" t="str">
        <f>IF(VLOOKUP($A68,'Pre-Assessment Estimator'!$A$10:$AA$226,L$2,FALSE)=0,"",VLOOKUP($A68,'Pre-Assessment Estimator'!$A$10:$AA$226,L$2,FALSE))</f>
        <v/>
      </c>
      <c r="M68" s="510" t="str">
        <f>IF(VLOOKUP($A68,'Pre-Assessment Estimator'!$A$10:$AA$226,M$2,FALSE)=0,"",VLOOKUP($A68,'Pre-Assessment Estimator'!$A$10:$AA$226,M$2,FALSE))</f>
        <v/>
      </c>
      <c r="N68" s="511"/>
      <c r="O68" s="512" t="str">
        <f>IF(VLOOKUP($A68,'Pre-Assessment Estimator'!$A$10:$AA$226,O$2,FALSE)=0,"",VLOOKUP($A68,'Pre-Assessment Estimator'!$A$10:$AA$226,O$2,FALSE))</f>
        <v/>
      </c>
      <c r="P68" s="507">
        <f>VLOOKUP($A68,'Pre-Assessment Estimator'!$A$10:$AA$226,P$2,FALSE)</f>
        <v>0</v>
      </c>
      <c r="Q68" s="506" t="str">
        <f>VLOOKUP($A68,'Pre-Assessment Estimator'!$A$10:$AA$226,Q$2,FALSE)</f>
        <v>N/A</v>
      </c>
      <c r="R68" s="509" t="str">
        <f>IF(VLOOKUP($A68,'Pre-Assessment Estimator'!$A$10:$AA$226,R$2,FALSE)=0,"",VLOOKUP($A68,'Pre-Assessment Estimator'!$A$10:$AA$226,R$2,FALSE))</f>
        <v/>
      </c>
      <c r="S68" s="509" t="str">
        <f>IF(VLOOKUP($A68,'Pre-Assessment Estimator'!$A$10:$AA$226,S$2,FALSE)=0,"",VLOOKUP($A68,'Pre-Assessment Estimator'!$A$10:$AA$226,S$2,FALSE))</f>
        <v/>
      </c>
      <c r="T68" s="510" t="str">
        <f>IF(VLOOKUP($A68,'Pre-Assessment Estimator'!$A$10:$AA$226,T$2,FALSE)=0,"",VLOOKUP($A68,'Pre-Assessment Estimator'!$A$10:$AA$226,T$2,FALSE))</f>
        <v/>
      </c>
      <c r="U68" s="513"/>
      <c r="V68" s="512" t="str">
        <f>IF(VLOOKUP($A68,'Pre-Assessment Estimator'!$A$10:$AA$226,V$2,FALSE)=0,"",VLOOKUP($A68,'Pre-Assessment Estimator'!$A$10:$AA$226,V$2,FALSE))</f>
        <v/>
      </c>
      <c r="W68" s="507">
        <f>VLOOKUP($A68,'Pre-Assessment Estimator'!$A$10:$AA$226,W$2,FALSE)</f>
        <v>0</v>
      </c>
      <c r="X68" s="506" t="str">
        <f>VLOOKUP($A68,'Pre-Assessment Estimator'!$A$10:$AA$226,X$2,FALSE)</f>
        <v>N/A</v>
      </c>
      <c r="Y68" s="509" t="str">
        <f>IF(VLOOKUP($A68,'Pre-Assessment Estimator'!$A$10:$AA$226,Y$2,FALSE)=0,"",VLOOKUP($A68,'Pre-Assessment Estimator'!$A$10:$AA$226,Y$2,FALSE))</f>
        <v/>
      </c>
      <c r="Z68" s="509" t="str">
        <f>IF(VLOOKUP($A68,'Pre-Assessment Estimator'!$A$10:$AA$226,Z$2,FALSE)=0,"",VLOOKUP($A68,'Pre-Assessment Estimator'!$A$10:$AA$226,Z$2,FALSE))</f>
        <v/>
      </c>
      <c r="AA68" s="322" t="str">
        <f>IF(VLOOKUP($A68,'Pre-Assessment Estimator'!$A$10:$AA$226,AA$2,FALSE)=0,"",VLOOKUP($A68,'Pre-Assessment Estimator'!$A$10:$AA$226,AA$2,FALSE))</f>
        <v/>
      </c>
      <c r="AB68" s="605">
        <v>58</v>
      </c>
      <c r="AC68" s="509" t="str">
        <f>IF(VLOOKUP($A68,'Pre-Assessment Estimator'!$A$10:$AC$226,AC$2,FALSE)=0,"",VLOOKUP($A68,'Pre-Assessment Estimator'!$A$10:$AC$226,AC$2,FALSE))</f>
        <v>N/A</v>
      </c>
      <c r="AG68" s="15">
        <f t="shared" si="0"/>
        <v>1</v>
      </c>
    </row>
    <row r="69" spans="1:33" x14ac:dyDescent="0.25">
      <c r="A69" s="716">
        <v>60</v>
      </c>
      <c r="B69" s="1022" t="s">
        <v>65</v>
      </c>
      <c r="C69" s="1022"/>
      <c r="D69" s="1044" t="str">
        <f>VLOOKUP($A69,'Pre-Assessment Estimator'!$A$10:$AA$226,D$2,FALSE)</f>
        <v>Ene 01</v>
      </c>
      <c r="E69" s="1044" t="str">
        <f>VLOOKUP($A69,'Pre-Assessment Estimator'!$A$10:$AA$226,E$2,FALSE)</f>
        <v>9-10</v>
      </c>
      <c r="F69" s="1045" t="str">
        <f>VLOOKUP($A69,'Pre-Assessment Estimator'!$A$10:$AA$226,F$2,FALSE)</f>
        <v xml:space="preserve">Energy performance </v>
      </c>
      <c r="G69" s="506">
        <f>VLOOKUP($A69,'Pre-Assessment Estimator'!$A$10:$AA$226,G$2,FALSE)</f>
        <v>4</v>
      </c>
      <c r="H69" s="512" t="str">
        <f>IF(VLOOKUP($A69,'Pre-Assessment Estimator'!$A$10:$AA$226,H$2,FALSE)=0,"",VLOOKUP($A69,'Pre-Assessment Estimator'!$A$10:$AA$226,H$2,FALSE))</f>
        <v/>
      </c>
      <c r="I69" s="1012">
        <f>VLOOKUP($A69,'Pre-Assessment Estimator'!$A$10:$AA$226,I$2,FALSE)</f>
        <v>0</v>
      </c>
      <c r="J69" s="508" t="str">
        <f>VLOOKUP($A69,'Pre-Assessment Estimator'!$A$10:$AA$226,J$2,FALSE)</f>
        <v>Very Good</v>
      </c>
      <c r="K69" s="509" t="str">
        <f>IF(VLOOKUP($A69,'Pre-Assessment Estimator'!$A$10:$AA$226,K$2,FALSE)=0,"",VLOOKUP($A69,'Pre-Assessment Estimator'!$A$10:$AA$226,K$2,FALSE))</f>
        <v/>
      </c>
      <c r="L69" s="509" t="str">
        <f>IF(VLOOKUP($A69,'Pre-Assessment Estimator'!$A$10:$AA$226,L$2,FALSE)=0,"",VLOOKUP($A69,'Pre-Assessment Estimator'!$A$10:$AA$226,L$2,FALSE))</f>
        <v/>
      </c>
      <c r="M69" s="510" t="str">
        <f>IF(VLOOKUP($A69,'Pre-Assessment Estimator'!$A$10:$AA$226,M$2,FALSE)=0,"",VLOOKUP($A69,'Pre-Assessment Estimator'!$A$10:$AA$226,M$2,FALSE))</f>
        <v/>
      </c>
      <c r="N69" s="511"/>
      <c r="O69" s="512" t="str">
        <f>IF(VLOOKUP($A69,'Pre-Assessment Estimator'!$A$10:$AA$226,O$2,FALSE)=0,"",VLOOKUP($A69,'Pre-Assessment Estimator'!$A$10:$AA$226,O$2,FALSE))</f>
        <v/>
      </c>
      <c r="P69" s="507">
        <f>VLOOKUP($A69,'Pre-Assessment Estimator'!$A$10:$AA$226,P$2,FALSE)</f>
        <v>0</v>
      </c>
      <c r="Q69" s="506" t="str">
        <f>VLOOKUP($A69,'Pre-Assessment Estimator'!$A$10:$AA$226,Q$2,FALSE)</f>
        <v>Very Good</v>
      </c>
      <c r="R69" s="509" t="str">
        <f>IF(VLOOKUP($A69,'Pre-Assessment Estimator'!$A$10:$AA$226,R$2,FALSE)=0,"",VLOOKUP($A69,'Pre-Assessment Estimator'!$A$10:$AA$226,R$2,FALSE))</f>
        <v/>
      </c>
      <c r="S69" s="509" t="str">
        <f>IF(VLOOKUP($A69,'Pre-Assessment Estimator'!$A$10:$AA$226,S$2,FALSE)=0,"",VLOOKUP($A69,'Pre-Assessment Estimator'!$A$10:$AA$226,S$2,FALSE))</f>
        <v/>
      </c>
      <c r="T69" s="510" t="str">
        <f>IF(VLOOKUP($A69,'Pre-Assessment Estimator'!$A$10:$AA$226,T$2,FALSE)=0,"",VLOOKUP($A69,'Pre-Assessment Estimator'!$A$10:$AA$226,T$2,FALSE))</f>
        <v/>
      </c>
      <c r="U69" s="513"/>
      <c r="V69" s="512" t="str">
        <f>IF(VLOOKUP($A69,'Pre-Assessment Estimator'!$A$10:$AA$226,V$2,FALSE)=0,"",VLOOKUP($A69,'Pre-Assessment Estimator'!$A$10:$AA$226,V$2,FALSE))</f>
        <v/>
      </c>
      <c r="W69" s="507">
        <f>VLOOKUP($A69,'Pre-Assessment Estimator'!$A$10:$AA$226,W$2,FALSE)</f>
        <v>0</v>
      </c>
      <c r="X69" s="506" t="str">
        <f>VLOOKUP($A69,'Pre-Assessment Estimator'!$A$10:$AA$226,X$2,FALSE)</f>
        <v>Very Good</v>
      </c>
      <c r="Y69" s="509" t="str">
        <f>IF(VLOOKUP($A69,'Pre-Assessment Estimator'!$A$10:$AA$226,Y$2,FALSE)=0,"",VLOOKUP($A69,'Pre-Assessment Estimator'!$A$10:$AA$226,Y$2,FALSE))</f>
        <v/>
      </c>
      <c r="Z69" s="509" t="str">
        <f>IF(VLOOKUP($A69,'Pre-Assessment Estimator'!$A$10:$AA$226,Z$2,FALSE)=0,"",VLOOKUP($A69,'Pre-Assessment Estimator'!$A$10:$AA$226,Z$2,FALSE))</f>
        <v/>
      </c>
      <c r="AA69" s="322" t="str">
        <f>IF(VLOOKUP($A69,'Pre-Assessment Estimator'!$A$10:$AA$226,AA$2,FALSE)=0,"",VLOOKUP($A69,'Pre-Assessment Estimator'!$A$10:$AA$226,AA$2,FALSE))</f>
        <v/>
      </c>
      <c r="AB69" s="605">
        <v>59</v>
      </c>
      <c r="AC69" s="509"/>
      <c r="AG69" s="15">
        <f t="shared" si="0"/>
        <v>1</v>
      </c>
    </row>
    <row r="70" spans="1:33" ht="30" x14ac:dyDescent="0.25">
      <c r="A70" s="716">
        <v>61</v>
      </c>
      <c r="B70" s="1022" t="s">
        <v>65</v>
      </c>
      <c r="C70" s="1022"/>
      <c r="D70" s="1044" t="str">
        <f>VLOOKUP($A70,'Pre-Assessment Estimator'!$A$10:$AA$226,D$2,FALSE)</f>
        <v>Ene 01</v>
      </c>
      <c r="E70" s="1044" t="str">
        <f>VLOOKUP($A70,'Pre-Assessment Estimator'!$A$10:$AA$226,E$2,FALSE)</f>
        <v>11-12</v>
      </c>
      <c r="F70" s="1047" t="str">
        <f>VLOOKUP($A70,'Pre-Assessment Estimator'!$A$10:$AA$226,F$2,FALSE)</f>
        <v>EU taxonomy requirements: criterion 9 and 10 - Energy performance</v>
      </c>
      <c r="G70" s="506" t="str">
        <f>VLOOKUP($A70,'Pre-Assessment Estimator'!$A$10:$AA$226,G$2,FALSE)</f>
        <v>Yes/No</v>
      </c>
      <c r="H70" s="512" t="str">
        <f>IF(VLOOKUP($A70,'Pre-Assessment Estimator'!$A$10:$AA$226,H$2,FALSE)=0,"",VLOOKUP($A70,'Pre-Assessment Estimator'!$A$10:$AA$226,H$2,FALSE))</f>
        <v/>
      </c>
      <c r="I70" s="1012" t="str">
        <f>VLOOKUP($A70,'Pre-Assessment Estimator'!$A$10:$AA$226,I$2,FALSE)</f>
        <v>-</v>
      </c>
      <c r="J70" s="508" t="str">
        <f>VLOOKUP($A70,'Pre-Assessment Estimator'!$A$10:$AA$226,J$2,FALSE)</f>
        <v>N/A</v>
      </c>
      <c r="K70" s="509" t="str">
        <f>IF(VLOOKUP($A70,'Pre-Assessment Estimator'!$A$10:$AA$226,K$2,FALSE)=0,"",VLOOKUP($A70,'Pre-Assessment Estimator'!$A$10:$AA$226,K$2,FALSE))</f>
        <v/>
      </c>
      <c r="L70" s="509" t="str">
        <f>IF(VLOOKUP($A70,'Pre-Assessment Estimator'!$A$10:$AA$226,L$2,FALSE)=0,"",VLOOKUP($A70,'Pre-Assessment Estimator'!$A$10:$AA$226,L$2,FALSE))</f>
        <v/>
      </c>
      <c r="M70" s="510" t="str">
        <f>IF(VLOOKUP($A70,'Pre-Assessment Estimator'!$A$10:$AA$226,M$2,FALSE)=0,"",VLOOKUP($A70,'Pre-Assessment Estimator'!$A$10:$AA$226,M$2,FALSE))</f>
        <v/>
      </c>
      <c r="N70" s="511"/>
      <c r="O70" s="512" t="str">
        <f>IF(VLOOKUP($A70,'Pre-Assessment Estimator'!$A$10:$AA$226,O$2,FALSE)=0,"",VLOOKUP($A70,'Pre-Assessment Estimator'!$A$10:$AA$226,O$2,FALSE))</f>
        <v/>
      </c>
      <c r="P70" s="507" t="str">
        <f>VLOOKUP($A70,'Pre-Assessment Estimator'!$A$10:$AA$226,P$2,FALSE)</f>
        <v>-</v>
      </c>
      <c r="Q70" s="506" t="str">
        <f>VLOOKUP($A70,'Pre-Assessment Estimator'!$A$10:$AA$226,Q$2,FALSE)</f>
        <v>N/A</v>
      </c>
      <c r="R70" s="509" t="str">
        <f>IF(VLOOKUP($A70,'Pre-Assessment Estimator'!$A$10:$AA$226,R$2,FALSE)=0,"",VLOOKUP($A70,'Pre-Assessment Estimator'!$A$10:$AA$226,R$2,FALSE))</f>
        <v/>
      </c>
      <c r="S70" s="509" t="str">
        <f>IF(VLOOKUP($A70,'Pre-Assessment Estimator'!$A$10:$AA$226,S$2,FALSE)=0,"",VLOOKUP($A70,'Pre-Assessment Estimator'!$A$10:$AA$226,S$2,FALSE))</f>
        <v/>
      </c>
      <c r="T70" s="510" t="str">
        <f>IF(VLOOKUP($A70,'Pre-Assessment Estimator'!$A$10:$AA$226,T$2,FALSE)=0,"",VLOOKUP($A70,'Pre-Assessment Estimator'!$A$10:$AA$226,T$2,FALSE))</f>
        <v/>
      </c>
      <c r="U70" s="513"/>
      <c r="V70" s="512" t="str">
        <f>IF(VLOOKUP($A70,'Pre-Assessment Estimator'!$A$10:$AA$226,V$2,FALSE)=0,"",VLOOKUP($A70,'Pre-Assessment Estimator'!$A$10:$AA$226,V$2,FALSE))</f>
        <v/>
      </c>
      <c r="W70" s="507" t="str">
        <f>VLOOKUP($A70,'Pre-Assessment Estimator'!$A$10:$AA$226,W$2,FALSE)</f>
        <v>-</v>
      </c>
      <c r="X70" s="506" t="str">
        <f>VLOOKUP($A70,'Pre-Assessment Estimator'!$A$10:$AA$226,X$2,FALSE)</f>
        <v>N/A</v>
      </c>
      <c r="Y70" s="509" t="str">
        <f>IF(VLOOKUP($A70,'Pre-Assessment Estimator'!$A$10:$AA$226,Y$2,FALSE)=0,"",VLOOKUP($A70,'Pre-Assessment Estimator'!$A$10:$AA$226,Y$2,FALSE))</f>
        <v/>
      </c>
      <c r="Z70" s="509" t="str">
        <f>IF(VLOOKUP($A70,'Pre-Assessment Estimator'!$A$10:$AA$226,Z$2,FALSE)=0,"",VLOOKUP($A70,'Pre-Assessment Estimator'!$A$10:$AA$226,Z$2,FALSE))</f>
        <v/>
      </c>
      <c r="AA70" s="322" t="str">
        <f>IF(VLOOKUP($A70,'Pre-Assessment Estimator'!$A$10:$AA$226,AA$2,FALSE)=0,"",VLOOKUP($A70,'Pre-Assessment Estimator'!$A$10:$AA$226,AA$2,FALSE))</f>
        <v/>
      </c>
      <c r="AB70" s="605">
        <v>60</v>
      </c>
      <c r="AC70" s="509"/>
      <c r="AG70" s="15">
        <f t="shared" si="0"/>
        <v>1</v>
      </c>
    </row>
    <row r="71" spans="1:33" x14ac:dyDescent="0.25">
      <c r="A71" s="716">
        <v>62</v>
      </c>
      <c r="B71" s="1022" t="s">
        <v>65</v>
      </c>
      <c r="C71" s="1022"/>
      <c r="D71" s="1044" t="str">
        <f>VLOOKUP($A71,'Pre-Assessment Estimator'!$A$10:$AA$226,D$2,FALSE)</f>
        <v>Ene 01</v>
      </c>
      <c r="E71" s="1044" t="str">
        <f>VLOOKUP($A71,'Pre-Assessment Estimator'!$A$10:$AA$226,E$2,FALSE)</f>
        <v>11-12</v>
      </c>
      <c r="F71" s="1045" t="str">
        <f>VLOOKUP($A71,'Pre-Assessment Estimator'!$A$10:$AA$226,F$2,FALSE)</f>
        <v>Adaptation to EU taxonomy (EU taxonomy requirements: criterion 12)</v>
      </c>
      <c r="G71" s="506">
        <f>VLOOKUP($A71,'Pre-Assessment Estimator'!$A$10:$AA$226,G$2,FALSE)</f>
        <v>1</v>
      </c>
      <c r="H71" s="512" t="str">
        <f>IF(VLOOKUP($A71,'Pre-Assessment Estimator'!$A$10:$AA$226,H$2,FALSE)=0,"",VLOOKUP($A71,'Pre-Assessment Estimator'!$A$10:$AA$226,H$2,FALSE))</f>
        <v/>
      </c>
      <c r="I71" s="1012">
        <f>VLOOKUP($A71,'Pre-Assessment Estimator'!$A$10:$AA$226,I$2,FALSE)</f>
        <v>0</v>
      </c>
      <c r="J71" s="508" t="str">
        <f>VLOOKUP($A71,'Pre-Assessment Estimator'!$A$10:$AA$226,J$2,FALSE)</f>
        <v>Very Good</v>
      </c>
      <c r="K71" s="509" t="str">
        <f>IF(VLOOKUP($A71,'Pre-Assessment Estimator'!$A$10:$AA$226,K$2,FALSE)=0,"",VLOOKUP($A71,'Pre-Assessment Estimator'!$A$10:$AA$226,K$2,FALSE))</f>
        <v/>
      </c>
      <c r="L71" s="509" t="str">
        <f>IF(VLOOKUP($A71,'Pre-Assessment Estimator'!$A$10:$AA$226,L$2,FALSE)=0,"",VLOOKUP($A71,'Pre-Assessment Estimator'!$A$10:$AA$226,L$2,FALSE))</f>
        <v/>
      </c>
      <c r="M71" s="510" t="str">
        <f>IF(VLOOKUP($A71,'Pre-Assessment Estimator'!$A$10:$AA$226,M$2,FALSE)=0,"",VLOOKUP($A71,'Pre-Assessment Estimator'!$A$10:$AA$226,M$2,FALSE))</f>
        <v/>
      </c>
      <c r="N71" s="511"/>
      <c r="O71" s="512" t="str">
        <f>IF(VLOOKUP($A71,'Pre-Assessment Estimator'!$A$10:$AA$226,O$2,FALSE)=0,"",VLOOKUP($A71,'Pre-Assessment Estimator'!$A$10:$AA$226,O$2,FALSE))</f>
        <v/>
      </c>
      <c r="P71" s="507">
        <f>VLOOKUP($A71,'Pre-Assessment Estimator'!$A$10:$AA$226,P$2,FALSE)</f>
        <v>0</v>
      </c>
      <c r="Q71" s="506" t="str">
        <f>VLOOKUP($A71,'Pre-Assessment Estimator'!$A$10:$AA$226,Q$2,FALSE)</f>
        <v>Very Good</v>
      </c>
      <c r="R71" s="509" t="str">
        <f>IF(VLOOKUP($A71,'Pre-Assessment Estimator'!$A$10:$AA$226,R$2,FALSE)=0,"",VLOOKUP($A71,'Pre-Assessment Estimator'!$A$10:$AA$226,R$2,FALSE))</f>
        <v/>
      </c>
      <c r="S71" s="509" t="str">
        <f>IF(VLOOKUP($A71,'Pre-Assessment Estimator'!$A$10:$AA$226,S$2,FALSE)=0,"",VLOOKUP($A71,'Pre-Assessment Estimator'!$A$10:$AA$226,S$2,FALSE))</f>
        <v/>
      </c>
      <c r="T71" s="510" t="str">
        <f>IF(VLOOKUP($A71,'Pre-Assessment Estimator'!$A$10:$AA$226,T$2,FALSE)=0,"",VLOOKUP($A71,'Pre-Assessment Estimator'!$A$10:$AA$226,T$2,FALSE))</f>
        <v/>
      </c>
      <c r="U71" s="513"/>
      <c r="V71" s="512" t="str">
        <f>IF(VLOOKUP($A71,'Pre-Assessment Estimator'!$A$10:$AA$226,V$2,FALSE)=0,"",VLOOKUP($A71,'Pre-Assessment Estimator'!$A$10:$AA$226,V$2,FALSE))</f>
        <v/>
      </c>
      <c r="W71" s="507">
        <f>VLOOKUP($A71,'Pre-Assessment Estimator'!$A$10:$AA$226,W$2,FALSE)</f>
        <v>0</v>
      </c>
      <c r="X71" s="506" t="str">
        <f>VLOOKUP($A71,'Pre-Assessment Estimator'!$A$10:$AA$226,X$2,FALSE)</f>
        <v>Very Good</v>
      </c>
      <c r="Y71" s="509" t="str">
        <f>IF(VLOOKUP($A71,'Pre-Assessment Estimator'!$A$10:$AA$226,Y$2,FALSE)=0,"",VLOOKUP($A71,'Pre-Assessment Estimator'!$A$10:$AA$226,Y$2,FALSE))</f>
        <v/>
      </c>
      <c r="Z71" s="509" t="str">
        <f>IF(VLOOKUP($A71,'Pre-Assessment Estimator'!$A$10:$AA$226,Z$2,FALSE)=0,"",VLOOKUP($A71,'Pre-Assessment Estimator'!$A$10:$AA$226,Z$2,FALSE))</f>
        <v/>
      </c>
      <c r="AA71" s="322" t="str">
        <f>IF(VLOOKUP($A71,'Pre-Assessment Estimator'!$A$10:$AA$226,AA$2,FALSE)=0,"",VLOOKUP($A71,'Pre-Assessment Estimator'!$A$10:$AA$226,AA$2,FALSE))</f>
        <v/>
      </c>
      <c r="AB71" s="605">
        <v>61</v>
      </c>
      <c r="AC71" s="509"/>
    </row>
    <row r="72" spans="1:33" x14ac:dyDescent="0.25">
      <c r="A72" s="716">
        <v>63</v>
      </c>
      <c r="B72" s="1022" t="s">
        <v>65</v>
      </c>
      <c r="C72" s="1022"/>
      <c r="D72" s="1044" t="str">
        <f>VLOOKUP($A72,'Pre-Assessment Estimator'!$A$10:$AA$226,D$2,FALSE)</f>
        <v>Ene 01</v>
      </c>
      <c r="E72" s="1044" t="str">
        <f>VLOOKUP($A72,'Pre-Assessment Estimator'!$A$10:$AA$226,E$2,FALSE)</f>
        <v>13-16</v>
      </c>
      <c r="F72" s="1045" t="str">
        <f>VLOOKUP($A72,'Pre-Assessment Estimator'!$A$10:$AA$226,F$2,FALSE)</f>
        <v xml:space="preserve">Prediction of operational energy consumption </v>
      </c>
      <c r="G72" s="506">
        <f>VLOOKUP($A72,'Pre-Assessment Estimator'!$A$10:$AA$226,G$2,FALSE)</f>
        <v>4</v>
      </c>
      <c r="H72" s="512" t="str">
        <f>IF(VLOOKUP($A72,'Pre-Assessment Estimator'!$A$10:$AA$226,H$2,FALSE)=0,"",VLOOKUP($A72,'Pre-Assessment Estimator'!$A$10:$AA$226,H$2,FALSE))</f>
        <v/>
      </c>
      <c r="I72" s="1012">
        <f>VLOOKUP($A72,'Pre-Assessment Estimator'!$A$10:$AA$226,I$2,FALSE)</f>
        <v>0</v>
      </c>
      <c r="J72" s="508" t="str">
        <f>VLOOKUP($A72,'Pre-Assessment Estimator'!$A$10:$AA$226,J$2,FALSE)</f>
        <v>N/A</v>
      </c>
      <c r="K72" s="509" t="str">
        <f>IF(VLOOKUP($A72,'Pre-Assessment Estimator'!$A$10:$AA$226,K$2,FALSE)=0,"",VLOOKUP($A72,'Pre-Assessment Estimator'!$A$10:$AA$226,K$2,FALSE))</f>
        <v/>
      </c>
      <c r="L72" s="509" t="str">
        <f>IF(VLOOKUP($A72,'Pre-Assessment Estimator'!$A$10:$AA$226,L$2,FALSE)=0,"",VLOOKUP($A72,'Pre-Assessment Estimator'!$A$10:$AA$226,L$2,FALSE))</f>
        <v/>
      </c>
      <c r="M72" s="510" t="str">
        <f>IF(VLOOKUP($A72,'Pre-Assessment Estimator'!$A$10:$AA$226,M$2,FALSE)=0,"",VLOOKUP($A72,'Pre-Assessment Estimator'!$A$10:$AA$226,M$2,FALSE))</f>
        <v/>
      </c>
      <c r="N72" s="511"/>
      <c r="O72" s="512" t="str">
        <f>IF(VLOOKUP($A72,'Pre-Assessment Estimator'!$A$10:$AA$226,O$2,FALSE)=0,"",VLOOKUP($A72,'Pre-Assessment Estimator'!$A$10:$AA$226,O$2,FALSE))</f>
        <v/>
      </c>
      <c r="P72" s="507">
        <f>VLOOKUP($A72,'Pre-Assessment Estimator'!$A$10:$AA$226,P$2,FALSE)</f>
        <v>0</v>
      </c>
      <c r="Q72" s="506" t="str">
        <f>VLOOKUP($A72,'Pre-Assessment Estimator'!$A$10:$AA$226,Q$2,FALSE)</f>
        <v>N/A</v>
      </c>
      <c r="R72" s="509" t="str">
        <f>IF(VLOOKUP($A72,'Pre-Assessment Estimator'!$A$10:$AA$226,R$2,FALSE)=0,"",VLOOKUP($A72,'Pre-Assessment Estimator'!$A$10:$AA$226,R$2,FALSE))</f>
        <v/>
      </c>
      <c r="S72" s="509" t="str">
        <f>IF(VLOOKUP($A72,'Pre-Assessment Estimator'!$A$10:$AA$226,S$2,FALSE)=0,"",VLOOKUP($A72,'Pre-Assessment Estimator'!$A$10:$AA$226,S$2,FALSE))</f>
        <v/>
      </c>
      <c r="T72" s="510" t="str">
        <f>IF(VLOOKUP($A72,'Pre-Assessment Estimator'!$A$10:$AA$226,T$2,FALSE)=0,"",VLOOKUP($A72,'Pre-Assessment Estimator'!$A$10:$AA$226,T$2,FALSE))</f>
        <v/>
      </c>
      <c r="U72" s="513"/>
      <c r="V72" s="512" t="str">
        <f>IF(VLOOKUP($A72,'Pre-Assessment Estimator'!$A$10:$AA$226,V$2,FALSE)=0,"",VLOOKUP($A72,'Pre-Assessment Estimator'!$A$10:$AA$226,V$2,FALSE))</f>
        <v/>
      </c>
      <c r="W72" s="507">
        <f>VLOOKUP($A72,'Pre-Assessment Estimator'!$A$10:$AA$226,W$2,FALSE)</f>
        <v>0</v>
      </c>
      <c r="X72" s="506" t="str">
        <f>VLOOKUP($A72,'Pre-Assessment Estimator'!$A$10:$AA$226,X$2,FALSE)</f>
        <v>N/A</v>
      </c>
      <c r="Y72" s="509" t="str">
        <f>IF(VLOOKUP($A72,'Pre-Assessment Estimator'!$A$10:$AA$226,Y$2,FALSE)=0,"",VLOOKUP($A72,'Pre-Assessment Estimator'!$A$10:$AA$226,Y$2,FALSE))</f>
        <v/>
      </c>
      <c r="Z72" s="509" t="str">
        <f>IF(VLOOKUP($A72,'Pre-Assessment Estimator'!$A$10:$AA$226,Z$2,FALSE)=0,"",VLOOKUP($A72,'Pre-Assessment Estimator'!$A$10:$AA$226,Z$2,FALSE))</f>
        <v/>
      </c>
      <c r="AA72" s="322" t="str">
        <f>IF(VLOOKUP($A72,'Pre-Assessment Estimator'!$A$10:$AA$226,AA$2,FALSE)=0,"",VLOOKUP($A72,'Pre-Assessment Estimator'!$A$10:$AA$226,AA$2,FALSE))</f>
        <v/>
      </c>
      <c r="AB72" s="605">
        <v>62</v>
      </c>
      <c r="AC72" s="509"/>
      <c r="AG72" s="15">
        <f t="shared" si="0"/>
        <v>1</v>
      </c>
    </row>
    <row r="73" spans="1:33" x14ac:dyDescent="0.25">
      <c r="A73" s="716">
        <v>64</v>
      </c>
      <c r="B73" s="1022" t="s">
        <v>65</v>
      </c>
      <c r="C73" s="1022"/>
      <c r="D73" s="1043" t="str">
        <f>VLOOKUP($A73,'Pre-Assessment Estimator'!$A$10:$AA$226,D$2,FALSE)</f>
        <v>Ene 02</v>
      </c>
      <c r="E73" s="1044"/>
      <c r="F73" s="1043" t="str">
        <f>VLOOKUP($A73,'Pre-Assessment Estimator'!$A$10:$AA$226,F$2,FALSE)</f>
        <v>Ene 02 Energy monitoring</v>
      </c>
      <c r="G73" s="506">
        <f>VLOOKUP($A73,'Pre-Assessment Estimator'!$A$10:$AA$226,G$2,FALSE)</f>
        <v>2</v>
      </c>
      <c r="H73" s="512" t="str">
        <f>IF(VLOOKUP($A73,'Pre-Assessment Estimator'!$A$10:$AA$226,H$2,FALSE)=0,"",VLOOKUP($A73,'Pre-Assessment Estimator'!$A$10:$AA$226,H$2,FALSE))</f>
        <v/>
      </c>
      <c r="I73" s="1012" t="str">
        <f>VLOOKUP($A73,'Pre-Assessment Estimator'!$A$10:$AA$226,I$2,FALSE)</f>
        <v>0 c. 0 %</v>
      </c>
      <c r="J73" s="508" t="str">
        <f>VLOOKUP($A73,'Pre-Assessment Estimator'!$A$10:$AA$226,J$2,FALSE)</f>
        <v>N/A</v>
      </c>
      <c r="K73" s="509" t="str">
        <f>IF(VLOOKUP($A73,'Pre-Assessment Estimator'!$A$10:$AA$226,K$2,FALSE)=0,"",VLOOKUP($A73,'Pre-Assessment Estimator'!$A$10:$AA$226,K$2,FALSE))</f>
        <v/>
      </c>
      <c r="L73" s="509" t="str">
        <f>IF(VLOOKUP($A73,'Pre-Assessment Estimator'!$A$10:$AA$226,L$2,FALSE)=0,"",VLOOKUP($A73,'Pre-Assessment Estimator'!$A$10:$AA$226,L$2,FALSE))</f>
        <v/>
      </c>
      <c r="M73" s="510" t="str">
        <f>IF(VLOOKUP($A73,'Pre-Assessment Estimator'!$A$10:$AA$226,M$2,FALSE)=0,"",VLOOKUP($A73,'Pre-Assessment Estimator'!$A$10:$AA$226,M$2,FALSE))</f>
        <v/>
      </c>
      <c r="N73" s="511"/>
      <c r="O73" s="512" t="str">
        <f>IF(VLOOKUP($A73,'Pre-Assessment Estimator'!$A$10:$AA$226,O$2,FALSE)=0,"",VLOOKUP($A73,'Pre-Assessment Estimator'!$A$10:$AA$226,O$2,FALSE))</f>
        <v/>
      </c>
      <c r="P73" s="507" t="str">
        <f>VLOOKUP($A73,'Pre-Assessment Estimator'!$A$10:$AA$226,P$2,FALSE)</f>
        <v>0 c. 0 %</v>
      </c>
      <c r="Q73" s="506" t="str">
        <f>VLOOKUP($A73,'Pre-Assessment Estimator'!$A$10:$AA$226,Q$2,FALSE)</f>
        <v>N/A</v>
      </c>
      <c r="R73" s="509" t="str">
        <f>IF(VLOOKUP($A73,'Pre-Assessment Estimator'!$A$10:$AA$226,R$2,FALSE)=0,"",VLOOKUP($A73,'Pre-Assessment Estimator'!$A$10:$AA$226,R$2,FALSE))</f>
        <v/>
      </c>
      <c r="S73" s="509" t="str">
        <f>IF(VLOOKUP($A73,'Pre-Assessment Estimator'!$A$10:$AA$226,S$2,FALSE)=0,"",VLOOKUP($A73,'Pre-Assessment Estimator'!$A$10:$AA$226,S$2,FALSE))</f>
        <v/>
      </c>
      <c r="T73" s="510" t="str">
        <f>IF(VLOOKUP($A73,'Pre-Assessment Estimator'!$A$10:$AA$226,T$2,FALSE)=0,"",VLOOKUP($A73,'Pre-Assessment Estimator'!$A$10:$AA$226,T$2,FALSE))</f>
        <v/>
      </c>
      <c r="U73" s="513"/>
      <c r="V73" s="512" t="str">
        <f>IF(VLOOKUP($A73,'Pre-Assessment Estimator'!$A$10:$AA$226,V$2,FALSE)=0,"",VLOOKUP($A73,'Pre-Assessment Estimator'!$A$10:$AA$226,V$2,FALSE))</f>
        <v/>
      </c>
      <c r="W73" s="507" t="str">
        <f>VLOOKUP($A73,'Pre-Assessment Estimator'!$A$10:$AA$226,W$2,FALSE)</f>
        <v>0 c. 0 %</v>
      </c>
      <c r="X73" s="506" t="str">
        <f>VLOOKUP($A73,'Pre-Assessment Estimator'!$A$10:$AA$226,X$2,FALSE)</f>
        <v>N/A</v>
      </c>
      <c r="Y73" s="509" t="str">
        <f>IF(VLOOKUP($A73,'Pre-Assessment Estimator'!$A$10:$AA$226,Y$2,FALSE)=0,"",VLOOKUP($A73,'Pre-Assessment Estimator'!$A$10:$AA$226,Y$2,FALSE))</f>
        <v/>
      </c>
      <c r="Z73" s="509" t="str">
        <f>IF(VLOOKUP($A73,'Pre-Assessment Estimator'!$A$10:$AA$226,Z$2,FALSE)=0,"",VLOOKUP($A73,'Pre-Assessment Estimator'!$A$10:$AA$226,Z$2,FALSE))</f>
        <v/>
      </c>
      <c r="AA73" s="322" t="str">
        <f>IF(VLOOKUP($A73,'Pre-Assessment Estimator'!$A$10:$AA$226,AA$2,FALSE)=0,"",VLOOKUP($A73,'Pre-Assessment Estimator'!$A$10:$AA$226,AA$2,FALSE))</f>
        <v/>
      </c>
      <c r="AB73" s="605">
        <v>63</v>
      </c>
      <c r="AC73" s="509"/>
      <c r="AG73" s="15">
        <f t="shared" si="0"/>
        <v>1</v>
      </c>
    </row>
    <row r="74" spans="1:33" x14ac:dyDescent="0.25">
      <c r="A74" s="716">
        <v>65</v>
      </c>
      <c r="B74" s="1022" t="s">
        <v>65</v>
      </c>
      <c r="C74" s="1022"/>
      <c r="D74" s="1044" t="str">
        <f>VLOOKUP($A74,'Pre-Assessment Estimator'!$A$10:$AA$226,D$2,FALSE)</f>
        <v>Ene 02</v>
      </c>
      <c r="E74" s="1044" t="str">
        <f>VLOOKUP($A74,'Pre-Assessment Estimator'!$A$10:$AA$226,E$2,FALSE)</f>
        <v>1-4</v>
      </c>
      <c r="F74" s="1045" t="str">
        <f>VLOOKUP($A74,'Pre-Assessment Estimator'!$A$10:$AA$226,F$2,FALSE)</f>
        <v xml:space="preserve">Sub-metering of end-use categories </v>
      </c>
      <c r="G74" s="506">
        <f>VLOOKUP($A74,'Pre-Assessment Estimator'!$A$10:$AA$226,G$2,FALSE)</f>
        <v>1</v>
      </c>
      <c r="H74" s="512" t="str">
        <f>IF(VLOOKUP($A74,'Pre-Assessment Estimator'!$A$10:$AA$226,H$2,FALSE)=0,"",VLOOKUP($A74,'Pre-Assessment Estimator'!$A$10:$AA$226,H$2,FALSE))</f>
        <v/>
      </c>
      <c r="I74" s="1012">
        <f>VLOOKUP($A74,'Pre-Assessment Estimator'!$A$10:$AA$226,I$2,FALSE)</f>
        <v>0</v>
      </c>
      <c r="J74" s="508" t="str">
        <f>VLOOKUP($A74,'Pre-Assessment Estimator'!$A$10:$AA$226,J$2,FALSE)</f>
        <v>N/A</v>
      </c>
      <c r="K74" s="509" t="str">
        <f>IF(VLOOKUP($A74,'Pre-Assessment Estimator'!$A$10:$AA$226,K$2,FALSE)=0,"",VLOOKUP($A74,'Pre-Assessment Estimator'!$A$10:$AA$226,K$2,FALSE))</f>
        <v/>
      </c>
      <c r="L74" s="509" t="str">
        <f>IF(VLOOKUP($A74,'Pre-Assessment Estimator'!$A$10:$AA$226,L$2,FALSE)=0,"",VLOOKUP($A74,'Pre-Assessment Estimator'!$A$10:$AA$226,L$2,FALSE))</f>
        <v/>
      </c>
      <c r="M74" s="510" t="str">
        <f>IF(VLOOKUP($A74,'Pre-Assessment Estimator'!$A$10:$AA$226,M$2,FALSE)=0,"",VLOOKUP($A74,'Pre-Assessment Estimator'!$A$10:$AA$226,M$2,FALSE))</f>
        <v/>
      </c>
      <c r="N74" s="511"/>
      <c r="O74" s="512" t="str">
        <f>IF(VLOOKUP($A74,'Pre-Assessment Estimator'!$A$10:$AA$226,O$2,FALSE)=0,"",VLOOKUP($A74,'Pre-Assessment Estimator'!$A$10:$AA$226,O$2,FALSE))</f>
        <v/>
      </c>
      <c r="P74" s="507">
        <f>VLOOKUP($A74,'Pre-Assessment Estimator'!$A$10:$AA$226,P$2,FALSE)</f>
        <v>0</v>
      </c>
      <c r="Q74" s="506" t="str">
        <f>VLOOKUP($A74,'Pre-Assessment Estimator'!$A$10:$AA$226,Q$2,FALSE)</f>
        <v>N/A</v>
      </c>
      <c r="R74" s="509" t="str">
        <f>IF(VLOOKUP($A74,'Pre-Assessment Estimator'!$A$10:$AA$226,R$2,FALSE)=0,"",VLOOKUP($A74,'Pre-Assessment Estimator'!$A$10:$AA$226,R$2,FALSE))</f>
        <v/>
      </c>
      <c r="S74" s="509" t="str">
        <f>IF(VLOOKUP($A74,'Pre-Assessment Estimator'!$A$10:$AA$226,S$2,FALSE)=0,"",VLOOKUP($A74,'Pre-Assessment Estimator'!$A$10:$AA$226,S$2,FALSE))</f>
        <v/>
      </c>
      <c r="T74" s="510" t="str">
        <f>IF(VLOOKUP($A74,'Pre-Assessment Estimator'!$A$10:$AA$226,T$2,FALSE)=0,"",VLOOKUP($A74,'Pre-Assessment Estimator'!$A$10:$AA$226,T$2,FALSE))</f>
        <v/>
      </c>
      <c r="U74" s="513"/>
      <c r="V74" s="512" t="str">
        <f>IF(VLOOKUP($A74,'Pre-Assessment Estimator'!$A$10:$AA$226,V$2,FALSE)=0,"",VLOOKUP($A74,'Pre-Assessment Estimator'!$A$10:$AA$226,V$2,FALSE))</f>
        <v/>
      </c>
      <c r="W74" s="507">
        <f>VLOOKUP($A74,'Pre-Assessment Estimator'!$A$10:$AA$226,W$2,FALSE)</f>
        <v>0</v>
      </c>
      <c r="X74" s="506" t="str">
        <f>VLOOKUP($A74,'Pre-Assessment Estimator'!$A$10:$AA$226,X$2,FALSE)</f>
        <v>N/A</v>
      </c>
      <c r="Y74" s="509" t="str">
        <f>IF(VLOOKUP($A74,'Pre-Assessment Estimator'!$A$10:$AA$226,Y$2,FALSE)=0,"",VLOOKUP($A74,'Pre-Assessment Estimator'!$A$10:$AA$226,Y$2,FALSE))</f>
        <v/>
      </c>
      <c r="Z74" s="509" t="str">
        <f>IF(VLOOKUP($A74,'Pre-Assessment Estimator'!$A$10:$AA$226,Z$2,FALSE)=0,"",VLOOKUP($A74,'Pre-Assessment Estimator'!$A$10:$AA$226,Z$2,FALSE))</f>
        <v/>
      </c>
      <c r="AA74" s="322" t="str">
        <f>IF(VLOOKUP($A74,'Pre-Assessment Estimator'!$A$10:$AA$226,AA$2,FALSE)=0,"",VLOOKUP($A74,'Pre-Assessment Estimator'!$A$10:$AA$226,AA$2,FALSE))</f>
        <v/>
      </c>
      <c r="AB74" s="605">
        <v>64</v>
      </c>
      <c r="AC74" s="509"/>
      <c r="AG74" s="15">
        <f t="shared" si="0"/>
        <v>1</v>
      </c>
    </row>
    <row r="75" spans="1:33" x14ac:dyDescent="0.25">
      <c r="A75" s="716">
        <v>66</v>
      </c>
      <c r="B75" s="1022" t="s">
        <v>65</v>
      </c>
      <c r="C75" s="1022"/>
      <c r="D75" s="1044" t="str">
        <f>VLOOKUP($A75,'Pre-Assessment Estimator'!$A$10:$AA$226,D$2,FALSE)</f>
        <v>Ene 02</v>
      </c>
      <c r="E75" s="1044" t="str">
        <f>VLOOKUP($A75,'Pre-Assessment Estimator'!$A$10:$AA$226,E$2,FALSE)</f>
        <v>5-6</v>
      </c>
      <c r="F75" s="1045" t="str">
        <f>VLOOKUP($A75,'Pre-Assessment Estimator'!$A$10:$AA$226,F$2,FALSE)</f>
        <v xml:space="preserve">Sub-metering of high energy load and tenancy areas </v>
      </c>
      <c r="G75" s="506">
        <f>VLOOKUP($A75,'Pre-Assessment Estimator'!$A$10:$AA$226,G$2,FALSE)</f>
        <v>1</v>
      </c>
      <c r="H75" s="512" t="str">
        <f>IF(VLOOKUP($A75,'Pre-Assessment Estimator'!$A$10:$AA$226,H$2,FALSE)=0,"",VLOOKUP($A75,'Pre-Assessment Estimator'!$A$10:$AA$226,H$2,FALSE))</f>
        <v/>
      </c>
      <c r="I75" s="1012">
        <f>VLOOKUP($A75,'Pre-Assessment Estimator'!$A$10:$AA$226,I$2,FALSE)</f>
        <v>0</v>
      </c>
      <c r="J75" s="508" t="str">
        <f>VLOOKUP($A75,'Pre-Assessment Estimator'!$A$10:$AA$226,J$2,FALSE)</f>
        <v>N/A</v>
      </c>
      <c r="K75" s="509" t="str">
        <f>IF(VLOOKUP($A75,'Pre-Assessment Estimator'!$A$10:$AA$226,K$2,FALSE)=0,"",VLOOKUP($A75,'Pre-Assessment Estimator'!$A$10:$AA$226,K$2,FALSE))</f>
        <v/>
      </c>
      <c r="L75" s="509" t="str">
        <f>IF(VLOOKUP($A75,'Pre-Assessment Estimator'!$A$10:$AA$226,L$2,FALSE)=0,"",VLOOKUP($A75,'Pre-Assessment Estimator'!$A$10:$AA$226,L$2,FALSE))</f>
        <v/>
      </c>
      <c r="M75" s="510" t="str">
        <f>IF(VLOOKUP($A75,'Pre-Assessment Estimator'!$A$10:$AA$226,M$2,FALSE)=0,"",VLOOKUP($A75,'Pre-Assessment Estimator'!$A$10:$AA$226,M$2,FALSE))</f>
        <v/>
      </c>
      <c r="N75" s="511"/>
      <c r="O75" s="512" t="str">
        <f>IF(VLOOKUP($A75,'Pre-Assessment Estimator'!$A$10:$AA$226,O$2,FALSE)=0,"",VLOOKUP($A75,'Pre-Assessment Estimator'!$A$10:$AA$226,O$2,FALSE))</f>
        <v/>
      </c>
      <c r="P75" s="507">
        <f>VLOOKUP($A75,'Pre-Assessment Estimator'!$A$10:$AA$226,P$2,FALSE)</f>
        <v>0</v>
      </c>
      <c r="Q75" s="506" t="str">
        <f>VLOOKUP($A75,'Pre-Assessment Estimator'!$A$10:$AA$226,Q$2,FALSE)</f>
        <v>N/A</v>
      </c>
      <c r="R75" s="509" t="str">
        <f>IF(VLOOKUP($A75,'Pre-Assessment Estimator'!$A$10:$AA$226,R$2,FALSE)=0,"",VLOOKUP($A75,'Pre-Assessment Estimator'!$A$10:$AA$226,R$2,FALSE))</f>
        <v/>
      </c>
      <c r="S75" s="509" t="str">
        <f>IF(VLOOKUP($A75,'Pre-Assessment Estimator'!$A$10:$AA$226,S$2,FALSE)=0,"",VLOOKUP($A75,'Pre-Assessment Estimator'!$A$10:$AA$226,S$2,FALSE))</f>
        <v/>
      </c>
      <c r="T75" s="510" t="str">
        <f>IF(VLOOKUP($A75,'Pre-Assessment Estimator'!$A$10:$AA$226,T$2,FALSE)=0,"",VLOOKUP($A75,'Pre-Assessment Estimator'!$A$10:$AA$226,T$2,FALSE))</f>
        <v/>
      </c>
      <c r="U75" s="513"/>
      <c r="V75" s="512" t="str">
        <f>IF(VLOOKUP($A75,'Pre-Assessment Estimator'!$A$10:$AA$226,V$2,FALSE)=0,"",VLOOKUP($A75,'Pre-Assessment Estimator'!$A$10:$AA$226,V$2,FALSE))</f>
        <v/>
      </c>
      <c r="W75" s="507">
        <f>VLOOKUP($A75,'Pre-Assessment Estimator'!$A$10:$AA$226,W$2,FALSE)</f>
        <v>0</v>
      </c>
      <c r="X75" s="506" t="str">
        <f>VLOOKUP($A75,'Pre-Assessment Estimator'!$A$10:$AA$226,X$2,FALSE)</f>
        <v>N/A</v>
      </c>
      <c r="Y75" s="509" t="str">
        <f>IF(VLOOKUP($A75,'Pre-Assessment Estimator'!$A$10:$AA$226,Y$2,FALSE)=0,"",VLOOKUP($A75,'Pre-Assessment Estimator'!$A$10:$AA$226,Y$2,FALSE))</f>
        <v/>
      </c>
      <c r="Z75" s="509" t="str">
        <f>IF(VLOOKUP($A75,'Pre-Assessment Estimator'!$A$10:$AA$226,Z$2,FALSE)=0,"",VLOOKUP($A75,'Pre-Assessment Estimator'!$A$10:$AA$226,Z$2,FALSE))</f>
        <v/>
      </c>
      <c r="AA75" s="322" t="str">
        <f>IF(VLOOKUP($A75,'Pre-Assessment Estimator'!$A$10:$AA$226,AA$2,FALSE)=0,"",VLOOKUP($A75,'Pre-Assessment Estimator'!$A$10:$AA$226,AA$2,FALSE))</f>
        <v/>
      </c>
      <c r="AB75" s="605">
        <v>65</v>
      </c>
      <c r="AC75" s="509"/>
      <c r="AG75" s="15">
        <f t="shared" si="0"/>
        <v>1</v>
      </c>
    </row>
    <row r="76" spans="1:33" x14ac:dyDescent="0.25">
      <c r="A76" s="716">
        <v>67</v>
      </c>
      <c r="B76" s="1022" t="s">
        <v>65</v>
      </c>
      <c r="C76" s="1022"/>
      <c r="D76" s="1044" t="str">
        <f>VLOOKUP($A76,'Pre-Assessment Estimator'!$A$10:$AA$226,D$2,FALSE)</f>
        <v>Ene 02</v>
      </c>
      <c r="E76" s="1044">
        <f>VLOOKUP($A76,'Pre-Assessment Estimator'!$A$10:$AA$226,E$2,FALSE)</f>
        <v>7</v>
      </c>
      <c r="F76" s="1045" t="str">
        <f>VLOOKUP($A76,'Pre-Assessment Estimator'!$A$10:$AA$226,F$2,FALSE)</f>
        <v xml:space="preserve">Sub-metering of energy consumption in residential buildings </v>
      </c>
      <c r="G76" s="506">
        <f>VLOOKUP($A76,'Pre-Assessment Estimator'!$A$10:$AA$226,G$2,FALSE)</f>
        <v>0</v>
      </c>
      <c r="H76" s="512" t="str">
        <f>IF(VLOOKUP($A76,'Pre-Assessment Estimator'!$A$10:$AA$226,H$2,FALSE)=0,"",VLOOKUP($A76,'Pre-Assessment Estimator'!$A$10:$AA$226,H$2,FALSE))</f>
        <v/>
      </c>
      <c r="I76" s="1012">
        <f>VLOOKUP($A76,'Pre-Assessment Estimator'!$A$10:$AA$226,I$2,FALSE)</f>
        <v>0</v>
      </c>
      <c r="J76" s="508" t="str">
        <f>VLOOKUP($A76,'Pre-Assessment Estimator'!$A$10:$AA$226,J$2,FALSE)</f>
        <v>N/A</v>
      </c>
      <c r="K76" s="509" t="str">
        <f>IF(VLOOKUP($A76,'Pre-Assessment Estimator'!$A$10:$AA$226,K$2,FALSE)=0,"",VLOOKUP($A76,'Pre-Assessment Estimator'!$A$10:$AA$226,K$2,FALSE))</f>
        <v/>
      </c>
      <c r="L76" s="509" t="str">
        <f>IF(VLOOKUP($A76,'Pre-Assessment Estimator'!$A$10:$AA$226,L$2,FALSE)=0,"",VLOOKUP($A76,'Pre-Assessment Estimator'!$A$10:$AA$226,L$2,FALSE))</f>
        <v/>
      </c>
      <c r="M76" s="510" t="str">
        <f>IF(VLOOKUP($A76,'Pre-Assessment Estimator'!$A$10:$AA$226,M$2,FALSE)=0,"",VLOOKUP($A76,'Pre-Assessment Estimator'!$A$10:$AA$226,M$2,FALSE))</f>
        <v/>
      </c>
      <c r="N76" s="511"/>
      <c r="O76" s="512" t="str">
        <f>IF(VLOOKUP($A76,'Pre-Assessment Estimator'!$A$10:$AA$226,O$2,FALSE)=0,"",VLOOKUP($A76,'Pre-Assessment Estimator'!$A$10:$AA$226,O$2,FALSE))</f>
        <v/>
      </c>
      <c r="P76" s="507">
        <f>VLOOKUP($A76,'Pre-Assessment Estimator'!$A$10:$AA$226,P$2,FALSE)</f>
        <v>0</v>
      </c>
      <c r="Q76" s="506" t="str">
        <f>VLOOKUP($A76,'Pre-Assessment Estimator'!$A$10:$AA$226,Q$2,FALSE)</f>
        <v>N/A</v>
      </c>
      <c r="R76" s="509" t="str">
        <f>IF(VLOOKUP($A76,'Pre-Assessment Estimator'!$A$10:$AA$226,R$2,FALSE)=0,"",VLOOKUP($A76,'Pre-Assessment Estimator'!$A$10:$AA$226,R$2,FALSE))</f>
        <v/>
      </c>
      <c r="S76" s="509" t="str">
        <f>IF(VLOOKUP($A76,'Pre-Assessment Estimator'!$A$10:$AA$226,S$2,FALSE)=0,"",VLOOKUP($A76,'Pre-Assessment Estimator'!$A$10:$AA$226,S$2,FALSE))</f>
        <v/>
      </c>
      <c r="T76" s="510" t="str">
        <f>IF(VLOOKUP($A76,'Pre-Assessment Estimator'!$A$10:$AA$226,T$2,FALSE)=0,"",VLOOKUP($A76,'Pre-Assessment Estimator'!$A$10:$AA$226,T$2,FALSE))</f>
        <v/>
      </c>
      <c r="U76" s="513"/>
      <c r="V76" s="512" t="str">
        <f>IF(VLOOKUP($A76,'Pre-Assessment Estimator'!$A$10:$AA$226,V$2,FALSE)=0,"",VLOOKUP($A76,'Pre-Assessment Estimator'!$A$10:$AA$226,V$2,FALSE))</f>
        <v/>
      </c>
      <c r="W76" s="507">
        <f>VLOOKUP($A76,'Pre-Assessment Estimator'!$A$10:$AA$226,W$2,FALSE)</f>
        <v>0</v>
      </c>
      <c r="X76" s="506" t="str">
        <f>VLOOKUP($A76,'Pre-Assessment Estimator'!$A$10:$AA$226,X$2,FALSE)</f>
        <v>N/A</v>
      </c>
      <c r="Y76" s="509" t="str">
        <f>IF(VLOOKUP($A76,'Pre-Assessment Estimator'!$A$10:$AA$226,Y$2,FALSE)=0,"",VLOOKUP($A76,'Pre-Assessment Estimator'!$A$10:$AA$226,Y$2,FALSE))</f>
        <v/>
      </c>
      <c r="Z76" s="509" t="str">
        <f>IF(VLOOKUP($A76,'Pre-Assessment Estimator'!$A$10:$AA$226,Z$2,FALSE)=0,"",VLOOKUP($A76,'Pre-Assessment Estimator'!$A$10:$AA$226,Z$2,FALSE))</f>
        <v/>
      </c>
      <c r="AA76" s="322" t="str">
        <f>IF(VLOOKUP($A76,'Pre-Assessment Estimator'!$A$10:$AA$226,AA$2,FALSE)=0,"",VLOOKUP($A76,'Pre-Assessment Estimator'!$A$10:$AA$226,AA$2,FALSE))</f>
        <v/>
      </c>
      <c r="AB76" s="605">
        <v>66</v>
      </c>
      <c r="AC76" s="509"/>
      <c r="AG76" s="15">
        <f t="shared" si="0"/>
        <v>2</v>
      </c>
    </row>
    <row r="77" spans="1:33" x14ac:dyDescent="0.25">
      <c r="A77" s="716">
        <v>68</v>
      </c>
      <c r="B77" s="1022" t="s">
        <v>65</v>
      </c>
      <c r="C77" s="1022"/>
      <c r="D77" s="1043" t="str">
        <f>VLOOKUP($A77,'Pre-Assessment Estimator'!$A$10:$AA$226,D$2,FALSE)</f>
        <v>Ene 03</v>
      </c>
      <c r="E77" s="1044"/>
      <c r="F77" s="1043" t="str">
        <f>VLOOKUP($A77,'Pre-Assessment Estimator'!$A$10:$AA$226,F$2,FALSE)</f>
        <v>Ene 03 External lighting</v>
      </c>
      <c r="G77" s="506">
        <f>VLOOKUP($A77,'Pre-Assessment Estimator'!$A$10:$AA$226,G$2,FALSE)</f>
        <v>1</v>
      </c>
      <c r="H77" s="512" t="str">
        <f>IF(VLOOKUP($A77,'Pre-Assessment Estimator'!$A$10:$AA$226,H$2,FALSE)=0,"",VLOOKUP($A77,'Pre-Assessment Estimator'!$A$10:$AA$226,H$2,FALSE))</f>
        <v/>
      </c>
      <c r="I77" s="1012" t="str">
        <f>VLOOKUP($A77,'Pre-Assessment Estimator'!$A$10:$AA$226,I$2,FALSE)</f>
        <v>0 c. 0 %</v>
      </c>
      <c r="J77" s="508" t="str">
        <f>VLOOKUP($A77,'Pre-Assessment Estimator'!$A$10:$AA$226,J$2,FALSE)</f>
        <v>N/A</v>
      </c>
      <c r="K77" s="509" t="str">
        <f>IF(VLOOKUP($A77,'Pre-Assessment Estimator'!$A$10:$AA$226,K$2,FALSE)=0,"",VLOOKUP($A77,'Pre-Assessment Estimator'!$A$10:$AA$226,K$2,FALSE))</f>
        <v/>
      </c>
      <c r="L77" s="509" t="str">
        <f>IF(VLOOKUP($A77,'Pre-Assessment Estimator'!$A$10:$AA$226,L$2,FALSE)=0,"",VLOOKUP($A77,'Pre-Assessment Estimator'!$A$10:$AA$226,L$2,FALSE))</f>
        <v/>
      </c>
      <c r="M77" s="510" t="str">
        <f>IF(VLOOKUP($A77,'Pre-Assessment Estimator'!$A$10:$AA$226,M$2,FALSE)=0,"",VLOOKUP($A77,'Pre-Assessment Estimator'!$A$10:$AA$226,M$2,FALSE))</f>
        <v/>
      </c>
      <c r="N77" s="511"/>
      <c r="O77" s="512" t="str">
        <f>IF(VLOOKUP($A77,'Pre-Assessment Estimator'!$A$10:$AA$226,O$2,FALSE)=0,"",VLOOKUP($A77,'Pre-Assessment Estimator'!$A$10:$AA$226,O$2,FALSE))</f>
        <v/>
      </c>
      <c r="P77" s="507" t="str">
        <f>VLOOKUP($A77,'Pre-Assessment Estimator'!$A$10:$AA$226,P$2,FALSE)</f>
        <v>0 c. 0 %</v>
      </c>
      <c r="Q77" s="506" t="str">
        <f>VLOOKUP($A77,'Pre-Assessment Estimator'!$A$10:$AA$226,Q$2,FALSE)</f>
        <v>N/A</v>
      </c>
      <c r="R77" s="509" t="str">
        <f>IF(VLOOKUP($A77,'Pre-Assessment Estimator'!$A$10:$AA$226,R$2,FALSE)=0,"",VLOOKUP($A77,'Pre-Assessment Estimator'!$A$10:$AA$226,R$2,FALSE))</f>
        <v/>
      </c>
      <c r="S77" s="509" t="str">
        <f>IF(VLOOKUP($A77,'Pre-Assessment Estimator'!$A$10:$AA$226,S$2,FALSE)=0,"",VLOOKUP($A77,'Pre-Assessment Estimator'!$A$10:$AA$226,S$2,FALSE))</f>
        <v/>
      </c>
      <c r="T77" s="510" t="str">
        <f>IF(VLOOKUP($A77,'Pre-Assessment Estimator'!$A$10:$AA$226,T$2,FALSE)=0,"",VLOOKUP($A77,'Pre-Assessment Estimator'!$A$10:$AA$226,T$2,FALSE))</f>
        <v/>
      </c>
      <c r="U77" s="513"/>
      <c r="V77" s="512" t="str">
        <f>IF(VLOOKUP($A77,'Pre-Assessment Estimator'!$A$10:$AA$226,V$2,FALSE)=0,"",VLOOKUP($A77,'Pre-Assessment Estimator'!$A$10:$AA$226,V$2,FALSE))</f>
        <v/>
      </c>
      <c r="W77" s="507" t="str">
        <f>VLOOKUP($A77,'Pre-Assessment Estimator'!$A$10:$AA$226,W$2,FALSE)</f>
        <v>0 c. 0 %</v>
      </c>
      <c r="X77" s="506" t="str">
        <f>VLOOKUP($A77,'Pre-Assessment Estimator'!$A$10:$AA$226,X$2,FALSE)</f>
        <v>N/A</v>
      </c>
      <c r="Y77" s="509" t="str">
        <f>IF(VLOOKUP($A77,'Pre-Assessment Estimator'!$A$10:$AA$226,Y$2,FALSE)=0,"",VLOOKUP($A77,'Pre-Assessment Estimator'!$A$10:$AA$226,Y$2,FALSE))</f>
        <v/>
      </c>
      <c r="Z77" s="509" t="str">
        <f>IF(VLOOKUP($A77,'Pre-Assessment Estimator'!$A$10:$AA$226,Z$2,FALSE)=0,"",VLOOKUP($A77,'Pre-Assessment Estimator'!$A$10:$AA$226,Z$2,FALSE))</f>
        <v/>
      </c>
      <c r="AA77" s="322" t="str">
        <f>IF(VLOOKUP($A77,'Pre-Assessment Estimator'!$A$10:$AA$226,AA$2,FALSE)=0,"",VLOOKUP($A77,'Pre-Assessment Estimator'!$A$10:$AA$226,AA$2,FALSE))</f>
        <v/>
      </c>
      <c r="AB77" s="605">
        <v>67</v>
      </c>
      <c r="AC77" s="509"/>
      <c r="AG77" s="15">
        <f t="shared" si="0"/>
        <v>1</v>
      </c>
    </row>
    <row r="78" spans="1:33" x14ac:dyDescent="0.25">
      <c r="A78" s="716">
        <v>69</v>
      </c>
      <c r="B78" s="1022" t="s">
        <v>65</v>
      </c>
      <c r="C78" s="1022"/>
      <c r="D78" s="1044" t="str">
        <f>VLOOKUP($A78,'Pre-Assessment Estimator'!$A$10:$AA$226,D$2,FALSE)</f>
        <v>Ene 03</v>
      </c>
      <c r="E78" s="1044">
        <f>VLOOKUP($A78,'Pre-Assessment Estimator'!$A$10:$AA$226,E$2,FALSE)</f>
        <v>1</v>
      </c>
      <c r="F78" s="1045" t="str">
        <f>VLOOKUP($A78,'Pre-Assessment Estimator'!$A$10:$AA$226,F$2,FALSE)</f>
        <v>No external lighting within the construction zone</v>
      </c>
      <c r="G78" s="506">
        <f>VLOOKUP($A78,'Pre-Assessment Estimator'!$A$10:$AA$226,G$2,FALSE)</f>
        <v>1</v>
      </c>
      <c r="H78" s="512" t="str">
        <f>IF(VLOOKUP($A78,'Pre-Assessment Estimator'!$A$10:$AA$226,H$2,FALSE)=0,"",VLOOKUP($A78,'Pre-Assessment Estimator'!$A$10:$AA$226,H$2,FALSE))</f>
        <v/>
      </c>
      <c r="I78" s="1012">
        <f>VLOOKUP($A78,'Pre-Assessment Estimator'!$A$10:$AA$226,I$2,FALSE)</f>
        <v>0</v>
      </c>
      <c r="J78" s="508" t="str">
        <f>VLOOKUP($A78,'Pre-Assessment Estimator'!$A$10:$AA$226,J$2,FALSE)</f>
        <v>N/A</v>
      </c>
      <c r="K78" s="509" t="str">
        <f>IF(VLOOKUP($A78,'Pre-Assessment Estimator'!$A$10:$AA$226,K$2,FALSE)=0,"",VLOOKUP($A78,'Pre-Assessment Estimator'!$A$10:$AA$226,K$2,FALSE))</f>
        <v/>
      </c>
      <c r="L78" s="509" t="str">
        <f>IF(VLOOKUP($A78,'Pre-Assessment Estimator'!$A$10:$AA$226,L$2,FALSE)=0,"",VLOOKUP($A78,'Pre-Assessment Estimator'!$A$10:$AA$226,L$2,FALSE))</f>
        <v/>
      </c>
      <c r="M78" s="510" t="str">
        <f>IF(VLOOKUP($A78,'Pre-Assessment Estimator'!$A$10:$AA$226,M$2,FALSE)=0,"",VLOOKUP($A78,'Pre-Assessment Estimator'!$A$10:$AA$226,M$2,FALSE))</f>
        <v/>
      </c>
      <c r="N78" s="511"/>
      <c r="O78" s="512" t="str">
        <f>IF(VLOOKUP($A78,'Pre-Assessment Estimator'!$A$10:$AA$226,O$2,FALSE)=0,"",VLOOKUP($A78,'Pre-Assessment Estimator'!$A$10:$AA$226,O$2,FALSE))</f>
        <v/>
      </c>
      <c r="P78" s="507">
        <f>VLOOKUP($A78,'Pre-Assessment Estimator'!$A$10:$AA$226,P$2,FALSE)</f>
        <v>0</v>
      </c>
      <c r="Q78" s="506" t="str">
        <f>VLOOKUP($A78,'Pre-Assessment Estimator'!$A$10:$AA$226,Q$2,FALSE)</f>
        <v>N/A</v>
      </c>
      <c r="R78" s="509" t="str">
        <f>IF(VLOOKUP($A78,'Pre-Assessment Estimator'!$A$10:$AA$226,R$2,FALSE)=0,"",VLOOKUP($A78,'Pre-Assessment Estimator'!$A$10:$AA$226,R$2,FALSE))</f>
        <v/>
      </c>
      <c r="S78" s="509" t="str">
        <f>IF(VLOOKUP($A78,'Pre-Assessment Estimator'!$A$10:$AA$226,S$2,FALSE)=0,"",VLOOKUP($A78,'Pre-Assessment Estimator'!$A$10:$AA$226,S$2,FALSE))</f>
        <v/>
      </c>
      <c r="T78" s="510" t="str">
        <f>IF(VLOOKUP($A78,'Pre-Assessment Estimator'!$A$10:$AA$226,T$2,FALSE)=0,"",VLOOKUP($A78,'Pre-Assessment Estimator'!$A$10:$AA$226,T$2,FALSE))</f>
        <v/>
      </c>
      <c r="U78" s="513"/>
      <c r="V78" s="512" t="str">
        <f>IF(VLOOKUP($A78,'Pre-Assessment Estimator'!$A$10:$AA$226,V$2,FALSE)=0,"",VLOOKUP($A78,'Pre-Assessment Estimator'!$A$10:$AA$226,V$2,FALSE))</f>
        <v/>
      </c>
      <c r="W78" s="507">
        <f>VLOOKUP($A78,'Pre-Assessment Estimator'!$A$10:$AA$226,W$2,FALSE)</f>
        <v>0</v>
      </c>
      <c r="X78" s="506" t="str">
        <f>VLOOKUP($A78,'Pre-Assessment Estimator'!$A$10:$AA$226,X$2,FALSE)</f>
        <v>N/A</v>
      </c>
      <c r="Y78" s="509" t="str">
        <f>IF(VLOOKUP($A78,'Pre-Assessment Estimator'!$A$10:$AA$226,Y$2,FALSE)=0,"",VLOOKUP($A78,'Pre-Assessment Estimator'!$A$10:$AA$226,Y$2,FALSE))</f>
        <v/>
      </c>
      <c r="Z78" s="509" t="str">
        <f>IF(VLOOKUP($A78,'Pre-Assessment Estimator'!$A$10:$AA$226,Z$2,FALSE)=0,"",VLOOKUP($A78,'Pre-Assessment Estimator'!$A$10:$AA$226,Z$2,FALSE))</f>
        <v/>
      </c>
      <c r="AA78" s="322" t="str">
        <f>IF(VLOOKUP($A78,'Pre-Assessment Estimator'!$A$10:$AA$226,AA$2,FALSE)=0,"",VLOOKUP($A78,'Pre-Assessment Estimator'!$A$10:$AA$226,AA$2,FALSE))</f>
        <v/>
      </c>
      <c r="AB78" s="605">
        <v>68</v>
      </c>
      <c r="AC78" s="509"/>
      <c r="AG78" s="15">
        <f t="shared" si="0"/>
        <v>1</v>
      </c>
    </row>
    <row r="79" spans="1:33" x14ac:dyDescent="0.25">
      <c r="A79" s="716">
        <v>70</v>
      </c>
      <c r="B79" s="1022" t="s">
        <v>65</v>
      </c>
      <c r="C79" s="1022"/>
      <c r="D79" s="1044" t="str">
        <f>VLOOKUP($A79,'Pre-Assessment Estimator'!$A$10:$AA$226,D$2,FALSE)</f>
        <v>Ene 03</v>
      </c>
      <c r="E79" s="1044">
        <f>VLOOKUP($A79,'Pre-Assessment Estimator'!$A$10:$AA$226,E$2,FALSE)</f>
        <v>2</v>
      </c>
      <c r="F79" s="1045" t="str">
        <f>VLOOKUP($A79,'Pre-Assessment Estimator'!$A$10:$AA$226,F$2,FALSE)</f>
        <v>External lighting within the construction zone</v>
      </c>
      <c r="G79" s="506">
        <f>VLOOKUP($A79,'Pre-Assessment Estimator'!$A$10:$AA$226,G$2,FALSE)</f>
        <v>0</v>
      </c>
      <c r="H79" s="512" t="str">
        <f>IF(VLOOKUP($A79,'Pre-Assessment Estimator'!$A$10:$AA$226,H$2,FALSE)=0,"",VLOOKUP($A79,'Pre-Assessment Estimator'!$A$10:$AA$226,H$2,FALSE))</f>
        <v/>
      </c>
      <c r="I79" s="1012">
        <f>VLOOKUP($A79,'Pre-Assessment Estimator'!$A$10:$AA$226,I$2,FALSE)</f>
        <v>0</v>
      </c>
      <c r="J79" s="508" t="str">
        <f>VLOOKUP($A79,'Pre-Assessment Estimator'!$A$10:$AA$226,J$2,FALSE)</f>
        <v>N/A</v>
      </c>
      <c r="K79" s="509" t="str">
        <f>IF(VLOOKUP($A79,'Pre-Assessment Estimator'!$A$10:$AA$226,K$2,FALSE)=0,"",VLOOKUP($A79,'Pre-Assessment Estimator'!$A$10:$AA$226,K$2,FALSE))</f>
        <v/>
      </c>
      <c r="L79" s="509" t="str">
        <f>IF(VLOOKUP($A79,'Pre-Assessment Estimator'!$A$10:$AA$226,L$2,FALSE)=0,"",VLOOKUP($A79,'Pre-Assessment Estimator'!$A$10:$AA$226,L$2,FALSE))</f>
        <v/>
      </c>
      <c r="M79" s="510" t="str">
        <f>IF(VLOOKUP($A79,'Pre-Assessment Estimator'!$A$10:$AA$226,M$2,FALSE)=0,"",VLOOKUP($A79,'Pre-Assessment Estimator'!$A$10:$AA$226,M$2,FALSE))</f>
        <v/>
      </c>
      <c r="N79" s="511"/>
      <c r="O79" s="512" t="str">
        <f>IF(VLOOKUP($A79,'Pre-Assessment Estimator'!$A$10:$AA$226,O$2,FALSE)=0,"",VLOOKUP($A79,'Pre-Assessment Estimator'!$A$10:$AA$226,O$2,FALSE))</f>
        <v/>
      </c>
      <c r="P79" s="507">
        <f>VLOOKUP($A79,'Pre-Assessment Estimator'!$A$10:$AA$226,P$2,FALSE)</f>
        <v>0</v>
      </c>
      <c r="Q79" s="506" t="str">
        <f>VLOOKUP($A79,'Pre-Assessment Estimator'!$A$10:$AA$226,Q$2,FALSE)</f>
        <v>N/A</v>
      </c>
      <c r="R79" s="509" t="str">
        <f>IF(VLOOKUP($A79,'Pre-Assessment Estimator'!$A$10:$AA$226,R$2,FALSE)=0,"",VLOOKUP($A79,'Pre-Assessment Estimator'!$A$10:$AA$226,R$2,FALSE))</f>
        <v/>
      </c>
      <c r="S79" s="509" t="str">
        <f>IF(VLOOKUP($A79,'Pre-Assessment Estimator'!$A$10:$AA$226,S$2,FALSE)=0,"",VLOOKUP($A79,'Pre-Assessment Estimator'!$A$10:$AA$226,S$2,FALSE))</f>
        <v/>
      </c>
      <c r="T79" s="510" t="str">
        <f>IF(VLOOKUP($A79,'Pre-Assessment Estimator'!$A$10:$AA$226,T$2,FALSE)=0,"",VLOOKUP($A79,'Pre-Assessment Estimator'!$A$10:$AA$226,T$2,FALSE))</f>
        <v/>
      </c>
      <c r="U79" s="513"/>
      <c r="V79" s="512" t="str">
        <f>IF(VLOOKUP($A79,'Pre-Assessment Estimator'!$A$10:$AA$226,V$2,FALSE)=0,"",VLOOKUP($A79,'Pre-Assessment Estimator'!$A$10:$AA$226,V$2,FALSE))</f>
        <v/>
      </c>
      <c r="W79" s="507">
        <f>VLOOKUP($A79,'Pre-Assessment Estimator'!$A$10:$AA$226,W$2,FALSE)</f>
        <v>0</v>
      </c>
      <c r="X79" s="506" t="str">
        <f>VLOOKUP($A79,'Pre-Assessment Estimator'!$A$10:$AA$226,X$2,FALSE)</f>
        <v>N/A</v>
      </c>
      <c r="Y79" s="509" t="str">
        <f>IF(VLOOKUP($A79,'Pre-Assessment Estimator'!$A$10:$AA$226,Y$2,FALSE)=0,"",VLOOKUP($A79,'Pre-Assessment Estimator'!$A$10:$AA$226,Y$2,FALSE))</f>
        <v/>
      </c>
      <c r="Z79" s="509" t="str">
        <f>IF(VLOOKUP($A79,'Pre-Assessment Estimator'!$A$10:$AA$226,Z$2,FALSE)=0,"",VLOOKUP($A79,'Pre-Assessment Estimator'!$A$10:$AA$226,Z$2,FALSE))</f>
        <v/>
      </c>
      <c r="AA79" s="322" t="str">
        <f>IF(VLOOKUP($A79,'Pre-Assessment Estimator'!$A$10:$AA$226,AA$2,FALSE)=0,"",VLOOKUP($A79,'Pre-Assessment Estimator'!$A$10:$AA$226,AA$2,FALSE))</f>
        <v/>
      </c>
      <c r="AB79" s="605">
        <v>69</v>
      </c>
      <c r="AC79" s="509"/>
      <c r="AG79" s="15">
        <f t="shared" si="0"/>
        <v>2</v>
      </c>
    </row>
    <row r="80" spans="1:33" x14ac:dyDescent="0.25">
      <c r="A80" s="716">
        <v>71</v>
      </c>
      <c r="B80" s="1022" t="s">
        <v>65</v>
      </c>
      <c r="C80" s="1022"/>
      <c r="D80" s="1043" t="str">
        <f>VLOOKUP($A80,'Pre-Assessment Estimator'!$A$10:$AA$226,D$2,FALSE)</f>
        <v>Ene 05</v>
      </c>
      <c r="E80" s="1044"/>
      <c r="F80" s="1043" t="str">
        <f>VLOOKUP($A80,'Pre-Assessment Estimator'!$A$10:$AA$226,F$2,FALSE)</f>
        <v>Ene 05 Energy efficient cold storage</v>
      </c>
      <c r="G80" s="506">
        <f>VLOOKUP($A80,'Pre-Assessment Estimator'!$A$10:$AA$226,G$2,FALSE)</f>
        <v>2</v>
      </c>
      <c r="H80" s="512" t="str">
        <f>IF(VLOOKUP($A80,'Pre-Assessment Estimator'!$A$10:$AA$226,H$2,FALSE)=0,"",VLOOKUP($A80,'Pre-Assessment Estimator'!$A$10:$AA$226,H$2,FALSE))</f>
        <v/>
      </c>
      <c r="I80" s="1012" t="str">
        <f>VLOOKUP($A80,'Pre-Assessment Estimator'!$A$10:$AA$226,I$2,FALSE)</f>
        <v>0 c. 0 %</v>
      </c>
      <c r="J80" s="508" t="str">
        <f>VLOOKUP($A80,'Pre-Assessment Estimator'!$A$10:$AA$226,J$2,FALSE)</f>
        <v>N/A</v>
      </c>
      <c r="K80" s="509" t="str">
        <f>IF(VLOOKUP($A80,'Pre-Assessment Estimator'!$A$10:$AA$226,K$2,FALSE)=0,"",VLOOKUP($A80,'Pre-Assessment Estimator'!$A$10:$AA$226,K$2,FALSE))</f>
        <v/>
      </c>
      <c r="L80" s="509" t="str">
        <f>IF(VLOOKUP($A80,'Pre-Assessment Estimator'!$A$10:$AA$226,L$2,FALSE)=0,"",VLOOKUP($A80,'Pre-Assessment Estimator'!$A$10:$AA$226,L$2,FALSE))</f>
        <v/>
      </c>
      <c r="M80" s="510" t="str">
        <f>IF(VLOOKUP($A80,'Pre-Assessment Estimator'!$A$10:$AA$226,M$2,FALSE)=0,"",VLOOKUP($A80,'Pre-Assessment Estimator'!$A$10:$AA$226,M$2,FALSE))</f>
        <v/>
      </c>
      <c r="N80" s="511"/>
      <c r="O80" s="512" t="str">
        <f>IF(VLOOKUP($A80,'Pre-Assessment Estimator'!$A$10:$AA$226,O$2,FALSE)=0,"",VLOOKUP($A80,'Pre-Assessment Estimator'!$A$10:$AA$226,O$2,FALSE))</f>
        <v/>
      </c>
      <c r="P80" s="507" t="str">
        <f>VLOOKUP($A80,'Pre-Assessment Estimator'!$A$10:$AA$226,P$2,FALSE)</f>
        <v>0 c. 0 %</v>
      </c>
      <c r="Q80" s="506" t="str">
        <f>VLOOKUP($A80,'Pre-Assessment Estimator'!$A$10:$AA$226,Q$2,FALSE)</f>
        <v>N/A</v>
      </c>
      <c r="R80" s="509" t="str">
        <f>IF(VLOOKUP($A80,'Pre-Assessment Estimator'!$A$10:$AA$226,R$2,FALSE)=0,"",VLOOKUP($A80,'Pre-Assessment Estimator'!$A$10:$AA$226,R$2,FALSE))</f>
        <v/>
      </c>
      <c r="S80" s="509" t="str">
        <f>IF(VLOOKUP($A80,'Pre-Assessment Estimator'!$A$10:$AA$226,S$2,FALSE)=0,"",VLOOKUP($A80,'Pre-Assessment Estimator'!$A$10:$AA$226,S$2,FALSE))</f>
        <v/>
      </c>
      <c r="T80" s="510" t="str">
        <f>IF(VLOOKUP($A80,'Pre-Assessment Estimator'!$A$10:$AA$226,T$2,FALSE)=0,"",VLOOKUP($A80,'Pre-Assessment Estimator'!$A$10:$AA$226,T$2,FALSE))</f>
        <v/>
      </c>
      <c r="U80" s="513"/>
      <c r="V80" s="512" t="str">
        <f>IF(VLOOKUP($A80,'Pre-Assessment Estimator'!$A$10:$AA$226,V$2,FALSE)=0,"",VLOOKUP($A80,'Pre-Assessment Estimator'!$A$10:$AA$226,V$2,FALSE))</f>
        <v/>
      </c>
      <c r="W80" s="507" t="str">
        <f>VLOOKUP($A80,'Pre-Assessment Estimator'!$A$10:$AA$226,W$2,FALSE)</f>
        <v>0 c. 0 %</v>
      </c>
      <c r="X80" s="506" t="str">
        <f>VLOOKUP($A80,'Pre-Assessment Estimator'!$A$10:$AA$226,X$2,FALSE)</f>
        <v>N/A</v>
      </c>
      <c r="Y80" s="509" t="str">
        <f>IF(VLOOKUP($A80,'Pre-Assessment Estimator'!$A$10:$AA$226,Y$2,FALSE)=0,"",VLOOKUP($A80,'Pre-Assessment Estimator'!$A$10:$AA$226,Y$2,FALSE))</f>
        <v/>
      </c>
      <c r="Z80" s="509" t="str">
        <f>IF(VLOOKUP($A80,'Pre-Assessment Estimator'!$A$10:$AA$226,Z$2,FALSE)=0,"",VLOOKUP($A80,'Pre-Assessment Estimator'!$A$10:$AA$226,Z$2,FALSE))</f>
        <v/>
      </c>
      <c r="AA80" s="322" t="str">
        <f>IF(VLOOKUP($A80,'Pre-Assessment Estimator'!$A$10:$AA$226,AA$2,FALSE)=0,"",VLOOKUP($A80,'Pre-Assessment Estimator'!$A$10:$AA$226,AA$2,FALSE))</f>
        <v/>
      </c>
      <c r="AB80" s="605">
        <v>70</v>
      </c>
      <c r="AC80" s="509"/>
      <c r="AG80" s="15">
        <f t="shared" si="0"/>
        <v>1</v>
      </c>
    </row>
    <row r="81" spans="1:33" x14ac:dyDescent="0.25">
      <c r="A81" s="716">
        <v>72</v>
      </c>
      <c r="B81" s="1022" t="s">
        <v>65</v>
      </c>
      <c r="C81" s="1022"/>
      <c r="D81" s="1044" t="str">
        <f>VLOOKUP($A81,'Pre-Assessment Estimator'!$A$10:$AA$226,D$2,FALSE)</f>
        <v>Ene 05</v>
      </c>
      <c r="E81" s="1044" t="str">
        <f>VLOOKUP($A81,'Pre-Assessment Estimator'!$A$10:$AA$226,E$2,FALSE)</f>
        <v>1-2</v>
      </c>
      <c r="F81" s="1045" t="str">
        <f>VLOOKUP($A81,'Pre-Assessment Estimator'!$A$10:$AA$226,F$2,FALSE)</f>
        <v xml:space="preserve">Design of energy efficient refrigeration- and freezing room </v>
      </c>
      <c r="G81" s="506">
        <f>VLOOKUP($A81,'Pre-Assessment Estimator'!$A$10:$AA$226,G$2,FALSE)</f>
        <v>1</v>
      </c>
      <c r="H81" s="512" t="str">
        <f>IF(VLOOKUP($A81,'Pre-Assessment Estimator'!$A$10:$AA$226,H$2,FALSE)=0,"",VLOOKUP($A81,'Pre-Assessment Estimator'!$A$10:$AA$226,H$2,FALSE))</f>
        <v/>
      </c>
      <c r="I81" s="1012">
        <f>VLOOKUP($A81,'Pre-Assessment Estimator'!$A$10:$AA$226,I$2,FALSE)</f>
        <v>0</v>
      </c>
      <c r="J81" s="508" t="str">
        <f>VLOOKUP($A81,'Pre-Assessment Estimator'!$A$10:$AA$226,J$2,FALSE)</f>
        <v>N/A</v>
      </c>
      <c r="K81" s="509" t="str">
        <f>IF(VLOOKUP($A81,'Pre-Assessment Estimator'!$A$10:$AA$226,K$2,FALSE)=0,"",VLOOKUP($A81,'Pre-Assessment Estimator'!$A$10:$AA$226,K$2,FALSE))</f>
        <v/>
      </c>
      <c r="L81" s="509" t="str">
        <f>IF(VLOOKUP($A81,'Pre-Assessment Estimator'!$A$10:$AA$226,L$2,FALSE)=0,"",VLOOKUP($A81,'Pre-Assessment Estimator'!$A$10:$AA$226,L$2,FALSE))</f>
        <v/>
      </c>
      <c r="M81" s="510" t="str">
        <f>IF(VLOOKUP($A81,'Pre-Assessment Estimator'!$A$10:$AA$226,M$2,FALSE)=0,"",VLOOKUP($A81,'Pre-Assessment Estimator'!$A$10:$AA$226,M$2,FALSE))</f>
        <v/>
      </c>
      <c r="N81" s="511"/>
      <c r="O81" s="512" t="str">
        <f>IF(VLOOKUP($A81,'Pre-Assessment Estimator'!$A$10:$AA$226,O$2,FALSE)=0,"",VLOOKUP($A81,'Pre-Assessment Estimator'!$A$10:$AA$226,O$2,FALSE))</f>
        <v/>
      </c>
      <c r="P81" s="507">
        <f>VLOOKUP($A81,'Pre-Assessment Estimator'!$A$10:$AA$226,P$2,FALSE)</f>
        <v>0</v>
      </c>
      <c r="Q81" s="506" t="str">
        <f>VLOOKUP($A81,'Pre-Assessment Estimator'!$A$10:$AA$226,Q$2,FALSE)</f>
        <v>N/A</v>
      </c>
      <c r="R81" s="509" t="str">
        <f>IF(VLOOKUP($A81,'Pre-Assessment Estimator'!$A$10:$AA$226,R$2,FALSE)=0,"",VLOOKUP($A81,'Pre-Assessment Estimator'!$A$10:$AA$226,R$2,FALSE))</f>
        <v/>
      </c>
      <c r="S81" s="509" t="str">
        <f>IF(VLOOKUP($A81,'Pre-Assessment Estimator'!$A$10:$AA$226,S$2,FALSE)=0,"",VLOOKUP($A81,'Pre-Assessment Estimator'!$A$10:$AA$226,S$2,FALSE))</f>
        <v/>
      </c>
      <c r="T81" s="510" t="str">
        <f>IF(VLOOKUP($A81,'Pre-Assessment Estimator'!$A$10:$AA$226,T$2,FALSE)=0,"",VLOOKUP($A81,'Pre-Assessment Estimator'!$A$10:$AA$226,T$2,FALSE))</f>
        <v/>
      </c>
      <c r="U81" s="513"/>
      <c r="V81" s="512" t="str">
        <f>IF(VLOOKUP($A81,'Pre-Assessment Estimator'!$A$10:$AA$226,V$2,FALSE)=0,"",VLOOKUP($A81,'Pre-Assessment Estimator'!$A$10:$AA$226,V$2,FALSE))</f>
        <v/>
      </c>
      <c r="W81" s="507">
        <f>VLOOKUP($A81,'Pre-Assessment Estimator'!$A$10:$AA$226,W$2,FALSE)</f>
        <v>0</v>
      </c>
      <c r="X81" s="506" t="str">
        <f>VLOOKUP($A81,'Pre-Assessment Estimator'!$A$10:$AA$226,X$2,FALSE)</f>
        <v>N/A</v>
      </c>
      <c r="Y81" s="509" t="str">
        <f>IF(VLOOKUP($A81,'Pre-Assessment Estimator'!$A$10:$AA$226,Y$2,FALSE)=0,"",VLOOKUP($A81,'Pre-Assessment Estimator'!$A$10:$AA$226,Y$2,FALSE))</f>
        <v/>
      </c>
      <c r="Z81" s="509" t="str">
        <f>IF(VLOOKUP($A81,'Pre-Assessment Estimator'!$A$10:$AA$226,Z$2,FALSE)=0,"",VLOOKUP($A81,'Pre-Assessment Estimator'!$A$10:$AA$226,Z$2,FALSE))</f>
        <v/>
      </c>
      <c r="AA81" s="322" t="str">
        <f>IF(VLOOKUP($A81,'Pre-Assessment Estimator'!$A$10:$AA$226,AA$2,FALSE)=0,"",VLOOKUP($A81,'Pre-Assessment Estimator'!$A$10:$AA$226,AA$2,FALSE))</f>
        <v/>
      </c>
      <c r="AB81" s="605">
        <v>71</v>
      </c>
      <c r="AC81" s="509"/>
      <c r="AG81" s="15">
        <f t="shared" si="0"/>
        <v>1</v>
      </c>
    </row>
    <row r="82" spans="1:33" x14ac:dyDescent="0.25">
      <c r="A82" s="716">
        <v>73</v>
      </c>
      <c r="B82" s="1022" t="s">
        <v>65</v>
      </c>
      <c r="C82" s="1022"/>
      <c r="D82" s="1044" t="str">
        <f>VLOOKUP($A82,'Pre-Assessment Estimator'!$A$10:$AA$226,D$2,FALSE)</f>
        <v>Ene 05</v>
      </c>
      <c r="E82" s="1044" t="str">
        <f>VLOOKUP($A82,'Pre-Assessment Estimator'!$A$10:$AA$226,E$2,FALSE)</f>
        <v>3-4</v>
      </c>
      <c r="F82" s="1045" t="str">
        <f>VLOOKUP($A82,'Pre-Assessment Estimator'!$A$10:$AA$226,F$2,FALSE)</f>
        <v xml:space="preserve">Indirect greenhouse gas emissions </v>
      </c>
      <c r="G82" s="506">
        <f>VLOOKUP($A82,'Pre-Assessment Estimator'!$A$10:$AA$226,G$2,FALSE)</f>
        <v>1</v>
      </c>
      <c r="H82" s="512" t="str">
        <f>IF(VLOOKUP($A82,'Pre-Assessment Estimator'!$A$10:$AA$226,H$2,FALSE)=0,"",VLOOKUP($A82,'Pre-Assessment Estimator'!$A$10:$AA$226,H$2,FALSE))</f>
        <v/>
      </c>
      <c r="I82" s="1012">
        <f>VLOOKUP($A82,'Pre-Assessment Estimator'!$A$10:$AA$226,I$2,FALSE)</f>
        <v>0</v>
      </c>
      <c r="J82" s="508" t="str">
        <f>VLOOKUP($A82,'Pre-Assessment Estimator'!$A$10:$AA$226,J$2,FALSE)</f>
        <v>N/A</v>
      </c>
      <c r="K82" s="509" t="str">
        <f>IF(VLOOKUP($A82,'Pre-Assessment Estimator'!$A$10:$AA$226,K$2,FALSE)=0,"",VLOOKUP($A82,'Pre-Assessment Estimator'!$A$10:$AA$226,K$2,FALSE))</f>
        <v/>
      </c>
      <c r="L82" s="509" t="str">
        <f>IF(VLOOKUP($A82,'Pre-Assessment Estimator'!$A$10:$AA$226,L$2,FALSE)=0,"",VLOOKUP($A82,'Pre-Assessment Estimator'!$A$10:$AA$226,L$2,FALSE))</f>
        <v/>
      </c>
      <c r="M82" s="510" t="str">
        <f>IF(VLOOKUP($A82,'Pre-Assessment Estimator'!$A$10:$AA$226,M$2,FALSE)=0,"",VLOOKUP($A82,'Pre-Assessment Estimator'!$A$10:$AA$226,M$2,FALSE))</f>
        <v/>
      </c>
      <c r="N82" s="511"/>
      <c r="O82" s="512" t="str">
        <f>IF(VLOOKUP($A82,'Pre-Assessment Estimator'!$A$10:$AA$226,O$2,FALSE)=0,"",VLOOKUP($A82,'Pre-Assessment Estimator'!$A$10:$AA$226,O$2,FALSE))</f>
        <v/>
      </c>
      <c r="P82" s="507">
        <f>VLOOKUP($A82,'Pre-Assessment Estimator'!$A$10:$AA$226,P$2,FALSE)</f>
        <v>0</v>
      </c>
      <c r="Q82" s="506" t="str">
        <f>VLOOKUP($A82,'Pre-Assessment Estimator'!$A$10:$AA$226,Q$2,FALSE)</f>
        <v>N/A</v>
      </c>
      <c r="R82" s="509" t="str">
        <f>IF(VLOOKUP($A82,'Pre-Assessment Estimator'!$A$10:$AA$226,R$2,FALSE)=0,"",VLOOKUP($A82,'Pre-Assessment Estimator'!$A$10:$AA$226,R$2,FALSE))</f>
        <v/>
      </c>
      <c r="S82" s="509" t="str">
        <f>IF(VLOOKUP($A82,'Pre-Assessment Estimator'!$A$10:$AA$226,S$2,FALSE)=0,"",VLOOKUP($A82,'Pre-Assessment Estimator'!$A$10:$AA$226,S$2,FALSE))</f>
        <v/>
      </c>
      <c r="T82" s="510" t="str">
        <f>IF(VLOOKUP($A82,'Pre-Assessment Estimator'!$A$10:$AA$226,T$2,FALSE)=0,"",VLOOKUP($A82,'Pre-Assessment Estimator'!$A$10:$AA$226,T$2,FALSE))</f>
        <v/>
      </c>
      <c r="U82" s="513"/>
      <c r="V82" s="512" t="str">
        <f>IF(VLOOKUP($A82,'Pre-Assessment Estimator'!$A$10:$AA$226,V$2,FALSE)=0,"",VLOOKUP($A82,'Pre-Assessment Estimator'!$A$10:$AA$226,V$2,FALSE))</f>
        <v/>
      </c>
      <c r="W82" s="507">
        <f>VLOOKUP($A82,'Pre-Assessment Estimator'!$A$10:$AA$226,W$2,FALSE)</f>
        <v>0</v>
      </c>
      <c r="X82" s="506" t="str">
        <f>VLOOKUP($A82,'Pre-Assessment Estimator'!$A$10:$AA$226,X$2,FALSE)</f>
        <v>N/A</v>
      </c>
      <c r="Y82" s="509" t="str">
        <f>IF(VLOOKUP($A82,'Pre-Assessment Estimator'!$A$10:$AA$226,Y$2,FALSE)=0,"",VLOOKUP($A82,'Pre-Assessment Estimator'!$A$10:$AA$226,Y$2,FALSE))</f>
        <v/>
      </c>
      <c r="Z82" s="509" t="str">
        <f>IF(VLOOKUP($A82,'Pre-Assessment Estimator'!$A$10:$AA$226,Z$2,FALSE)=0,"",VLOOKUP($A82,'Pre-Assessment Estimator'!$A$10:$AA$226,Z$2,FALSE))</f>
        <v/>
      </c>
      <c r="AA82" s="322" t="str">
        <f>IF(VLOOKUP($A82,'Pre-Assessment Estimator'!$A$10:$AA$226,AA$2,FALSE)=0,"",VLOOKUP($A82,'Pre-Assessment Estimator'!$A$10:$AA$226,AA$2,FALSE))</f>
        <v/>
      </c>
      <c r="AB82" s="605">
        <v>72</v>
      </c>
      <c r="AC82" s="509"/>
      <c r="AG82" s="15">
        <f t="shared" ref="AG82:AG145" si="2">IF(G82="",1,IF(G82=0,2,1))</f>
        <v>1</v>
      </c>
    </row>
    <row r="83" spans="1:33" x14ac:dyDescent="0.25">
      <c r="A83" s="716">
        <v>74</v>
      </c>
      <c r="B83" s="1022" t="s">
        <v>65</v>
      </c>
      <c r="C83" s="1022"/>
      <c r="D83" s="1043" t="str">
        <f>VLOOKUP($A83,'Pre-Assessment Estimator'!$A$10:$AA$226,D$2,FALSE)</f>
        <v>Ene 06</v>
      </c>
      <c r="E83" s="1044"/>
      <c r="F83" s="1043" t="str">
        <f>VLOOKUP($A83,'Pre-Assessment Estimator'!$A$10:$AA$226,F$2,FALSE)</f>
        <v>Ene 06 Energy efficient transportation systems</v>
      </c>
      <c r="G83" s="506">
        <f>VLOOKUP($A83,'Pre-Assessment Estimator'!$A$10:$AA$226,G$2,FALSE)</f>
        <v>3</v>
      </c>
      <c r="H83" s="512" t="str">
        <f>IF(VLOOKUP($A83,'Pre-Assessment Estimator'!$A$10:$AA$226,H$2,FALSE)=0,"",VLOOKUP($A83,'Pre-Assessment Estimator'!$A$10:$AA$226,H$2,FALSE))</f>
        <v/>
      </c>
      <c r="I83" s="1012" t="str">
        <f>VLOOKUP($A83,'Pre-Assessment Estimator'!$A$10:$AA$226,I$2,FALSE)</f>
        <v>0 c. 0 %</v>
      </c>
      <c r="J83" s="508" t="str">
        <f>VLOOKUP($A83,'Pre-Assessment Estimator'!$A$10:$AA$226,J$2,FALSE)</f>
        <v>N/A</v>
      </c>
      <c r="K83" s="509" t="str">
        <f>IF(VLOOKUP($A83,'Pre-Assessment Estimator'!$A$10:$AA$226,K$2,FALSE)=0,"",VLOOKUP($A83,'Pre-Assessment Estimator'!$A$10:$AA$226,K$2,FALSE))</f>
        <v/>
      </c>
      <c r="L83" s="509" t="str">
        <f>IF(VLOOKUP($A83,'Pre-Assessment Estimator'!$A$10:$AA$226,L$2,FALSE)=0,"",VLOOKUP($A83,'Pre-Assessment Estimator'!$A$10:$AA$226,L$2,FALSE))</f>
        <v/>
      </c>
      <c r="M83" s="510" t="str">
        <f>IF(VLOOKUP($A83,'Pre-Assessment Estimator'!$A$10:$AA$226,M$2,FALSE)=0,"",VLOOKUP($A83,'Pre-Assessment Estimator'!$A$10:$AA$226,M$2,FALSE))</f>
        <v/>
      </c>
      <c r="N83" s="511"/>
      <c r="O83" s="512" t="str">
        <f>IF(VLOOKUP($A83,'Pre-Assessment Estimator'!$A$10:$AA$226,O$2,FALSE)=0,"",VLOOKUP($A83,'Pre-Assessment Estimator'!$A$10:$AA$226,O$2,FALSE))</f>
        <v/>
      </c>
      <c r="P83" s="507" t="str">
        <f>VLOOKUP($A83,'Pre-Assessment Estimator'!$A$10:$AA$226,P$2,FALSE)</f>
        <v>0 c. 0 %</v>
      </c>
      <c r="Q83" s="506" t="str">
        <f>VLOOKUP($A83,'Pre-Assessment Estimator'!$A$10:$AA$226,Q$2,FALSE)</f>
        <v>N/A</v>
      </c>
      <c r="R83" s="509" t="str">
        <f>IF(VLOOKUP($A83,'Pre-Assessment Estimator'!$A$10:$AA$226,R$2,FALSE)=0,"",VLOOKUP($A83,'Pre-Assessment Estimator'!$A$10:$AA$226,R$2,FALSE))</f>
        <v/>
      </c>
      <c r="S83" s="509" t="str">
        <f>IF(VLOOKUP($A83,'Pre-Assessment Estimator'!$A$10:$AA$226,S$2,FALSE)=0,"",VLOOKUP($A83,'Pre-Assessment Estimator'!$A$10:$AA$226,S$2,FALSE))</f>
        <v/>
      </c>
      <c r="T83" s="510" t="str">
        <f>IF(VLOOKUP($A83,'Pre-Assessment Estimator'!$A$10:$AA$226,T$2,FALSE)=0,"",VLOOKUP($A83,'Pre-Assessment Estimator'!$A$10:$AA$226,T$2,FALSE))</f>
        <v/>
      </c>
      <c r="U83" s="513"/>
      <c r="V83" s="512" t="str">
        <f>IF(VLOOKUP($A83,'Pre-Assessment Estimator'!$A$10:$AA$226,V$2,FALSE)=0,"",VLOOKUP($A83,'Pre-Assessment Estimator'!$A$10:$AA$226,V$2,FALSE))</f>
        <v/>
      </c>
      <c r="W83" s="507" t="str">
        <f>VLOOKUP($A83,'Pre-Assessment Estimator'!$A$10:$AA$226,W$2,FALSE)</f>
        <v>0 c. 0 %</v>
      </c>
      <c r="X83" s="506" t="str">
        <f>VLOOKUP($A83,'Pre-Assessment Estimator'!$A$10:$AA$226,X$2,FALSE)</f>
        <v>N/A</v>
      </c>
      <c r="Y83" s="509" t="str">
        <f>IF(VLOOKUP($A83,'Pre-Assessment Estimator'!$A$10:$AA$226,Y$2,FALSE)=0,"",VLOOKUP($A83,'Pre-Assessment Estimator'!$A$10:$AA$226,Y$2,FALSE))</f>
        <v/>
      </c>
      <c r="Z83" s="509" t="str">
        <f>IF(VLOOKUP($A83,'Pre-Assessment Estimator'!$A$10:$AA$226,Z$2,FALSE)=0,"",VLOOKUP($A83,'Pre-Assessment Estimator'!$A$10:$AA$226,Z$2,FALSE))</f>
        <v/>
      </c>
      <c r="AA83" s="322" t="str">
        <f>IF(VLOOKUP($A83,'Pre-Assessment Estimator'!$A$10:$AA$226,AA$2,FALSE)=0,"",VLOOKUP($A83,'Pre-Assessment Estimator'!$A$10:$AA$226,AA$2,FALSE))</f>
        <v/>
      </c>
      <c r="AB83" s="605">
        <v>73</v>
      </c>
      <c r="AC83" s="509"/>
      <c r="AG83" s="15">
        <f t="shared" si="2"/>
        <v>1</v>
      </c>
    </row>
    <row r="84" spans="1:33" x14ac:dyDescent="0.25">
      <c r="A84" s="716">
        <v>75</v>
      </c>
      <c r="B84" s="1022" t="s">
        <v>65</v>
      </c>
      <c r="C84" s="1022"/>
      <c r="D84" s="1044" t="str">
        <f>VLOOKUP($A84,'Pre-Assessment Estimator'!$A$10:$AA$226,D$2,FALSE)</f>
        <v>Ene 06</v>
      </c>
      <c r="E84" s="1044">
        <f>VLOOKUP($A84,'Pre-Assessment Estimator'!$A$10:$AA$226,E$2,FALSE)</f>
        <v>1</v>
      </c>
      <c r="F84" s="1045" t="str">
        <f>VLOOKUP($A84,'Pre-Assessment Estimator'!$A$10:$AA$226,F$2,FALSE)</f>
        <v>Transport needs and usage patterns</v>
      </c>
      <c r="G84" s="506">
        <f>VLOOKUP($A84,'Pre-Assessment Estimator'!$A$10:$AA$226,G$2,FALSE)</f>
        <v>1</v>
      </c>
      <c r="H84" s="512" t="str">
        <f>IF(VLOOKUP($A84,'Pre-Assessment Estimator'!$A$10:$AA$226,H$2,FALSE)=0,"",VLOOKUP($A84,'Pre-Assessment Estimator'!$A$10:$AA$226,H$2,FALSE))</f>
        <v/>
      </c>
      <c r="I84" s="1012">
        <f>VLOOKUP($A84,'Pre-Assessment Estimator'!$A$10:$AA$226,I$2,FALSE)</f>
        <v>0</v>
      </c>
      <c r="J84" s="508" t="str">
        <f>VLOOKUP($A84,'Pre-Assessment Estimator'!$A$10:$AA$226,J$2,FALSE)</f>
        <v>N/A</v>
      </c>
      <c r="K84" s="509" t="str">
        <f>IF(VLOOKUP($A84,'Pre-Assessment Estimator'!$A$10:$AA$226,K$2,FALSE)=0,"",VLOOKUP($A84,'Pre-Assessment Estimator'!$A$10:$AA$226,K$2,FALSE))</f>
        <v/>
      </c>
      <c r="L84" s="509" t="str">
        <f>IF(VLOOKUP($A84,'Pre-Assessment Estimator'!$A$10:$AA$226,L$2,FALSE)=0,"",VLOOKUP($A84,'Pre-Assessment Estimator'!$A$10:$AA$226,L$2,FALSE))</f>
        <v/>
      </c>
      <c r="M84" s="510" t="str">
        <f>IF(VLOOKUP($A84,'Pre-Assessment Estimator'!$A$10:$AA$226,M$2,FALSE)=0,"",VLOOKUP($A84,'Pre-Assessment Estimator'!$A$10:$AA$226,M$2,FALSE))</f>
        <v/>
      </c>
      <c r="N84" s="511"/>
      <c r="O84" s="512" t="str">
        <f>IF(VLOOKUP($A84,'Pre-Assessment Estimator'!$A$10:$AA$226,O$2,FALSE)=0,"",VLOOKUP($A84,'Pre-Assessment Estimator'!$A$10:$AA$226,O$2,FALSE))</f>
        <v/>
      </c>
      <c r="P84" s="507">
        <f>VLOOKUP($A84,'Pre-Assessment Estimator'!$A$10:$AA$226,P$2,FALSE)</f>
        <v>0</v>
      </c>
      <c r="Q84" s="506" t="str">
        <f>VLOOKUP($A84,'Pre-Assessment Estimator'!$A$10:$AA$226,Q$2,FALSE)</f>
        <v>N/A</v>
      </c>
      <c r="R84" s="509" t="str">
        <f>IF(VLOOKUP($A84,'Pre-Assessment Estimator'!$A$10:$AA$226,R$2,FALSE)=0,"",VLOOKUP($A84,'Pre-Assessment Estimator'!$A$10:$AA$226,R$2,FALSE))</f>
        <v/>
      </c>
      <c r="S84" s="509" t="str">
        <f>IF(VLOOKUP($A84,'Pre-Assessment Estimator'!$A$10:$AA$226,S$2,FALSE)=0,"",VLOOKUP($A84,'Pre-Assessment Estimator'!$A$10:$AA$226,S$2,FALSE))</f>
        <v/>
      </c>
      <c r="T84" s="510" t="str">
        <f>IF(VLOOKUP($A84,'Pre-Assessment Estimator'!$A$10:$AA$226,T$2,FALSE)=0,"",VLOOKUP($A84,'Pre-Assessment Estimator'!$A$10:$AA$226,T$2,FALSE))</f>
        <v/>
      </c>
      <c r="U84" s="513"/>
      <c r="V84" s="512" t="str">
        <f>IF(VLOOKUP($A84,'Pre-Assessment Estimator'!$A$10:$AA$226,V$2,FALSE)=0,"",VLOOKUP($A84,'Pre-Assessment Estimator'!$A$10:$AA$226,V$2,FALSE))</f>
        <v/>
      </c>
      <c r="W84" s="507">
        <f>VLOOKUP($A84,'Pre-Assessment Estimator'!$A$10:$AA$226,W$2,FALSE)</f>
        <v>0</v>
      </c>
      <c r="X84" s="506" t="str">
        <f>VLOOKUP($A84,'Pre-Assessment Estimator'!$A$10:$AA$226,X$2,FALSE)</f>
        <v>N/A</v>
      </c>
      <c r="Y84" s="509" t="str">
        <f>IF(VLOOKUP($A84,'Pre-Assessment Estimator'!$A$10:$AA$226,Y$2,FALSE)=0,"",VLOOKUP($A84,'Pre-Assessment Estimator'!$A$10:$AA$226,Y$2,FALSE))</f>
        <v/>
      </c>
      <c r="Z84" s="509" t="str">
        <f>IF(VLOOKUP($A84,'Pre-Assessment Estimator'!$A$10:$AA$226,Z$2,FALSE)=0,"",VLOOKUP($A84,'Pre-Assessment Estimator'!$A$10:$AA$226,Z$2,FALSE))</f>
        <v/>
      </c>
      <c r="AA84" s="322" t="str">
        <f>IF(VLOOKUP($A84,'Pre-Assessment Estimator'!$A$10:$AA$226,AA$2,FALSE)=0,"",VLOOKUP($A84,'Pre-Assessment Estimator'!$A$10:$AA$226,AA$2,FALSE))</f>
        <v/>
      </c>
      <c r="AB84" s="605">
        <v>74</v>
      </c>
      <c r="AC84" s="509"/>
      <c r="AG84" s="15">
        <f t="shared" si="2"/>
        <v>1</v>
      </c>
    </row>
    <row r="85" spans="1:33" x14ac:dyDescent="0.25">
      <c r="A85" s="716">
        <v>76</v>
      </c>
      <c r="B85" s="1022" t="s">
        <v>65</v>
      </c>
      <c r="C85" s="1022"/>
      <c r="D85" s="1044" t="str">
        <f>VLOOKUP($A85,'Pre-Assessment Estimator'!$A$10:$AA$226,D$2,FALSE)</f>
        <v>Ene 06</v>
      </c>
      <c r="E85" s="1044" t="str">
        <f>VLOOKUP($A85,'Pre-Assessment Estimator'!$A$10:$AA$226,E$2,FALSE)</f>
        <v>2-5</v>
      </c>
      <c r="F85" s="1045" t="str">
        <f>VLOOKUP($A85,'Pre-Assessment Estimator'!$A$10:$AA$226,F$2,FALSE)</f>
        <v>Energy efficient features: lifts</v>
      </c>
      <c r="G85" s="506">
        <f>VLOOKUP($A85,'Pre-Assessment Estimator'!$A$10:$AA$226,G$2,FALSE)</f>
        <v>1</v>
      </c>
      <c r="H85" s="512" t="str">
        <f>IF(VLOOKUP($A85,'Pre-Assessment Estimator'!$A$10:$AA$226,H$2,FALSE)=0,"",VLOOKUP($A85,'Pre-Assessment Estimator'!$A$10:$AA$226,H$2,FALSE))</f>
        <v/>
      </c>
      <c r="I85" s="1012">
        <f>VLOOKUP($A85,'Pre-Assessment Estimator'!$A$10:$AA$226,I$2,FALSE)</f>
        <v>0</v>
      </c>
      <c r="J85" s="508" t="str">
        <f>VLOOKUP($A85,'Pre-Assessment Estimator'!$A$10:$AA$226,J$2,FALSE)</f>
        <v>N/A</v>
      </c>
      <c r="K85" s="509" t="str">
        <f>IF(VLOOKUP($A85,'Pre-Assessment Estimator'!$A$10:$AA$226,K$2,FALSE)=0,"",VLOOKUP($A85,'Pre-Assessment Estimator'!$A$10:$AA$226,K$2,FALSE))</f>
        <v/>
      </c>
      <c r="L85" s="509" t="str">
        <f>IF(VLOOKUP($A85,'Pre-Assessment Estimator'!$A$10:$AA$226,L$2,FALSE)=0,"",VLOOKUP($A85,'Pre-Assessment Estimator'!$A$10:$AA$226,L$2,FALSE))</f>
        <v/>
      </c>
      <c r="M85" s="510" t="str">
        <f>IF(VLOOKUP($A85,'Pre-Assessment Estimator'!$A$10:$AA$226,M$2,FALSE)=0,"",VLOOKUP($A85,'Pre-Assessment Estimator'!$A$10:$AA$226,M$2,FALSE))</f>
        <v/>
      </c>
      <c r="N85" s="511"/>
      <c r="O85" s="512" t="str">
        <f>IF(VLOOKUP($A85,'Pre-Assessment Estimator'!$A$10:$AA$226,O$2,FALSE)=0,"",VLOOKUP($A85,'Pre-Assessment Estimator'!$A$10:$AA$226,O$2,FALSE))</f>
        <v/>
      </c>
      <c r="P85" s="507">
        <f>VLOOKUP($A85,'Pre-Assessment Estimator'!$A$10:$AA$226,P$2,FALSE)</f>
        <v>0</v>
      </c>
      <c r="Q85" s="506" t="str">
        <f>VLOOKUP($A85,'Pre-Assessment Estimator'!$A$10:$AA$226,Q$2,FALSE)</f>
        <v>N/A</v>
      </c>
      <c r="R85" s="509" t="str">
        <f>IF(VLOOKUP($A85,'Pre-Assessment Estimator'!$A$10:$AA$226,R$2,FALSE)=0,"",VLOOKUP($A85,'Pre-Assessment Estimator'!$A$10:$AA$226,R$2,FALSE))</f>
        <v/>
      </c>
      <c r="S85" s="509" t="str">
        <f>IF(VLOOKUP($A85,'Pre-Assessment Estimator'!$A$10:$AA$226,S$2,FALSE)=0,"",VLOOKUP($A85,'Pre-Assessment Estimator'!$A$10:$AA$226,S$2,FALSE))</f>
        <v/>
      </c>
      <c r="T85" s="510" t="str">
        <f>IF(VLOOKUP($A85,'Pre-Assessment Estimator'!$A$10:$AA$226,T$2,FALSE)=0,"",VLOOKUP($A85,'Pre-Assessment Estimator'!$A$10:$AA$226,T$2,FALSE))</f>
        <v/>
      </c>
      <c r="U85" s="513"/>
      <c r="V85" s="512" t="str">
        <f>IF(VLOOKUP($A85,'Pre-Assessment Estimator'!$A$10:$AA$226,V$2,FALSE)=0,"",VLOOKUP($A85,'Pre-Assessment Estimator'!$A$10:$AA$226,V$2,FALSE))</f>
        <v/>
      </c>
      <c r="W85" s="507">
        <f>VLOOKUP($A85,'Pre-Assessment Estimator'!$A$10:$AA$226,W$2,FALSE)</f>
        <v>0</v>
      </c>
      <c r="X85" s="506" t="str">
        <f>VLOOKUP($A85,'Pre-Assessment Estimator'!$A$10:$AA$226,X$2,FALSE)</f>
        <v>N/A</v>
      </c>
      <c r="Y85" s="509" t="str">
        <f>IF(VLOOKUP($A85,'Pre-Assessment Estimator'!$A$10:$AA$226,Y$2,FALSE)=0,"",VLOOKUP($A85,'Pre-Assessment Estimator'!$A$10:$AA$226,Y$2,FALSE))</f>
        <v/>
      </c>
      <c r="Z85" s="509" t="str">
        <f>IF(VLOOKUP($A85,'Pre-Assessment Estimator'!$A$10:$AA$226,Z$2,FALSE)=0,"",VLOOKUP($A85,'Pre-Assessment Estimator'!$A$10:$AA$226,Z$2,FALSE))</f>
        <v/>
      </c>
      <c r="AA85" s="322" t="str">
        <f>IF(VLOOKUP($A85,'Pre-Assessment Estimator'!$A$10:$AA$226,AA$2,FALSE)=0,"",VLOOKUP($A85,'Pre-Assessment Estimator'!$A$10:$AA$226,AA$2,FALSE))</f>
        <v/>
      </c>
      <c r="AB85" s="605">
        <v>75</v>
      </c>
      <c r="AC85" s="509"/>
      <c r="AG85" s="15">
        <f t="shared" si="2"/>
        <v>1</v>
      </c>
    </row>
    <row r="86" spans="1:33" x14ac:dyDescent="0.25">
      <c r="A86" s="716">
        <v>77</v>
      </c>
      <c r="B86" s="1022" t="s">
        <v>65</v>
      </c>
      <c r="C86" s="1022"/>
      <c r="D86" s="1044" t="str">
        <f>VLOOKUP($A86,'Pre-Assessment Estimator'!$A$10:$AA$226,D$2,FALSE)</f>
        <v>Ene 06</v>
      </c>
      <c r="E86" s="1044" t="str">
        <f>VLOOKUP($A86,'Pre-Assessment Estimator'!$A$10:$AA$226,E$2,FALSE)</f>
        <v>6 or 7</v>
      </c>
      <c r="F86" s="1045" t="str">
        <f>VLOOKUP($A86,'Pre-Assessment Estimator'!$A$10:$AA$226,F$2,FALSE)</f>
        <v>Energy efficient features: escalators or moving walks</v>
      </c>
      <c r="G86" s="506">
        <f>VLOOKUP($A86,'Pre-Assessment Estimator'!$A$10:$AA$226,G$2,FALSE)</f>
        <v>1</v>
      </c>
      <c r="H86" s="512" t="str">
        <f>IF(VLOOKUP($A86,'Pre-Assessment Estimator'!$A$10:$AA$226,H$2,FALSE)=0,"",VLOOKUP($A86,'Pre-Assessment Estimator'!$A$10:$AA$226,H$2,FALSE))</f>
        <v/>
      </c>
      <c r="I86" s="1012">
        <f>VLOOKUP($A86,'Pre-Assessment Estimator'!$A$10:$AA$226,I$2,FALSE)</f>
        <v>0</v>
      </c>
      <c r="J86" s="508" t="str">
        <f>VLOOKUP($A86,'Pre-Assessment Estimator'!$A$10:$AA$226,J$2,FALSE)</f>
        <v>N/A</v>
      </c>
      <c r="K86" s="509" t="str">
        <f>IF(VLOOKUP($A86,'Pre-Assessment Estimator'!$A$10:$AA$226,K$2,FALSE)=0,"",VLOOKUP($A86,'Pre-Assessment Estimator'!$A$10:$AA$226,K$2,FALSE))</f>
        <v/>
      </c>
      <c r="L86" s="509" t="str">
        <f>IF(VLOOKUP($A86,'Pre-Assessment Estimator'!$A$10:$AA$226,L$2,FALSE)=0,"",VLOOKUP($A86,'Pre-Assessment Estimator'!$A$10:$AA$226,L$2,FALSE))</f>
        <v/>
      </c>
      <c r="M86" s="510" t="str">
        <f>IF(VLOOKUP($A86,'Pre-Assessment Estimator'!$A$10:$AA$226,M$2,FALSE)=0,"",VLOOKUP($A86,'Pre-Assessment Estimator'!$A$10:$AA$226,M$2,FALSE))</f>
        <v/>
      </c>
      <c r="N86" s="511"/>
      <c r="O86" s="512" t="str">
        <f>IF(VLOOKUP($A86,'Pre-Assessment Estimator'!$A$10:$AA$226,O$2,FALSE)=0,"",VLOOKUP($A86,'Pre-Assessment Estimator'!$A$10:$AA$226,O$2,FALSE))</f>
        <v/>
      </c>
      <c r="P86" s="507">
        <f>VLOOKUP($A86,'Pre-Assessment Estimator'!$A$10:$AA$226,P$2,FALSE)</f>
        <v>0</v>
      </c>
      <c r="Q86" s="506" t="str">
        <f>VLOOKUP($A86,'Pre-Assessment Estimator'!$A$10:$AA$226,Q$2,FALSE)</f>
        <v>N/A</v>
      </c>
      <c r="R86" s="509" t="str">
        <f>IF(VLOOKUP($A86,'Pre-Assessment Estimator'!$A$10:$AA$226,R$2,FALSE)=0,"",VLOOKUP($A86,'Pre-Assessment Estimator'!$A$10:$AA$226,R$2,FALSE))</f>
        <v/>
      </c>
      <c r="S86" s="509" t="str">
        <f>IF(VLOOKUP($A86,'Pre-Assessment Estimator'!$A$10:$AA$226,S$2,FALSE)=0,"",VLOOKUP($A86,'Pre-Assessment Estimator'!$A$10:$AA$226,S$2,FALSE))</f>
        <v/>
      </c>
      <c r="T86" s="510" t="str">
        <f>IF(VLOOKUP($A86,'Pre-Assessment Estimator'!$A$10:$AA$226,T$2,FALSE)=0,"",VLOOKUP($A86,'Pre-Assessment Estimator'!$A$10:$AA$226,T$2,FALSE))</f>
        <v/>
      </c>
      <c r="U86" s="513"/>
      <c r="V86" s="512" t="str">
        <f>IF(VLOOKUP($A86,'Pre-Assessment Estimator'!$A$10:$AA$226,V$2,FALSE)=0,"",VLOOKUP($A86,'Pre-Assessment Estimator'!$A$10:$AA$226,V$2,FALSE))</f>
        <v/>
      </c>
      <c r="W86" s="507">
        <f>VLOOKUP($A86,'Pre-Assessment Estimator'!$A$10:$AA$226,W$2,FALSE)</f>
        <v>0</v>
      </c>
      <c r="X86" s="506" t="str">
        <f>VLOOKUP($A86,'Pre-Assessment Estimator'!$A$10:$AA$226,X$2,FALSE)</f>
        <v>N/A</v>
      </c>
      <c r="Y86" s="509" t="str">
        <f>IF(VLOOKUP($A86,'Pre-Assessment Estimator'!$A$10:$AA$226,Y$2,FALSE)=0,"",VLOOKUP($A86,'Pre-Assessment Estimator'!$A$10:$AA$226,Y$2,FALSE))</f>
        <v/>
      </c>
      <c r="Z86" s="509" t="str">
        <f>IF(VLOOKUP($A86,'Pre-Assessment Estimator'!$A$10:$AA$226,Z$2,FALSE)=0,"",VLOOKUP($A86,'Pre-Assessment Estimator'!$A$10:$AA$226,Z$2,FALSE))</f>
        <v/>
      </c>
      <c r="AA86" s="322" t="str">
        <f>IF(VLOOKUP($A86,'Pre-Assessment Estimator'!$A$10:$AA$226,AA$2,FALSE)=0,"",VLOOKUP($A86,'Pre-Assessment Estimator'!$A$10:$AA$226,AA$2,FALSE))</f>
        <v/>
      </c>
      <c r="AB86" s="605">
        <v>76</v>
      </c>
      <c r="AC86" s="509"/>
      <c r="AG86" s="15">
        <f t="shared" si="2"/>
        <v>1</v>
      </c>
    </row>
    <row r="87" spans="1:33" x14ac:dyDescent="0.25">
      <c r="A87" s="716">
        <v>78</v>
      </c>
      <c r="B87" s="1022" t="s">
        <v>65</v>
      </c>
      <c r="C87" s="1022"/>
      <c r="D87" s="1043" t="str">
        <f>VLOOKUP($A87,'Pre-Assessment Estimator'!$A$10:$AA$226,D$2,FALSE)</f>
        <v>Ene 07</v>
      </c>
      <c r="E87" s="1044"/>
      <c r="F87" s="1043" t="str">
        <f>VLOOKUP($A87,'Pre-Assessment Estimator'!$A$10:$AA$226,F$2,FALSE)</f>
        <v>Ene 07 Energy Efficient Laboratory Systems</v>
      </c>
      <c r="G87" s="506">
        <f>VLOOKUP($A87,'Pre-Assessment Estimator'!$A$10:$AA$226,G$2,FALSE)</f>
        <v>5</v>
      </c>
      <c r="H87" s="512" t="str">
        <f>IF(VLOOKUP($A87,'Pre-Assessment Estimator'!$A$10:$AA$226,H$2,FALSE)=0,"",VLOOKUP($A87,'Pre-Assessment Estimator'!$A$10:$AA$226,H$2,FALSE))</f>
        <v/>
      </c>
      <c r="I87" s="1012" t="str">
        <f>VLOOKUP($A87,'Pre-Assessment Estimator'!$A$10:$AA$226,I$2,FALSE)</f>
        <v>0 c. 0 %</v>
      </c>
      <c r="J87" s="508" t="str">
        <f>VLOOKUP($A87,'Pre-Assessment Estimator'!$A$10:$AA$226,J$2,FALSE)</f>
        <v>N/A</v>
      </c>
      <c r="K87" s="509" t="str">
        <f>IF(VLOOKUP($A87,'Pre-Assessment Estimator'!$A$10:$AA$226,K$2,FALSE)=0,"",VLOOKUP($A87,'Pre-Assessment Estimator'!$A$10:$AA$226,K$2,FALSE))</f>
        <v/>
      </c>
      <c r="L87" s="509" t="str">
        <f>IF(VLOOKUP($A87,'Pre-Assessment Estimator'!$A$10:$AA$226,L$2,FALSE)=0,"",VLOOKUP($A87,'Pre-Assessment Estimator'!$A$10:$AA$226,L$2,FALSE))</f>
        <v/>
      </c>
      <c r="M87" s="510" t="str">
        <f>IF(VLOOKUP($A87,'Pre-Assessment Estimator'!$A$10:$AA$226,M$2,FALSE)=0,"",VLOOKUP($A87,'Pre-Assessment Estimator'!$A$10:$AA$226,M$2,FALSE))</f>
        <v/>
      </c>
      <c r="N87" s="511"/>
      <c r="O87" s="512" t="str">
        <f>IF(VLOOKUP($A87,'Pre-Assessment Estimator'!$A$10:$AA$226,O$2,FALSE)=0,"",VLOOKUP($A87,'Pre-Assessment Estimator'!$A$10:$AA$226,O$2,FALSE))</f>
        <v/>
      </c>
      <c r="P87" s="507" t="str">
        <f>VLOOKUP($A87,'Pre-Assessment Estimator'!$A$10:$AA$226,P$2,FALSE)</f>
        <v>0 c. 0 %</v>
      </c>
      <c r="Q87" s="506" t="str">
        <f>VLOOKUP($A87,'Pre-Assessment Estimator'!$A$10:$AA$226,Q$2,FALSE)</f>
        <v>N/A</v>
      </c>
      <c r="R87" s="509" t="str">
        <f>IF(VLOOKUP($A87,'Pre-Assessment Estimator'!$A$10:$AA$226,R$2,FALSE)=0,"",VLOOKUP($A87,'Pre-Assessment Estimator'!$A$10:$AA$226,R$2,FALSE))</f>
        <v/>
      </c>
      <c r="S87" s="509" t="str">
        <f>IF(VLOOKUP($A87,'Pre-Assessment Estimator'!$A$10:$AA$226,S$2,FALSE)=0,"",VLOOKUP($A87,'Pre-Assessment Estimator'!$A$10:$AA$226,S$2,FALSE))</f>
        <v/>
      </c>
      <c r="T87" s="510" t="str">
        <f>IF(VLOOKUP($A87,'Pre-Assessment Estimator'!$A$10:$AA$226,T$2,FALSE)=0,"",VLOOKUP($A87,'Pre-Assessment Estimator'!$A$10:$AA$226,T$2,FALSE))</f>
        <v/>
      </c>
      <c r="U87" s="513"/>
      <c r="V87" s="512" t="str">
        <f>IF(VLOOKUP($A87,'Pre-Assessment Estimator'!$A$10:$AA$226,V$2,FALSE)=0,"",VLOOKUP($A87,'Pre-Assessment Estimator'!$A$10:$AA$226,V$2,FALSE))</f>
        <v/>
      </c>
      <c r="W87" s="507" t="str">
        <f>VLOOKUP($A87,'Pre-Assessment Estimator'!$A$10:$AA$226,W$2,FALSE)</f>
        <v>0 c. 0 %</v>
      </c>
      <c r="X87" s="506" t="str">
        <f>VLOOKUP($A87,'Pre-Assessment Estimator'!$A$10:$AA$226,X$2,FALSE)</f>
        <v>N/A</v>
      </c>
      <c r="Y87" s="509" t="str">
        <f>IF(VLOOKUP($A87,'Pre-Assessment Estimator'!$A$10:$AA$226,Y$2,FALSE)=0,"",VLOOKUP($A87,'Pre-Assessment Estimator'!$A$10:$AA$226,Y$2,FALSE))</f>
        <v/>
      </c>
      <c r="Z87" s="509" t="str">
        <f>IF(VLOOKUP($A87,'Pre-Assessment Estimator'!$A$10:$AA$226,Z$2,FALSE)=0,"",VLOOKUP($A87,'Pre-Assessment Estimator'!$A$10:$AA$226,Z$2,FALSE))</f>
        <v/>
      </c>
      <c r="AA87" s="322" t="str">
        <f>IF(VLOOKUP($A87,'Pre-Assessment Estimator'!$A$10:$AA$226,AA$2,FALSE)=0,"",VLOOKUP($A87,'Pre-Assessment Estimator'!$A$10:$AA$226,AA$2,FALSE))</f>
        <v/>
      </c>
      <c r="AB87" s="605">
        <v>77</v>
      </c>
      <c r="AC87" s="509"/>
      <c r="AG87" s="15">
        <f t="shared" si="2"/>
        <v>1</v>
      </c>
    </row>
    <row r="88" spans="1:33" x14ac:dyDescent="0.25">
      <c r="A88" s="716">
        <v>79</v>
      </c>
      <c r="B88" s="1022" t="s">
        <v>65</v>
      </c>
      <c r="C88" s="1022"/>
      <c r="D88" s="1044" t="str">
        <f>VLOOKUP($A88,'Pre-Assessment Estimator'!$A$10:$AA$226,D$2,FALSE)</f>
        <v>Ene 07</v>
      </c>
      <c r="E88" s="1044" t="str">
        <f>VLOOKUP($A88,'Pre-Assessment Estimator'!$A$10:$AA$226,E$2,FALSE)</f>
        <v>1-4</v>
      </c>
      <c r="F88" s="1045" t="str">
        <f>VLOOKUP($A88,'Pre-Assessment Estimator'!$A$10:$AA$226,F$2,FALSE)</f>
        <v xml:space="preserve">Design specification </v>
      </c>
      <c r="G88" s="506">
        <f>VLOOKUP($A88,'Pre-Assessment Estimator'!$A$10:$AA$226,G$2,FALSE)</f>
        <v>1</v>
      </c>
      <c r="H88" s="512" t="str">
        <f>IF(VLOOKUP($A88,'Pre-Assessment Estimator'!$A$10:$AA$226,H$2,FALSE)=0,"",VLOOKUP($A88,'Pre-Assessment Estimator'!$A$10:$AA$226,H$2,FALSE))</f>
        <v/>
      </c>
      <c r="I88" s="1012">
        <f>VLOOKUP($A88,'Pre-Assessment Estimator'!$A$10:$AA$226,I$2,FALSE)</f>
        <v>0</v>
      </c>
      <c r="J88" s="508" t="str">
        <f>VLOOKUP($A88,'Pre-Assessment Estimator'!$A$10:$AA$226,J$2,FALSE)</f>
        <v>Unclassified</v>
      </c>
      <c r="K88" s="509" t="str">
        <f>IF(VLOOKUP($A88,'Pre-Assessment Estimator'!$A$10:$AA$226,K$2,FALSE)=0,"",VLOOKUP($A88,'Pre-Assessment Estimator'!$A$10:$AA$226,K$2,FALSE))</f>
        <v/>
      </c>
      <c r="L88" s="509" t="str">
        <f>IF(VLOOKUP($A88,'Pre-Assessment Estimator'!$A$10:$AA$226,L$2,FALSE)=0,"",VLOOKUP($A88,'Pre-Assessment Estimator'!$A$10:$AA$226,L$2,FALSE))</f>
        <v/>
      </c>
      <c r="M88" s="510" t="str">
        <f>IF(VLOOKUP($A88,'Pre-Assessment Estimator'!$A$10:$AA$226,M$2,FALSE)=0,"",VLOOKUP($A88,'Pre-Assessment Estimator'!$A$10:$AA$226,M$2,FALSE))</f>
        <v/>
      </c>
      <c r="N88" s="511"/>
      <c r="O88" s="512" t="str">
        <f>IF(VLOOKUP($A88,'Pre-Assessment Estimator'!$A$10:$AA$226,O$2,FALSE)=0,"",VLOOKUP($A88,'Pre-Assessment Estimator'!$A$10:$AA$226,O$2,FALSE))</f>
        <v/>
      </c>
      <c r="P88" s="507">
        <f>VLOOKUP($A88,'Pre-Assessment Estimator'!$A$10:$AA$226,P$2,FALSE)</f>
        <v>0</v>
      </c>
      <c r="Q88" s="506" t="str">
        <f>VLOOKUP($A88,'Pre-Assessment Estimator'!$A$10:$AA$226,Q$2,FALSE)</f>
        <v>Unclassified</v>
      </c>
      <c r="R88" s="509" t="str">
        <f>IF(VLOOKUP($A88,'Pre-Assessment Estimator'!$A$10:$AA$226,R$2,FALSE)=0,"",VLOOKUP($A88,'Pre-Assessment Estimator'!$A$10:$AA$226,R$2,FALSE))</f>
        <v/>
      </c>
      <c r="S88" s="509" t="str">
        <f>IF(VLOOKUP($A88,'Pre-Assessment Estimator'!$A$10:$AA$226,S$2,FALSE)=0,"",VLOOKUP($A88,'Pre-Assessment Estimator'!$A$10:$AA$226,S$2,FALSE))</f>
        <v/>
      </c>
      <c r="T88" s="510" t="str">
        <f>IF(VLOOKUP($A88,'Pre-Assessment Estimator'!$A$10:$AA$226,T$2,FALSE)=0,"",VLOOKUP($A88,'Pre-Assessment Estimator'!$A$10:$AA$226,T$2,FALSE))</f>
        <v/>
      </c>
      <c r="U88" s="513"/>
      <c r="V88" s="512" t="str">
        <f>IF(VLOOKUP($A88,'Pre-Assessment Estimator'!$A$10:$AA$226,V$2,FALSE)=0,"",VLOOKUP($A88,'Pre-Assessment Estimator'!$A$10:$AA$226,V$2,FALSE))</f>
        <v/>
      </c>
      <c r="W88" s="507">
        <f>VLOOKUP($A88,'Pre-Assessment Estimator'!$A$10:$AA$226,W$2,FALSE)</f>
        <v>0</v>
      </c>
      <c r="X88" s="506" t="str">
        <f>VLOOKUP($A88,'Pre-Assessment Estimator'!$A$10:$AA$226,X$2,FALSE)</f>
        <v>Unclassified</v>
      </c>
      <c r="Y88" s="509" t="str">
        <f>IF(VLOOKUP($A88,'Pre-Assessment Estimator'!$A$10:$AA$226,Y$2,FALSE)=0,"",VLOOKUP($A88,'Pre-Assessment Estimator'!$A$10:$AA$226,Y$2,FALSE))</f>
        <v/>
      </c>
      <c r="Z88" s="509" t="str">
        <f>IF(VLOOKUP($A88,'Pre-Assessment Estimator'!$A$10:$AA$226,Z$2,FALSE)=0,"",VLOOKUP($A88,'Pre-Assessment Estimator'!$A$10:$AA$226,Z$2,FALSE))</f>
        <v/>
      </c>
      <c r="AA88" s="322" t="str">
        <f>IF(VLOOKUP($A88,'Pre-Assessment Estimator'!$A$10:$AA$226,AA$2,FALSE)=0,"",VLOOKUP($A88,'Pre-Assessment Estimator'!$A$10:$AA$226,AA$2,FALSE))</f>
        <v/>
      </c>
      <c r="AB88" s="605">
        <v>78</v>
      </c>
      <c r="AC88" s="509"/>
      <c r="AG88" s="15">
        <f t="shared" si="2"/>
        <v>1</v>
      </c>
    </row>
    <row r="89" spans="1:33" x14ac:dyDescent="0.25">
      <c r="A89" s="716">
        <v>80</v>
      </c>
      <c r="B89" s="1022" t="s">
        <v>65</v>
      </c>
      <c r="C89" s="1022"/>
      <c r="D89" s="1044" t="str">
        <f>VLOOKUP($A89,'Pre-Assessment Estimator'!$A$10:$AA$226,D$2,FALSE)</f>
        <v>Ene 07</v>
      </c>
      <c r="E89" s="1044" t="str">
        <f>VLOOKUP($A89,'Pre-Assessment Estimator'!$A$10:$AA$226,E$2,FALSE)</f>
        <v>5-8</v>
      </c>
      <c r="F89" s="1045" t="str">
        <f>VLOOKUP($A89,'Pre-Assessment Estimator'!$A$10:$AA$226,F$2,FALSE)</f>
        <v xml:space="preserve">Best practice energy efficient measures </v>
      </c>
      <c r="G89" s="506">
        <f>VLOOKUP($A89,'Pre-Assessment Estimator'!$A$10:$AA$226,G$2,FALSE)</f>
        <v>4</v>
      </c>
      <c r="H89" s="512" t="str">
        <f>IF(VLOOKUP($A89,'Pre-Assessment Estimator'!$A$10:$AA$226,H$2,FALSE)=0,"",VLOOKUP($A89,'Pre-Assessment Estimator'!$A$10:$AA$226,H$2,FALSE))</f>
        <v/>
      </c>
      <c r="I89" s="1012">
        <f>VLOOKUP($A89,'Pre-Assessment Estimator'!$A$10:$AA$226,I$2,FALSE)</f>
        <v>0</v>
      </c>
      <c r="J89" s="508" t="str">
        <f>VLOOKUP($A89,'Pre-Assessment Estimator'!$A$10:$AA$226,J$2,FALSE)</f>
        <v>N/A</v>
      </c>
      <c r="K89" s="509" t="str">
        <f>IF(VLOOKUP($A89,'Pre-Assessment Estimator'!$A$10:$AA$226,K$2,FALSE)=0,"",VLOOKUP($A89,'Pre-Assessment Estimator'!$A$10:$AA$226,K$2,FALSE))</f>
        <v/>
      </c>
      <c r="L89" s="509" t="str">
        <f>IF(VLOOKUP($A89,'Pre-Assessment Estimator'!$A$10:$AA$226,L$2,FALSE)=0,"",VLOOKUP($A89,'Pre-Assessment Estimator'!$A$10:$AA$226,L$2,FALSE))</f>
        <v/>
      </c>
      <c r="M89" s="510" t="str">
        <f>IF(VLOOKUP($A89,'Pre-Assessment Estimator'!$A$10:$AA$226,M$2,FALSE)=0,"",VLOOKUP($A89,'Pre-Assessment Estimator'!$A$10:$AA$226,M$2,FALSE))</f>
        <v/>
      </c>
      <c r="N89" s="511"/>
      <c r="O89" s="512" t="str">
        <f>IF(VLOOKUP($A89,'Pre-Assessment Estimator'!$A$10:$AA$226,O$2,FALSE)=0,"",VLOOKUP($A89,'Pre-Assessment Estimator'!$A$10:$AA$226,O$2,FALSE))</f>
        <v/>
      </c>
      <c r="P89" s="507">
        <f>VLOOKUP($A89,'Pre-Assessment Estimator'!$A$10:$AA$226,P$2,FALSE)</f>
        <v>0</v>
      </c>
      <c r="Q89" s="506" t="str">
        <f>VLOOKUP($A89,'Pre-Assessment Estimator'!$A$10:$AA$226,Q$2,FALSE)</f>
        <v>N/A</v>
      </c>
      <c r="R89" s="509" t="str">
        <f>IF(VLOOKUP($A89,'Pre-Assessment Estimator'!$A$10:$AA$226,R$2,FALSE)=0,"",VLOOKUP($A89,'Pre-Assessment Estimator'!$A$10:$AA$226,R$2,FALSE))</f>
        <v/>
      </c>
      <c r="S89" s="509" t="str">
        <f>IF(VLOOKUP($A89,'Pre-Assessment Estimator'!$A$10:$AA$226,S$2,FALSE)=0,"",VLOOKUP($A89,'Pre-Assessment Estimator'!$A$10:$AA$226,S$2,FALSE))</f>
        <v/>
      </c>
      <c r="T89" s="510" t="str">
        <f>IF(VLOOKUP($A89,'Pre-Assessment Estimator'!$A$10:$AA$226,T$2,FALSE)=0,"",VLOOKUP($A89,'Pre-Assessment Estimator'!$A$10:$AA$226,T$2,FALSE))</f>
        <v/>
      </c>
      <c r="U89" s="513"/>
      <c r="V89" s="512" t="str">
        <f>IF(VLOOKUP($A89,'Pre-Assessment Estimator'!$A$10:$AA$226,V$2,FALSE)=0,"",VLOOKUP($A89,'Pre-Assessment Estimator'!$A$10:$AA$226,V$2,FALSE))</f>
        <v/>
      </c>
      <c r="W89" s="507">
        <f>VLOOKUP($A89,'Pre-Assessment Estimator'!$A$10:$AA$226,W$2,FALSE)</f>
        <v>0</v>
      </c>
      <c r="X89" s="506" t="str">
        <f>VLOOKUP($A89,'Pre-Assessment Estimator'!$A$10:$AA$226,X$2,FALSE)</f>
        <v>N/A</v>
      </c>
      <c r="Y89" s="509" t="str">
        <f>IF(VLOOKUP($A89,'Pre-Assessment Estimator'!$A$10:$AA$226,Y$2,FALSE)=0,"",VLOOKUP($A89,'Pre-Assessment Estimator'!$A$10:$AA$226,Y$2,FALSE))</f>
        <v/>
      </c>
      <c r="Z89" s="509" t="str">
        <f>IF(VLOOKUP($A89,'Pre-Assessment Estimator'!$A$10:$AA$226,Z$2,FALSE)=0,"",VLOOKUP($A89,'Pre-Assessment Estimator'!$A$10:$AA$226,Z$2,FALSE))</f>
        <v/>
      </c>
      <c r="AA89" s="322" t="str">
        <f>IF(VLOOKUP($A89,'Pre-Assessment Estimator'!$A$10:$AA$226,AA$2,FALSE)=0,"",VLOOKUP($A89,'Pre-Assessment Estimator'!$A$10:$AA$226,AA$2,FALSE))</f>
        <v/>
      </c>
      <c r="AB89" s="605">
        <v>79</v>
      </c>
      <c r="AC89" s="509"/>
      <c r="AG89" s="15">
        <f t="shared" si="2"/>
        <v>1</v>
      </c>
    </row>
    <row r="90" spans="1:33" x14ac:dyDescent="0.25">
      <c r="A90" s="716">
        <v>81</v>
      </c>
      <c r="B90" s="1022" t="s">
        <v>65</v>
      </c>
      <c r="C90" s="1022"/>
      <c r="D90" s="1043" t="str">
        <f>VLOOKUP($A90,'Pre-Assessment Estimator'!$A$10:$AA$226,D$2,FALSE)</f>
        <v>Ene 08</v>
      </c>
      <c r="E90" s="1044"/>
      <c r="F90" s="1043" t="str">
        <f>VLOOKUP($A90,'Pre-Assessment Estimator'!$A$10:$AA$226,F$2,FALSE)</f>
        <v>Ene 08 Energy efficient equipment</v>
      </c>
      <c r="G90" s="506">
        <f>VLOOKUP($A90,'Pre-Assessment Estimator'!$A$10:$AA$226,G$2,FALSE)</f>
        <v>2</v>
      </c>
      <c r="H90" s="512" t="str">
        <f>IF(VLOOKUP($A90,'Pre-Assessment Estimator'!$A$10:$AA$226,H$2,FALSE)=0,"",VLOOKUP($A90,'Pre-Assessment Estimator'!$A$10:$AA$226,H$2,FALSE))</f>
        <v/>
      </c>
      <c r="I90" s="1012" t="str">
        <f>VLOOKUP($A90,'Pre-Assessment Estimator'!$A$10:$AA$226,I$2,FALSE)</f>
        <v>0 c. 0 %</v>
      </c>
      <c r="J90" s="508" t="str">
        <f>VLOOKUP($A90,'Pre-Assessment Estimator'!$A$10:$AA$226,J$2,FALSE)</f>
        <v>N/A</v>
      </c>
      <c r="K90" s="509" t="str">
        <f>IF(VLOOKUP($A90,'Pre-Assessment Estimator'!$A$10:$AA$226,K$2,FALSE)=0,"",VLOOKUP($A90,'Pre-Assessment Estimator'!$A$10:$AA$226,K$2,FALSE))</f>
        <v/>
      </c>
      <c r="L90" s="509" t="str">
        <f>IF(VLOOKUP($A90,'Pre-Assessment Estimator'!$A$10:$AA$226,L$2,FALSE)=0,"",VLOOKUP($A90,'Pre-Assessment Estimator'!$A$10:$AA$226,L$2,FALSE))</f>
        <v/>
      </c>
      <c r="M90" s="510" t="str">
        <f>IF(VLOOKUP($A90,'Pre-Assessment Estimator'!$A$10:$AA$226,M$2,FALSE)=0,"",VLOOKUP($A90,'Pre-Assessment Estimator'!$A$10:$AA$226,M$2,FALSE))</f>
        <v/>
      </c>
      <c r="N90" s="511"/>
      <c r="O90" s="512" t="str">
        <f>IF(VLOOKUP($A90,'Pre-Assessment Estimator'!$A$10:$AA$226,O$2,FALSE)=0,"",VLOOKUP($A90,'Pre-Assessment Estimator'!$A$10:$AA$226,O$2,FALSE))</f>
        <v/>
      </c>
      <c r="P90" s="507" t="str">
        <f>VLOOKUP($A90,'Pre-Assessment Estimator'!$A$10:$AA$226,P$2,FALSE)</f>
        <v>0 c. 0 %</v>
      </c>
      <c r="Q90" s="506" t="str">
        <f>VLOOKUP($A90,'Pre-Assessment Estimator'!$A$10:$AA$226,Q$2,FALSE)</f>
        <v>N/A</v>
      </c>
      <c r="R90" s="509" t="str">
        <f>IF(VLOOKUP($A90,'Pre-Assessment Estimator'!$A$10:$AA$226,R$2,FALSE)=0,"",VLOOKUP($A90,'Pre-Assessment Estimator'!$A$10:$AA$226,R$2,FALSE))</f>
        <v/>
      </c>
      <c r="S90" s="509" t="str">
        <f>IF(VLOOKUP($A90,'Pre-Assessment Estimator'!$A$10:$AA$226,S$2,FALSE)=0,"",VLOOKUP($A90,'Pre-Assessment Estimator'!$A$10:$AA$226,S$2,FALSE))</f>
        <v/>
      </c>
      <c r="T90" s="510" t="str">
        <f>IF(VLOOKUP($A90,'Pre-Assessment Estimator'!$A$10:$AA$226,T$2,FALSE)=0,"",VLOOKUP($A90,'Pre-Assessment Estimator'!$A$10:$AA$226,T$2,FALSE))</f>
        <v/>
      </c>
      <c r="U90" s="513"/>
      <c r="V90" s="512" t="str">
        <f>IF(VLOOKUP($A90,'Pre-Assessment Estimator'!$A$10:$AA$226,V$2,FALSE)=0,"",VLOOKUP($A90,'Pre-Assessment Estimator'!$A$10:$AA$226,V$2,FALSE))</f>
        <v/>
      </c>
      <c r="W90" s="507" t="str">
        <f>VLOOKUP($A90,'Pre-Assessment Estimator'!$A$10:$AA$226,W$2,FALSE)</f>
        <v>0 c. 0 %</v>
      </c>
      <c r="X90" s="506" t="str">
        <f>VLOOKUP($A90,'Pre-Assessment Estimator'!$A$10:$AA$226,X$2,FALSE)</f>
        <v>N/A</v>
      </c>
      <c r="Y90" s="509" t="str">
        <f>IF(VLOOKUP($A90,'Pre-Assessment Estimator'!$A$10:$AA$226,Y$2,FALSE)=0,"",VLOOKUP($A90,'Pre-Assessment Estimator'!$A$10:$AA$226,Y$2,FALSE))</f>
        <v/>
      </c>
      <c r="Z90" s="509" t="str">
        <f>IF(VLOOKUP($A90,'Pre-Assessment Estimator'!$A$10:$AA$226,Z$2,FALSE)=0,"",VLOOKUP($A90,'Pre-Assessment Estimator'!$A$10:$AA$226,Z$2,FALSE))</f>
        <v/>
      </c>
      <c r="AA90" s="322" t="str">
        <f>IF(VLOOKUP($A90,'Pre-Assessment Estimator'!$A$10:$AA$226,AA$2,FALSE)=0,"",VLOOKUP($A90,'Pre-Assessment Estimator'!$A$10:$AA$226,AA$2,FALSE))</f>
        <v/>
      </c>
      <c r="AB90" s="605">
        <v>80</v>
      </c>
      <c r="AC90" s="509"/>
      <c r="AG90" s="15">
        <f t="shared" si="2"/>
        <v>1</v>
      </c>
    </row>
    <row r="91" spans="1:33" ht="30" x14ac:dyDescent="0.25">
      <c r="A91" s="716">
        <v>82</v>
      </c>
      <c r="B91" s="1022" t="s">
        <v>65</v>
      </c>
      <c r="C91" s="1022"/>
      <c r="D91" s="1044" t="str">
        <f>VLOOKUP($A91,'Pre-Assessment Estimator'!$A$10:$AA$226,D$2,FALSE)</f>
        <v>Ene 08</v>
      </c>
      <c r="E91" s="1044" t="str">
        <f>VLOOKUP($A91,'Pre-Assessment Estimator'!$A$10:$AA$226,E$2,FALSE)</f>
        <v>1-3</v>
      </c>
      <c r="F91" s="1045" t="str">
        <f>VLOOKUP($A91,'Pre-Assessment Estimator'!$A$10:$AA$226,F$2,FALSE)</f>
        <v xml:space="preserve">Reduction of the building's significant unregulated energy consumption </v>
      </c>
      <c r="G91" s="506">
        <f>VLOOKUP($A91,'Pre-Assessment Estimator'!$A$10:$AA$226,G$2,FALSE)</f>
        <v>2</v>
      </c>
      <c r="H91" s="512" t="str">
        <f>IF(VLOOKUP($A91,'Pre-Assessment Estimator'!$A$10:$AA$226,H$2,FALSE)=0,"",VLOOKUP($A91,'Pre-Assessment Estimator'!$A$10:$AA$226,H$2,FALSE))</f>
        <v/>
      </c>
      <c r="I91" s="1012">
        <f>VLOOKUP($A91,'Pre-Assessment Estimator'!$A$10:$AA$226,I$2,FALSE)</f>
        <v>0</v>
      </c>
      <c r="J91" s="508" t="str">
        <f>VLOOKUP($A91,'Pre-Assessment Estimator'!$A$10:$AA$226,J$2,FALSE)</f>
        <v>N/A</v>
      </c>
      <c r="K91" s="509" t="str">
        <f>IF(VLOOKUP($A91,'Pre-Assessment Estimator'!$A$10:$AA$226,K$2,FALSE)=0,"",VLOOKUP($A91,'Pre-Assessment Estimator'!$A$10:$AA$226,K$2,FALSE))</f>
        <v/>
      </c>
      <c r="L91" s="509" t="str">
        <f>IF(VLOOKUP($A91,'Pre-Assessment Estimator'!$A$10:$AA$226,L$2,FALSE)=0,"",VLOOKUP($A91,'Pre-Assessment Estimator'!$A$10:$AA$226,L$2,FALSE))</f>
        <v/>
      </c>
      <c r="M91" s="510" t="str">
        <f>IF(VLOOKUP($A91,'Pre-Assessment Estimator'!$A$10:$AA$226,M$2,FALSE)=0,"",VLOOKUP($A91,'Pre-Assessment Estimator'!$A$10:$AA$226,M$2,FALSE))</f>
        <v/>
      </c>
      <c r="N91" s="511"/>
      <c r="O91" s="512" t="str">
        <f>IF(VLOOKUP($A91,'Pre-Assessment Estimator'!$A$10:$AA$226,O$2,FALSE)=0,"",VLOOKUP($A91,'Pre-Assessment Estimator'!$A$10:$AA$226,O$2,FALSE))</f>
        <v/>
      </c>
      <c r="P91" s="507">
        <f>VLOOKUP($A91,'Pre-Assessment Estimator'!$A$10:$AA$226,P$2,FALSE)</f>
        <v>0</v>
      </c>
      <c r="Q91" s="506" t="str">
        <f>VLOOKUP($A91,'Pre-Assessment Estimator'!$A$10:$AA$226,Q$2,FALSE)</f>
        <v>N/A</v>
      </c>
      <c r="R91" s="509" t="str">
        <f>IF(VLOOKUP($A91,'Pre-Assessment Estimator'!$A$10:$AA$226,R$2,FALSE)=0,"",VLOOKUP($A91,'Pre-Assessment Estimator'!$A$10:$AA$226,R$2,FALSE))</f>
        <v/>
      </c>
      <c r="S91" s="509" t="str">
        <f>IF(VLOOKUP($A91,'Pre-Assessment Estimator'!$A$10:$AA$226,S$2,FALSE)=0,"",VLOOKUP($A91,'Pre-Assessment Estimator'!$A$10:$AA$226,S$2,FALSE))</f>
        <v/>
      </c>
      <c r="T91" s="510" t="str">
        <f>IF(VLOOKUP($A91,'Pre-Assessment Estimator'!$A$10:$AA$226,T$2,FALSE)=0,"",VLOOKUP($A91,'Pre-Assessment Estimator'!$A$10:$AA$226,T$2,FALSE))</f>
        <v/>
      </c>
      <c r="U91" s="513"/>
      <c r="V91" s="512" t="str">
        <f>IF(VLOOKUP($A91,'Pre-Assessment Estimator'!$A$10:$AA$226,V$2,FALSE)=0,"",VLOOKUP($A91,'Pre-Assessment Estimator'!$A$10:$AA$226,V$2,FALSE))</f>
        <v/>
      </c>
      <c r="W91" s="507">
        <f>VLOOKUP($A91,'Pre-Assessment Estimator'!$A$10:$AA$226,W$2,FALSE)</f>
        <v>0</v>
      </c>
      <c r="X91" s="506" t="str">
        <f>VLOOKUP($A91,'Pre-Assessment Estimator'!$A$10:$AA$226,X$2,FALSE)</f>
        <v>N/A</v>
      </c>
      <c r="Y91" s="509" t="str">
        <f>IF(VLOOKUP($A91,'Pre-Assessment Estimator'!$A$10:$AA$226,Y$2,FALSE)=0,"",VLOOKUP($A91,'Pre-Assessment Estimator'!$A$10:$AA$226,Y$2,FALSE))</f>
        <v/>
      </c>
      <c r="Z91" s="509" t="str">
        <f>IF(VLOOKUP($A91,'Pre-Assessment Estimator'!$A$10:$AA$226,Z$2,FALSE)=0,"",VLOOKUP($A91,'Pre-Assessment Estimator'!$A$10:$AA$226,Z$2,FALSE))</f>
        <v/>
      </c>
      <c r="AA91" s="322" t="str">
        <f>IF(VLOOKUP($A91,'Pre-Assessment Estimator'!$A$10:$AA$226,AA$2,FALSE)=0,"",VLOOKUP($A91,'Pre-Assessment Estimator'!$A$10:$AA$226,AA$2,FALSE))</f>
        <v/>
      </c>
      <c r="AB91" s="605">
        <v>81</v>
      </c>
      <c r="AC91" s="509"/>
      <c r="AG91" s="15">
        <f t="shared" si="2"/>
        <v>1</v>
      </c>
    </row>
    <row r="92" spans="1:33" ht="30" customHeight="1" thickBot="1" x14ac:dyDescent="0.3">
      <c r="A92" s="716">
        <v>83</v>
      </c>
      <c r="B92" s="1022" t="s">
        <v>65</v>
      </c>
      <c r="C92" s="1022"/>
      <c r="D92" s="1046"/>
      <c r="E92" s="1046"/>
      <c r="F92" s="1046" t="str">
        <f>VLOOKUP($A92,'Pre-Assessment Estimator'!$A$10:$AA$226,F$2,FALSE)</f>
        <v>Total performance energy</v>
      </c>
      <c r="G92" s="514">
        <f>VLOOKUP($A92,'Pre-Assessment Estimator'!$A$10:$AA$226,G$2,FALSE)</f>
        <v>27</v>
      </c>
      <c r="H92" s="516" t="str">
        <f>IF(VLOOKUP($A92,'Pre-Assessment Estimator'!$A$10:$AA$226,H$2,FALSE)=0,"",VLOOKUP($A92,'Pre-Assessment Estimator'!$A$10:$AA$226,H$2,FALSE))</f>
        <v/>
      </c>
      <c r="I92" s="515">
        <f>VLOOKUP($A92,'Pre-Assessment Estimator'!$A$10:$AA$226,I$2,FALSE)</f>
        <v>0</v>
      </c>
      <c r="J92" s="514" t="str">
        <f>VLOOKUP($A92,'Pre-Assessment Estimator'!$A$10:$AA$226,J$2,FALSE)</f>
        <v>Credits achieved: 0</v>
      </c>
      <c r="K92" s="994" t="str">
        <f>IF(VLOOKUP($A92,'Pre-Assessment Estimator'!$A$10:$AA$226,K$2,FALSE)=0,"",VLOOKUP($A92,'Pre-Assessment Estimator'!$A$10:$AA$226,K$2,FALSE))</f>
        <v/>
      </c>
      <c r="L92" s="994" t="str">
        <f>IF(VLOOKUP($A92,'Pre-Assessment Estimator'!$A$10:$AA$226,L$2,FALSE)=0,"",VLOOKUP($A92,'Pre-Assessment Estimator'!$A$10:$AA$226,L$2,FALSE))</f>
        <v/>
      </c>
      <c r="M92" s="1013" t="str">
        <f>IF(VLOOKUP($A92,'Pre-Assessment Estimator'!$A$10:$AA$226,M$2,FALSE)=0,"",VLOOKUP($A92,'Pre-Assessment Estimator'!$A$10:$AA$226,M$2,FALSE))</f>
        <v/>
      </c>
      <c r="N92" s="1014"/>
      <c r="O92" s="516" t="str">
        <f>IF(VLOOKUP($A92,'Pre-Assessment Estimator'!$A$10:$AA$226,O$2,FALSE)=0,"",VLOOKUP($A92,'Pre-Assessment Estimator'!$A$10:$AA$226,O$2,FALSE))</f>
        <v/>
      </c>
      <c r="P92" s="515">
        <f>VLOOKUP($A92,'Pre-Assessment Estimator'!$A$10:$AA$226,P$2,FALSE)</f>
        <v>0</v>
      </c>
      <c r="Q92" s="514" t="str">
        <f>VLOOKUP($A92,'Pre-Assessment Estimator'!$A$10:$AA$226,Q$2,FALSE)</f>
        <v>Credits achieved: 0</v>
      </c>
      <c r="R92" s="994" t="str">
        <f>IF(VLOOKUP($A92,'Pre-Assessment Estimator'!$A$10:$AA$226,R$2,FALSE)=0,"",VLOOKUP($A92,'Pre-Assessment Estimator'!$A$10:$AA$226,R$2,FALSE))</f>
        <v/>
      </c>
      <c r="S92" s="994" t="str">
        <f>IF(VLOOKUP($A92,'Pre-Assessment Estimator'!$A$10:$AA$226,S$2,FALSE)=0,"",VLOOKUP($A92,'Pre-Assessment Estimator'!$A$10:$AA$226,S$2,FALSE))</f>
        <v/>
      </c>
      <c r="T92" s="1013" t="str">
        <f>IF(VLOOKUP($A92,'Pre-Assessment Estimator'!$A$10:$AA$226,T$2,FALSE)=0,"",VLOOKUP($A92,'Pre-Assessment Estimator'!$A$10:$AA$226,T$2,FALSE))</f>
        <v/>
      </c>
      <c r="U92" s="1015"/>
      <c r="V92" s="516" t="str">
        <f>IF(VLOOKUP($A92,'Pre-Assessment Estimator'!$A$10:$AA$226,V$2,FALSE)=0,"",VLOOKUP($A92,'Pre-Assessment Estimator'!$A$10:$AA$226,V$2,FALSE))</f>
        <v/>
      </c>
      <c r="W92" s="515">
        <f>VLOOKUP($A92,'Pre-Assessment Estimator'!$A$10:$AA$226,W$2,FALSE)</f>
        <v>0</v>
      </c>
      <c r="X92" s="514" t="str">
        <f>VLOOKUP($A92,'Pre-Assessment Estimator'!$A$10:$AA$226,X$2,FALSE)</f>
        <v>Credits achieved: 0</v>
      </c>
      <c r="Y92" s="994" t="str">
        <f>IF(VLOOKUP($A92,'Pre-Assessment Estimator'!$A$10:$AA$226,Y$2,FALSE)=0,"",VLOOKUP($A92,'Pre-Assessment Estimator'!$A$10:$AA$226,Y$2,FALSE))</f>
        <v/>
      </c>
      <c r="Z92" s="994" t="str">
        <f>IF(VLOOKUP($A92,'Pre-Assessment Estimator'!$A$10:$AA$226,Z$2,FALSE)=0,"",VLOOKUP($A92,'Pre-Assessment Estimator'!$A$10:$AA$226,Z$2,FALSE))</f>
        <v/>
      </c>
      <c r="AA92" s="1016" t="str">
        <f>IF(VLOOKUP($A92,'Pre-Assessment Estimator'!$A$10:$AA$226,AA$2,FALSE)=0,"",VLOOKUP($A92,'Pre-Assessment Estimator'!$A$10:$AA$226,AA$2,FALSE))</f>
        <v/>
      </c>
      <c r="AB92" s="605">
        <v>82</v>
      </c>
      <c r="AC92" s="509" t="str">
        <f>IF(VLOOKUP($A92,'Pre-Assessment Estimator'!$A$10:$AC$226,AC$2,FALSE)=0,"",VLOOKUP($A92,'Pre-Assessment Estimator'!$A$10:$AC$226,AC$2,FALSE))</f>
        <v>Credits achieved: 0</v>
      </c>
      <c r="AG92" s="15">
        <f t="shared" si="2"/>
        <v>1</v>
      </c>
    </row>
    <row r="93" spans="1:33" x14ac:dyDescent="0.25">
      <c r="A93" s="716">
        <v>84</v>
      </c>
      <c r="B93" s="1022" t="s">
        <v>65</v>
      </c>
      <c r="C93" s="1022"/>
      <c r="D93" s="517"/>
      <c r="E93" s="517"/>
      <c r="F93" s="517"/>
      <c r="G93" s="518"/>
      <c r="H93" s="518"/>
      <c r="I93" s="518"/>
      <c r="J93" s="518"/>
      <c r="K93" s="517"/>
      <c r="L93" s="518"/>
      <c r="M93" s="517"/>
      <c r="N93" s="511"/>
      <c r="O93" s="518"/>
      <c r="P93" s="518"/>
      <c r="Q93" s="518"/>
      <c r="R93" s="517"/>
      <c r="S93" s="518"/>
      <c r="T93" s="517"/>
      <c r="U93" s="513"/>
      <c r="V93" s="518"/>
      <c r="W93" s="518"/>
      <c r="X93" s="518"/>
      <c r="Y93" s="517"/>
      <c r="Z93" s="518"/>
      <c r="AA93" s="300"/>
      <c r="AB93" s="605">
        <v>83</v>
      </c>
      <c r="AC93" s="517"/>
      <c r="AG93" s="15">
        <f t="shared" si="2"/>
        <v>1</v>
      </c>
    </row>
    <row r="94" spans="1:33" ht="18.75" x14ac:dyDescent="0.25">
      <c r="A94" s="716">
        <v>85</v>
      </c>
      <c r="B94" s="1022" t="s">
        <v>66</v>
      </c>
      <c r="C94" s="1022"/>
      <c r="D94" s="519"/>
      <c r="E94" s="519"/>
      <c r="F94" s="519" t="s">
        <v>66</v>
      </c>
      <c r="G94" s="502"/>
      <c r="H94" s="502"/>
      <c r="I94" s="502"/>
      <c r="J94" s="502"/>
      <c r="K94" s="503"/>
      <c r="L94" s="502"/>
      <c r="M94" s="503"/>
      <c r="N94" s="511"/>
      <c r="O94" s="502"/>
      <c r="P94" s="502"/>
      <c r="Q94" s="502"/>
      <c r="R94" s="503"/>
      <c r="S94" s="502"/>
      <c r="T94" s="503"/>
      <c r="U94" s="513"/>
      <c r="V94" s="502"/>
      <c r="W94" s="502"/>
      <c r="X94" s="502"/>
      <c r="Y94" s="503"/>
      <c r="Z94" s="502"/>
      <c r="AA94" s="351"/>
      <c r="AB94" s="605">
        <v>84</v>
      </c>
      <c r="AC94" s="606"/>
      <c r="AG94" s="15">
        <f t="shared" si="2"/>
        <v>1</v>
      </c>
    </row>
    <row r="95" spans="1:33" x14ac:dyDescent="0.25">
      <c r="A95" s="716">
        <v>86</v>
      </c>
      <c r="B95" s="1022" t="s">
        <v>66</v>
      </c>
      <c r="C95" s="1022"/>
      <c r="D95" s="1043" t="str">
        <f>VLOOKUP($A95,'Pre-Assessment Estimator'!$A$10:$AA$226,D$2,FALSE)</f>
        <v>Tra 01</v>
      </c>
      <c r="E95" s="1044"/>
      <c r="F95" s="1043" t="str">
        <f>VLOOKUP($A95,'Pre-Assessment Estimator'!$A$10:$AA$226,F$2,FALSE)</f>
        <v>Tra 01 Transport assessment and travel plan</v>
      </c>
      <c r="G95" s="506">
        <f>VLOOKUP($A95,'Pre-Assessment Estimator'!$A$10:$AA$226,G$2,FALSE)</f>
        <v>3</v>
      </c>
      <c r="H95" s="512" t="str">
        <f>IF(VLOOKUP($A95,'Pre-Assessment Estimator'!$A$10:$AA$226,H$2,FALSE)=0,"",VLOOKUP($A95,'Pre-Assessment Estimator'!$A$10:$AA$226,H$2,FALSE))</f>
        <v/>
      </c>
      <c r="I95" s="1012" t="str">
        <f>VLOOKUP($A95,'Pre-Assessment Estimator'!$A$10:$AA$226,I$2,FALSE)</f>
        <v>0 c. 0 %</v>
      </c>
      <c r="J95" s="508" t="str">
        <f>VLOOKUP($A95,'Pre-Assessment Estimator'!$A$10:$AA$226,J$2,FALSE)</f>
        <v>N/A</v>
      </c>
      <c r="K95" s="509" t="str">
        <f>IF(VLOOKUP($A95,'Pre-Assessment Estimator'!$A$10:$AA$226,K$2,FALSE)=0,"",VLOOKUP($A95,'Pre-Assessment Estimator'!$A$10:$AA$226,K$2,FALSE))</f>
        <v/>
      </c>
      <c r="L95" s="509" t="str">
        <f>IF(VLOOKUP($A95,'Pre-Assessment Estimator'!$A$10:$AA$226,L$2,FALSE)=0,"",VLOOKUP($A95,'Pre-Assessment Estimator'!$A$10:$AA$226,L$2,FALSE))</f>
        <v/>
      </c>
      <c r="M95" s="510" t="str">
        <f>IF(VLOOKUP($A95,'Pre-Assessment Estimator'!$A$10:$AA$226,M$2,FALSE)=0,"",VLOOKUP($A95,'Pre-Assessment Estimator'!$A$10:$AA$226,M$2,FALSE))</f>
        <v/>
      </c>
      <c r="N95" s="511"/>
      <c r="O95" s="512" t="str">
        <f>IF(VLOOKUP($A95,'Pre-Assessment Estimator'!$A$10:$AA$226,O$2,FALSE)=0,"",VLOOKUP($A95,'Pre-Assessment Estimator'!$A$10:$AA$226,O$2,FALSE))</f>
        <v/>
      </c>
      <c r="P95" s="507" t="str">
        <f>VLOOKUP($A95,'Pre-Assessment Estimator'!$A$10:$AA$226,P$2,FALSE)</f>
        <v>0 c. 0 %</v>
      </c>
      <c r="Q95" s="506" t="str">
        <f>VLOOKUP($A95,'Pre-Assessment Estimator'!$A$10:$AA$226,Q$2,FALSE)</f>
        <v>N/A</v>
      </c>
      <c r="R95" s="509" t="str">
        <f>IF(VLOOKUP($A95,'Pre-Assessment Estimator'!$A$10:$AA$226,R$2,FALSE)=0,"",VLOOKUP($A95,'Pre-Assessment Estimator'!$A$10:$AA$226,R$2,FALSE))</f>
        <v/>
      </c>
      <c r="S95" s="509" t="str">
        <f>IF(VLOOKUP($A95,'Pre-Assessment Estimator'!$A$10:$AA$226,S$2,FALSE)=0,"",VLOOKUP($A95,'Pre-Assessment Estimator'!$A$10:$AA$226,S$2,FALSE))</f>
        <v/>
      </c>
      <c r="T95" s="510" t="str">
        <f>IF(VLOOKUP($A95,'Pre-Assessment Estimator'!$A$10:$AA$226,T$2,FALSE)=0,"",VLOOKUP($A95,'Pre-Assessment Estimator'!$A$10:$AA$226,T$2,FALSE))</f>
        <v/>
      </c>
      <c r="U95" s="513"/>
      <c r="V95" s="512" t="str">
        <f>IF(VLOOKUP($A95,'Pre-Assessment Estimator'!$A$10:$AA$226,V$2,FALSE)=0,"",VLOOKUP($A95,'Pre-Assessment Estimator'!$A$10:$AA$226,V$2,FALSE))</f>
        <v/>
      </c>
      <c r="W95" s="507" t="str">
        <f>VLOOKUP($A95,'Pre-Assessment Estimator'!$A$10:$AA$226,W$2,FALSE)</f>
        <v>0 c. 0 %</v>
      </c>
      <c r="X95" s="506" t="str">
        <f>VLOOKUP($A95,'Pre-Assessment Estimator'!$A$10:$AA$226,X$2,FALSE)</f>
        <v>N/A</v>
      </c>
      <c r="Y95" s="509" t="str">
        <f>IF(VLOOKUP($A95,'Pre-Assessment Estimator'!$A$10:$AA$226,Y$2,FALSE)=0,"",VLOOKUP($A95,'Pre-Assessment Estimator'!$A$10:$AA$226,Y$2,FALSE))</f>
        <v/>
      </c>
      <c r="Z95" s="509" t="str">
        <f>IF(VLOOKUP($A95,'Pre-Assessment Estimator'!$A$10:$AA$226,Z$2,FALSE)=0,"",VLOOKUP($A95,'Pre-Assessment Estimator'!$A$10:$AA$226,Z$2,FALSE))</f>
        <v/>
      </c>
      <c r="AA95" s="322" t="str">
        <f>IF(VLOOKUP($A95,'Pre-Assessment Estimator'!$A$10:$AA$226,AA$2,FALSE)=0,"",VLOOKUP($A95,'Pre-Assessment Estimator'!$A$10:$AA$226,AA$2,FALSE))</f>
        <v/>
      </c>
      <c r="AB95" s="605">
        <v>85</v>
      </c>
      <c r="AC95" s="509" t="str">
        <f>IF(VLOOKUP($A95,'Pre-Assessment Estimator'!$A$10:$AC$226,AC$2,FALSE)=0,"",VLOOKUP($A95,'Pre-Assessment Estimator'!$A$10:$AC$226,AC$2,FALSE))</f>
        <v>N/A</v>
      </c>
      <c r="AG95" s="15">
        <f t="shared" si="2"/>
        <v>1</v>
      </c>
    </row>
    <row r="96" spans="1:33" x14ac:dyDescent="0.25">
      <c r="A96" s="716">
        <v>87</v>
      </c>
      <c r="B96" s="1022" t="s">
        <v>66</v>
      </c>
      <c r="C96" s="1022"/>
      <c r="D96" s="1044" t="str">
        <f>VLOOKUP($A96,'Pre-Assessment Estimator'!$A$10:$AA$226,D$2,FALSE)</f>
        <v>Tra 01</v>
      </c>
      <c r="E96" s="1044" t="str">
        <f>VLOOKUP($A96,'Pre-Assessment Estimator'!$A$10:$AA$226,E$2,FALSE)</f>
        <v>1-5</v>
      </c>
      <c r="F96" s="1045" t="str">
        <f>VLOOKUP($A96,'Pre-Assessment Estimator'!$A$10:$AA$226,F$2,FALSE)</f>
        <v xml:space="preserve">Transport assessment and travel plan </v>
      </c>
      <c r="G96" s="506">
        <f>VLOOKUP($A96,'Pre-Assessment Estimator'!$A$10:$AA$226,G$2,FALSE)</f>
        <v>2</v>
      </c>
      <c r="H96" s="512" t="str">
        <f>IF(VLOOKUP($A96,'Pre-Assessment Estimator'!$A$10:$AA$226,H$2,FALSE)=0,"",VLOOKUP($A96,'Pre-Assessment Estimator'!$A$10:$AA$226,H$2,FALSE))</f>
        <v/>
      </c>
      <c r="I96" s="1012">
        <f>VLOOKUP($A96,'Pre-Assessment Estimator'!$A$10:$AA$226,I$2,FALSE)</f>
        <v>0</v>
      </c>
      <c r="J96" s="508" t="str">
        <f>VLOOKUP($A96,'Pre-Assessment Estimator'!$A$10:$AA$226,J$2,FALSE)</f>
        <v>N/A</v>
      </c>
      <c r="K96" s="509" t="str">
        <f>IF(VLOOKUP($A96,'Pre-Assessment Estimator'!$A$10:$AA$226,K$2,FALSE)=0,"",VLOOKUP($A96,'Pre-Assessment Estimator'!$A$10:$AA$226,K$2,FALSE))</f>
        <v/>
      </c>
      <c r="L96" s="509" t="str">
        <f>IF(VLOOKUP($A96,'Pre-Assessment Estimator'!$A$10:$AA$226,L$2,FALSE)=0,"",VLOOKUP($A96,'Pre-Assessment Estimator'!$A$10:$AA$226,L$2,FALSE))</f>
        <v/>
      </c>
      <c r="M96" s="510" t="str">
        <f>IF(VLOOKUP($A96,'Pre-Assessment Estimator'!$A$10:$AA$226,M$2,FALSE)=0,"",VLOOKUP($A96,'Pre-Assessment Estimator'!$A$10:$AA$226,M$2,FALSE))</f>
        <v/>
      </c>
      <c r="N96" s="511"/>
      <c r="O96" s="512" t="str">
        <f>IF(VLOOKUP($A96,'Pre-Assessment Estimator'!$A$10:$AA$226,O$2,FALSE)=0,"",VLOOKUP($A96,'Pre-Assessment Estimator'!$A$10:$AA$226,O$2,FALSE))</f>
        <v/>
      </c>
      <c r="P96" s="507">
        <f>VLOOKUP($A96,'Pre-Assessment Estimator'!$A$10:$AA$226,P$2,FALSE)</f>
        <v>0</v>
      </c>
      <c r="Q96" s="506" t="str">
        <f>VLOOKUP($A96,'Pre-Assessment Estimator'!$A$10:$AA$226,Q$2,FALSE)</f>
        <v>N/A</v>
      </c>
      <c r="R96" s="509" t="str">
        <f>IF(VLOOKUP($A96,'Pre-Assessment Estimator'!$A$10:$AA$226,R$2,FALSE)=0,"",VLOOKUP($A96,'Pre-Assessment Estimator'!$A$10:$AA$226,R$2,FALSE))</f>
        <v/>
      </c>
      <c r="S96" s="509" t="str">
        <f>IF(VLOOKUP($A96,'Pre-Assessment Estimator'!$A$10:$AA$226,S$2,FALSE)=0,"",VLOOKUP($A96,'Pre-Assessment Estimator'!$A$10:$AA$226,S$2,FALSE))</f>
        <v/>
      </c>
      <c r="T96" s="510" t="str">
        <f>IF(VLOOKUP($A96,'Pre-Assessment Estimator'!$A$10:$AA$226,T$2,FALSE)=0,"",VLOOKUP($A96,'Pre-Assessment Estimator'!$A$10:$AA$226,T$2,FALSE))</f>
        <v/>
      </c>
      <c r="U96" s="513"/>
      <c r="V96" s="512" t="str">
        <f>IF(VLOOKUP($A96,'Pre-Assessment Estimator'!$A$10:$AA$226,V$2,FALSE)=0,"",VLOOKUP($A96,'Pre-Assessment Estimator'!$A$10:$AA$226,V$2,FALSE))</f>
        <v/>
      </c>
      <c r="W96" s="507">
        <f>VLOOKUP($A96,'Pre-Assessment Estimator'!$A$10:$AA$226,W$2,FALSE)</f>
        <v>0</v>
      </c>
      <c r="X96" s="506" t="str">
        <f>VLOOKUP($A96,'Pre-Assessment Estimator'!$A$10:$AA$226,X$2,FALSE)</f>
        <v>N/A</v>
      </c>
      <c r="Y96" s="509" t="str">
        <f>IF(VLOOKUP($A96,'Pre-Assessment Estimator'!$A$10:$AA$226,Y$2,FALSE)=0,"",VLOOKUP($A96,'Pre-Assessment Estimator'!$A$10:$AA$226,Y$2,FALSE))</f>
        <v/>
      </c>
      <c r="Z96" s="509" t="str">
        <f>IF(VLOOKUP($A96,'Pre-Assessment Estimator'!$A$10:$AA$226,Z$2,FALSE)=0,"",VLOOKUP($A96,'Pre-Assessment Estimator'!$A$10:$AA$226,Z$2,FALSE))</f>
        <v/>
      </c>
      <c r="AA96" s="322" t="str">
        <f>IF(VLOOKUP($A96,'Pre-Assessment Estimator'!$A$10:$AA$226,AA$2,FALSE)=0,"",VLOOKUP($A96,'Pre-Assessment Estimator'!$A$10:$AA$226,AA$2,FALSE))</f>
        <v/>
      </c>
      <c r="AB96" s="605">
        <v>86</v>
      </c>
      <c r="AC96" s="509" t="str">
        <f>IF(VLOOKUP($A96,'Pre-Assessment Estimator'!$A$10:$AC$226,AC$2,FALSE)=0,"",VLOOKUP($A96,'Pre-Assessment Estimator'!$A$10:$AC$226,AC$2,FALSE))</f>
        <v>N/A</v>
      </c>
      <c r="AG96" s="15">
        <f t="shared" si="2"/>
        <v>1</v>
      </c>
    </row>
    <row r="97" spans="1:33" x14ac:dyDescent="0.25">
      <c r="A97" s="716">
        <v>88</v>
      </c>
      <c r="B97" s="1022" t="s">
        <v>66</v>
      </c>
      <c r="C97" s="1022"/>
      <c r="D97" s="1044" t="str">
        <f>VLOOKUP($A97,'Pre-Assessment Estimator'!$A$10:$AA$226,D$2,FALSE)</f>
        <v>Tra 01</v>
      </c>
      <c r="E97" s="1044">
        <f>VLOOKUP($A97,'Pre-Assessment Estimator'!$A$10:$AA$226,E$2,FALSE)</f>
        <v>6</v>
      </c>
      <c r="F97" s="1045" t="str">
        <f>VLOOKUP($A97,'Pre-Assessment Estimator'!$A$10:$AA$226,F$2,FALSE)</f>
        <v xml:space="preserve">Travel plan emissions evaluation </v>
      </c>
      <c r="G97" s="506">
        <f>VLOOKUP($A97,'Pre-Assessment Estimator'!$A$10:$AA$226,G$2,FALSE)</f>
        <v>1</v>
      </c>
      <c r="H97" s="512" t="str">
        <f>IF(VLOOKUP($A97,'Pre-Assessment Estimator'!$A$10:$AA$226,H$2,FALSE)=0,"",VLOOKUP($A97,'Pre-Assessment Estimator'!$A$10:$AA$226,H$2,FALSE))</f>
        <v/>
      </c>
      <c r="I97" s="1012">
        <f>VLOOKUP($A97,'Pre-Assessment Estimator'!$A$10:$AA$226,I$2,FALSE)</f>
        <v>0</v>
      </c>
      <c r="J97" s="508" t="str">
        <f>VLOOKUP($A97,'Pre-Assessment Estimator'!$A$10:$AA$226,J$2,FALSE)</f>
        <v>Very Good</v>
      </c>
      <c r="K97" s="509" t="str">
        <f>IF(VLOOKUP($A97,'Pre-Assessment Estimator'!$A$10:$AA$226,K$2,FALSE)=0,"",VLOOKUP($A97,'Pre-Assessment Estimator'!$A$10:$AA$226,K$2,FALSE))</f>
        <v/>
      </c>
      <c r="L97" s="509" t="str">
        <f>IF(VLOOKUP($A97,'Pre-Assessment Estimator'!$A$10:$AA$226,L$2,FALSE)=0,"",VLOOKUP($A97,'Pre-Assessment Estimator'!$A$10:$AA$226,L$2,FALSE))</f>
        <v/>
      </c>
      <c r="M97" s="510" t="str">
        <f>IF(VLOOKUP($A97,'Pre-Assessment Estimator'!$A$10:$AA$226,M$2,FALSE)=0,"",VLOOKUP($A97,'Pre-Assessment Estimator'!$A$10:$AA$226,M$2,FALSE))</f>
        <v/>
      </c>
      <c r="N97" s="511"/>
      <c r="O97" s="512" t="str">
        <f>IF(VLOOKUP($A97,'Pre-Assessment Estimator'!$A$10:$AA$226,O$2,FALSE)=0,"",VLOOKUP($A97,'Pre-Assessment Estimator'!$A$10:$AA$226,O$2,FALSE))</f>
        <v/>
      </c>
      <c r="P97" s="507">
        <f>VLOOKUP($A97,'Pre-Assessment Estimator'!$A$10:$AA$226,P$2,FALSE)</f>
        <v>0</v>
      </c>
      <c r="Q97" s="506" t="str">
        <f>VLOOKUP($A97,'Pre-Assessment Estimator'!$A$10:$AA$226,Q$2,FALSE)</f>
        <v>Very Good</v>
      </c>
      <c r="R97" s="509" t="str">
        <f>IF(VLOOKUP($A97,'Pre-Assessment Estimator'!$A$10:$AA$226,R$2,FALSE)=0,"",VLOOKUP($A97,'Pre-Assessment Estimator'!$A$10:$AA$226,R$2,FALSE))</f>
        <v/>
      </c>
      <c r="S97" s="509" t="str">
        <f>IF(VLOOKUP($A97,'Pre-Assessment Estimator'!$A$10:$AA$226,S$2,FALSE)=0,"",VLOOKUP($A97,'Pre-Assessment Estimator'!$A$10:$AA$226,S$2,FALSE))</f>
        <v/>
      </c>
      <c r="T97" s="510" t="str">
        <f>IF(VLOOKUP($A97,'Pre-Assessment Estimator'!$A$10:$AA$226,T$2,FALSE)=0,"",VLOOKUP($A97,'Pre-Assessment Estimator'!$A$10:$AA$226,T$2,FALSE))</f>
        <v/>
      </c>
      <c r="U97" s="513"/>
      <c r="V97" s="512" t="str">
        <f>IF(VLOOKUP($A97,'Pre-Assessment Estimator'!$A$10:$AA$226,V$2,FALSE)=0,"",VLOOKUP($A97,'Pre-Assessment Estimator'!$A$10:$AA$226,V$2,FALSE))</f>
        <v/>
      </c>
      <c r="W97" s="507">
        <f>VLOOKUP($A97,'Pre-Assessment Estimator'!$A$10:$AA$226,W$2,FALSE)</f>
        <v>0</v>
      </c>
      <c r="X97" s="506" t="str">
        <f>VLOOKUP($A97,'Pre-Assessment Estimator'!$A$10:$AA$226,X$2,FALSE)</f>
        <v>Very Good</v>
      </c>
      <c r="Y97" s="509" t="str">
        <f>IF(VLOOKUP($A97,'Pre-Assessment Estimator'!$A$10:$AA$226,Y$2,FALSE)=0,"",VLOOKUP($A97,'Pre-Assessment Estimator'!$A$10:$AA$226,Y$2,FALSE))</f>
        <v/>
      </c>
      <c r="Z97" s="509" t="str">
        <f>IF(VLOOKUP($A97,'Pre-Assessment Estimator'!$A$10:$AA$226,Z$2,FALSE)=0,"",VLOOKUP($A97,'Pre-Assessment Estimator'!$A$10:$AA$226,Z$2,FALSE))</f>
        <v/>
      </c>
      <c r="AA97" s="322" t="str">
        <f>IF(VLOOKUP($A97,'Pre-Assessment Estimator'!$A$10:$AA$226,AA$2,FALSE)=0,"",VLOOKUP($A97,'Pre-Assessment Estimator'!$A$10:$AA$226,AA$2,FALSE))</f>
        <v/>
      </c>
      <c r="AB97" s="605">
        <v>87</v>
      </c>
      <c r="AC97" s="509" t="str">
        <f>IF(VLOOKUP($A97,'Pre-Assessment Estimator'!$A$10:$AC$226,AC$2,FALSE)=0,"",VLOOKUP($A97,'Pre-Assessment Estimator'!$A$10:$AC$226,AC$2,FALSE))</f>
        <v>Very Good</v>
      </c>
      <c r="AG97" s="15">
        <f t="shared" si="2"/>
        <v>1</v>
      </c>
    </row>
    <row r="98" spans="1:33" x14ac:dyDescent="0.25">
      <c r="A98" s="716">
        <v>89</v>
      </c>
      <c r="B98" s="1022" t="s">
        <v>66</v>
      </c>
      <c r="C98" s="1022"/>
      <c r="D98" s="1043" t="str">
        <f>VLOOKUP($A98,'Pre-Assessment Estimator'!$A$10:$AA$226,D$2,FALSE)</f>
        <v>Tra 02</v>
      </c>
      <c r="E98" s="1044"/>
      <c r="F98" s="1043" t="str">
        <f>VLOOKUP($A98,'Pre-Assessment Estimator'!$A$10:$AA$226,F$2,FALSE)</f>
        <v>Tra 02 Sustainable transport measures</v>
      </c>
      <c r="G98" s="506">
        <f>VLOOKUP($A98,'Pre-Assessment Estimator'!$A$10:$AA$226,G$2,FALSE)</f>
        <v>10</v>
      </c>
      <c r="H98" s="512" t="str">
        <f>IF(VLOOKUP($A98,'Pre-Assessment Estimator'!$A$10:$AA$226,H$2,FALSE)=0,"",VLOOKUP($A98,'Pre-Assessment Estimator'!$A$10:$AA$226,H$2,FALSE))</f>
        <v/>
      </c>
      <c r="I98" s="1012" t="str">
        <f>VLOOKUP($A98,'Pre-Assessment Estimator'!$A$10:$AA$226,I$2,FALSE)</f>
        <v>0 c. 0 %</v>
      </c>
      <c r="J98" s="508" t="str">
        <f>VLOOKUP($A98,'Pre-Assessment Estimator'!$A$10:$AA$226,J$2,FALSE)</f>
        <v>N/A</v>
      </c>
      <c r="K98" s="509" t="str">
        <f>IF(VLOOKUP($A98,'Pre-Assessment Estimator'!$A$10:$AA$226,K$2,FALSE)=0,"",VLOOKUP($A98,'Pre-Assessment Estimator'!$A$10:$AA$226,K$2,FALSE))</f>
        <v/>
      </c>
      <c r="L98" s="509" t="str">
        <f>IF(VLOOKUP($A98,'Pre-Assessment Estimator'!$A$10:$AA$226,L$2,FALSE)=0,"",VLOOKUP($A98,'Pre-Assessment Estimator'!$A$10:$AA$226,L$2,FALSE))</f>
        <v/>
      </c>
      <c r="M98" s="510" t="str">
        <f>IF(VLOOKUP($A98,'Pre-Assessment Estimator'!$A$10:$AA$226,M$2,FALSE)=0,"",VLOOKUP($A98,'Pre-Assessment Estimator'!$A$10:$AA$226,M$2,FALSE))</f>
        <v/>
      </c>
      <c r="N98" s="511"/>
      <c r="O98" s="512" t="str">
        <f>IF(VLOOKUP($A98,'Pre-Assessment Estimator'!$A$10:$AA$226,O$2,FALSE)=0,"",VLOOKUP($A98,'Pre-Assessment Estimator'!$A$10:$AA$226,O$2,FALSE))</f>
        <v/>
      </c>
      <c r="P98" s="507" t="str">
        <f>VLOOKUP($A98,'Pre-Assessment Estimator'!$A$10:$AA$226,P$2,FALSE)</f>
        <v>0 c. 0 %</v>
      </c>
      <c r="Q98" s="506" t="str">
        <f>VLOOKUP($A98,'Pre-Assessment Estimator'!$A$10:$AA$226,Q$2,FALSE)</f>
        <v>N/A</v>
      </c>
      <c r="R98" s="509" t="str">
        <f>IF(VLOOKUP($A98,'Pre-Assessment Estimator'!$A$10:$AA$226,R$2,FALSE)=0,"",VLOOKUP($A98,'Pre-Assessment Estimator'!$A$10:$AA$226,R$2,FALSE))</f>
        <v/>
      </c>
      <c r="S98" s="509" t="str">
        <f>IF(VLOOKUP($A98,'Pre-Assessment Estimator'!$A$10:$AA$226,S$2,FALSE)=0,"",VLOOKUP($A98,'Pre-Assessment Estimator'!$A$10:$AA$226,S$2,FALSE))</f>
        <v/>
      </c>
      <c r="T98" s="510" t="str">
        <f>IF(VLOOKUP($A98,'Pre-Assessment Estimator'!$A$10:$AA$226,T$2,FALSE)=0,"",VLOOKUP($A98,'Pre-Assessment Estimator'!$A$10:$AA$226,T$2,FALSE))</f>
        <v/>
      </c>
      <c r="U98" s="513"/>
      <c r="V98" s="512" t="str">
        <f>IF(VLOOKUP($A98,'Pre-Assessment Estimator'!$A$10:$AA$226,V$2,FALSE)=0,"",VLOOKUP($A98,'Pre-Assessment Estimator'!$A$10:$AA$226,V$2,FALSE))</f>
        <v/>
      </c>
      <c r="W98" s="507" t="str">
        <f>VLOOKUP($A98,'Pre-Assessment Estimator'!$A$10:$AA$226,W$2,FALSE)</f>
        <v>0 c. 0 %</v>
      </c>
      <c r="X98" s="506" t="str">
        <f>VLOOKUP($A98,'Pre-Assessment Estimator'!$A$10:$AA$226,X$2,FALSE)</f>
        <v>N/A</v>
      </c>
      <c r="Y98" s="509" t="str">
        <f>IF(VLOOKUP($A98,'Pre-Assessment Estimator'!$A$10:$AA$226,Y$2,FALSE)=0,"",VLOOKUP($A98,'Pre-Assessment Estimator'!$A$10:$AA$226,Y$2,FALSE))</f>
        <v/>
      </c>
      <c r="Z98" s="509" t="str">
        <f>IF(VLOOKUP($A98,'Pre-Assessment Estimator'!$A$10:$AA$226,Z$2,FALSE)=0,"",VLOOKUP($A98,'Pre-Assessment Estimator'!$A$10:$AA$226,Z$2,FALSE))</f>
        <v/>
      </c>
      <c r="AA98" s="322" t="str">
        <f>IF(VLOOKUP($A98,'Pre-Assessment Estimator'!$A$10:$AA$226,AA$2,FALSE)=0,"",VLOOKUP($A98,'Pre-Assessment Estimator'!$A$10:$AA$226,AA$2,FALSE))</f>
        <v/>
      </c>
      <c r="AB98" s="605">
        <v>88</v>
      </c>
      <c r="AC98" s="509" t="str">
        <f>IF(VLOOKUP($A98,'Pre-Assessment Estimator'!$A$10:$AC$226,AC$2,FALSE)=0,"",VLOOKUP($A98,'Pre-Assessment Estimator'!$A$10:$AC$226,AC$2,FALSE))</f>
        <v>N/A</v>
      </c>
      <c r="AG98" s="15">
        <f t="shared" si="2"/>
        <v>1</v>
      </c>
    </row>
    <row r="99" spans="1:33" x14ac:dyDescent="0.25">
      <c r="A99" s="716">
        <v>90</v>
      </c>
      <c r="B99" s="1022" t="s">
        <v>66</v>
      </c>
      <c r="C99" s="1022"/>
      <c r="D99" s="1044" t="str">
        <f>VLOOKUP($A99,'Pre-Assessment Estimator'!$A$10:$AA$226,D$2,FALSE)</f>
        <v>Tra 02</v>
      </c>
      <c r="E99" s="1044">
        <f>VLOOKUP($A99,'Pre-Assessment Estimator'!$A$10:$AA$226,E$2,FALSE)</f>
        <v>1</v>
      </c>
      <c r="F99" s="1045" t="str">
        <f>VLOOKUP($A99,'Pre-Assessment Estimator'!$A$10:$AA$226,F$2,FALSE)</f>
        <v>Pre-requisite: transport assessment and travel plan</v>
      </c>
      <c r="G99" s="506" t="str">
        <f>VLOOKUP($A99,'Pre-Assessment Estimator'!$A$10:$AA$226,G$2,FALSE)</f>
        <v>Yes/No</v>
      </c>
      <c r="H99" s="512" t="str">
        <f>IF(VLOOKUP($A99,'Pre-Assessment Estimator'!$A$10:$AA$226,H$2,FALSE)=0,"",VLOOKUP($A99,'Pre-Assessment Estimator'!$A$10:$AA$226,H$2,FALSE))</f>
        <v/>
      </c>
      <c r="I99" s="1012" t="str">
        <f>VLOOKUP($A99,'Pre-Assessment Estimator'!$A$10:$AA$226,I$2,FALSE)</f>
        <v>-</v>
      </c>
      <c r="J99" s="508" t="str">
        <f>VLOOKUP($A99,'Pre-Assessment Estimator'!$A$10:$AA$226,J$2,FALSE)</f>
        <v>N/A</v>
      </c>
      <c r="K99" s="509" t="str">
        <f>IF(VLOOKUP($A99,'Pre-Assessment Estimator'!$A$10:$AA$226,K$2,FALSE)=0,"",VLOOKUP($A99,'Pre-Assessment Estimator'!$A$10:$AA$226,K$2,FALSE))</f>
        <v/>
      </c>
      <c r="L99" s="509" t="str">
        <f>IF(VLOOKUP($A99,'Pre-Assessment Estimator'!$A$10:$AA$226,L$2,FALSE)=0,"",VLOOKUP($A99,'Pre-Assessment Estimator'!$A$10:$AA$226,L$2,FALSE))</f>
        <v/>
      </c>
      <c r="M99" s="510" t="str">
        <f>IF(VLOOKUP($A99,'Pre-Assessment Estimator'!$A$10:$AA$226,M$2,FALSE)=0,"",VLOOKUP($A99,'Pre-Assessment Estimator'!$A$10:$AA$226,M$2,FALSE))</f>
        <v/>
      </c>
      <c r="N99" s="511"/>
      <c r="O99" s="512" t="str">
        <f>IF(VLOOKUP($A99,'Pre-Assessment Estimator'!$A$10:$AA$226,O$2,FALSE)=0,"",VLOOKUP($A99,'Pre-Assessment Estimator'!$A$10:$AA$226,O$2,FALSE))</f>
        <v/>
      </c>
      <c r="P99" s="507" t="str">
        <f>VLOOKUP($A99,'Pre-Assessment Estimator'!$A$10:$AA$226,P$2,FALSE)</f>
        <v>-</v>
      </c>
      <c r="Q99" s="506" t="str">
        <f>VLOOKUP($A99,'Pre-Assessment Estimator'!$A$10:$AA$226,Q$2,FALSE)</f>
        <v>N/A</v>
      </c>
      <c r="R99" s="509" t="str">
        <f>IF(VLOOKUP($A99,'Pre-Assessment Estimator'!$A$10:$AA$226,R$2,FALSE)=0,"",VLOOKUP($A99,'Pre-Assessment Estimator'!$A$10:$AA$226,R$2,FALSE))</f>
        <v/>
      </c>
      <c r="S99" s="509" t="str">
        <f>IF(VLOOKUP($A99,'Pre-Assessment Estimator'!$A$10:$AA$226,S$2,FALSE)=0,"",VLOOKUP($A99,'Pre-Assessment Estimator'!$A$10:$AA$226,S$2,FALSE))</f>
        <v/>
      </c>
      <c r="T99" s="510" t="str">
        <f>IF(VLOOKUP($A99,'Pre-Assessment Estimator'!$A$10:$AA$226,T$2,FALSE)=0,"",VLOOKUP($A99,'Pre-Assessment Estimator'!$A$10:$AA$226,T$2,FALSE))</f>
        <v/>
      </c>
      <c r="U99" s="513"/>
      <c r="V99" s="512" t="str">
        <f>IF(VLOOKUP($A99,'Pre-Assessment Estimator'!$A$10:$AA$226,V$2,FALSE)=0,"",VLOOKUP($A99,'Pre-Assessment Estimator'!$A$10:$AA$226,V$2,FALSE))</f>
        <v/>
      </c>
      <c r="W99" s="507" t="str">
        <f>VLOOKUP($A99,'Pre-Assessment Estimator'!$A$10:$AA$226,W$2,FALSE)</f>
        <v>-</v>
      </c>
      <c r="X99" s="506" t="str">
        <f>VLOOKUP($A99,'Pre-Assessment Estimator'!$A$10:$AA$226,X$2,FALSE)</f>
        <v>N/A</v>
      </c>
      <c r="Y99" s="509" t="str">
        <f>IF(VLOOKUP($A99,'Pre-Assessment Estimator'!$A$10:$AA$226,Y$2,FALSE)=0,"",VLOOKUP($A99,'Pre-Assessment Estimator'!$A$10:$AA$226,Y$2,FALSE))</f>
        <v/>
      </c>
      <c r="Z99" s="509" t="str">
        <f>IF(VLOOKUP($A99,'Pre-Assessment Estimator'!$A$10:$AA$226,Z$2,FALSE)=0,"",VLOOKUP($A99,'Pre-Assessment Estimator'!$A$10:$AA$226,Z$2,FALSE))</f>
        <v/>
      </c>
      <c r="AA99" s="322" t="str">
        <f>IF(VLOOKUP($A99,'Pre-Assessment Estimator'!$A$10:$AA$226,AA$2,FALSE)=0,"",VLOOKUP($A99,'Pre-Assessment Estimator'!$A$10:$AA$226,AA$2,FALSE))</f>
        <v/>
      </c>
      <c r="AB99" s="605">
        <v>89</v>
      </c>
      <c r="AC99" s="509" t="str">
        <f>IF(VLOOKUP($A99,'Pre-Assessment Estimator'!$A$10:$AC$226,AC$2,FALSE)=0,"",VLOOKUP($A99,'Pre-Assessment Estimator'!$A$10:$AC$226,AC$2,FALSE))</f>
        <v>N/A</v>
      </c>
      <c r="AG99" s="15">
        <f t="shared" si="2"/>
        <v>1</v>
      </c>
    </row>
    <row r="100" spans="1:33" x14ac:dyDescent="0.25">
      <c r="A100" s="716">
        <v>91</v>
      </c>
      <c r="B100" s="1022" t="s">
        <v>66</v>
      </c>
      <c r="C100" s="1022"/>
      <c r="D100" s="1044" t="str">
        <f>VLOOKUP($A100,'Pre-Assessment Estimator'!$A$10:$AA$226,D$2,FALSE)</f>
        <v>Tra 02</v>
      </c>
      <c r="E100" s="1044" t="str">
        <f>VLOOKUP($A100,'Pre-Assessment Estimator'!$A$10:$AA$226,E$2,FALSE)</f>
        <v>2-3</v>
      </c>
      <c r="F100" s="1045" t="str">
        <f>VLOOKUP($A100,'Pre-Assessment Estimator'!$A$10:$AA$226,F$2,FALSE)</f>
        <v xml:space="preserve">Transport options implementation </v>
      </c>
      <c r="G100" s="506">
        <f>VLOOKUP($A100,'Pre-Assessment Estimator'!$A$10:$AA$226,G$2,FALSE)</f>
        <v>10</v>
      </c>
      <c r="H100" s="512" t="str">
        <f>IF(VLOOKUP($A100,'Pre-Assessment Estimator'!$A$10:$AA$226,H$2,FALSE)=0,"",VLOOKUP($A100,'Pre-Assessment Estimator'!$A$10:$AA$226,H$2,FALSE))</f>
        <v/>
      </c>
      <c r="I100" s="1012">
        <f>VLOOKUP($A100,'Pre-Assessment Estimator'!$A$10:$AA$226,I$2,FALSE)</f>
        <v>0</v>
      </c>
      <c r="J100" s="508" t="str">
        <f>VLOOKUP($A100,'Pre-Assessment Estimator'!$A$10:$AA$226,J$2,FALSE)</f>
        <v>N/A</v>
      </c>
      <c r="K100" s="509" t="str">
        <f>IF(VLOOKUP($A100,'Pre-Assessment Estimator'!$A$10:$AA$226,K$2,FALSE)=0,"",VLOOKUP($A100,'Pre-Assessment Estimator'!$A$10:$AA$226,K$2,FALSE))</f>
        <v/>
      </c>
      <c r="L100" s="509" t="str">
        <f>IF(VLOOKUP($A100,'Pre-Assessment Estimator'!$A$10:$AA$226,L$2,FALSE)=0,"",VLOOKUP($A100,'Pre-Assessment Estimator'!$A$10:$AA$226,L$2,FALSE))</f>
        <v/>
      </c>
      <c r="M100" s="510" t="str">
        <f>IF(VLOOKUP($A100,'Pre-Assessment Estimator'!$A$10:$AA$226,M$2,FALSE)=0,"",VLOOKUP($A100,'Pre-Assessment Estimator'!$A$10:$AA$226,M$2,FALSE))</f>
        <v/>
      </c>
      <c r="N100" s="511"/>
      <c r="O100" s="512" t="str">
        <f>IF(VLOOKUP($A100,'Pre-Assessment Estimator'!$A$10:$AA$226,O$2,FALSE)=0,"",VLOOKUP($A100,'Pre-Assessment Estimator'!$A$10:$AA$226,O$2,FALSE))</f>
        <v/>
      </c>
      <c r="P100" s="507">
        <f>VLOOKUP($A100,'Pre-Assessment Estimator'!$A$10:$AA$226,P$2,FALSE)</f>
        <v>0</v>
      </c>
      <c r="Q100" s="506" t="str">
        <f>VLOOKUP($A100,'Pre-Assessment Estimator'!$A$10:$AA$226,Q$2,FALSE)</f>
        <v>N/A</v>
      </c>
      <c r="R100" s="509" t="str">
        <f>IF(VLOOKUP($A100,'Pre-Assessment Estimator'!$A$10:$AA$226,R$2,FALSE)=0,"",VLOOKUP($A100,'Pre-Assessment Estimator'!$A$10:$AA$226,R$2,FALSE))</f>
        <v/>
      </c>
      <c r="S100" s="509" t="str">
        <f>IF(VLOOKUP($A100,'Pre-Assessment Estimator'!$A$10:$AA$226,S$2,FALSE)=0,"",VLOOKUP($A100,'Pre-Assessment Estimator'!$A$10:$AA$226,S$2,FALSE))</f>
        <v/>
      </c>
      <c r="T100" s="510" t="str">
        <f>IF(VLOOKUP($A100,'Pre-Assessment Estimator'!$A$10:$AA$226,T$2,FALSE)=0,"",VLOOKUP($A100,'Pre-Assessment Estimator'!$A$10:$AA$226,T$2,FALSE))</f>
        <v/>
      </c>
      <c r="U100" s="513"/>
      <c r="V100" s="512" t="str">
        <f>IF(VLOOKUP($A100,'Pre-Assessment Estimator'!$A$10:$AA$226,V$2,FALSE)=0,"",VLOOKUP($A100,'Pre-Assessment Estimator'!$A$10:$AA$226,V$2,FALSE))</f>
        <v/>
      </c>
      <c r="W100" s="507">
        <f>VLOOKUP($A100,'Pre-Assessment Estimator'!$A$10:$AA$226,W$2,FALSE)</f>
        <v>0</v>
      </c>
      <c r="X100" s="506" t="str">
        <f>VLOOKUP($A100,'Pre-Assessment Estimator'!$A$10:$AA$226,X$2,FALSE)</f>
        <v>N/A</v>
      </c>
      <c r="Y100" s="509" t="str">
        <f>IF(VLOOKUP($A100,'Pre-Assessment Estimator'!$A$10:$AA$226,Y$2,FALSE)=0,"",VLOOKUP($A100,'Pre-Assessment Estimator'!$A$10:$AA$226,Y$2,FALSE))</f>
        <v/>
      </c>
      <c r="Z100" s="509" t="str">
        <f>IF(VLOOKUP($A100,'Pre-Assessment Estimator'!$A$10:$AA$226,Z$2,FALSE)=0,"",VLOOKUP($A100,'Pre-Assessment Estimator'!$A$10:$AA$226,Z$2,FALSE))</f>
        <v/>
      </c>
      <c r="AA100" s="322" t="str">
        <f>IF(VLOOKUP($A100,'Pre-Assessment Estimator'!$A$10:$AA$226,AA$2,FALSE)=0,"",VLOOKUP($A100,'Pre-Assessment Estimator'!$A$10:$AA$226,AA$2,FALSE))</f>
        <v/>
      </c>
      <c r="AB100" s="605">
        <v>90</v>
      </c>
      <c r="AC100" s="509" t="str">
        <f>IF(VLOOKUP($A100,'Pre-Assessment Estimator'!$A$10:$AC$226,AC$2,FALSE)=0,"",VLOOKUP($A100,'Pre-Assessment Estimator'!$A$10:$AC$226,AC$2,FALSE))</f>
        <v>N/A</v>
      </c>
      <c r="AG100" s="15">
        <f t="shared" si="2"/>
        <v>1</v>
      </c>
    </row>
    <row r="101" spans="1:33" ht="30" customHeight="1" thickBot="1" x14ac:dyDescent="0.3">
      <c r="A101" s="716">
        <v>92</v>
      </c>
      <c r="B101" s="1022" t="s">
        <v>66</v>
      </c>
      <c r="C101" s="1022"/>
      <c r="D101" s="1046"/>
      <c r="E101" s="1046"/>
      <c r="F101" s="1046" t="str">
        <f>VLOOKUP($A101,'Pre-Assessment Estimator'!$A$10:$AA$226,F$2,FALSE)</f>
        <v>Total performance transport</v>
      </c>
      <c r="G101" s="514">
        <f>VLOOKUP($A101,'Pre-Assessment Estimator'!$A$10:$AA$226,G$2,FALSE)</f>
        <v>13</v>
      </c>
      <c r="H101" s="516" t="str">
        <f>IF(VLOOKUP($A101,'Pre-Assessment Estimator'!$A$10:$AA$226,H$2,FALSE)=0,"",VLOOKUP($A101,'Pre-Assessment Estimator'!$A$10:$AA$226,H$2,FALSE))</f>
        <v/>
      </c>
      <c r="I101" s="515">
        <f>VLOOKUP($A101,'Pre-Assessment Estimator'!$A$10:$AA$226,I$2,FALSE)</f>
        <v>0</v>
      </c>
      <c r="J101" s="514" t="str">
        <f>VLOOKUP($A101,'Pre-Assessment Estimator'!$A$10:$AA$226,J$2,FALSE)</f>
        <v>Credits achieved: 0</v>
      </c>
      <c r="K101" s="994" t="str">
        <f>IF(VLOOKUP($A101,'Pre-Assessment Estimator'!$A$10:$AA$226,K$2,FALSE)=0,"",VLOOKUP($A101,'Pre-Assessment Estimator'!$A$10:$AA$226,K$2,FALSE))</f>
        <v/>
      </c>
      <c r="L101" s="994" t="str">
        <f>IF(VLOOKUP($A101,'Pre-Assessment Estimator'!$A$10:$AA$226,L$2,FALSE)=0,"",VLOOKUP($A101,'Pre-Assessment Estimator'!$A$10:$AA$226,L$2,FALSE))</f>
        <v/>
      </c>
      <c r="M101" s="1013" t="str">
        <f>IF(VLOOKUP($A101,'Pre-Assessment Estimator'!$A$10:$AA$226,M$2,FALSE)=0,"",VLOOKUP($A101,'Pre-Assessment Estimator'!$A$10:$AA$226,M$2,FALSE))</f>
        <v/>
      </c>
      <c r="N101" s="1014"/>
      <c r="O101" s="516" t="str">
        <f>IF(VLOOKUP($A101,'Pre-Assessment Estimator'!$A$10:$AA$226,O$2,FALSE)=0,"",VLOOKUP($A101,'Pre-Assessment Estimator'!$A$10:$AA$226,O$2,FALSE))</f>
        <v/>
      </c>
      <c r="P101" s="515">
        <f>VLOOKUP($A101,'Pre-Assessment Estimator'!$A$10:$AA$226,P$2,FALSE)</f>
        <v>0</v>
      </c>
      <c r="Q101" s="514" t="str">
        <f>VLOOKUP($A101,'Pre-Assessment Estimator'!$A$10:$AA$226,Q$2,FALSE)</f>
        <v>Credits achieved: 0</v>
      </c>
      <c r="R101" s="994" t="str">
        <f>IF(VLOOKUP($A101,'Pre-Assessment Estimator'!$A$10:$AA$226,R$2,FALSE)=0,"",VLOOKUP($A101,'Pre-Assessment Estimator'!$A$10:$AA$226,R$2,FALSE))</f>
        <v/>
      </c>
      <c r="S101" s="994" t="str">
        <f>IF(VLOOKUP($A101,'Pre-Assessment Estimator'!$A$10:$AA$226,S$2,FALSE)=0,"",VLOOKUP($A101,'Pre-Assessment Estimator'!$A$10:$AA$226,S$2,FALSE))</f>
        <v/>
      </c>
      <c r="T101" s="1013" t="str">
        <f>IF(VLOOKUP($A101,'Pre-Assessment Estimator'!$A$10:$AA$226,T$2,FALSE)=0,"",VLOOKUP($A101,'Pre-Assessment Estimator'!$A$10:$AA$226,T$2,FALSE))</f>
        <v/>
      </c>
      <c r="U101" s="1015"/>
      <c r="V101" s="516" t="str">
        <f>IF(VLOOKUP($A101,'Pre-Assessment Estimator'!$A$10:$AA$226,V$2,FALSE)=0,"",VLOOKUP($A101,'Pre-Assessment Estimator'!$A$10:$AA$226,V$2,FALSE))</f>
        <v/>
      </c>
      <c r="W101" s="515">
        <f>VLOOKUP($A101,'Pre-Assessment Estimator'!$A$10:$AA$226,W$2,FALSE)</f>
        <v>0</v>
      </c>
      <c r="X101" s="514" t="str">
        <f>VLOOKUP($A101,'Pre-Assessment Estimator'!$A$10:$AA$226,X$2,FALSE)</f>
        <v>Credits achieved: 0</v>
      </c>
      <c r="Y101" s="994" t="str">
        <f>IF(VLOOKUP($A101,'Pre-Assessment Estimator'!$A$10:$AA$226,Y$2,FALSE)=0,"",VLOOKUP($A101,'Pre-Assessment Estimator'!$A$10:$AA$226,Y$2,FALSE))</f>
        <v/>
      </c>
      <c r="Z101" s="994" t="str">
        <f>IF(VLOOKUP($A101,'Pre-Assessment Estimator'!$A$10:$AA$226,Z$2,FALSE)=0,"",VLOOKUP($A101,'Pre-Assessment Estimator'!$A$10:$AA$226,Z$2,FALSE))</f>
        <v/>
      </c>
      <c r="AA101" s="1016" t="str">
        <f>IF(VLOOKUP($A101,'Pre-Assessment Estimator'!$A$10:$AA$226,AA$2,FALSE)=0,"",VLOOKUP($A101,'Pre-Assessment Estimator'!$A$10:$AA$226,AA$2,FALSE))</f>
        <v/>
      </c>
      <c r="AB101" s="605">
        <v>91</v>
      </c>
      <c r="AC101" s="509" t="str">
        <f>IF(VLOOKUP($A101,'Pre-Assessment Estimator'!$A$10:$AC$226,AC$2,FALSE)=0,"",VLOOKUP($A101,'Pre-Assessment Estimator'!$A$10:$AC$226,AC$2,FALSE))</f>
        <v>Credits achieved: 0</v>
      </c>
      <c r="AG101" s="15">
        <f t="shared" si="2"/>
        <v>1</v>
      </c>
    </row>
    <row r="102" spans="1:33" x14ac:dyDescent="0.25">
      <c r="A102" s="716">
        <v>93</v>
      </c>
      <c r="B102" s="1022" t="s">
        <v>66</v>
      </c>
      <c r="C102" s="1022"/>
      <c r="D102" s="517"/>
      <c r="E102" s="517"/>
      <c r="F102" s="517"/>
      <c r="G102" s="518"/>
      <c r="H102" s="518"/>
      <c r="I102" s="518"/>
      <c r="J102" s="518"/>
      <c r="K102" s="517"/>
      <c r="L102" s="518"/>
      <c r="M102" s="517"/>
      <c r="N102" s="511"/>
      <c r="O102" s="518"/>
      <c r="P102" s="518"/>
      <c r="Q102" s="518"/>
      <c r="R102" s="517"/>
      <c r="S102" s="518"/>
      <c r="T102" s="517"/>
      <c r="U102" s="513"/>
      <c r="V102" s="518"/>
      <c r="W102" s="518"/>
      <c r="X102" s="518"/>
      <c r="Y102" s="517"/>
      <c r="Z102" s="518"/>
      <c r="AA102" s="300"/>
      <c r="AB102" s="605">
        <v>92</v>
      </c>
      <c r="AC102" s="517"/>
      <c r="AG102" s="15">
        <f t="shared" si="2"/>
        <v>1</v>
      </c>
    </row>
    <row r="103" spans="1:33" ht="18.75" x14ac:dyDescent="0.25">
      <c r="A103" s="716">
        <v>94</v>
      </c>
      <c r="B103" s="716" t="s">
        <v>58</v>
      </c>
      <c r="C103" s="716"/>
      <c r="D103" s="519"/>
      <c r="E103" s="519"/>
      <c r="F103" s="519" t="s">
        <v>58</v>
      </c>
      <c r="G103" s="502"/>
      <c r="H103" s="502"/>
      <c r="I103" s="502"/>
      <c r="J103" s="502"/>
      <c r="K103" s="503"/>
      <c r="L103" s="502"/>
      <c r="M103" s="503"/>
      <c r="N103" s="511"/>
      <c r="O103" s="502"/>
      <c r="P103" s="502"/>
      <c r="Q103" s="502"/>
      <c r="R103" s="503"/>
      <c r="S103" s="502"/>
      <c r="T103" s="503"/>
      <c r="U103" s="513"/>
      <c r="V103" s="502"/>
      <c r="W103" s="502"/>
      <c r="X103" s="502"/>
      <c r="Y103" s="503"/>
      <c r="Z103" s="502"/>
      <c r="AA103" s="351"/>
      <c r="AB103" s="605">
        <v>93</v>
      </c>
      <c r="AC103" s="606"/>
      <c r="AG103" s="15">
        <f t="shared" si="2"/>
        <v>1</v>
      </c>
    </row>
    <row r="104" spans="1:33" x14ac:dyDescent="0.25">
      <c r="A104" s="716">
        <v>95</v>
      </c>
      <c r="B104" s="1022" t="s">
        <v>58</v>
      </c>
      <c r="C104" s="1022"/>
      <c r="D104" s="1043" t="str">
        <f>VLOOKUP($A104,'Pre-Assessment Estimator'!$A$10:$AA$226,D$2,FALSE)</f>
        <v>Wat 01</v>
      </c>
      <c r="E104" s="1044"/>
      <c r="F104" s="1043" t="str">
        <f>VLOOKUP($A104,'Pre-Assessment Estimator'!$A$10:$AA$226,F$2,FALSE)</f>
        <v>Wat 01 Water consumption</v>
      </c>
      <c r="G104" s="506">
        <f>VLOOKUP($A104,'Pre-Assessment Estimator'!$A$10:$AA$226,G$2,FALSE)</f>
        <v>5</v>
      </c>
      <c r="H104" s="512" t="str">
        <f>IF(VLOOKUP($A104,'Pre-Assessment Estimator'!$A$10:$AA$226,H$2,FALSE)=0,"",VLOOKUP($A104,'Pre-Assessment Estimator'!$A$10:$AA$226,H$2,FALSE))</f>
        <v/>
      </c>
      <c r="I104" s="1012" t="str">
        <f>VLOOKUP($A104,'Pre-Assessment Estimator'!$A$10:$AA$226,I$2,FALSE)</f>
        <v>0 c. 0 %</v>
      </c>
      <c r="J104" s="508" t="str">
        <f>VLOOKUP($A104,'Pre-Assessment Estimator'!$A$10:$AA$226,J$2,FALSE)</f>
        <v>N/A</v>
      </c>
      <c r="K104" s="509" t="str">
        <f>IF(VLOOKUP($A104,'Pre-Assessment Estimator'!$A$10:$AA$226,K$2,FALSE)=0,"",VLOOKUP($A104,'Pre-Assessment Estimator'!$A$10:$AA$226,K$2,FALSE))</f>
        <v/>
      </c>
      <c r="L104" s="509" t="str">
        <f>IF(VLOOKUP($A104,'Pre-Assessment Estimator'!$A$10:$AA$226,L$2,FALSE)=0,"",VLOOKUP($A104,'Pre-Assessment Estimator'!$A$10:$AA$226,L$2,FALSE))</f>
        <v/>
      </c>
      <c r="M104" s="510" t="str">
        <f>IF(VLOOKUP($A104,'Pre-Assessment Estimator'!$A$10:$AA$226,M$2,FALSE)=0,"",VLOOKUP($A104,'Pre-Assessment Estimator'!$A$10:$AA$226,M$2,FALSE))</f>
        <v/>
      </c>
      <c r="N104" s="511"/>
      <c r="O104" s="512" t="str">
        <f>IF(VLOOKUP($A104,'Pre-Assessment Estimator'!$A$10:$AA$226,O$2,FALSE)=0,"",VLOOKUP($A104,'Pre-Assessment Estimator'!$A$10:$AA$226,O$2,FALSE))</f>
        <v/>
      </c>
      <c r="P104" s="507" t="str">
        <f>VLOOKUP($A104,'Pre-Assessment Estimator'!$A$10:$AA$226,P$2,FALSE)</f>
        <v>0 c. 0 %</v>
      </c>
      <c r="Q104" s="506" t="str">
        <f>VLOOKUP($A104,'Pre-Assessment Estimator'!$A$10:$AA$226,Q$2,FALSE)</f>
        <v>N/A</v>
      </c>
      <c r="R104" s="509" t="str">
        <f>IF(VLOOKUP($A104,'Pre-Assessment Estimator'!$A$10:$AA$226,R$2,FALSE)=0,"",VLOOKUP($A104,'Pre-Assessment Estimator'!$A$10:$AA$226,R$2,FALSE))</f>
        <v/>
      </c>
      <c r="S104" s="509" t="str">
        <f>IF(VLOOKUP($A104,'Pre-Assessment Estimator'!$A$10:$AA$226,S$2,FALSE)=0,"",VLOOKUP($A104,'Pre-Assessment Estimator'!$A$10:$AA$226,S$2,FALSE))</f>
        <v/>
      </c>
      <c r="T104" s="510" t="str">
        <f>IF(VLOOKUP($A104,'Pre-Assessment Estimator'!$A$10:$AA$226,T$2,FALSE)=0,"",VLOOKUP($A104,'Pre-Assessment Estimator'!$A$10:$AA$226,T$2,FALSE))</f>
        <v/>
      </c>
      <c r="U104" s="513"/>
      <c r="V104" s="512" t="str">
        <f>IF(VLOOKUP($A104,'Pre-Assessment Estimator'!$A$10:$AA$226,V$2,FALSE)=0,"",VLOOKUP($A104,'Pre-Assessment Estimator'!$A$10:$AA$226,V$2,FALSE))</f>
        <v/>
      </c>
      <c r="W104" s="507" t="str">
        <f>VLOOKUP($A104,'Pre-Assessment Estimator'!$A$10:$AA$226,W$2,FALSE)</f>
        <v>0 c. 0 %</v>
      </c>
      <c r="X104" s="506" t="str">
        <f>VLOOKUP($A104,'Pre-Assessment Estimator'!$A$10:$AA$226,X$2,FALSE)</f>
        <v>N/A</v>
      </c>
      <c r="Y104" s="509" t="str">
        <f>IF(VLOOKUP($A104,'Pre-Assessment Estimator'!$A$10:$AA$226,Y$2,FALSE)=0,"",VLOOKUP($A104,'Pre-Assessment Estimator'!$A$10:$AA$226,Y$2,FALSE))</f>
        <v/>
      </c>
      <c r="Z104" s="509" t="str">
        <f>IF(VLOOKUP($A104,'Pre-Assessment Estimator'!$A$10:$AA$226,Z$2,FALSE)=0,"",VLOOKUP($A104,'Pre-Assessment Estimator'!$A$10:$AA$226,Z$2,FALSE))</f>
        <v/>
      </c>
      <c r="AA104" s="322" t="str">
        <f>IF(VLOOKUP($A104,'Pre-Assessment Estimator'!$A$10:$AA$226,AA$2,FALSE)=0,"",VLOOKUP($A104,'Pre-Assessment Estimator'!$A$10:$AA$226,AA$2,FALSE))</f>
        <v/>
      </c>
      <c r="AB104" s="605">
        <v>94</v>
      </c>
      <c r="AC104" s="509" t="str">
        <f>IF(VLOOKUP($A104,'Pre-Assessment Estimator'!$A$10:$AC$226,AC$2,FALSE)=0,"",VLOOKUP($A104,'Pre-Assessment Estimator'!$A$10:$AC$226,AC$2,FALSE))</f>
        <v>N/A</v>
      </c>
      <c r="AG104" s="15">
        <f t="shared" si="2"/>
        <v>1</v>
      </c>
    </row>
    <row r="105" spans="1:33" x14ac:dyDescent="0.25">
      <c r="A105" s="716">
        <v>96</v>
      </c>
      <c r="B105" s="1022" t="s">
        <v>58</v>
      </c>
      <c r="C105" s="1022"/>
      <c r="D105" s="1044" t="str">
        <f>VLOOKUP($A105,'Pre-Assessment Estimator'!$A$10:$AA$226,D$2,FALSE)</f>
        <v>Wat 01</v>
      </c>
      <c r="E105" s="1044" t="str">
        <f>VLOOKUP($A105,'Pre-Assessment Estimator'!$A$10:$AA$226,E$2,FALSE)</f>
        <v>1-7</v>
      </c>
      <c r="F105" s="1045" t="str">
        <f>VLOOKUP($A105,'Pre-Assessment Estimator'!$A$10:$AA$226,F$2,FALSE)</f>
        <v>Water efficient components</v>
      </c>
      <c r="G105" s="506">
        <f>VLOOKUP($A105,'Pre-Assessment Estimator'!$A$10:$AA$226,G$2,FALSE)</f>
        <v>5</v>
      </c>
      <c r="H105" s="512" t="str">
        <f>IF(VLOOKUP($A105,'Pre-Assessment Estimator'!$A$10:$AA$226,H$2,FALSE)=0,"",VLOOKUP($A105,'Pre-Assessment Estimator'!$A$10:$AA$226,H$2,FALSE))</f>
        <v/>
      </c>
      <c r="I105" s="1012">
        <f>VLOOKUP($A105,'Pre-Assessment Estimator'!$A$10:$AA$226,I$2,FALSE)</f>
        <v>0</v>
      </c>
      <c r="J105" s="508" t="str">
        <f>VLOOKUP($A105,'Pre-Assessment Estimator'!$A$10:$AA$226,J$2,FALSE)</f>
        <v>Very Good</v>
      </c>
      <c r="K105" s="509" t="str">
        <f>IF(VLOOKUP($A105,'Pre-Assessment Estimator'!$A$10:$AA$226,K$2,FALSE)=0,"",VLOOKUP($A105,'Pre-Assessment Estimator'!$A$10:$AA$226,K$2,FALSE))</f>
        <v/>
      </c>
      <c r="L105" s="509" t="str">
        <f>IF(VLOOKUP($A105,'Pre-Assessment Estimator'!$A$10:$AA$226,L$2,FALSE)=0,"",VLOOKUP($A105,'Pre-Assessment Estimator'!$A$10:$AA$226,L$2,FALSE))</f>
        <v/>
      </c>
      <c r="M105" s="510" t="str">
        <f>IF(VLOOKUP($A105,'Pre-Assessment Estimator'!$A$10:$AA$226,M$2,FALSE)=0,"",VLOOKUP($A105,'Pre-Assessment Estimator'!$A$10:$AA$226,M$2,FALSE))</f>
        <v/>
      </c>
      <c r="N105" s="511"/>
      <c r="O105" s="512" t="str">
        <f>IF(VLOOKUP($A105,'Pre-Assessment Estimator'!$A$10:$AA$226,O$2,FALSE)=0,"",VLOOKUP($A105,'Pre-Assessment Estimator'!$A$10:$AA$226,O$2,FALSE))</f>
        <v/>
      </c>
      <c r="P105" s="507">
        <f>VLOOKUP($A105,'Pre-Assessment Estimator'!$A$10:$AA$226,P$2,FALSE)</f>
        <v>0</v>
      </c>
      <c r="Q105" s="506" t="str">
        <f>VLOOKUP($A105,'Pre-Assessment Estimator'!$A$10:$AA$226,Q$2,FALSE)</f>
        <v>Very Good</v>
      </c>
      <c r="R105" s="509" t="str">
        <f>IF(VLOOKUP($A105,'Pre-Assessment Estimator'!$A$10:$AA$226,R$2,FALSE)=0,"",VLOOKUP($A105,'Pre-Assessment Estimator'!$A$10:$AA$226,R$2,FALSE))</f>
        <v/>
      </c>
      <c r="S105" s="509" t="str">
        <f>IF(VLOOKUP($A105,'Pre-Assessment Estimator'!$A$10:$AA$226,S$2,FALSE)=0,"",VLOOKUP($A105,'Pre-Assessment Estimator'!$A$10:$AA$226,S$2,FALSE))</f>
        <v/>
      </c>
      <c r="T105" s="510" t="str">
        <f>IF(VLOOKUP($A105,'Pre-Assessment Estimator'!$A$10:$AA$226,T$2,FALSE)=0,"",VLOOKUP($A105,'Pre-Assessment Estimator'!$A$10:$AA$226,T$2,FALSE))</f>
        <v/>
      </c>
      <c r="U105" s="513"/>
      <c r="V105" s="512" t="str">
        <f>IF(VLOOKUP($A105,'Pre-Assessment Estimator'!$A$10:$AA$226,V$2,FALSE)=0,"",VLOOKUP($A105,'Pre-Assessment Estimator'!$A$10:$AA$226,V$2,FALSE))</f>
        <v/>
      </c>
      <c r="W105" s="507">
        <f>VLOOKUP($A105,'Pre-Assessment Estimator'!$A$10:$AA$226,W$2,FALSE)</f>
        <v>0</v>
      </c>
      <c r="X105" s="506" t="str">
        <f>VLOOKUP($A105,'Pre-Assessment Estimator'!$A$10:$AA$226,X$2,FALSE)</f>
        <v>Very Good</v>
      </c>
      <c r="Y105" s="509" t="str">
        <f>IF(VLOOKUP($A105,'Pre-Assessment Estimator'!$A$10:$AA$226,Y$2,FALSE)=0,"",VLOOKUP($A105,'Pre-Assessment Estimator'!$A$10:$AA$226,Y$2,FALSE))</f>
        <v/>
      </c>
      <c r="Z105" s="509" t="str">
        <f>IF(VLOOKUP($A105,'Pre-Assessment Estimator'!$A$10:$AA$226,Z$2,FALSE)=0,"",VLOOKUP($A105,'Pre-Assessment Estimator'!$A$10:$AA$226,Z$2,FALSE))</f>
        <v/>
      </c>
      <c r="AA105" s="322" t="str">
        <f>IF(VLOOKUP($A105,'Pre-Assessment Estimator'!$A$10:$AA$226,AA$2,FALSE)=0,"",VLOOKUP($A105,'Pre-Assessment Estimator'!$A$10:$AA$226,AA$2,FALSE))</f>
        <v/>
      </c>
      <c r="AB105" s="605">
        <v>95</v>
      </c>
      <c r="AC105" s="509" t="str">
        <f>IF(VLOOKUP($A105,'Pre-Assessment Estimator'!$A$10:$AC$226,AC$2,FALSE)=0,"",VLOOKUP($A105,'Pre-Assessment Estimator'!$A$10:$AC$226,AC$2,FALSE))</f>
        <v>Very Good</v>
      </c>
      <c r="AG105" s="15">
        <f t="shared" si="2"/>
        <v>1</v>
      </c>
    </row>
    <row r="106" spans="1:33" x14ac:dyDescent="0.25">
      <c r="A106" s="716">
        <v>97</v>
      </c>
      <c r="B106" s="1022" t="s">
        <v>58</v>
      </c>
      <c r="C106" s="1022"/>
      <c r="D106" s="1044" t="str">
        <f>VLOOKUP($A106,'Pre-Assessment Estimator'!$A$10:$AA$226,D$2,FALSE)</f>
        <v>Wat 01</v>
      </c>
      <c r="E106" s="1044">
        <f>VLOOKUP($A106,'Pre-Assessment Estimator'!$A$10:$AA$226,E$2,FALSE)</f>
        <v>2</v>
      </c>
      <c r="F106" s="1047" t="str">
        <f>VLOOKUP($A106,'Pre-Assessment Estimator'!$A$10:$AA$226,F$2,FALSE)</f>
        <v>EU taxonomy requirements: criterion 2</v>
      </c>
      <c r="G106" s="506" t="str">
        <f>VLOOKUP($A106,'Pre-Assessment Estimator'!$A$10:$AA$226,G$2,FALSE)</f>
        <v>Yes/No</v>
      </c>
      <c r="H106" s="512" t="str">
        <f>IF(VLOOKUP($A106,'Pre-Assessment Estimator'!$A$10:$AA$226,H$2,FALSE)=0,"",VLOOKUP($A106,'Pre-Assessment Estimator'!$A$10:$AA$226,H$2,FALSE))</f>
        <v/>
      </c>
      <c r="I106" s="1012" t="str">
        <f>VLOOKUP($A106,'Pre-Assessment Estimator'!$A$10:$AA$226,I$2,FALSE)</f>
        <v>-</v>
      </c>
      <c r="J106" s="508" t="str">
        <f>VLOOKUP($A106,'Pre-Assessment Estimator'!$A$10:$AA$226,J$2,FALSE)</f>
        <v>N/A</v>
      </c>
      <c r="K106" s="509" t="str">
        <f>IF(VLOOKUP($A106,'Pre-Assessment Estimator'!$A$10:$AA$226,K$2,FALSE)=0,"",VLOOKUP($A106,'Pre-Assessment Estimator'!$A$10:$AA$226,K$2,FALSE))</f>
        <v/>
      </c>
      <c r="L106" s="509" t="str">
        <f>IF(VLOOKUP($A106,'Pre-Assessment Estimator'!$A$10:$AA$226,L$2,FALSE)=0,"",VLOOKUP($A106,'Pre-Assessment Estimator'!$A$10:$AA$226,L$2,FALSE))</f>
        <v/>
      </c>
      <c r="M106" s="510" t="str">
        <f>IF(VLOOKUP($A106,'Pre-Assessment Estimator'!$A$10:$AA$226,M$2,FALSE)=0,"",VLOOKUP($A106,'Pre-Assessment Estimator'!$A$10:$AA$226,M$2,FALSE))</f>
        <v/>
      </c>
      <c r="N106" s="511"/>
      <c r="O106" s="512" t="str">
        <f>IF(VLOOKUP($A106,'Pre-Assessment Estimator'!$A$10:$AA$226,O$2,FALSE)=0,"",VLOOKUP($A106,'Pre-Assessment Estimator'!$A$10:$AA$226,O$2,FALSE))</f>
        <v/>
      </c>
      <c r="P106" s="507" t="str">
        <f>VLOOKUP($A106,'Pre-Assessment Estimator'!$A$10:$AA$226,P$2,FALSE)</f>
        <v>-</v>
      </c>
      <c r="Q106" s="506" t="str">
        <f>VLOOKUP($A106,'Pre-Assessment Estimator'!$A$10:$AA$226,Q$2,FALSE)</f>
        <v>N/A</v>
      </c>
      <c r="R106" s="509" t="str">
        <f>IF(VLOOKUP($A106,'Pre-Assessment Estimator'!$A$10:$AA$226,R$2,FALSE)=0,"",VLOOKUP($A106,'Pre-Assessment Estimator'!$A$10:$AA$226,R$2,FALSE))</f>
        <v/>
      </c>
      <c r="S106" s="509" t="str">
        <f>IF(VLOOKUP($A106,'Pre-Assessment Estimator'!$A$10:$AA$226,S$2,FALSE)=0,"",VLOOKUP($A106,'Pre-Assessment Estimator'!$A$10:$AA$226,S$2,FALSE))</f>
        <v/>
      </c>
      <c r="T106" s="510" t="str">
        <f>IF(VLOOKUP($A106,'Pre-Assessment Estimator'!$A$10:$AA$226,T$2,FALSE)=0,"",VLOOKUP($A106,'Pre-Assessment Estimator'!$A$10:$AA$226,T$2,FALSE))</f>
        <v/>
      </c>
      <c r="U106" s="513"/>
      <c r="V106" s="512" t="str">
        <f>IF(VLOOKUP($A106,'Pre-Assessment Estimator'!$A$10:$AA$226,V$2,FALSE)=0,"",VLOOKUP($A106,'Pre-Assessment Estimator'!$A$10:$AA$226,V$2,FALSE))</f>
        <v/>
      </c>
      <c r="W106" s="507" t="str">
        <f>VLOOKUP($A106,'Pre-Assessment Estimator'!$A$10:$AA$226,W$2,FALSE)</f>
        <v>-</v>
      </c>
      <c r="X106" s="506" t="str">
        <f>VLOOKUP($A106,'Pre-Assessment Estimator'!$A$10:$AA$226,X$2,FALSE)</f>
        <v>N/A</v>
      </c>
      <c r="Y106" s="509" t="str">
        <f>IF(VLOOKUP($A106,'Pre-Assessment Estimator'!$A$10:$AA$226,Y$2,FALSE)=0,"",VLOOKUP($A106,'Pre-Assessment Estimator'!$A$10:$AA$226,Y$2,FALSE))</f>
        <v/>
      </c>
      <c r="Z106" s="509" t="str">
        <f>IF(VLOOKUP($A106,'Pre-Assessment Estimator'!$A$10:$AA$226,Z$2,FALSE)=0,"",VLOOKUP($A106,'Pre-Assessment Estimator'!$A$10:$AA$226,Z$2,FALSE))</f>
        <v/>
      </c>
      <c r="AA106" s="322" t="str">
        <f>IF(VLOOKUP($A106,'Pre-Assessment Estimator'!$A$10:$AA$226,AA$2,FALSE)=0,"",VLOOKUP($A106,'Pre-Assessment Estimator'!$A$10:$AA$226,AA$2,FALSE))</f>
        <v/>
      </c>
      <c r="AB106" s="605">
        <v>96</v>
      </c>
      <c r="AC106" s="509" t="str">
        <f>IF(VLOOKUP($A106,'Pre-Assessment Estimator'!$A$10:$AC$226,AC$2,FALSE)=0,"",VLOOKUP($A106,'Pre-Assessment Estimator'!$A$10:$AC$226,AC$2,FALSE))</f>
        <v>N/A</v>
      </c>
      <c r="AG106" s="15">
        <f t="shared" si="2"/>
        <v>1</v>
      </c>
    </row>
    <row r="107" spans="1:33" x14ac:dyDescent="0.25">
      <c r="A107" s="716">
        <v>98</v>
      </c>
      <c r="B107" s="1022" t="s">
        <v>58</v>
      </c>
      <c r="C107" s="1022"/>
      <c r="D107" s="1044" t="str">
        <f>VLOOKUP($A107,'Pre-Assessment Estimator'!$A$10:$AA$226,D$2,FALSE)</f>
        <v>Wat 02</v>
      </c>
      <c r="E107" s="1044"/>
      <c r="F107" s="1045" t="str">
        <f>VLOOKUP($A107,'Pre-Assessment Estimator'!$A$10:$AA$226,F$2,FALSE)</f>
        <v>Wat 02 Water monitoring</v>
      </c>
      <c r="G107" s="506">
        <f>VLOOKUP($A107,'Pre-Assessment Estimator'!$A$10:$AA$226,G$2,FALSE)</f>
        <v>1</v>
      </c>
      <c r="H107" s="512" t="str">
        <f>IF(VLOOKUP($A107,'Pre-Assessment Estimator'!$A$10:$AA$226,H$2,FALSE)=0,"",VLOOKUP($A107,'Pre-Assessment Estimator'!$A$10:$AA$226,H$2,FALSE))</f>
        <v/>
      </c>
      <c r="I107" s="1012" t="str">
        <f>VLOOKUP($A107,'Pre-Assessment Estimator'!$A$10:$AA$226,I$2,FALSE)</f>
        <v>0 c. 0 %</v>
      </c>
      <c r="J107" s="508" t="str">
        <f>VLOOKUP($A107,'Pre-Assessment Estimator'!$A$10:$AA$226,J$2,FALSE)</f>
        <v>N/A</v>
      </c>
      <c r="K107" s="509" t="str">
        <f>IF(VLOOKUP($A107,'Pre-Assessment Estimator'!$A$10:$AA$226,K$2,FALSE)=0,"",VLOOKUP($A107,'Pre-Assessment Estimator'!$A$10:$AA$226,K$2,FALSE))</f>
        <v/>
      </c>
      <c r="L107" s="509" t="str">
        <f>IF(VLOOKUP($A107,'Pre-Assessment Estimator'!$A$10:$AA$226,L$2,FALSE)=0,"",VLOOKUP($A107,'Pre-Assessment Estimator'!$A$10:$AA$226,L$2,FALSE))</f>
        <v/>
      </c>
      <c r="M107" s="510" t="str">
        <f>IF(VLOOKUP($A107,'Pre-Assessment Estimator'!$A$10:$AA$226,M$2,FALSE)=0,"",VLOOKUP($A107,'Pre-Assessment Estimator'!$A$10:$AA$226,M$2,FALSE))</f>
        <v/>
      </c>
      <c r="N107" s="511"/>
      <c r="O107" s="512" t="str">
        <f>IF(VLOOKUP($A107,'Pre-Assessment Estimator'!$A$10:$AA$226,O$2,FALSE)=0,"",VLOOKUP($A107,'Pre-Assessment Estimator'!$A$10:$AA$226,O$2,FALSE))</f>
        <v/>
      </c>
      <c r="P107" s="507" t="str">
        <f>VLOOKUP($A107,'Pre-Assessment Estimator'!$A$10:$AA$226,P$2,FALSE)</f>
        <v>0 c. 0 %</v>
      </c>
      <c r="Q107" s="506" t="str">
        <f>VLOOKUP($A107,'Pre-Assessment Estimator'!$A$10:$AA$226,Q$2,FALSE)</f>
        <v>N/A</v>
      </c>
      <c r="R107" s="509" t="str">
        <f>IF(VLOOKUP($A107,'Pre-Assessment Estimator'!$A$10:$AA$226,R$2,FALSE)=0,"",VLOOKUP($A107,'Pre-Assessment Estimator'!$A$10:$AA$226,R$2,FALSE))</f>
        <v/>
      </c>
      <c r="S107" s="509" t="str">
        <f>IF(VLOOKUP($A107,'Pre-Assessment Estimator'!$A$10:$AA$226,S$2,FALSE)=0,"",VLOOKUP($A107,'Pre-Assessment Estimator'!$A$10:$AA$226,S$2,FALSE))</f>
        <v/>
      </c>
      <c r="T107" s="510" t="str">
        <f>IF(VLOOKUP($A107,'Pre-Assessment Estimator'!$A$10:$AA$226,T$2,FALSE)=0,"",VLOOKUP($A107,'Pre-Assessment Estimator'!$A$10:$AA$226,T$2,FALSE))</f>
        <v/>
      </c>
      <c r="U107" s="513"/>
      <c r="V107" s="512" t="str">
        <f>IF(VLOOKUP($A107,'Pre-Assessment Estimator'!$A$10:$AA$226,V$2,FALSE)=0,"",VLOOKUP($A107,'Pre-Assessment Estimator'!$A$10:$AA$226,V$2,FALSE))</f>
        <v/>
      </c>
      <c r="W107" s="507" t="str">
        <f>VLOOKUP($A107,'Pre-Assessment Estimator'!$A$10:$AA$226,W$2,FALSE)</f>
        <v>0 c. 0 %</v>
      </c>
      <c r="X107" s="506" t="str">
        <f>VLOOKUP($A107,'Pre-Assessment Estimator'!$A$10:$AA$226,X$2,FALSE)</f>
        <v>N/A</v>
      </c>
      <c r="Y107" s="509" t="str">
        <f>IF(VLOOKUP($A107,'Pre-Assessment Estimator'!$A$10:$AA$226,Y$2,FALSE)=0,"",VLOOKUP($A107,'Pre-Assessment Estimator'!$A$10:$AA$226,Y$2,FALSE))</f>
        <v/>
      </c>
      <c r="Z107" s="509" t="str">
        <f>IF(VLOOKUP($A107,'Pre-Assessment Estimator'!$A$10:$AA$226,Z$2,FALSE)=0,"",VLOOKUP($A107,'Pre-Assessment Estimator'!$A$10:$AA$226,Z$2,FALSE))</f>
        <v/>
      </c>
      <c r="AA107" s="322" t="str">
        <f>IF(VLOOKUP($A107,'Pre-Assessment Estimator'!$A$10:$AA$226,AA$2,FALSE)=0,"",VLOOKUP($A107,'Pre-Assessment Estimator'!$A$10:$AA$226,AA$2,FALSE))</f>
        <v/>
      </c>
      <c r="AB107" s="605">
        <v>97</v>
      </c>
      <c r="AC107" s="509"/>
      <c r="AG107" s="15">
        <f t="shared" si="2"/>
        <v>1</v>
      </c>
    </row>
    <row r="108" spans="1:33" x14ac:dyDescent="0.25">
      <c r="A108" s="716">
        <v>99</v>
      </c>
      <c r="B108" s="1022" t="s">
        <v>58</v>
      </c>
      <c r="C108" s="1022"/>
      <c r="D108" s="1044" t="str">
        <f>VLOOKUP($A108,'Pre-Assessment Estimator'!$A$10:$AA$226,D$2,FALSE)</f>
        <v>Wat 02</v>
      </c>
      <c r="E108" s="1044" t="str">
        <f>VLOOKUP($A108,'Pre-Assessment Estimator'!$A$10:$AA$226,E$2,FALSE)</f>
        <v>1-4</v>
      </c>
      <c r="F108" s="1045" t="str">
        <f>VLOOKUP($A108,'Pre-Assessment Estimator'!$A$10:$AA$226,F$2,FALSE)</f>
        <v>Water meter</v>
      </c>
      <c r="G108" s="506">
        <f>VLOOKUP($A108,'Pre-Assessment Estimator'!$A$10:$AA$226,G$2,FALSE)</f>
        <v>1</v>
      </c>
      <c r="H108" s="512" t="str">
        <f>IF(VLOOKUP($A108,'Pre-Assessment Estimator'!$A$10:$AA$226,H$2,FALSE)=0,"",VLOOKUP($A108,'Pre-Assessment Estimator'!$A$10:$AA$226,H$2,FALSE))</f>
        <v/>
      </c>
      <c r="I108" s="1012">
        <f>VLOOKUP($A108,'Pre-Assessment Estimator'!$A$10:$AA$226,I$2,FALSE)</f>
        <v>0</v>
      </c>
      <c r="J108" s="508" t="str">
        <f>VLOOKUP($A108,'Pre-Assessment Estimator'!$A$10:$AA$226,J$2,FALSE)</f>
        <v>N/A</v>
      </c>
      <c r="K108" s="509" t="str">
        <f>IF(VLOOKUP($A108,'Pre-Assessment Estimator'!$A$10:$AA$226,K$2,FALSE)=0,"",VLOOKUP($A108,'Pre-Assessment Estimator'!$A$10:$AA$226,K$2,FALSE))</f>
        <v/>
      </c>
      <c r="L108" s="509" t="str">
        <f>IF(VLOOKUP($A108,'Pre-Assessment Estimator'!$A$10:$AA$226,L$2,FALSE)=0,"",VLOOKUP($A108,'Pre-Assessment Estimator'!$A$10:$AA$226,L$2,FALSE))</f>
        <v/>
      </c>
      <c r="M108" s="510" t="str">
        <f>IF(VLOOKUP($A108,'Pre-Assessment Estimator'!$A$10:$AA$226,M$2,FALSE)=0,"",VLOOKUP($A108,'Pre-Assessment Estimator'!$A$10:$AA$226,M$2,FALSE))</f>
        <v/>
      </c>
      <c r="N108" s="511"/>
      <c r="O108" s="512" t="str">
        <f>IF(VLOOKUP($A108,'Pre-Assessment Estimator'!$A$10:$AA$226,O$2,FALSE)=0,"",VLOOKUP($A108,'Pre-Assessment Estimator'!$A$10:$AA$226,O$2,FALSE))</f>
        <v/>
      </c>
      <c r="P108" s="507">
        <f>VLOOKUP($A108,'Pre-Assessment Estimator'!$A$10:$AA$226,P$2,FALSE)</f>
        <v>0</v>
      </c>
      <c r="Q108" s="506" t="str">
        <f>VLOOKUP($A108,'Pre-Assessment Estimator'!$A$10:$AA$226,Q$2,FALSE)</f>
        <v>N/A</v>
      </c>
      <c r="R108" s="509" t="str">
        <f>IF(VLOOKUP($A108,'Pre-Assessment Estimator'!$A$10:$AA$226,R$2,FALSE)=0,"",VLOOKUP($A108,'Pre-Assessment Estimator'!$A$10:$AA$226,R$2,FALSE))</f>
        <v/>
      </c>
      <c r="S108" s="509" t="str">
        <f>IF(VLOOKUP($A108,'Pre-Assessment Estimator'!$A$10:$AA$226,S$2,FALSE)=0,"",VLOOKUP($A108,'Pre-Assessment Estimator'!$A$10:$AA$226,S$2,FALSE))</f>
        <v/>
      </c>
      <c r="T108" s="510" t="str">
        <f>IF(VLOOKUP($A108,'Pre-Assessment Estimator'!$A$10:$AA$226,T$2,FALSE)=0,"",VLOOKUP($A108,'Pre-Assessment Estimator'!$A$10:$AA$226,T$2,FALSE))</f>
        <v/>
      </c>
      <c r="U108" s="513"/>
      <c r="V108" s="512" t="str">
        <f>IF(VLOOKUP($A108,'Pre-Assessment Estimator'!$A$10:$AA$226,V$2,FALSE)=0,"",VLOOKUP($A108,'Pre-Assessment Estimator'!$A$10:$AA$226,V$2,FALSE))</f>
        <v/>
      </c>
      <c r="W108" s="507">
        <f>VLOOKUP($A108,'Pre-Assessment Estimator'!$A$10:$AA$226,W$2,FALSE)</f>
        <v>0</v>
      </c>
      <c r="X108" s="506" t="str">
        <f>VLOOKUP($A108,'Pre-Assessment Estimator'!$A$10:$AA$226,X$2,FALSE)</f>
        <v>N/A</v>
      </c>
      <c r="Y108" s="509" t="str">
        <f>IF(VLOOKUP($A108,'Pre-Assessment Estimator'!$A$10:$AA$226,Y$2,FALSE)=0,"",VLOOKUP($A108,'Pre-Assessment Estimator'!$A$10:$AA$226,Y$2,FALSE))</f>
        <v/>
      </c>
      <c r="Z108" s="509" t="str">
        <f>IF(VLOOKUP($A108,'Pre-Assessment Estimator'!$A$10:$AA$226,Z$2,FALSE)=0,"",VLOOKUP($A108,'Pre-Assessment Estimator'!$A$10:$AA$226,Z$2,FALSE))</f>
        <v/>
      </c>
      <c r="AA108" s="322" t="str">
        <f>IF(VLOOKUP($A108,'Pre-Assessment Estimator'!$A$10:$AA$226,AA$2,FALSE)=0,"",VLOOKUP($A108,'Pre-Assessment Estimator'!$A$10:$AA$226,AA$2,FALSE))</f>
        <v/>
      </c>
      <c r="AB108" s="605">
        <v>98</v>
      </c>
      <c r="AC108" s="509"/>
      <c r="AG108" s="15">
        <f t="shared" si="2"/>
        <v>1</v>
      </c>
    </row>
    <row r="109" spans="1:33" x14ac:dyDescent="0.25">
      <c r="A109" s="716">
        <v>100</v>
      </c>
      <c r="B109" s="1022" t="s">
        <v>58</v>
      </c>
      <c r="C109" s="1022"/>
      <c r="D109" s="1043" t="str">
        <f>VLOOKUP($A109,'Pre-Assessment Estimator'!$A$10:$AA$226,D$2,FALSE)</f>
        <v>Wat 03</v>
      </c>
      <c r="E109" s="1044"/>
      <c r="F109" s="1043" t="str">
        <f>VLOOKUP($A109,'Pre-Assessment Estimator'!$A$10:$AA$226,F$2,FALSE)</f>
        <v>Wat 03 Water leak detection and prevention</v>
      </c>
      <c r="G109" s="506">
        <f>VLOOKUP($A109,'Pre-Assessment Estimator'!$A$10:$AA$226,G$2,FALSE)</f>
        <v>2</v>
      </c>
      <c r="H109" s="512" t="str">
        <f>IF(VLOOKUP($A109,'Pre-Assessment Estimator'!$A$10:$AA$226,H$2,FALSE)=0,"",VLOOKUP($A109,'Pre-Assessment Estimator'!$A$10:$AA$226,H$2,FALSE))</f>
        <v/>
      </c>
      <c r="I109" s="1012" t="str">
        <f>VLOOKUP($A109,'Pre-Assessment Estimator'!$A$10:$AA$226,I$2,FALSE)</f>
        <v>0 c. 0 %</v>
      </c>
      <c r="J109" s="508" t="str">
        <f>VLOOKUP($A109,'Pre-Assessment Estimator'!$A$10:$AA$226,J$2,FALSE)</f>
        <v>N/A</v>
      </c>
      <c r="K109" s="509" t="str">
        <f>IF(VLOOKUP($A109,'Pre-Assessment Estimator'!$A$10:$AA$226,K$2,FALSE)=0,"",VLOOKUP($A109,'Pre-Assessment Estimator'!$A$10:$AA$226,K$2,FALSE))</f>
        <v/>
      </c>
      <c r="L109" s="509" t="str">
        <f>IF(VLOOKUP($A109,'Pre-Assessment Estimator'!$A$10:$AA$226,L$2,FALSE)=0,"",VLOOKUP($A109,'Pre-Assessment Estimator'!$A$10:$AA$226,L$2,FALSE))</f>
        <v/>
      </c>
      <c r="M109" s="510" t="str">
        <f>IF(VLOOKUP($A109,'Pre-Assessment Estimator'!$A$10:$AA$226,M$2,FALSE)=0,"",VLOOKUP($A109,'Pre-Assessment Estimator'!$A$10:$AA$226,M$2,FALSE))</f>
        <v/>
      </c>
      <c r="N109" s="511"/>
      <c r="O109" s="512" t="str">
        <f>IF(VLOOKUP($A109,'Pre-Assessment Estimator'!$A$10:$AA$226,O$2,FALSE)=0,"",VLOOKUP($A109,'Pre-Assessment Estimator'!$A$10:$AA$226,O$2,FALSE))</f>
        <v/>
      </c>
      <c r="P109" s="507" t="str">
        <f>VLOOKUP($A109,'Pre-Assessment Estimator'!$A$10:$AA$226,P$2,FALSE)</f>
        <v>0 c. 0 %</v>
      </c>
      <c r="Q109" s="506" t="str">
        <f>VLOOKUP($A109,'Pre-Assessment Estimator'!$A$10:$AA$226,Q$2,FALSE)</f>
        <v>N/A</v>
      </c>
      <c r="R109" s="509" t="str">
        <f>IF(VLOOKUP($A109,'Pre-Assessment Estimator'!$A$10:$AA$226,R$2,FALSE)=0,"",VLOOKUP($A109,'Pre-Assessment Estimator'!$A$10:$AA$226,R$2,FALSE))</f>
        <v/>
      </c>
      <c r="S109" s="509" t="str">
        <f>IF(VLOOKUP($A109,'Pre-Assessment Estimator'!$A$10:$AA$226,S$2,FALSE)=0,"",VLOOKUP($A109,'Pre-Assessment Estimator'!$A$10:$AA$226,S$2,FALSE))</f>
        <v/>
      </c>
      <c r="T109" s="510" t="str">
        <f>IF(VLOOKUP($A109,'Pre-Assessment Estimator'!$A$10:$AA$226,T$2,FALSE)=0,"",VLOOKUP($A109,'Pre-Assessment Estimator'!$A$10:$AA$226,T$2,FALSE))</f>
        <v/>
      </c>
      <c r="U109" s="513"/>
      <c r="V109" s="512" t="str">
        <f>IF(VLOOKUP($A109,'Pre-Assessment Estimator'!$A$10:$AA$226,V$2,FALSE)=0,"",VLOOKUP($A109,'Pre-Assessment Estimator'!$A$10:$AA$226,V$2,FALSE))</f>
        <v/>
      </c>
      <c r="W109" s="507" t="str">
        <f>VLOOKUP($A109,'Pre-Assessment Estimator'!$A$10:$AA$226,W$2,FALSE)</f>
        <v>0 c. 0 %</v>
      </c>
      <c r="X109" s="506" t="str">
        <f>VLOOKUP($A109,'Pre-Assessment Estimator'!$A$10:$AA$226,X$2,FALSE)</f>
        <v>N/A</v>
      </c>
      <c r="Y109" s="509" t="str">
        <f>IF(VLOOKUP($A109,'Pre-Assessment Estimator'!$A$10:$AA$226,Y$2,FALSE)=0,"",VLOOKUP($A109,'Pre-Assessment Estimator'!$A$10:$AA$226,Y$2,FALSE))</f>
        <v/>
      </c>
      <c r="Z109" s="509" t="str">
        <f>IF(VLOOKUP($A109,'Pre-Assessment Estimator'!$A$10:$AA$226,Z$2,FALSE)=0,"",VLOOKUP($A109,'Pre-Assessment Estimator'!$A$10:$AA$226,Z$2,FALSE))</f>
        <v/>
      </c>
      <c r="AA109" s="322" t="str">
        <f>IF(VLOOKUP($A109,'Pre-Assessment Estimator'!$A$10:$AA$226,AA$2,FALSE)=0,"",VLOOKUP($A109,'Pre-Assessment Estimator'!$A$10:$AA$226,AA$2,FALSE))</f>
        <v/>
      </c>
      <c r="AB109" s="605">
        <v>99</v>
      </c>
      <c r="AC109" s="509"/>
      <c r="AG109" s="15">
        <f t="shared" si="2"/>
        <v>1</v>
      </c>
    </row>
    <row r="110" spans="1:33" x14ac:dyDescent="0.25">
      <c r="A110" s="716">
        <v>101</v>
      </c>
      <c r="B110" s="1022" t="s">
        <v>58</v>
      </c>
      <c r="C110" s="1022"/>
      <c r="D110" s="1044" t="str">
        <f>VLOOKUP($A110,'Pre-Assessment Estimator'!$A$10:$AA$226,D$2,FALSE)</f>
        <v>Wat 03</v>
      </c>
      <c r="E110" s="1044">
        <f>VLOOKUP($A110,'Pre-Assessment Estimator'!$A$10:$AA$226,E$2,FALSE)</f>
        <v>1</v>
      </c>
      <c r="F110" s="1045" t="str">
        <f>VLOOKUP($A110,'Pre-Assessment Estimator'!$A$10:$AA$226,F$2,FALSE)</f>
        <v>Leak detection system</v>
      </c>
      <c r="G110" s="506">
        <f>VLOOKUP($A110,'Pre-Assessment Estimator'!$A$10:$AA$226,G$2,FALSE)</f>
        <v>1</v>
      </c>
      <c r="H110" s="512" t="str">
        <f>IF(VLOOKUP($A110,'Pre-Assessment Estimator'!$A$10:$AA$226,H$2,FALSE)=0,"",VLOOKUP($A110,'Pre-Assessment Estimator'!$A$10:$AA$226,H$2,FALSE))</f>
        <v/>
      </c>
      <c r="I110" s="1012">
        <f>VLOOKUP($A110,'Pre-Assessment Estimator'!$A$10:$AA$226,I$2,FALSE)</f>
        <v>0</v>
      </c>
      <c r="J110" s="508" t="str">
        <f>VLOOKUP($A110,'Pre-Assessment Estimator'!$A$10:$AA$226,J$2,FALSE)</f>
        <v>N/A</v>
      </c>
      <c r="K110" s="509" t="str">
        <f>IF(VLOOKUP($A110,'Pre-Assessment Estimator'!$A$10:$AA$226,K$2,FALSE)=0,"",VLOOKUP($A110,'Pre-Assessment Estimator'!$A$10:$AA$226,K$2,FALSE))</f>
        <v/>
      </c>
      <c r="L110" s="509" t="str">
        <f>IF(VLOOKUP($A110,'Pre-Assessment Estimator'!$A$10:$AA$226,L$2,FALSE)=0,"",VLOOKUP($A110,'Pre-Assessment Estimator'!$A$10:$AA$226,L$2,FALSE))</f>
        <v/>
      </c>
      <c r="M110" s="510" t="str">
        <f>IF(VLOOKUP($A110,'Pre-Assessment Estimator'!$A$10:$AA$226,M$2,FALSE)=0,"",VLOOKUP($A110,'Pre-Assessment Estimator'!$A$10:$AA$226,M$2,FALSE))</f>
        <v/>
      </c>
      <c r="N110" s="511"/>
      <c r="O110" s="512" t="str">
        <f>IF(VLOOKUP($A110,'Pre-Assessment Estimator'!$A$10:$AA$226,O$2,FALSE)=0,"",VLOOKUP($A110,'Pre-Assessment Estimator'!$A$10:$AA$226,O$2,FALSE))</f>
        <v/>
      </c>
      <c r="P110" s="507">
        <f>VLOOKUP($A110,'Pre-Assessment Estimator'!$A$10:$AA$226,P$2,FALSE)</f>
        <v>0</v>
      </c>
      <c r="Q110" s="506" t="str">
        <f>VLOOKUP($A110,'Pre-Assessment Estimator'!$A$10:$AA$226,Q$2,FALSE)</f>
        <v>N/A</v>
      </c>
      <c r="R110" s="509" t="str">
        <f>IF(VLOOKUP($A110,'Pre-Assessment Estimator'!$A$10:$AA$226,R$2,FALSE)=0,"",VLOOKUP($A110,'Pre-Assessment Estimator'!$A$10:$AA$226,R$2,FALSE))</f>
        <v/>
      </c>
      <c r="S110" s="509" t="str">
        <f>IF(VLOOKUP($A110,'Pre-Assessment Estimator'!$A$10:$AA$226,S$2,FALSE)=0,"",VLOOKUP($A110,'Pre-Assessment Estimator'!$A$10:$AA$226,S$2,FALSE))</f>
        <v/>
      </c>
      <c r="T110" s="510" t="str">
        <f>IF(VLOOKUP($A110,'Pre-Assessment Estimator'!$A$10:$AA$226,T$2,FALSE)=0,"",VLOOKUP($A110,'Pre-Assessment Estimator'!$A$10:$AA$226,T$2,FALSE))</f>
        <v/>
      </c>
      <c r="U110" s="513"/>
      <c r="V110" s="512" t="str">
        <f>IF(VLOOKUP($A110,'Pre-Assessment Estimator'!$A$10:$AA$226,V$2,FALSE)=0,"",VLOOKUP($A110,'Pre-Assessment Estimator'!$A$10:$AA$226,V$2,FALSE))</f>
        <v/>
      </c>
      <c r="W110" s="507">
        <f>VLOOKUP($A110,'Pre-Assessment Estimator'!$A$10:$AA$226,W$2,FALSE)</f>
        <v>0</v>
      </c>
      <c r="X110" s="506" t="str">
        <f>VLOOKUP($A110,'Pre-Assessment Estimator'!$A$10:$AA$226,X$2,FALSE)</f>
        <v>N/A</v>
      </c>
      <c r="Y110" s="509" t="str">
        <f>IF(VLOOKUP($A110,'Pre-Assessment Estimator'!$A$10:$AA$226,Y$2,FALSE)=0,"",VLOOKUP($A110,'Pre-Assessment Estimator'!$A$10:$AA$226,Y$2,FALSE))</f>
        <v/>
      </c>
      <c r="Z110" s="509" t="str">
        <f>IF(VLOOKUP($A110,'Pre-Assessment Estimator'!$A$10:$AA$226,Z$2,FALSE)=0,"",VLOOKUP($A110,'Pre-Assessment Estimator'!$A$10:$AA$226,Z$2,FALSE))</f>
        <v/>
      </c>
      <c r="AA110" s="322" t="str">
        <f>IF(VLOOKUP($A110,'Pre-Assessment Estimator'!$A$10:$AA$226,AA$2,FALSE)=0,"",VLOOKUP($A110,'Pre-Assessment Estimator'!$A$10:$AA$226,AA$2,FALSE))</f>
        <v/>
      </c>
      <c r="AB110" s="605">
        <v>100</v>
      </c>
      <c r="AC110" s="509"/>
      <c r="AG110" s="15">
        <f t="shared" si="2"/>
        <v>1</v>
      </c>
    </row>
    <row r="111" spans="1:33" x14ac:dyDescent="0.25">
      <c r="A111" s="716">
        <v>102</v>
      </c>
      <c r="B111" s="1022" t="s">
        <v>58</v>
      </c>
      <c r="C111" s="1022"/>
      <c r="D111" s="1044" t="str">
        <f>VLOOKUP($A111,'Pre-Assessment Estimator'!$A$10:$AA$226,D$2,FALSE)</f>
        <v>Wat 03</v>
      </c>
      <c r="E111" s="1044">
        <f>VLOOKUP($A111,'Pre-Assessment Estimator'!$A$10:$AA$226,E$2,FALSE)</f>
        <v>2</v>
      </c>
      <c r="F111" s="1045" t="str">
        <f>VLOOKUP($A111,'Pre-Assessment Estimator'!$A$10:$AA$226,F$2,FALSE)</f>
        <v>Flow control devices</v>
      </c>
      <c r="G111" s="506">
        <f>VLOOKUP($A111,'Pre-Assessment Estimator'!$A$10:$AA$226,G$2,FALSE)</f>
        <v>1</v>
      </c>
      <c r="H111" s="512" t="str">
        <f>IF(VLOOKUP($A111,'Pre-Assessment Estimator'!$A$10:$AA$226,H$2,FALSE)=0,"",VLOOKUP($A111,'Pre-Assessment Estimator'!$A$10:$AA$226,H$2,FALSE))</f>
        <v/>
      </c>
      <c r="I111" s="1012">
        <f>VLOOKUP($A111,'Pre-Assessment Estimator'!$A$10:$AA$226,I$2,FALSE)</f>
        <v>0</v>
      </c>
      <c r="J111" s="508" t="str">
        <f>VLOOKUP($A111,'Pre-Assessment Estimator'!$A$10:$AA$226,J$2,FALSE)</f>
        <v>N/A</v>
      </c>
      <c r="K111" s="509" t="str">
        <f>IF(VLOOKUP($A111,'Pre-Assessment Estimator'!$A$10:$AA$226,K$2,FALSE)=0,"",VLOOKUP($A111,'Pre-Assessment Estimator'!$A$10:$AA$226,K$2,FALSE))</f>
        <v/>
      </c>
      <c r="L111" s="509" t="str">
        <f>IF(VLOOKUP($A111,'Pre-Assessment Estimator'!$A$10:$AA$226,L$2,FALSE)=0,"",VLOOKUP($A111,'Pre-Assessment Estimator'!$A$10:$AA$226,L$2,FALSE))</f>
        <v/>
      </c>
      <c r="M111" s="510" t="str">
        <f>IF(VLOOKUP($A111,'Pre-Assessment Estimator'!$A$10:$AA$226,M$2,FALSE)=0,"",VLOOKUP($A111,'Pre-Assessment Estimator'!$A$10:$AA$226,M$2,FALSE))</f>
        <v/>
      </c>
      <c r="N111" s="511"/>
      <c r="O111" s="512" t="str">
        <f>IF(VLOOKUP($A111,'Pre-Assessment Estimator'!$A$10:$AA$226,O$2,FALSE)=0,"",VLOOKUP($A111,'Pre-Assessment Estimator'!$A$10:$AA$226,O$2,FALSE))</f>
        <v/>
      </c>
      <c r="P111" s="507">
        <f>VLOOKUP($A111,'Pre-Assessment Estimator'!$A$10:$AA$226,P$2,FALSE)</f>
        <v>0</v>
      </c>
      <c r="Q111" s="506" t="str">
        <f>VLOOKUP($A111,'Pre-Assessment Estimator'!$A$10:$AA$226,Q$2,FALSE)</f>
        <v>N/A</v>
      </c>
      <c r="R111" s="509" t="str">
        <f>IF(VLOOKUP($A111,'Pre-Assessment Estimator'!$A$10:$AA$226,R$2,FALSE)=0,"",VLOOKUP($A111,'Pre-Assessment Estimator'!$A$10:$AA$226,R$2,FALSE))</f>
        <v/>
      </c>
      <c r="S111" s="509" t="str">
        <f>IF(VLOOKUP($A111,'Pre-Assessment Estimator'!$A$10:$AA$226,S$2,FALSE)=0,"",VLOOKUP($A111,'Pre-Assessment Estimator'!$A$10:$AA$226,S$2,FALSE))</f>
        <v/>
      </c>
      <c r="T111" s="510" t="str">
        <f>IF(VLOOKUP($A111,'Pre-Assessment Estimator'!$A$10:$AA$226,T$2,FALSE)=0,"",VLOOKUP($A111,'Pre-Assessment Estimator'!$A$10:$AA$226,T$2,FALSE))</f>
        <v/>
      </c>
      <c r="U111" s="513"/>
      <c r="V111" s="512" t="str">
        <f>IF(VLOOKUP($A111,'Pre-Assessment Estimator'!$A$10:$AA$226,V$2,FALSE)=0,"",VLOOKUP($A111,'Pre-Assessment Estimator'!$A$10:$AA$226,V$2,FALSE))</f>
        <v/>
      </c>
      <c r="W111" s="507">
        <f>VLOOKUP($A111,'Pre-Assessment Estimator'!$A$10:$AA$226,W$2,FALSE)</f>
        <v>0</v>
      </c>
      <c r="X111" s="506" t="str">
        <f>VLOOKUP($A111,'Pre-Assessment Estimator'!$A$10:$AA$226,X$2,FALSE)</f>
        <v>N/A</v>
      </c>
      <c r="Y111" s="509" t="str">
        <f>IF(VLOOKUP($A111,'Pre-Assessment Estimator'!$A$10:$AA$226,Y$2,FALSE)=0,"",VLOOKUP($A111,'Pre-Assessment Estimator'!$A$10:$AA$226,Y$2,FALSE))</f>
        <v/>
      </c>
      <c r="Z111" s="509" t="str">
        <f>IF(VLOOKUP($A111,'Pre-Assessment Estimator'!$A$10:$AA$226,Z$2,FALSE)=0,"",VLOOKUP($A111,'Pre-Assessment Estimator'!$A$10:$AA$226,Z$2,FALSE))</f>
        <v/>
      </c>
      <c r="AA111" s="322" t="str">
        <f>IF(VLOOKUP($A111,'Pre-Assessment Estimator'!$A$10:$AA$226,AA$2,FALSE)=0,"",VLOOKUP($A111,'Pre-Assessment Estimator'!$A$10:$AA$226,AA$2,FALSE))</f>
        <v/>
      </c>
      <c r="AB111" s="605">
        <v>101</v>
      </c>
      <c r="AC111" s="509"/>
      <c r="AG111" s="15">
        <f t="shared" si="2"/>
        <v>1</v>
      </c>
    </row>
    <row r="112" spans="1:33" x14ac:dyDescent="0.25">
      <c r="A112" s="716">
        <v>103</v>
      </c>
      <c r="B112" s="1022" t="s">
        <v>58</v>
      </c>
      <c r="C112" s="1022"/>
      <c r="D112" s="1044" t="str">
        <f>VLOOKUP($A112,'Pre-Assessment Estimator'!$A$10:$AA$226,D$2,FALSE)</f>
        <v>Wat 03</v>
      </c>
      <c r="E112" s="1044">
        <f>VLOOKUP($A112,'Pre-Assessment Estimator'!$A$10:$AA$226,E$2,FALSE)</f>
        <v>3</v>
      </c>
      <c r="F112" s="1045" t="str">
        <f>VLOOKUP($A112,'Pre-Assessment Estimator'!$A$10:$AA$226,F$2,FALSE)</f>
        <v>Leak isolation</v>
      </c>
      <c r="G112" s="506">
        <f>VLOOKUP($A112,'Pre-Assessment Estimator'!$A$10:$AA$226,G$2,FALSE)</f>
        <v>0</v>
      </c>
      <c r="H112" s="512" t="str">
        <f>IF(VLOOKUP($A112,'Pre-Assessment Estimator'!$A$10:$AA$226,H$2,FALSE)=0,"",VLOOKUP($A112,'Pre-Assessment Estimator'!$A$10:$AA$226,H$2,FALSE))</f>
        <v/>
      </c>
      <c r="I112" s="1012">
        <f>VLOOKUP($A112,'Pre-Assessment Estimator'!$A$10:$AA$226,I$2,FALSE)</f>
        <v>0</v>
      </c>
      <c r="J112" s="508" t="str">
        <f>VLOOKUP($A112,'Pre-Assessment Estimator'!$A$10:$AA$226,J$2,FALSE)</f>
        <v>N/A</v>
      </c>
      <c r="K112" s="509" t="str">
        <f>IF(VLOOKUP($A112,'Pre-Assessment Estimator'!$A$10:$AA$226,K$2,FALSE)=0,"",VLOOKUP($A112,'Pre-Assessment Estimator'!$A$10:$AA$226,K$2,FALSE))</f>
        <v/>
      </c>
      <c r="L112" s="509" t="str">
        <f>IF(VLOOKUP($A112,'Pre-Assessment Estimator'!$A$10:$AA$226,L$2,FALSE)=0,"",VLOOKUP($A112,'Pre-Assessment Estimator'!$A$10:$AA$226,L$2,FALSE))</f>
        <v/>
      </c>
      <c r="M112" s="510" t="str">
        <f>IF(VLOOKUP($A112,'Pre-Assessment Estimator'!$A$10:$AA$226,M$2,FALSE)=0,"",VLOOKUP($A112,'Pre-Assessment Estimator'!$A$10:$AA$226,M$2,FALSE))</f>
        <v/>
      </c>
      <c r="N112" s="511"/>
      <c r="O112" s="512" t="str">
        <f>IF(VLOOKUP($A112,'Pre-Assessment Estimator'!$A$10:$AA$226,O$2,FALSE)=0,"",VLOOKUP($A112,'Pre-Assessment Estimator'!$A$10:$AA$226,O$2,FALSE))</f>
        <v/>
      </c>
      <c r="P112" s="507">
        <f>VLOOKUP($A112,'Pre-Assessment Estimator'!$A$10:$AA$226,P$2,FALSE)</f>
        <v>0</v>
      </c>
      <c r="Q112" s="506" t="str">
        <f>VLOOKUP($A112,'Pre-Assessment Estimator'!$A$10:$AA$226,Q$2,FALSE)</f>
        <v>N/A</v>
      </c>
      <c r="R112" s="509" t="str">
        <f>IF(VLOOKUP($A112,'Pre-Assessment Estimator'!$A$10:$AA$226,R$2,FALSE)=0,"",VLOOKUP($A112,'Pre-Assessment Estimator'!$A$10:$AA$226,R$2,FALSE))</f>
        <v/>
      </c>
      <c r="S112" s="509" t="str">
        <f>IF(VLOOKUP($A112,'Pre-Assessment Estimator'!$A$10:$AA$226,S$2,FALSE)=0,"",VLOOKUP($A112,'Pre-Assessment Estimator'!$A$10:$AA$226,S$2,FALSE))</f>
        <v/>
      </c>
      <c r="T112" s="510" t="str">
        <f>IF(VLOOKUP($A112,'Pre-Assessment Estimator'!$A$10:$AA$226,T$2,FALSE)=0,"",VLOOKUP($A112,'Pre-Assessment Estimator'!$A$10:$AA$226,T$2,FALSE))</f>
        <v/>
      </c>
      <c r="U112" s="513"/>
      <c r="V112" s="512" t="str">
        <f>IF(VLOOKUP($A112,'Pre-Assessment Estimator'!$A$10:$AA$226,V$2,FALSE)=0,"",VLOOKUP($A112,'Pre-Assessment Estimator'!$A$10:$AA$226,V$2,FALSE))</f>
        <v/>
      </c>
      <c r="W112" s="507">
        <f>VLOOKUP($A112,'Pre-Assessment Estimator'!$A$10:$AA$226,W$2,FALSE)</f>
        <v>0</v>
      </c>
      <c r="X112" s="506" t="str">
        <f>VLOOKUP($A112,'Pre-Assessment Estimator'!$A$10:$AA$226,X$2,FALSE)</f>
        <v>N/A</v>
      </c>
      <c r="Y112" s="509" t="str">
        <f>IF(VLOOKUP($A112,'Pre-Assessment Estimator'!$A$10:$AA$226,Y$2,FALSE)=0,"",VLOOKUP($A112,'Pre-Assessment Estimator'!$A$10:$AA$226,Y$2,FALSE))</f>
        <v/>
      </c>
      <c r="Z112" s="509" t="str">
        <f>IF(VLOOKUP($A112,'Pre-Assessment Estimator'!$A$10:$AA$226,Z$2,FALSE)=0,"",VLOOKUP($A112,'Pre-Assessment Estimator'!$A$10:$AA$226,Z$2,FALSE))</f>
        <v/>
      </c>
      <c r="AA112" s="322" t="str">
        <f>IF(VLOOKUP($A112,'Pre-Assessment Estimator'!$A$10:$AA$226,AA$2,FALSE)=0,"",VLOOKUP($A112,'Pre-Assessment Estimator'!$A$10:$AA$226,AA$2,FALSE))</f>
        <v/>
      </c>
      <c r="AB112" s="605">
        <v>102</v>
      </c>
      <c r="AC112" s="509"/>
      <c r="AG112" s="15">
        <f t="shared" si="2"/>
        <v>2</v>
      </c>
    </row>
    <row r="113" spans="1:33" x14ac:dyDescent="0.25">
      <c r="A113" s="716">
        <v>104</v>
      </c>
      <c r="B113" s="1022" t="s">
        <v>58</v>
      </c>
      <c r="C113" s="1022"/>
      <c r="D113" s="1043" t="str">
        <f>VLOOKUP($A113,'Pre-Assessment Estimator'!$A$10:$AA$226,D$2,FALSE)</f>
        <v>Wat 04</v>
      </c>
      <c r="E113" s="1044"/>
      <c r="F113" s="1043" t="str">
        <f>VLOOKUP($A113,'Pre-Assessment Estimator'!$A$10:$AA$226,F$2,FALSE)</f>
        <v>Wat 04 Water efficient equipment</v>
      </c>
      <c r="G113" s="506">
        <f>VLOOKUP($A113,'Pre-Assessment Estimator'!$A$10:$AA$226,G$2,FALSE)</f>
        <v>1</v>
      </c>
      <c r="H113" s="512" t="str">
        <f>IF(VLOOKUP($A113,'Pre-Assessment Estimator'!$A$10:$AA$226,H$2,FALSE)=0,"",VLOOKUP($A113,'Pre-Assessment Estimator'!$A$10:$AA$226,H$2,FALSE))</f>
        <v/>
      </c>
      <c r="I113" s="1012" t="str">
        <f>VLOOKUP($A113,'Pre-Assessment Estimator'!$A$10:$AA$226,I$2,FALSE)</f>
        <v>0 c. 0 %</v>
      </c>
      <c r="J113" s="508" t="str">
        <f>VLOOKUP($A113,'Pre-Assessment Estimator'!$A$10:$AA$226,J$2,FALSE)</f>
        <v>N/A</v>
      </c>
      <c r="K113" s="509" t="str">
        <f>IF(VLOOKUP($A113,'Pre-Assessment Estimator'!$A$10:$AA$226,K$2,FALSE)=0,"",VLOOKUP($A113,'Pre-Assessment Estimator'!$A$10:$AA$226,K$2,FALSE))</f>
        <v/>
      </c>
      <c r="L113" s="509" t="str">
        <f>IF(VLOOKUP($A113,'Pre-Assessment Estimator'!$A$10:$AA$226,L$2,FALSE)=0,"",VLOOKUP($A113,'Pre-Assessment Estimator'!$A$10:$AA$226,L$2,FALSE))</f>
        <v/>
      </c>
      <c r="M113" s="510" t="str">
        <f>IF(VLOOKUP($A113,'Pre-Assessment Estimator'!$A$10:$AA$226,M$2,FALSE)=0,"",VLOOKUP($A113,'Pre-Assessment Estimator'!$A$10:$AA$226,M$2,FALSE))</f>
        <v/>
      </c>
      <c r="N113" s="511"/>
      <c r="O113" s="512" t="str">
        <f>IF(VLOOKUP($A113,'Pre-Assessment Estimator'!$A$10:$AA$226,O$2,FALSE)=0,"",VLOOKUP($A113,'Pre-Assessment Estimator'!$A$10:$AA$226,O$2,FALSE))</f>
        <v/>
      </c>
      <c r="P113" s="507" t="str">
        <f>VLOOKUP($A113,'Pre-Assessment Estimator'!$A$10:$AA$226,P$2,FALSE)</f>
        <v>0 c. 0 %</v>
      </c>
      <c r="Q113" s="506" t="str">
        <f>VLOOKUP($A113,'Pre-Assessment Estimator'!$A$10:$AA$226,Q$2,FALSE)</f>
        <v>N/A</v>
      </c>
      <c r="R113" s="509" t="str">
        <f>IF(VLOOKUP($A113,'Pre-Assessment Estimator'!$A$10:$AA$226,R$2,FALSE)=0,"",VLOOKUP($A113,'Pre-Assessment Estimator'!$A$10:$AA$226,R$2,FALSE))</f>
        <v/>
      </c>
      <c r="S113" s="509" t="str">
        <f>IF(VLOOKUP($A113,'Pre-Assessment Estimator'!$A$10:$AA$226,S$2,FALSE)=0,"",VLOOKUP($A113,'Pre-Assessment Estimator'!$A$10:$AA$226,S$2,FALSE))</f>
        <v/>
      </c>
      <c r="T113" s="510" t="str">
        <f>IF(VLOOKUP($A113,'Pre-Assessment Estimator'!$A$10:$AA$226,T$2,FALSE)=0,"",VLOOKUP($A113,'Pre-Assessment Estimator'!$A$10:$AA$226,T$2,FALSE))</f>
        <v/>
      </c>
      <c r="U113" s="513"/>
      <c r="V113" s="512" t="str">
        <f>IF(VLOOKUP($A113,'Pre-Assessment Estimator'!$A$10:$AA$226,V$2,FALSE)=0,"",VLOOKUP($A113,'Pre-Assessment Estimator'!$A$10:$AA$226,V$2,FALSE))</f>
        <v/>
      </c>
      <c r="W113" s="507" t="str">
        <f>VLOOKUP($A113,'Pre-Assessment Estimator'!$A$10:$AA$226,W$2,FALSE)</f>
        <v>0 c. 0 %</v>
      </c>
      <c r="X113" s="506" t="str">
        <f>VLOOKUP($A113,'Pre-Assessment Estimator'!$A$10:$AA$226,X$2,FALSE)</f>
        <v>N/A</v>
      </c>
      <c r="Y113" s="509" t="str">
        <f>IF(VLOOKUP($A113,'Pre-Assessment Estimator'!$A$10:$AA$226,Y$2,FALSE)=0,"",VLOOKUP($A113,'Pre-Assessment Estimator'!$A$10:$AA$226,Y$2,FALSE))</f>
        <v/>
      </c>
      <c r="Z113" s="509" t="str">
        <f>IF(VLOOKUP($A113,'Pre-Assessment Estimator'!$A$10:$AA$226,Z$2,FALSE)=0,"",VLOOKUP($A113,'Pre-Assessment Estimator'!$A$10:$AA$226,Z$2,FALSE))</f>
        <v/>
      </c>
      <c r="AA113" s="322" t="str">
        <f>IF(VLOOKUP($A113,'Pre-Assessment Estimator'!$A$10:$AA$226,AA$2,FALSE)=0,"",VLOOKUP($A113,'Pre-Assessment Estimator'!$A$10:$AA$226,AA$2,FALSE))</f>
        <v/>
      </c>
      <c r="AB113" s="605">
        <v>103</v>
      </c>
      <c r="AC113" s="509"/>
      <c r="AG113" s="15">
        <f t="shared" si="2"/>
        <v>1</v>
      </c>
    </row>
    <row r="114" spans="1:33" x14ac:dyDescent="0.25">
      <c r="A114" s="716">
        <v>105</v>
      </c>
      <c r="B114" s="1022" t="s">
        <v>58</v>
      </c>
      <c r="C114" s="1022"/>
      <c r="D114" s="1044" t="str">
        <f>VLOOKUP($A114,'Pre-Assessment Estimator'!$A$10:$AA$226,D$2,FALSE)</f>
        <v>Wat 04</v>
      </c>
      <c r="E114" s="1044" t="str">
        <f>VLOOKUP($A114,'Pre-Assessment Estimator'!$A$10:$AA$226,E$2,FALSE)</f>
        <v>1-2</v>
      </c>
      <c r="F114" s="1045" t="str">
        <f>VLOOKUP($A114,'Pre-Assessment Estimator'!$A$10:$AA$226,F$2,FALSE)</f>
        <v>Water efficient equipment</v>
      </c>
      <c r="G114" s="506">
        <f>VLOOKUP($A114,'Pre-Assessment Estimator'!$A$10:$AA$226,G$2,FALSE)</f>
        <v>1</v>
      </c>
      <c r="H114" s="512" t="str">
        <f>IF(VLOOKUP($A114,'Pre-Assessment Estimator'!$A$10:$AA$226,H$2,FALSE)=0,"",VLOOKUP($A114,'Pre-Assessment Estimator'!$A$10:$AA$226,H$2,FALSE))</f>
        <v/>
      </c>
      <c r="I114" s="1012">
        <f>VLOOKUP($A114,'Pre-Assessment Estimator'!$A$10:$AA$226,I$2,FALSE)</f>
        <v>0</v>
      </c>
      <c r="J114" s="508" t="str">
        <f>VLOOKUP($A114,'Pre-Assessment Estimator'!$A$10:$AA$226,J$2,FALSE)</f>
        <v>N/A</v>
      </c>
      <c r="K114" s="509" t="str">
        <f>IF(VLOOKUP($A114,'Pre-Assessment Estimator'!$A$10:$AA$226,K$2,FALSE)=0,"",VLOOKUP($A114,'Pre-Assessment Estimator'!$A$10:$AA$226,K$2,FALSE))</f>
        <v/>
      </c>
      <c r="L114" s="509" t="str">
        <f>IF(VLOOKUP($A114,'Pre-Assessment Estimator'!$A$10:$AA$226,L$2,FALSE)=0,"",VLOOKUP($A114,'Pre-Assessment Estimator'!$A$10:$AA$226,L$2,FALSE))</f>
        <v/>
      </c>
      <c r="M114" s="510" t="str">
        <f>IF(VLOOKUP($A114,'Pre-Assessment Estimator'!$A$10:$AA$226,M$2,FALSE)=0,"",VLOOKUP($A114,'Pre-Assessment Estimator'!$A$10:$AA$226,M$2,FALSE))</f>
        <v/>
      </c>
      <c r="N114" s="511"/>
      <c r="O114" s="512" t="str">
        <f>IF(VLOOKUP($A114,'Pre-Assessment Estimator'!$A$10:$AA$226,O$2,FALSE)=0,"",VLOOKUP($A114,'Pre-Assessment Estimator'!$A$10:$AA$226,O$2,FALSE))</f>
        <v/>
      </c>
      <c r="P114" s="507">
        <f>VLOOKUP($A114,'Pre-Assessment Estimator'!$A$10:$AA$226,P$2,FALSE)</f>
        <v>0</v>
      </c>
      <c r="Q114" s="506" t="str">
        <f>VLOOKUP($A114,'Pre-Assessment Estimator'!$A$10:$AA$226,Q$2,FALSE)</f>
        <v>N/A</v>
      </c>
      <c r="R114" s="509" t="str">
        <f>IF(VLOOKUP($A114,'Pre-Assessment Estimator'!$A$10:$AA$226,R$2,FALSE)=0,"",VLOOKUP($A114,'Pre-Assessment Estimator'!$A$10:$AA$226,R$2,FALSE))</f>
        <v/>
      </c>
      <c r="S114" s="509" t="str">
        <f>IF(VLOOKUP($A114,'Pre-Assessment Estimator'!$A$10:$AA$226,S$2,FALSE)=0,"",VLOOKUP($A114,'Pre-Assessment Estimator'!$A$10:$AA$226,S$2,FALSE))</f>
        <v/>
      </c>
      <c r="T114" s="510" t="str">
        <f>IF(VLOOKUP($A114,'Pre-Assessment Estimator'!$A$10:$AA$226,T$2,FALSE)=0,"",VLOOKUP($A114,'Pre-Assessment Estimator'!$A$10:$AA$226,T$2,FALSE))</f>
        <v/>
      </c>
      <c r="U114" s="513"/>
      <c r="V114" s="512" t="str">
        <f>IF(VLOOKUP($A114,'Pre-Assessment Estimator'!$A$10:$AA$226,V$2,FALSE)=0,"",VLOOKUP($A114,'Pre-Assessment Estimator'!$A$10:$AA$226,V$2,FALSE))</f>
        <v/>
      </c>
      <c r="W114" s="507">
        <f>VLOOKUP($A114,'Pre-Assessment Estimator'!$A$10:$AA$226,W$2,FALSE)</f>
        <v>0</v>
      </c>
      <c r="X114" s="506" t="str">
        <f>VLOOKUP($A114,'Pre-Assessment Estimator'!$A$10:$AA$226,X$2,FALSE)</f>
        <v>N/A</v>
      </c>
      <c r="Y114" s="509" t="str">
        <f>IF(VLOOKUP($A114,'Pre-Assessment Estimator'!$A$10:$AA$226,Y$2,FALSE)=0,"",VLOOKUP($A114,'Pre-Assessment Estimator'!$A$10:$AA$226,Y$2,FALSE))</f>
        <v/>
      </c>
      <c r="Z114" s="509" t="str">
        <f>IF(VLOOKUP($A114,'Pre-Assessment Estimator'!$A$10:$AA$226,Z$2,FALSE)=0,"",VLOOKUP($A114,'Pre-Assessment Estimator'!$A$10:$AA$226,Z$2,FALSE))</f>
        <v/>
      </c>
      <c r="AA114" s="322" t="str">
        <f>IF(VLOOKUP($A114,'Pre-Assessment Estimator'!$A$10:$AA$226,AA$2,FALSE)=0,"",VLOOKUP($A114,'Pre-Assessment Estimator'!$A$10:$AA$226,AA$2,FALSE))</f>
        <v/>
      </c>
      <c r="AB114" s="605">
        <v>104</v>
      </c>
      <c r="AC114" s="509" t="str">
        <f>IF(VLOOKUP($A114,'Pre-Assessment Estimator'!$A$10:$AC$226,AC$2,FALSE)=0,"",VLOOKUP($A114,'Pre-Assessment Estimator'!$A$10:$AC$226,AC$2,FALSE))</f>
        <v>N/A</v>
      </c>
      <c r="AG114" s="15">
        <f t="shared" si="2"/>
        <v>1</v>
      </c>
    </row>
    <row r="115" spans="1:33" ht="30" customHeight="1" thickBot="1" x14ac:dyDescent="0.3">
      <c r="A115" s="716">
        <v>106</v>
      </c>
      <c r="B115" s="1022" t="s">
        <v>58</v>
      </c>
      <c r="C115" s="1022"/>
      <c r="D115" s="1046"/>
      <c r="E115" s="1046"/>
      <c r="F115" s="1046" t="str">
        <f>VLOOKUP($A115,'Pre-Assessment Estimator'!$A$10:$AA$226,F$2,FALSE)</f>
        <v>Total performance water</v>
      </c>
      <c r="G115" s="514">
        <f>VLOOKUP($A115,'Pre-Assessment Estimator'!$A$10:$AA$226,G$2,FALSE)</f>
        <v>9</v>
      </c>
      <c r="H115" s="516" t="str">
        <f>IF(VLOOKUP($A115,'Pre-Assessment Estimator'!$A$10:$AA$226,H$2,FALSE)=0,"",VLOOKUP($A115,'Pre-Assessment Estimator'!$A$10:$AA$226,H$2,FALSE))</f>
        <v/>
      </c>
      <c r="I115" s="515">
        <f>VLOOKUP($A115,'Pre-Assessment Estimator'!$A$10:$AA$226,I$2,FALSE)</f>
        <v>0</v>
      </c>
      <c r="J115" s="514" t="str">
        <f>VLOOKUP($A115,'Pre-Assessment Estimator'!$A$10:$AA$226,J$2,FALSE)</f>
        <v>Credits achieved: 0</v>
      </c>
      <c r="K115" s="994" t="str">
        <f>IF(VLOOKUP($A115,'Pre-Assessment Estimator'!$A$10:$AA$226,K$2,FALSE)=0,"",VLOOKUP($A115,'Pre-Assessment Estimator'!$A$10:$AA$226,K$2,FALSE))</f>
        <v/>
      </c>
      <c r="L115" s="994" t="str">
        <f>IF(VLOOKUP($A115,'Pre-Assessment Estimator'!$A$10:$AA$226,L$2,FALSE)=0,"",VLOOKUP($A115,'Pre-Assessment Estimator'!$A$10:$AA$226,L$2,FALSE))</f>
        <v/>
      </c>
      <c r="M115" s="1013" t="str">
        <f>IF(VLOOKUP($A115,'Pre-Assessment Estimator'!$A$10:$AA$226,M$2,FALSE)=0,"",VLOOKUP($A115,'Pre-Assessment Estimator'!$A$10:$AA$226,M$2,FALSE))</f>
        <v/>
      </c>
      <c r="N115" s="1014"/>
      <c r="O115" s="516" t="str">
        <f>IF(VLOOKUP($A115,'Pre-Assessment Estimator'!$A$10:$AA$226,O$2,FALSE)=0,"",VLOOKUP($A115,'Pre-Assessment Estimator'!$A$10:$AA$226,O$2,FALSE))</f>
        <v/>
      </c>
      <c r="P115" s="515">
        <f>VLOOKUP($A115,'Pre-Assessment Estimator'!$A$10:$AA$226,P$2,FALSE)</f>
        <v>0</v>
      </c>
      <c r="Q115" s="514" t="str">
        <f>VLOOKUP($A115,'Pre-Assessment Estimator'!$A$10:$AA$226,Q$2,FALSE)</f>
        <v>Credits achieved: 0</v>
      </c>
      <c r="R115" s="994" t="str">
        <f>IF(VLOOKUP($A115,'Pre-Assessment Estimator'!$A$10:$AA$226,R$2,FALSE)=0,"",VLOOKUP($A115,'Pre-Assessment Estimator'!$A$10:$AA$226,R$2,FALSE))</f>
        <v/>
      </c>
      <c r="S115" s="994" t="str">
        <f>IF(VLOOKUP($A115,'Pre-Assessment Estimator'!$A$10:$AA$226,S$2,FALSE)=0,"",VLOOKUP($A115,'Pre-Assessment Estimator'!$A$10:$AA$226,S$2,FALSE))</f>
        <v/>
      </c>
      <c r="T115" s="1013" t="str">
        <f>IF(VLOOKUP($A115,'Pre-Assessment Estimator'!$A$10:$AA$226,T$2,FALSE)=0,"",VLOOKUP($A115,'Pre-Assessment Estimator'!$A$10:$AA$226,T$2,FALSE))</f>
        <v/>
      </c>
      <c r="U115" s="1015"/>
      <c r="V115" s="516" t="str">
        <f>IF(VLOOKUP($A115,'Pre-Assessment Estimator'!$A$10:$AA$226,V$2,FALSE)=0,"",VLOOKUP($A115,'Pre-Assessment Estimator'!$A$10:$AA$226,V$2,FALSE))</f>
        <v/>
      </c>
      <c r="W115" s="515">
        <f>VLOOKUP($A115,'Pre-Assessment Estimator'!$A$10:$AA$226,W$2,FALSE)</f>
        <v>0</v>
      </c>
      <c r="X115" s="514" t="str">
        <f>VLOOKUP($A115,'Pre-Assessment Estimator'!$A$10:$AA$226,X$2,FALSE)</f>
        <v>Credits achieved: 0</v>
      </c>
      <c r="Y115" s="994" t="str">
        <f>IF(VLOOKUP($A115,'Pre-Assessment Estimator'!$A$10:$AA$226,Y$2,FALSE)=0,"",VLOOKUP($A115,'Pre-Assessment Estimator'!$A$10:$AA$226,Y$2,FALSE))</f>
        <v/>
      </c>
      <c r="Z115" s="994" t="str">
        <f>IF(VLOOKUP($A115,'Pre-Assessment Estimator'!$A$10:$AA$226,Z$2,FALSE)=0,"",VLOOKUP($A115,'Pre-Assessment Estimator'!$A$10:$AA$226,Z$2,FALSE))</f>
        <v/>
      </c>
      <c r="AA115" s="1016" t="str">
        <f>IF(VLOOKUP($A115,'Pre-Assessment Estimator'!$A$10:$AA$226,AA$2,FALSE)=0,"",VLOOKUP($A115,'Pre-Assessment Estimator'!$A$10:$AA$226,AA$2,FALSE))</f>
        <v/>
      </c>
      <c r="AB115" s="605">
        <v>105</v>
      </c>
      <c r="AC115" s="517"/>
      <c r="AG115" s="15">
        <f t="shared" si="2"/>
        <v>1</v>
      </c>
    </row>
    <row r="116" spans="1:33" x14ac:dyDescent="0.25">
      <c r="A116" s="716">
        <v>107</v>
      </c>
      <c r="B116" s="1022" t="s">
        <v>67</v>
      </c>
      <c r="C116" s="1022"/>
      <c r="D116" s="517"/>
      <c r="E116" s="517"/>
      <c r="F116" s="517"/>
      <c r="G116" s="518"/>
      <c r="H116" s="518"/>
      <c r="I116" s="518"/>
      <c r="J116" s="518"/>
      <c r="K116" s="517"/>
      <c r="L116" s="518"/>
      <c r="M116" s="517"/>
      <c r="N116" s="511"/>
      <c r="O116" s="518"/>
      <c r="P116" s="518"/>
      <c r="Q116" s="518"/>
      <c r="R116" s="517"/>
      <c r="S116" s="518"/>
      <c r="T116" s="517"/>
      <c r="U116" s="513"/>
      <c r="V116" s="518"/>
      <c r="W116" s="518"/>
      <c r="X116" s="518"/>
      <c r="Y116" s="517"/>
      <c r="Z116" s="518"/>
      <c r="AA116" s="300"/>
      <c r="AB116" s="605">
        <v>106</v>
      </c>
      <c r="AC116" s="606"/>
      <c r="AG116" s="15">
        <f t="shared" si="2"/>
        <v>1</v>
      </c>
    </row>
    <row r="117" spans="1:33" ht="18.75" x14ac:dyDescent="0.25">
      <c r="A117" s="716">
        <v>108</v>
      </c>
      <c r="B117" s="1022" t="s">
        <v>67</v>
      </c>
      <c r="C117" s="1022"/>
      <c r="D117" s="519"/>
      <c r="E117" s="519"/>
      <c r="F117" s="519" t="s">
        <v>67</v>
      </c>
      <c r="G117" s="502"/>
      <c r="H117" s="502"/>
      <c r="I117" s="502"/>
      <c r="J117" s="502"/>
      <c r="K117" s="503"/>
      <c r="L117" s="502"/>
      <c r="M117" s="503"/>
      <c r="N117" s="511"/>
      <c r="O117" s="502"/>
      <c r="P117" s="502"/>
      <c r="Q117" s="502"/>
      <c r="R117" s="503"/>
      <c r="S117" s="502"/>
      <c r="T117" s="503"/>
      <c r="U117" s="513"/>
      <c r="V117" s="502"/>
      <c r="W117" s="502"/>
      <c r="X117" s="502"/>
      <c r="Y117" s="503"/>
      <c r="Z117" s="502"/>
      <c r="AA117" s="351"/>
      <c r="AB117" s="605">
        <v>107</v>
      </c>
      <c r="AC117" s="509" t="str">
        <f>IF(VLOOKUP($A117,'Pre-Assessment Estimator'!$A$10:$AC$226,AC$2,FALSE)=0,"",VLOOKUP($A117,'Pre-Assessment Estimator'!$A$10:$AC$226,AC$2,FALSE))</f>
        <v/>
      </c>
      <c r="AG117" s="15">
        <f t="shared" si="2"/>
        <v>1</v>
      </c>
    </row>
    <row r="118" spans="1:33" ht="30" x14ac:dyDescent="0.25">
      <c r="A118" s="716">
        <v>109</v>
      </c>
      <c r="B118" s="1022" t="s">
        <v>67</v>
      </c>
      <c r="C118" s="1022"/>
      <c r="D118" s="1043" t="str">
        <f>VLOOKUP($A118,'Pre-Assessment Estimator'!$A$10:$AA$226,D$2,FALSE)</f>
        <v>Mat 01</v>
      </c>
      <c r="E118" s="1044"/>
      <c r="F118" s="1043" t="str">
        <f>VLOOKUP($A118,'Pre-Assessment Estimator'!$A$10:$AA$226,F$2,FALSE)</f>
        <v>Mat 01 Environmental impacts from construction products - Building life cycle assessment (LCA)</v>
      </c>
      <c r="G118" s="506">
        <f>VLOOKUP($A118,'Pre-Assessment Estimator'!$A$10:$AA$226,G$2,FALSE)</f>
        <v>5</v>
      </c>
      <c r="H118" s="512" t="str">
        <f>IF(VLOOKUP($A118,'Pre-Assessment Estimator'!$A$10:$AA$226,H$2,FALSE)=0,"",VLOOKUP($A118,'Pre-Assessment Estimator'!$A$10:$AA$226,H$2,FALSE))</f>
        <v/>
      </c>
      <c r="I118" s="1012" t="str">
        <f>VLOOKUP($A118,'Pre-Assessment Estimator'!$A$10:$AA$226,I$2,FALSE)</f>
        <v>0 c. 0 %</v>
      </c>
      <c r="J118" s="508" t="str">
        <f>VLOOKUP($A118,'Pre-Assessment Estimator'!$A$10:$AA$226,J$2,FALSE)</f>
        <v>N/A</v>
      </c>
      <c r="K118" s="509" t="str">
        <f>IF(VLOOKUP($A118,'Pre-Assessment Estimator'!$A$10:$AA$226,K$2,FALSE)=0,"",VLOOKUP($A118,'Pre-Assessment Estimator'!$A$10:$AA$226,K$2,FALSE))</f>
        <v/>
      </c>
      <c r="L118" s="509" t="str">
        <f>IF(VLOOKUP($A118,'Pre-Assessment Estimator'!$A$10:$AA$226,L$2,FALSE)=0,"",VLOOKUP($A118,'Pre-Assessment Estimator'!$A$10:$AA$226,L$2,FALSE))</f>
        <v/>
      </c>
      <c r="M118" s="510" t="str">
        <f>IF(VLOOKUP($A118,'Pre-Assessment Estimator'!$A$10:$AA$226,M$2,FALSE)=0,"",VLOOKUP($A118,'Pre-Assessment Estimator'!$A$10:$AA$226,M$2,FALSE))</f>
        <v/>
      </c>
      <c r="N118" s="511"/>
      <c r="O118" s="512" t="str">
        <f>IF(VLOOKUP($A118,'Pre-Assessment Estimator'!$A$10:$AA$226,O$2,FALSE)=0,"",VLOOKUP($A118,'Pre-Assessment Estimator'!$A$10:$AA$226,O$2,FALSE))</f>
        <v/>
      </c>
      <c r="P118" s="507" t="str">
        <f>VLOOKUP($A118,'Pre-Assessment Estimator'!$A$10:$AA$226,P$2,FALSE)</f>
        <v>0 c. 0 %</v>
      </c>
      <c r="Q118" s="506" t="str">
        <f>VLOOKUP($A118,'Pre-Assessment Estimator'!$A$10:$AA$226,Q$2,FALSE)</f>
        <v>N/A</v>
      </c>
      <c r="R118" s="509" t="str">
        <f>IF(VLOOKUP($A118,'Pre-Assessment Estimator'!$A$10:$AA$226,R$2,FALSE)=0,"",VLOOKUP($A118,'Pre-Assessment Estimator'!$A$10:$AA$226,R$2,FALSE))</f>
        <v/>
      </c>
      <c r="S118" s="509" t="str">
        <f>IF(VLOOKUP($A118,'Pre-Assessment Estimator'!$A$10:$AA$226,S$2,FALSE)=0,"",VLOOKUP($A118,'Pre-Assessment Estimator'!$A$10:$AA$226,S$2,FALSE))</f>
        <v/>
      </c>
      <c r="T118" s="510" t="str">
        <f>IF(VLOOKUP($A118,'Pre-Assessment Estimator'!$A$10:$AA$226,T$2,FALSE)=0,"",VLOOKUP($A118,'Pre-Assessment Estimator'!$A$10:$AA$226,T$2,FALSE))</f>
        <v/>
      </c>
      <c r="U118" s="513"/>
      <c r="V118" s="512" t="str">
        <f>IF(VLOOKUP($A118,'Pre-Assessment Estimator'!$A$10:$AA$226,V$2,FALSE)=0,"",VLOOKUP($A118,'Pre-Assessment Estimator'!$A$10:$AA$226,V$2,FALSE))</f>
        <v/>
      </c>
      <c r="W118" s="507" t="str">
        <f>VLOOKUP($A118,'Pre-Assessment Estimator'!$A$10:$AA$226,W$2,FALSE)</f>
        <v>0 c. 0 %</v>
      </c>
      <c r="X118" s="506" t="str">
        <f>VLOOKUP($A118,'Pre-Assessment Estimator'!$A$10:$AA$226,X$2,FALSE)</f>
        <v>N/A</v>
      </c>
      <c r="Y118" s="509" t="str">
        <f>IF(VLOOKUP($A118,'Pre-Assessment Estimator'!$A$10:$AA$226,Y$2,FALSE)=0,"",VLOOKUP($A118,'Pre-Assessment Estimator'!$A$10:$AA$226,Y$2,FALSE))</f>
        <v/>
      </c>
      <c r="Z118" s="509" t="str">
        <f>IF(VLOOKUP($A118,'Pre-Assessment Estimator'!$A$10:$AA$226,Z$2,FALSE)=0,"",VLOOKUP($A118,'Pre-Assessment Estimator'!$A$10:$AA$226,Z$2,FALSE))</f>
        <v/>
      </c>
      <c r="AA118" s="322" t="str">
        <f>IF(VLOOKUP($A118,'Pre-Assessment Estimator'!$A$10:$AA$226,AA$2,FALSE)=0,"",VLOOKUP($A118,'Pre-Assessment Estimator'!$A$10:$AA$226,AA$2,FALSE))</f>
        <v/>
      </c>
      <c r="AB118" s="605">
        <v>108</v>
      </c>
      <c r="AC118" s="509"/>
      <c r="AG118" s="15">
        <f t="shared" si="2"/>
        <v>1</v>
      </c>
    </row>
    <row r="119" spans="1:33" x14ac:dyDescent="0.25">
      <c r="A119" s="716">
        <v>110</v>
      </c>
      <c r="B119" s="1022" t="s">
        <v>67</v>
      </c>
      <c r="C119" s="1022"/>
      <c r="D119" s="1044" t="str">
        <f>VLOOKUP($A119,'Pre-Assessment Estimator'!$A$10:$AA$226,D$2,FALSE)</f>
        <v>Mat 01</v>
      </c>
      <c r="E119" s="1044" t="str">
        <f>VLOOKUP($A119,'Pre-Assessment Estimator'!$A$10:$AA$226,E$2,FALSE)</f>
        <v>1-2</v>
      </c>
      <c r="F119" s="1045" t="str">
        <f>VLOOKUP($A119,'Pre-Assessment Estimator'!$A$10:$AA$226,F$2,FALSE)</f>
        <v>Pre-requisite: early stage greenhouse gas calculation</v>
      </c>
      <c r="G119" s="506" t="str">
        <f>VLOOKUP($A119,'Pre-Assessment Estimator'!$A$10:$AA$226,G$2,FALSE)</f>
        <v>Yes/No</v>
      </c>
      <c r="H119" s="512" t="str">
        <f>IF(VLOOKUP($A119,'Pre-Assessment Estimator'!$A$10:$AA$226,H$2,FALSE)=0,"",VLOOKUP($A119,'Pre-Assessment Estimator'!$A$10:$AA$226,H$2,FALSE))</f>
        <v/>
      </c>
      <c r="I119" s="1012" t="str">
        <f>VLOOKUP($A119,'Pre-Assessment Estimator'!$A$10:$AA$226,I$2,FALSE)</f>
        <v>-</v>
      </c>
      <c r="J119" s="508" t="str">
        <f>VLOOKUP($A119,'Pre-Assessment Estimator'!$A$10:$AA$226,J$2,FALSE)</f>
        <v>Unclassified</v>
      </c>
      <c r="K119" s="509" t="str">
        <f>IF(VLOOKUP($A119,'Pre-Assessment Estimator'!$A$10:$AA$226,K$2,FALSE)=0,"",VLOOKUP($A119,'Pre-Assessment Estimator'!$A$10:$AA$226,K$2,FALSE))</f>
        <v/>
      </c>
      <c r="L119" s="509" t="str">
        <f>IF(VLOOKUP($A119,'Pre-Assessment Estimator'!$A$10:$AA$226,L$2,FALSE)=0,"",VLOOKUP($A119,'Pre-Assessment Estimator'!$A$10:$AA$226,L$2,FALSE))</f>
        <v/>
      </c>
      <c r="M119" s="510" t="str">
        <f>IF(VLOOKUP($A119,'Pre-Assessment Estimator'!$A$10:$AA$226,M$2,FALSE)=0,"",VLOOKUP($A119,'Pre-Assessment Estimator'!$A$10:$AA$226,M$2,FALSE))</f>
        <v/>
      </c>
      <c r="N119" s="511"/>
      <c r="O119" s="512" t="str">
        <f>IF(VLOOKUP($A119,'Pre-Assessment Estimator'!$A$10:$AA$226,O$2,FALSE)=0,"",VLOOKUP($A119,'Pre-Assessment Estimator'!$A$10:$AA$226,O$2,FALSE))</f>
        <v/>
      </c>
      <c r="P119" s="507" t="str">
        <f>VLOOKUP($A119,'Pre-Assessment Estimator'!$A$10:$AA$226,P$2,FALSE)</f>
        <v>-</v>
      </c>
      <c r="Q119" s="506" t="str">
        <f>VLOOKUP($A119,'Pre-Assessment Estimator'!$A$10:$AA$226,Q$2,FALSE)</f>
        <v>Unclassified</v>
      </c>
      <c r="R119" s="509" t="str">
        <f>IF(VLOOKUP($A119,'Pre-Assessment Estimator'!$A$10:$AA$226,R$2,FALSE)=0,"",VLOOKUP($A119,'Pre-Assessment Estimator'!$A$10:$AA$226,R$2,FALSE))</f>
        <v/>
      </c>
      <c r="S119" s="509" t="str">
        <f>IF(VLOOKUP($A119,'Pre-Assessment Estimator'!$A$10:$AA$226,S$2,FALSE)=0,"",VLOOKUP($A119,'Pre-Assessment Estimator'!$A$10:$AA$226,S$2,FALSE))</f>
        <v/>
      </c>
      <c r="T119" s="510" t="str">
        <f>IF(VLOOKUP($A119,'Pre-Assessment Estimator'!$A$10:$AA$226,T$2,FALSE)=0,"",VLOOKUP($A119,'Pre-Assessment Estimator'!$A$10:$AA$226,T$2,FALSE))</f>
        <v/>
      </c>
      <c r="U119" s="513"/>
      <c r="V119" s="512" t="str">
        <f>IF(VLOOKUP($A119,'Pre-Assessment Estimator'!$A$10:$AA$226,V$2,FALSE)=0,"",VLOOKUP($A119,'Pre-Assessment Estimator'!$A$10:$AA$226,V$2,FALSE))</f>
        <v/>
      </c>
      <c r="W119" s="507" t="str">
        <f>VLOOKUP($A119,'Pre-Assessment Estimator'!$A$10:$AA$226,W$2,FALSE)</f>
        <v>-</v>
      </c>
      <c r="X119" s="506" t="str">
        <f>VLOOKUP($A119,'Pre-Assessment Estimator'!$A$10:$AA$226,X$2,FALSE)</f>
        <v>Unclassified</v>
      </c>
      <c r="Y119" s="509" t="str">
        <f>IF(VLOOKUP($A119,'Pre-Assessment Estimator'!$A$10:$AA$226,Y$2,FALSE)=0,"",VLOOKUP($A119,'Pre-Assessment Estimator'!$A$10:$AA$226,Y$2,FALSE))</f>
        <v/>
      </c>
      <c r="Z119" s="509" t="str">
        <f>IF(VLOOKUP($A119,'Pre-Assessment Estimator'!$A$10:$AA$226,Z$2,FALSE)=0,"",VLOOKUP($A119,'Pre-Assessment Estimator'!$A$10:$AA$226,Z$2,FALSE))</f>
        <v/>
      </c>
      <c r="AA119" s="322" t="str">
        <f>IF(VLOOKUP($A119,'Pre-Assessment Estimator'!$A$10:$AA$226,AA$2,FALSE)=0,"",VLOOKUP($A119,'Pre-Assessment Estimator'!$A$10:$AA$226,AA$2,FALSE))</f>
        <v/>
      </c>
      <c r="AB119" s="605">
        <v>109</v>
      </c>
      <c r="AC119" s="509"/>
      <c r="AG119" s="15">
        <f t="shared" si="2"/>
        <v>1</v>
      </c>
    </row>
    <row r="120" spans="1:33" x14ac:dyDescent="0.25">
      <c r="A120" s="716">
        <v>111</v>
      </c>
      <c r="B120" s="1022" t="s">
        <v>67</v>
      </c>
      <c r="C120" s="1022"/>
      <c r="D120" s="1044" t="str">
        <f>VLOOKUP($A120,'Pre-Assessment Estimator'!$A$10:$AA$226,D$2,FALSE)</f>
        <v>Mat 01</v>
      </c>
      <c r="E120" s="1044">
        <f>VLOOKUP($A120,'Pre-Assessment Estimator'!$A$10:$AA$226,E$2,FALSE)</f>
        <v>3</v>
      </c>
      <c r="F120" s="1045" t="str">
        <f>VLOOKUP($A120,'Pre-Assessment Estimator'!$A$10:$AA$226,F$2,FALSE)</f>
        <v>Reduction of greenhouse gas emissions</v>
      </c>
      <c r="G120" s="506">
        <f>VLOOKUP($A120,'Pre-Assessment Estimator'!$A$10:$AA$226,G$2,FALSE)</f>
        <v>3</v>
      </c>
      <c r="H120" s="512" t="str">
        <f>IF(VLOOKUP($A120,'Pre-Assessment Estimator'!$A$10:$AA$226,H$2,FALSE)=0,"",VLOOKUP($A120,'Pre-Assessment Estimator'!$A$10:$AA$226,H$2,FALSE))</f>
        <v/>
      </c>
      <c r="I120" s="1012">
        <f>VLOOKUP($A120,'Pre-Assessment Estimator'!$A$10:$AA$226,I$2,FALSE)</f>
        <v>0</v>
      </c>
      <c r="J120" s="508" t="str">
        <f>VLOOKUP($A120,'Pre-Assessment Estimator'!$A$10:$AA$226,J$2,FALSE)</f>
        <v>Good</v>
      </c>
      <c r="K120" s="509" t="str">
        <f>IF(VLOOKUP($A120,'Pre-Assessment Estimator'!$A$10:$AA$226,K$2,FALSE)=0,"",VLOOKUP($A120,'Pre-Assessment Estimator'!$A$10:$AA$226,K$2,FALSE))</f>
        <v/>
      </c>
      <c r="L120" s="509" t="str">
        <f>IF(VLOOKUP($A120,'Pre-Assessment Estimator'!$A$10:$AA$226,L$2,FALSE)=0,"",VLOOKUP($A120,'Pre-Assessment Estimator'!$A$10:$AA$226,L$2,FALSE))</f>
        <v/>
      </c>
      <c r="M120" s="510" t="str">
        <f>IF(VLOOKUP($A120,'Pre-Assessment Estimator'!$A$10:$AA$226,M$2,FALSE)=0,"",VLOOKUP($A120,'Pre-Assessment Estimator'!$A$10:$AA$226,M$2,FALSE))</f>
        <v/>
      </c>
      <c r="N120" s="511"/>
      <c r="O120" s="512" t="str">
        <f>IF(VLOOKUP($A120,'Pre-Assessment Estimator'!$A$10:$AA$226,O$2,FALSE)=0,"",VLOOKUP($A120,'Pre-Assessment Estimator'!$A$10:$AA$226,O$2,FALSE))</f>
        <v/>
      </c>
      <c r="P120" s="507">
        <f>VLOOKUP($A120,'Pre-Assessment Estimator'!$A$10:$AA$226,P$2,FALSE)</f>
        <v>0</v>
      </c>
      <c r="Q120" s="506" t="str">
        <f>VLOOKUP($A120,'Pre-Assessment Estimator'!$A$10:$AA$226,Q$2,FALSE)</f>
        <v>Good</v>
      </c>
      <c r="R120" s="509" t="str">
        <f>IF(VLOOKUP($A120,'Pre-Assessment Estimator'!$A$10:$AA$226,R$2,FALSE)=0,"",VLOOKUP($A120,'Pre-Assessment Estimator'!$A$10:$AA$226,R$2,FALSE))</f>
        <v/>
      </c>
      <c r="S120" s="509" t="str">
        <f>IF(VLOOKUP($A120,'Pre-Assessment Estimator'!$A$10:$AA$226,S$2,FALSE)=0,"",VLOOKUP($A120,'Pre-Assessment Estimator'!$A$10:$AA$226,S$2,FALSE))</f>
        <v/>
      </c>
      <c r="T120" s="510" t="str">
        <f>IF(VLOOKUP($A120,'Pre-Assessment Estimator'!$A$10:$AA$226,T$2,FALSE)=0,"",VLOOKUP($A120,'Pre-Assessment Estimator'!$A$10:$AA$226,T$2,FALSE))</f>
        <v/>
      </c>
      <c r="U120" s="513"/>
      <c r="V120" s="512" t="str">
        <f>IF(VLOOKUP($A120,'Pre-Assessment Estimator'!$A$10:$AA$226,V$2,FALSE)=0,"",VLOOKUP($A120,'Pre-Assessment Estimator'!$A$10:$AA$226,V$2,FALSE))</f>
        <v/>
      </c>
      <c r="W120" s="507">
        <f>VLOOKUP($A120,'Pre-Assessment Estimator'!$A$10:$AA$226,W$2,FALSE)</f>
        <v>0</v>
      </c>
      <c r="X120" s="506" t="str">
        <f>VLOOKUP($A120,'Pre-Assessment Estimator'!$A$10:$AA$226,X$2,FALSE)</f>
        <v>Good</v>
      </c>
      <c r="Y120" s="509" t="str">
        <f>IF(VLOOKUP($A120,'Pre-Assessment Estimator'!$A$10:$AA$226,Y$2,FALSE)=0,"",VLOOKUP($A120,'Pre-Assessment Estimator'!$A$10:$AA$226,Y$2,FALSE))</f>
        <v/>
      </c>
      <c r="Z120" s="509" t="str">
        <f>IF(VLOOKUP($A120,'Pre-Assessment Estimator'!$A$10:$AA$226,Z$2,FALSE)=0,"",VLOOKUP($A120,'Pre-Assessment Estimator'!$A$10:$AA$226,Z$2,FALSE))</f>
        <v/>
      </c>
      <c r="AA120" s="322" t="str">
        <f>IF(VLOOKUP($A120,'Pre-Assessment Estimator'!$A$10:$AA$226,AA$2,FALSE)=0,"",VLOOKUP($A120,'Pre-Assessment Estimator'!$A$10:$AA$226,AA$2,FALSE))</f>
        <v/>
      </c>
      <c r="AB120" s="605">
        <v>110</v>
      </c>
      <c r="AC120" s="509"/>
      <c r="AG120" s="15">
        <f t="shared" si="2"/>
        <v>1</v>
      </c>
    </row>
    <row r="121" spans="1:33" x14ac:dyDescent="0.25">
      <c r="A121" s="716">
        <v>112</v>
      </c>
      <c r="B121" s="1022" t="s">
        <v>67</v>
      </c>
      <c r="C121" s="1022"/>
      <c r="D121" s="1044" t="str">
        <f>VLOOKUP($A121,'Pre-Assessment Estimator'!$A$10:$AA$226,D$2,FALSE)</f>
        <v>Mat 01</v>
      </c>
      <c r="E121" s="1044" t="str">
        <f>VLOOKUP($A121,'Pre-Assessment Estimator'!$A$10:$AA$226,E$2,FALSE)</f>
        <v>5-8</v>
      </c>
      <c r="F121" s="1045" t="str">
        <f>VLOOKUP($A121,'Pre-Assessment Estimator'!$A$10:$AA$226,F$2,FALSE)</f>
        <v>Life cycle assessment of the building</v>
      </c>
      <c r="G121" s="506">
        <f>VLOOKUP($A121,'Pre-Assessment Estimator'!$A$10:$AA$226,G$2,FALSE)</f>
        <v>2</v>
      </c>
      <c r="H121" s="512" t="str">
        <f>IF(VLOOKUP($A121,'Pre-Assessment Estimator'!$A$10:$AA$226,H$2,FALSE)=0,"",VLOOKUP($A121,'Pre-Assessment Estimator'!$A$10:$AA$226,H$2,FALSE))</f>
        <v/>
      </c>
      <c r="I121" s="1012">
        <f>VLOOKUP($A121,'Pre-Assessment Estimator'!$A$10:$AA$226,I$2,FALSE)</f>
        <v>0</v>
      </c>
      <c r="J121" s="508" t="str">
        <f>VLOOKUP($A121,'Pre-Assessment Estimator'!$A$10:$AA$226,J$2,FALSE)</f>
        <v>N/A</v>
      </c>
      <c r="K121" s="509" t="str">
        <f>IF(VLOOKUP($A121,'Pre-Assessment Estimator'!$A$10:$AA$226,K$2,FALSE)=0,"",VLOOKUP($A121,'Pre-Assessment Estimator'!$A$10:$AA$226,K$2,FALSE))</f>
        <v/>
      </c>
      <c r="L121" s="509" t="str">
        <f>IF(VLOOKUP($A121,'Pre-Assessment Estimator'!$A$10:$AA$226,L$2,FALSE)=0,"",VLOOKUP($A121,'Pre-Assessment Estimator'!$A$10:$AA$226,L$2,FALSE))</f>
        <v/>
      </c>
      <c r="M121" s="510" t="str">
        <f>IF(VLOOKUP($A121,'Pre-Assessment Estimator'!$A$10:$AA$226,M$2,FALSE)=0,"",VLOOKUP($A121,'Pre-Assessment Estimator'!$A$10:$AA$226,M$2,FALSE))</f>
        <v/>
      </c>
      <c r="N121" s="511"/>
      <c r="O121" s="512" t="str">
        <f>IF(VLOOKUP($A121,'Pre-Assessment Estimator'!$A$10:$AA$226,O$2,FALSE)=0,"",VLOOKUP($A121,'Pre-Assessment Estimator'!$A$10:$AA$226,O$2,FALSE))</f>
        <v/>
      </c>
      <c r="P121" s="507">
        <f>VLOOKUP($A121,'Pre-Assessment Estimator'!$A$10:$AA$226,P$2,FALSE)</f>
        <v>0</v>
      </c>
      <c r="Q121" s="506" t="str">
        <f>VLOOKUP($A121,'Pre-Assessment Estimator'!$A$10:$AA$226,Q$2,FALSE)</f>
        <v>N/A</v>
      </c>
      <c r="R121" s="509" t="str">
        <f>IF(VLOOKUP($A121,'Pre-Assessment Estimator'!$A$10:$AA$226,R$2,FALSE)=0,"",VLOOKUP($A121,'Pre-Assessment Estimator'!$A$10:$AA$226,R$2,FALSE))</f>
        <v/>
      </c>
      <c r="S121" s="509" t="str">
        <f>IF(VLOOKUP($A121,'Pre-Assessment Estimator'!$A$10:$AA$226,S$2,FALSE)=0,"",VLOOKUP($A121,'Pre-Assessment Estimator'!$A$10:$AA$226,S$2,FALSE))</f>
        <v/>
      </c>
      <c r="T121" s="510" t="str">
        <f>IF(VLOOKUP($A121,'Pre-Assessment Estimator'!$A$10:$AA$226,T$2,FALSE)=0,"",VLOOKUP($A121,'Pre-Assessment Estimator'!$A$10:$AA$226,T$2,FALSE))</f>
        <v/>
      </c>
      <c r="U121" s="513"/>
      <c r="V121" s="512" t="str">
        <f>IF(VLOOKUP($A121,'Pre-Assessment Estimator'!$A$10:$AA$226,V$2,FALSE)=0,"",VLOOKUP($A121,'Pre-Assessment Estimator'!$A$10:$AA$226,V$2,FALSE))</f>
        <v/>
      </c>
      <c r="W121" s="507">
        <f>VLOOKUP($A121,'Pre-Assessment Estimator'!$A$10:$AA$226,W$2,FALSE)</f>
        <v>0</v>
      </c>
      <c r="X121" s="506" t="str">
        <f>VLOOKUP($A121,'Pre-Assessment Estimator'!$A$10:$AA$226,X$2,FALSE)</f>
        <v>N/A</v>
      </c>
      <c r="Y121" s="509" t="str">
        <f>IF(VLOOKUP($A121,'Pre-Assessment Estimator'!$A$10:$AA$226,Y$2,FALSE)=0,"",VLOOKUP($A121,'Pre-Assessment Estimator'!$A$10:$AA$226,Y$2,FALSE))</f>
        <v/>
      </c>
      <c r="Z121" s="509" t="str">
        <f>IF(VLOOKUP($A121,'Pre-Assessment Estimator'!$A$10:$AA$226,Z$2,FALSE)=0,"",VLOOKUP($A121,'Pre-Assessment Estimator'!$A$10:$AA$226,Z$2,FALSE))</f>
        <v/>
      </c>
      <c r="AA121" s="322" t="str">
        <f>IF(VLOOKUP($A121,'Pre-Assessment Estimator'!$A$10:$AA$226,AA$2,FALSE)=0,"",VLOOKUP($A121,'Pre-Assessment Estimator'!$A$10:$AA$226,AA$2,FALSE))</f>
        <v/>
      </c>
      <c r="AB121" s="605">
        <v>111</v>
      </c>
      <c r="AC121" s="509"/>
      <c r="AG121" s="15">
        <f t="shared" si="2"/>
        <v>1</v>
      </c>
    </row>
    <row r="122" spans="1:33" ht="30" x14ac:dyDescent="0.25">
      <c r="A122" s="716">
        <v>113</v>
      </c>
      <c r="B122" s="1022" t="s">
        <v>67</v>
      </c>
      <c r="C122" s="1022"/>
      <c r="D122" s="1043" t="str">
        <f>VLOOKUP($A122,'Pre-Assessment Estimator'!$A$10:$AA$226,D$2,FALSE)</f>
        <v>Mat 02</v>
      </c>
      <c r="E122" s="1044"/>
      <c r="F122" s="1043" t="str">
        <f>VLOOKUP($A122,'Pre-Assessment Estimator'!$A$10:$AA$226,F$2,FALSE)</f>
        <v>Mat 02 Environmental impacts from construction products - product requirements</v>
      </c>
      <c r="G122" s="506">
        <f>VLOOKUP($A122,'Pre-Assessment Estimator'!$A$10:$AA$226,G$2,FALSE)</f>
        <v>3</v>
      </c>
      <c r="H122" s="512" t="str">
        <f>IF(VLOOKUP($A122,'Pre-Assessment Estimator'!$A$10:$AA$226,H$2,FALSE)=0,"",VLOOKUP($A122,'Pre-Assessment Estimator'!$A$10:$AA$226,H$2,FALSE))</f>
        <v/>
      </c>
      <c r="I122" s="1012" t="str">
        <f>VLOOKUP($A122,'Pre-Assessment Estimator'!$A$10:$AA$226,I$2,FALSE)</f>
        <v>0 c. 0 %</v>
      </c>
      <c r="J122" s="508" t="str">
        <f>VLOOKUP($A122,'Pre-Assessment Estimator'!$A$10:$AA$226,J$2,FALSE)</f>
        <v>N/A</v>
      </c>
      <c r="K122" s="509" t="str">
        <f>IF(VLOOKUP($A122,'Pre-Assessment Estimator'!$A$10:$AA$226,K$2,FALSE)=0,"",VLOOKUP($A122,'Pre-Assessment Estimator'!$A$10:$AA$226,K$2,FALSE))</f>
        <v/>
      </c>
      <c r="L122" s="509" t="str">
        <f>IF(VLOOKUP($A122,'Pre-Assessment Estimator'!$A$10:$AA$226,L$2,FALSE)=0,"",VLOOKUP($A122,'Pre-Assessment Estimator'!$A$10:$AA$226,L$2,FALSE))</f>
        <v/>
      </c>
      <c r="M122" s="510" t="str">
        <f>IF(VLOOKUP($A122,'Pre-Assessment Estimator'!$A$10:$AA$226,M$2,FALSE)=0,"",VLOOKUP($A122,'Pre-Assessment Estimator'!$A$10:$AA$226,M$2,FALSE))</f>
        <v/>
      </c>
      <c r="N122" s="511"/>
      <c r="O122" s="512" t="str">
        <f>IF(VLOOKUP($A122,'Pre-Assessment Estimator'!$A$10:$AA$226,O$2,FALSE)=0,"",VLOOKUP($A122,'Pre-Assessment Estimator'!$A$10:$AA$226,O$2,FALSE))</f>
        <v/>
      </c>
      <c r="P122" s="507" t="str">
        <f>VLOOKUP($A122,'Pre-Assessment Estimator'!$A$10:$AA$226,P$2,FALSE)</f>
        <v>0 c. 0 %</v>
      </c>
      <c r="Q122" s="506" t="str">
        <f>VLOOKUP($A122,'Pre-Assessment Estimator'!$A$10:$AA$226,Q$2,FALSE)</f>
        <v>N/A</v>
      </c>
      <c r="R122" s="509" t="str">
        <f>IF(VLOOKUP($A122,'Pre-Assessment Estimator'!$A$10:$AA$226,R$2,FALSE)=0,"",VLOOKUP($A122,'Pre-Assessment Estimator'!$A$10:$AA$226,R$2,FALSE))</f>
        <v/>
      </c>
      <c r="S122" s="509" t="str">
        <f>IF(VLOOKUP($A122,'Pre-Assessment Estimator'!$A$10:$AA$226,S$2,FALSE)=0,"",VLOOKUP($A122,'Pre-Assessment Estimator'!$A$10:$AA$226,S$2,FALSE))</f>
        <v/>
      </c>
      <c r="T122" s="510" t="str">
        <f>IF(VLOOKUP($A122,'Pre-Assessment Estimator'!$A$10:$AA$226,T$2,FALSE)=0,"",VLOOKUP($A122,'Pre-Assessment Estimator'!$A$10:$AA$226,T$2,FALSE))</f>
        <v/>
      </c>
      <c r="U122" s="513"/>
      <c r="V122" s="512" t="str">
        <f>IF(VLOOKUP($A122,'Pre-Assessment Estimator'!$A$10:$AA$226,V$2,FALSE)=0,"",VLOOKUP($A122,'Pre-Assessment Estimator'!$A$10:$AA$226,V$2,FALSE))</f>
        <v/>
      </c>
      <c r="W122" s="507" t="str">
        <f>VLOOKUP($A122,'Pre-Assessment Estimator'!$A$10:$AA$226,W$2,FALSE)</f>
        <v>0 c. 0 %</v>
      </c>
      <c r="X122" s="506" t="str">
        <f>VLOOKUP($A122,'Pre-Assessment Estimator'!$A$10:$AA$226,X$2,FALSE)</f>
        <v>N/A</v>
      </c>
      <c r="Y122" s="509" t="str">
        <f>IF(VLOOKUP($A122,'Pre-Assessment Estimator'!$A$10:$AA$226,Y$2,FALSE)=0,"",VLOOKUP($A122,'Pre-Assessment Estimator'!$A$10:$AA$226,Y$2,FALSE))</f>
        <v/>
      </c>
      <c r="Z122" s="509" t="str">
        <f>IF(VLOOKUP($A122,'Pre-Assessment Estimator'!$A$10:$AA$226,Z$2,FALSE)=0,"",VLOOKUP($A122,'Pre-Assessment Estimator'!$A$10:$AA$226,Z$2,FALSE))</f>
        <v/>
      </c>
      <c r="AA122" s="322" t="str">
        <f>IF(VLOOKUP($A122,'Pre-Assessment Estimator'!$A$10:$AA$226,AA$2,FALSE)=0,"",VLOOKUP($A122,'Pre-Assessment Estimator'!$A$10:$AA$226,AA$2,FALSE))</f>
        <v/>
      </c>
      <c r="AB122" s="605">
        <v>112</v>
      </c>
      <c r="AC122" s="509"/>
      <c r="AG122" s="15">
        <f t="shared" si="2"/>
        <v>1</v>
      </c>
    </row>
    <row r="123" spans="1:33" ht="30" x14ac:dyDescent="0.25">
      <c r="A123" s="716">
        <v>114</v>
      </c>
      <c r="B123" s="1022" t="s">
        <v>67</v>
      </c>
      <c r="C123" s="1022"/>
      <c r="D123" s="1044" t="str">
        <f>VLOOKUP($A123,'Pre-Assessment Estimator'!$A$10:$AA$226,D$2,FALSE)</f>
        <v>Mat 02</v>
      </c>
      <c r="E123" s="1044">
        <f>VLOOKUP($A123,'Pre-Assessment Estimator'!$A$10:$AA$226,E$2,FALSE)</f>
        <v>1</v>
      </c>
      <c r="F123" s="1045" t="str">
        <f>VLOOKUP($A123,'Pre-Assessment Estimator'!$A$10:$AA$226,F$2,FALSE)</f>
        <v>Minimum req: absence of environmental toxins (EU taxonomy requirement: criterion 1)</v>
      </c>
      <c r="G123" s="506" t="str">
        <f>VLOOKUP($A123,'Pre-Assessment Estimator'!$A$10:$AA$226,G$2,FALSE)</f>
        <v>Yes/No</v>
      </c>
      <c r="H123" s="512" t="str">
        <f>IF(VLOOKUP($A123,'Pre-Assessment Estimator'!$A$10:$AA$226,H$2,FALSE)=0,"",VLOOKUP($A123,'Pre-Assessment Estimator'!$A$10:$AA$226,H$2,FALSE))</f>
        <v/>
      </c>
      <c r="I123" s="1012" t="str">
        <f>VLOOKUP($A123,'Pre-Assessment Estimator'!$A$10:$AA$226,I$2,FALSE)</f>
        <v>-</v>
      </c>
      <c r="J123" s="508" t="str">
        <f>VLOOKUP($A123,'Pre-Assessment Estimator'!$A$10:$AA$226,J$2,FALSE)</f>
        <v>Unclassified</v>
      </c>
      <c r="K123" s="509" t="str">
        <f>IF(VLOOKUP($A123,'Pre-Assessment Estimator'!$A$10:$AA$226,K$2,FALSE)=0,"",VLOOKUP($A123,'Pre-Assessment Estimator'!$A$10:$AA$226,K$2,FALSE))</f>
        <v/>
      </c>
      <c r="L123" s="509" t="str">
        <f>IF(VLOOKUP($A123,'Pre-Assessment Estimator'!$A$10:$AA$226,L$2,FALSE)=0,"",VLOOKUP($A123,'Pre-Assessment Estimator'!$A$10:$AA$226,L$2,FALSE))</f>
        <v/>
      </c>
      <c r="M123" s="510" t="str">
        <f>IF(VLOOKUP($A123,'Pre-Assessment Estimator'!$A$10:$AA$226,M$2,FALSE)=0,"",VLOOKUP($A123,'Pre-Assessment Estimator'!$A$10:$AA$226,M$2,FALSE))</f>
        <v/>
      </c>
      <c r="N123" s="511"/>
      <c r="O123" s="512" t="str">
        <f>IF(VLOOKUP($A123,'Pre-Assessment Estimator'!$A$10:$AA$226,O$2,FALSE)=0,"",VLOOKUP($A123,'Pre-Assessment Estimator'!$A$10:$AA$226,O$2,FALSE))</f>
        <v/>
      </c>
      <c r="P123" s="507" t="str">
        <f>VLOOKUP($A123,'Pre-Assessment Estimator'!$A$10:$AA$226,P$2,FALSE)</f>
        <v>-</v>
      </c>
      <c r="Q123" s="506" t="str">
        <f>VLOOKUP($A123,'Pre-Assessment Estimator'!$A$10:$AA$226,Q$2,FALSE)</f>
        <v>Unclassified</v>
      </c>
      <c r="R123" s="509" t="str">
        <f>IF(VLOOKUP($A123,'Pre-Assessment Estimator'!$A$10:$AA$226,R$2,FALSE)=0,"",VLOOKUP($A123,'Pre-Assessment Estimator'!$A$10:$AA$226,R$2,FALSE))</f>
        <v/>
      </c>
      <c r="S123" s="509" t="str">
        <f>IF(VLOOKUP($A123,'Pre-Assessment Estimator'!$A$10:$AA$226,S$2,FALSE)=0,"",VLOOKUP($A123,'Pre-Assessment Estimator'!$A$10:$AA$226,S$2,FALSE))</f>
        <v/>
      </c>
      <c r="T123" s="510" t="str">
        <f>IF(VLOOKUP($A123,'Pre-Assessment Estimator'!$A$10:$AA$226,T$2,FALSE)=0,"",VLOOKUP($A123,'Pre-Assessment Estimator'!$A$10:$AA$226,T$2,FALSE))</f>
        <v/>
      </c>
      <c r="U123" s="513"/>
      <c r="V123" s="512" t="str">
        <f>IF(VLOOKUP($A123,'Pre-Assessment Estimator'!$A$10:$AA$226,V$2,FALSE)=0,"",VLOOKUP($A123,'Pre-Assessment Estimator'!$A$10:$AA$226,V$2,FALSE))</f>
        <v/>
      </c>
      <c r="W123" s="507" t="str">
        <f>VLOOKUP($A123,'Pre-Assessment Estimator'!$A$10:$AA$226,W$2,FALSE)</f>
        <v>-</v>
      </c>
      <c r="X123" s="506" t="str">
        <f>VLOOKUP($A123,'Pre-Assessment Estimator'!$A$10:$AA$226,X$2,FALSE)</f>
        <v>Unclassified</v>
      </c>
      <c r="Y123" s="509" t="str">
        <f>IF(VLOOKUP($A123,'Pre-Assessment Estimator'!$A$10:$AA$226,Y$2,FALSE)=0,"",VLOOKUP($A123,'Pre-Assessment Estimator'!$A$10:$AA$226,Y$2,FALSE))</f>
        <v/>
      </c>
      <c r="Z123" s="509" t="str">
        <f>IF(VLOOKUP($A123,'Pre-Assessment Estimator'!$A$10:$AA$226,Z$2,FALSE)=0,"",VLOOKUP($A123,'Pre-Assessment Estimator'!$A$10:$AA$226,Z$2,FALSE))</f>
        <v/>
      </c>
      <c r="AA123" s="322" t="str">
        <f>IF(VLOOKUP($A123,'Pre-Assessment Estimator'!$A$10:$AA$226,AA$2,FALSE)=0,"",VLOOKUP($A123,'Pre-Assessment Estimator'!$A$10:$AA$226,AA$2,FALSE))</f>
        <v/>
      </c>
      <c r="AB123" s="605">
        <v>113</v>
      </c>
      <c r="AC123" s="509"/>
      <c r="AG123" s="15">
        <f t="shared" si="2"/>
        <v>1</v>
      </c>
    </row>
    <row r="124" spans="1:33" x14ac:dyDescent="0.25">
      <c r="A124" s="716">
        <v>115</v>
      </c>
      <c r="B124" s="1022" t="s">
        <v>67</v>
      </c>
      <c r="C124" s="1022"/>
      <c r="D124" s="1044" t="str">
        <f>VLOOKUP($A124,'Pre-Assessment Estimator'!$A$10:$AA$226,D$2,FALSE)</f>
        <v>Mat 02</v>
      </c>
      <c r="E124" s="1044">
        <f>VLOOKUP($A124,'Pre-Assessment Estimator'!$A$10:$AA$226,E$2,FALSE)</f>
        <v>2</v>
      </c>
      <c r="F124" s="1045" t="str">
        <f>VLOOKUP($A124,'Pre-Assessment Estimator'!$A$10:$AA$226,F$2,FALSE)</f>
        <v xml:space="preserve">EPD for construction products </v>
      </c>
      <c r="G124" s="506">
        <f>VLOOKUP($A124,'Pre-Assessment Estimator'!$A$10:$AA$226,G$2,FALSE)</f>
        <v>1</v>
      </c>
      <c r="H124" s="512" t="str">
        <f>IF(VLOOKUP($A124,'Pre-Assessment Estimator'!$A$10:$AA$226,H$2,FALSE)=0,"",VLOOKUP($A124,'Pre-Assessment Estimator'!$A$10:$AA$226,H$2,FALSE))</f>
        <v/>
      </c>
      <c r="I124" s="1012">
        <f>VLOOKUP($A124,'Pre-Assessment Estimator'!$A$10:$AA$226,I$2,FALSE)</f>
        <v>0</v>
      </c>
      <c r="J124" s="508" t="str">
        <f>VLOOKUP($A124,'Pre-Assessment Estimator'!$A$10:$AA$226,J$2,FALSE)</f>
        <v>N/A</v>
      </c>
      <c r="K124" s="509" t="str">
        <f>IF(VLOOKUP($A124,'Pre-Assessment Estimator'!$A$10:$AA$226,K$2,FALSE)=0,"",VLOOKUP($A124,'Pre-Assessment Estimator'!$A$10:$AA$226,K$2,FALSE))</f>
        <v/>
      </c>
      <c r="L124" s="509" t="str">
        <f>IF(VLOOKUP($A124,'Pre-Assessment Estimator'!$A$10:$AA$226,L$2,FALSE)=0,"",VLOOKUP($A124,'Pre-Assessment Estimator'!$A$10:$AA$226,L$2,FALSE))</f>
        <v/>
      </c>
      <c r="M124" s="510" t="str">
        <f>IF(VLOOKUP($A124,'Pre-Assessment Estimator'!$A$10:$AA$226,M$2,FALSE)=0,"",VLOOKUP($A124,'Pre-Assessment Estimator'!$A$10:$AA$226,M$2,FALSE))</f>
        <v/>
      </c>
      <c r="N124" s="511"/>
      <c r="O124" s="512" t="str">
        <f>IF(VLOOKUP($A124,'Pre-Assessment Estimator'!$A$10:$AA$226,O$2,FALSE)=0,"",VLOOKUP($A124,'Pre-Assessment Estimator'!$A$10:$AA$226,O$2,FALSE))</f>
        <v/>
      </c>
      <c r="P124" s="507">
        <f>VLOOKUP($A124,'Pre-Assessment Estimator'!$A$10:$AA$226,P$2,FALSE)</f>
        <v>0</v>
      </c>
      <c r="Q124" s="506" t="str">
        <f>VLOOKUP($A124,'Pre-Assessment Estimator'!$A$10:$AA$226,Q$2,FALSE)</f>
        <v>N/A</v>
      </c>
      <c r="R124" s="509" t="str">
        <f>IF(VLOOKUP($A124,'Pre-Assessment Estimator'!$A$10:$AA$226,R$2,FALSE)=0,"",VLOOKUP($A124,'Pre-Assessment Estimator'!$A$10:$AA$226,R$2,FALSE))</f>
        <v/>
      </c>
      <c r="S124" s="509" t="str">
        <f>IF(VLOOKUP($A124,'Pre-Assessment Estimator'!$A$10:$AA$226,S$2,FALSE)=0,"",VLOOKUP($A124,'Pre-Assessment Estimator'!$A$10:$AA$226,S$2,FALSE))</f>
        <v/>
      </c>
      <c r="T124" s="510" t="str">
        <f>IF(VLOOKUP($A124,'Pre-Assessment Estimator'!$A$10:$AA$226,T$2,FALSE)=0,"",VLOOKUP($A124,'Pre-Assessment Estimator'!$A$10:$AA$226,T$2,FALSE))</f>
        <v/>
      </c>
      <c r="U124" s="513"/>
      <c r="V124" s="512" t="str">
        <f>IF(VLOOKUP($A124,'Pre-Assessment Estimator'!$A$10:$AA$226,V$2,FALSE)=0,"",VLOOKUP($A124,'Pre-Assessment Estimator'!$A$10:$AA$226,V$2,FALSE))</f>
        <v/>
      </c>
      <c r="W124" s="507">
        <f>VLOOKUP($A124,'Pre-Assessment Estimator'!$A$10:$AA$226,W$2,FALSE)</f>
        <v>0</v>
      </c>
      <c r="X124" s="506" t="str">
        <f>VLOOKUP($A124,'Pre-Assessment Estimator'!$A$10:$AA$226,X$2,FALSE)</f>
        <v>N/A</v>
      </c>
      <c r="Y124" s="509" t="str">
        <f>IF(VLOOKUP($A124,'Pre-Assessment Estimator'!$A$10:$AA$226,Y$2,FALSE)=0,"",VLOOKUP($A124,'Pre-Assessment Estimator'!$A$10:$AA$226,Y$2,FALSE))</f>
        <v/>
      </c>
      <c r="Z124" s="509" t="str">
        <f>IF(VLOOKUP($A124,'Pre-Assessment Estimator'!$A$10:$AA$226,Z$2,FALSE)=0,"",VLOOKUP($A124,'Pre-Assessment Estimator'!$A$10:$AA$226,Z$2,FALSE))</f>
        <v/>
      </c>
      <c r="AA124" s="322" t="str">
        <f>IF(VLOOKUP($A124,'Pre-Assessment Estimator'!$A$10:$AA$226,AA$2,FALSE)=0,"",VLOOKUP($A124,'Pre-Assessment Estimator'!$A$10:$AA$226,AA$2,FALSE))</f>
        <v/>
      </c>
      <c r="AB124" s="605">
        <v>114</v>
      </c>
      <c r="AC124" s="509"/>
      <c r="AG124" s="15">
        <f t="shared" si="2"/>
        <v>1</v>
      </c>
    </row>
    <row r="125" spans="1:33" x14ac:dyDescent="0.25">
      <c r="A125" s="716">
        <v>116</v>
      </c>
      <c r="B125" s="1022" t="s">
        <v>67</v>
      </c>
      <c r="C125" s="1022"/>
      <c r="D125" s="1044" t="str">
        <f>VLOOKUP($A125,'Pre-Assessment Estimator'!$A$10:$AA$226,D$2,FALSE)</f>
        <v>Mat 02</v>
      </c>
      <c r="E125" s="1044" t="str">
        <f>VLOOKUP($A125,'Pre-Assessment Estimator'!$A$10:$AA$226,E$2,FALSE)</f>
        <v>3 or 4</v>
      </c>
      <c r="F125" s="1045" t="str">
        <f>VLOOKUP($A125,'Pre-Assessment Estimator'!$A$10:$AA$226,F$2,FALSE)</f>
        <v xml:space="preserve">Performance requirements for construction products </v>
      </c>
      <c r="G125" s="506">
        <f>VLOOKUP($A125,'Pre-Assessment Estimator'!$A$10:$AA$226,G$2,FALSE)</f>
        <v>2</v>
      </c>
      <c r="H125" s="512" t="str">
        <f>IF(VLOOKUP($A125,'Pre-Assessment Estimator'!$A$10:$AA$226,H$2,FALSE)=0,"",VLOOKUP($A125,'Pre-Assessment Estimator'!$A$10:$AA$226,H$2,FALSE))</f>
        <v/>
      </c>
      <c r="I125" s="1012">
        <f>VLOOKUP($A125,'Pre-Assessment Estimator'!$A$10:$AA$226,I$2,FALSE)</f>
        <v>0</v>
      </c>
      <c r="J125" s="508" t="str">
        <f>VLOOKUP($A125,'Pre-Assessment Estimator'!$A$10:$AA$226,J$2,FALSE)</f>
        <v>N/A</v>
      </c>
      <c r="K125" s="509" t="str">
        <f>IF(VLOOKUP($A125,'Pre-Assessment Estimator'!$A$10:$AA$226,K$2,FALSE)=0,"",VLOOKUP($A125,'Pre-Assessment Estimator'!$A$10:$AA$226,K$2,FALSE))</f>
        <v/>
      </c>
      <c r="L125" s="509" t="str">
        <f>IF(VLOOKUP($A125,'Pre-Assessment Estimator'!$A$10:$AA$226,L$2,FALSE)=0,"",VLOOKUP($A125,'Pre-Assessment Estimator'!$A$10:$AA$226,L$2,FALSE))</f>
        <v/>
      </c>
      <c r="M125" s="510" t="str">
        <f>IF(VLOOKUP($A125,'Pre-Assessment Estimator'!$A$10:$AA$226,M$2,FALSE)=0,"",VLOOKUP($A125,'Pre-Assessment Estimator'!$A$10:$AA$226,M$2,FALSE))</f>
        <v/>
      </c>
      <c r="N125" s="511"/>
      <c r="O125" s="512" t="str">
        <f>IF(VLOOKUP($A125,'Pre-Assessment Estimator'!$A$10:$AA$226,O$2,FALSE)=0,"",VLOOKUP($A125,'Pre-Assessment Estimator'!$A$10:$AA$226,O$2,FALSE))</f>
        <v/>
      </c>
      <c r="P125" s="507">
        <f>VLOOKUP($A125,'Pre-Assessment Estimator'!$A$10:$AA$226,P$2,FALSE)</f>
        <v>0</v>
      </c>
      <c r="Q125" s="506" t="str">
        <f>VLOOKUP($A125,'Pre-Assessment Estimator'!$A$10:$AA$226,Q$2,FALSE)</f>
        <v>N/A</v>
      </c>
      <c r="R125" s="509" t="str">
        <f>IF(VLOOKUP($A125,'Pre-Assessment Estimator'!$A$10:$AA$226,R$2,FALSE)=0,"",VLOOKUP($A125,'Pre-Assessment Estimator'!$A$10:$AA$226,R$2,FALSE))</f>
        <v/>
      </c>
      <c r="S125" s="509" t="str">
        <f>IF(VLOOKUP($A125,'Pre-Assessment Estimator'!$A$10:$AA$226,S$2,FALSE)=0,"",VLOOKUP($A125,'Pre-Assessment Estimator'!$A$10:$AA$226,S$2,FALSE))</f>
        <v/>
      </c>
      <c r="T125" s="510" t="str">
        <f>IF(VLOOKUP($A125,'Pre-Assessment Estimator'!$A$10:$AA$226,T$2,FALSE)=0,"",VLOOKUP($A125,'Pre-Assessment Estimator'!$A$10:$AA$226,T$2,FALSE))</f>
        <v/>
      </c>
      <c r="U125" s="513"/>
      <c r="V125" s="512" t="str">
        <f>IF(VLOOKUP($A125,'Pre-Assessment Estimator'!$A$10:$AA$226,V$2,FALSE)=0,"",VLOOKUP($A125,'Pre-Assessment Estimator'!$A$10:$AA$226,V$2,FALSE))</f>
        <v/>
      </c>
      <c r="W125" s="507">
        <f>VLOOKUP($A125,'Pre-Assessment Estimator'!$A$10:$AA$226,W$2,FALSE)</f>
        <v>0</v>
      </c>
      <c r="X125" s="506" t="str">
        <f>VLOOKUP($A125,'Pre-Assessment Estimator'!$A$10:$AA$226,X$2,FALSE)</f>
        <v>N/A</v>
      </c>
      <c r="Y125" s="509" t="str">
        <f>IF(VLOOKUP($A125,'Pre-Assessment Estimator'!$A$10:$AA$226,Y$2,FALSE)=0,"",VLOOKUP($A125,'Pre-Assessment Estimator'!$A$10:$AA$226,Y$2,FALSE))</f>
        <v/>
      </c>
      <c r="Z125" s="509" t="str">
        <f>IF(VLOOKUP($A125,'Pre-Assessment Estimator'!$A$10:$AA$226,Z$2,FALSE)=0,"",VLOOKUP($A125,'Pre-Assessment Estimator'!$A$10:$AA$226,Z$2,FALSE))</f>
        <v/>
      </c>
      <c r="AA125" s="322" t="str">
        <f>IF(VLOOKUP($A125,'Pre-Assessment Estimator'!$A$10:$AA$226,AA$2,FALSE)=0,"",VLOOKUP($A125,'Pre-Assessment Estimator'!$A$10:$AA$226,AA$2,FALSE))</f>
        <v/>
      </c>
      <c r="AB125" s="605">
        <v>115</v>
      </c>
      <c r="AC125" s="509"/>
      <c r="AG125" s="15">
        <f t="shared" si="2"/>
        <v>1</v>
      </c>
    </row>
    <row r="126" spans="1:33" x14ac:dyDescent="0.25">
      <c r="A126" s="716">
        <v>117</v>
      </c>
      <c r="B126" s="1022" t="s">
        <v>67</v>
      </c>
      <c r="C126" s="1022"/>
      <c r="D126" s="1043" t="str">
        <f>VLOOKUP($A126,'Pre-Assessment Estimator'!$A$10:$AA$226,D$2,FALSE)</f>
        <v>Mat 03</v>
      </c>
      <c r="E126" s="1044"/>
      <c r="F126" s="1043" t="str">
        <f>VLOOKUP($A126,'Pre-Assessment Estimator'!$A$10:$AA$226,F$2,FALSE)</f>
        <v>Mat 03 Responsible sourcing of construction products</v>
      </c>
      <c r="G126" s="506">
        <f>VLOOKUP($A126,'Pre-Assessment Estimator'!$A$10:$AA$226,G$2,FALSE)</f>
        <v>3</v>
      </c>
      <c r="H126" s="512" t="str">
        <f>IF(VLOOKUP($A126,'Pre-Assessment Estimator'!$A$10:$AA$226,H$2,FALSE)=0,"",VLOOKUP($A126,'Pre-Assessment Estimator'!$A$10:$AA$226,H$2,FALSE))</f>
        <v/>
      </c>
      <c r="I126" s="1012" t="str">
        <f>VLOOKUP($A126,'Pre-Assessment Estimator'!$A$10:$AA$226,I$2,FALSE)</f>
        <v>0 c. 0 %</v>
      </c>
      <c r="J126" s="508" t="str">
        <f>VLOOKUP($A126,'Pre-Assessment Estimator'!$A$10:$AA$226,J$2,FALSE)</f>
        <v>N/A</v>
      </c>
      <c r="K126" s="509" t="str">
        <f>IF(VLOOKUP($A126,'Pre-Assessment Estimator'!$A$10:$AA$226,K$2,FALSE)=0,"",VLOOKUP($A126,'Pre-Assessment Estimator'!$A$10:$AA$226,K$2,FALSE))</f>
        <v/>
      </c>
      <c r="L126" s="509" t="str">
        <f>IF(VLOOKUP($A126,'Pre-Assessment Estimator'!$A$10:$AA$226,L$2,FALSE)=0,"",VLOOKUP($A126,'Pre-Assessment Estimator'!$A$10:$AA$226,L$2,FALSE))</f>
        <v/>
      </c>
      <c r="M126" s="510" t="str">
        <f>IF(VLOOKUP($A126,'Pre-Assessment Estimator'!$A$10:$AA$226,M$2,FALSE)=0,"",VLOOKUP($A126,'Pre-Assessment Estimator'!$A$10:$AA$226,M$2,FALSE))</f>
        <v/>
      </c>
      <c r="N126" s="511"/>
      <c r="O126" s="512" t="str">
        <f>IF(VLOOKUP($A126,'Pre-Assessment Estimator'!$A$10:$AA$226,O$2,FALSE)=0,"",VLOOKUP($A126,'Pre-Assessment Estimator'!$A$10:$AA$226,O$2,FALSE))</f>
        <v/>
      </c>
      <c r="P126" s="507" t="str">
        <f>VLOOKUP($A126,'Pre-Assessment Estimator'!$A$10:$AA$226,P$2,FALSE)</f>
        <v>0 c. 0 %</v>
      </c>
      <c r="Q126" s="506" t="str">
        <f>VLOOKUP($A126,'Pre-Assessment Estimator'!$A$10:$AA$226,Q$2,FALSE)</f>
        <v>N/A</v>
      </c>
      <c r="R126" s="509" t="str">
        <f>IF(VLOOKUP($A126,'Pre-Assessment Estimator'!$A$10:$AA$226,R$2,FALSE)=0,"",VLOOKUP($A126,'Pre-Assessment Estimator'!$A$10:$AA$226,R$2,FALSE))</f>
        <v/>
      </c>
      <c r="S126" s="509" t="str">
        <f>IF(VLOOKUP($A126,'Pre-Assessment Estimator'!$A$10:$AA$226,S$2,FALSE)=0,"",VLOOKUP($A126,'Pre-Assessment Estimator'!$A$10:$AA$226,S$2,FALSE))</f>
        <v/>
      </c>
      <c r="T126" s="510" t="str">
        <f>IF(VLOOKUP($A126,'Pre-Assessment Estimator'!$A$10:$AA$226,T$2,FALSE)=0,"",VLOOKUP($A126,'Pre-Assessment Estimator'!$A$10:$AA$226,T$2,FALSE))</f>
        <v/>
      </c>
      <c r="U126" s="513"/>
      <c r="V126" s="512" t="str">
        <f>IF(VLOOKUP($A126,'Pre-Assessment Estimator'!$A$10:$AA$226,V$2,FALSE)=0,"",VLOOKUP($A126,'Pre-Assessment Estimator'!$A$10:$AA$226,V$2,FALSE))</f>
        <v/>
      </c>
      <c r="W126" s="507" t="str">
        <f>VLOOKUP($A126,'Pre-Assessment Estimator'!$A$10:$AA$226,W$2,FALSE)</f>
        <v>0 c. 0 %</v>
      </c>
      <c r="X126" s="506" t="str">
        <f>VLOOKUP($A126,'Pre-Assessment Estimator'!$A$10:$AA$226,X$2,FALSE)</f>
        <v>N/A</v>
      </c>
      <c r="Y126" s="509" t="str">
        <f>IF(VLOOKUP($A126,'Pre-Assessment Estimator'!$A$10:$AA$226,Y$2,FALSE)=0,"",VLOOKUP($A126,'Pre-Assessment Estimator'!$A$10:$AA$226,Y$2,FALSE))</f>
        <v/>
      </c>
      <c r="Z126" s="509" t="str">
        <f>IF(VLOOKUP($A126,'Pre-Assessment Estimator'!$A$10:$AA$226,Z$2,FALSE)=0,"",VLOOKUP($A126,'Pre-Assessment Estimator'!$A$10:$AA$226,Z$2,FALSE))</f>
        <v/>
      </c>
      <c r="AA126" s="322" t="str">
        <f>IF(VLOOKUP($A126,'Pre-Assessment Estimator'!$A$10:$AA$226,AA$2,FALSE)=0,"",VLOOKUP($A126,'Pre-Assessment Estimator'!$A$10:$AA$226,AA$2,FALSE))</f>
        <v/>
      </c>
      <c r="AB126" s="605">
        <v>116</v>
      </c>
      <c r="AC126" s="509"/>
      <c r="AG126" s="15">
        <f t="shared" si="2"/>
        <v>1</v>
      </c>
    </row>
    <row r="127" spans="1:33" x14ac:dyDescent="0.25">
      <c r="A127" s="716">
        <v>118</v>
      </c>
      <c r="B127" s="1022" t="s">
        <v>67</v>
      </c>
      <c r="C127" s="1022"/>
      <c r="D127" s="1044" t="str">
        <f>VLOOKUP($A127,'Pre-Assessment Estimator'!$A$10:$AA$226,D$2,FALSE)</f>
        <v>Mat 03</v>
      </c>
      <c r="E127" s="1044">
        <f>VLOOKUP($A127,'Pre-Assessment Estimator'!$A$10:$AA$226,E$2,FALSE)</f>
        <v>1</v>
      </c>
      <c r="F127" s="1045" t="str">
        <f>VLOOKUP($A127,'Pre-Assessment Estimator'!$A$10:$AA$226,F$2,FALSE)</f>
        <v>Minimum req: legal and sustainable timber</v>
      </c>
      <c r="G127" s="506" t="str">
        <f>VLOOKUP($A127,'Pre-Assessment Estimator'!$A$10:$AA$226,G$2,FALSE)</f>
        <v>Yes/No</v>
      </c>
      <c r="H127" s="512" t="str">
        <f>IF(VLOOKUP($A127,'Pre-Assessment Estimator'!$A$10:$AA$226,H$2,FALSE)=0,"",VLOOKUP($A127,'Pre-Assessment Estimator'!$A$10:$AA$226,H$2,FALSE))</f>
        <v/>
      </c>
      <c r="I127" s="1012" t="str">
        <f>VLOOKUP($A127,'Pre-Assessment Estimator'!$A$10:$AA$226,I$2,FALSE)</f>
        <v>-</v>
      </c>
      <c r="J127" s="508" t="str">
        <f>VLOOKUP($A127,'Pre-Assessment Estimator'!$A$10:$AA$226,J$2,FALSE)</f>
        <v>Unclassified</v>
      </c>
      <c r="K127" s="509" t="str">
        <f>IF(VLOOKUP($A127,'Pre-Assessment Estimator'!$A$10:$AA$226,K$2,FALSE)=0,"",VLOOKUP($A127,'Pre-Assessment Estimator'!$A$10:$AA$226,K$2,FALSE))</f>
        <v/>
      </c>
      <c r="L127" s="509" t="str">
        <f>IF(VLOOKUP($A127,'Pre-Assessment Estimator'!$A$10:$AA$226,L$2,FALSE)=0,"",VLOOKUP($A127,'Pre-Assessment Estimator'!$A$10:$AA$226,L$2,FALSE))</f>
        <v/>
      </c>
      <c r="M127" s="510" t="str">
        <f>IF(VLOOKUP($A127,'Pre-Assessment Estimator'!$A$10:$AA$226,M$2,FALSE)=0,"",VLOOKUP($A127,'Pre-Assessment Estimator'!$A$10:$AA$226,M$2,FALSE))</f>
        <v/>
      </c>
      <c r="N127" s="511"/>
      <c r="O127" s="512" t="str">
        <f>IF(VLOOKUP($A127,'Pre-Assessment Estimator'!$A$10:$AA$226,O$2,FALSE)=0,"",VLOOKUP($A127,'Pre-Assessment Estimator'!$A$10:$AA$226,O$2,FALSE))</f>
        <v/>
      </c>
      <c r="P127" s="507" t="str">
        <f>VLOOKUP($A127,'Pre-Assessment Estimator'!$A$10:$AA$226,P$2,FALSE)</f>
        <v>-</v>
      </c>
      <c r="Q127" s="506" t="str">
        <f>VLOOKUP($A127,'Pre-Assessment Estimator'!$A$10:$AA$226,Q$2,FALSE)</f>
        <v>Unclassified</v>
      </c>
      <c r="R127" s="509" t="str">
        <f>IF(VLOOKUP($A127,'Pre-Assessment Estimator'!$A$10:$AA$226,R$2,FALSE)=0,"",VLOOKUP($A127,'Pre-Assessment Estimator'!$A$10:$AA$226,R$2,FALSE))</f>
        <v/>
      </c>
      <c r="S127" s="509" t="str">
        <f>IF(VLOOKUP($A127,'Pre-Assessment Estimator'!$A$10:$AA$226,S$2,FALSE)=0,"",VLOOKUP($A127,'Pre-Assessment Estimator'!$A$10:$AA$226,S$2,FALSE))</f>
        <v/>
      </c>
      <c r="T127" s="510" t="str">
        <f>IF(VLOOKUP($A127,'Pre-Assessment Estimator'!$A$10:$AA$226,T$2,FALSE)=0,"",VLOOKUP($A127,'Pre-Assessment Estimator'!$A$10:$AA$226,T$2,FALSE))</f>
        <v/>
      </c>
      <c r="U127" s="513"/>
      <c r="V127" s="512" t="str">
        <f>IF(VLOOKUP($A127,'Pre-Assessment Estimator'!$A$10:$AA$226,V$2,FALSE)=0,"",VLOOKUP($A127,'Pre-Assessment Estimator'!$A$10:$AA$226,V$2,FALSE))</f>
        <v/>
      </c>
      <c r="W127" s="507" t="str">
        <f>VLOOKUP($A127,'Pre-Assessment Estimator'!$A$10:$AA$226,W$2,FALSE)</f>
        <v>-</v>
      </c>
      <c r="X127" s="506" t="str">
        <f>VLOOKUP($A127,'Pre-Assessment Estimator'!$A$10:$AA$226,X$2,FALSE)</f>
        <v>Unclassified</v>
      </c>
      <c r="Y127" s="509" t="str">
        <f>IF(VLOOKUP($A127,'Pre-Assessment Estimator'!$A$10:$AA$226,Y$2,FALSE)=0,"",VLOOKUP($A127,'Pre-Assessment Estimator'!$A$10:$AA$226,Y$2,FALSE))</f>
        <v/>
      </c>
      <c r="Z127" s="509" t="str">
        <f>IF(VLOOKUP($A127,'Pre-Assessment Estimator'!$A$10:$AA$226,Z$2,FALSE)=0,"",VLOOKUP($A127,'Pre-Assessment Estimator'!$A$10:$AA$226,Z$2,FALSE))</f>
        <v/>
      </c>
      <c r="AA127" s="322" t="str">
        <f>IF(VLOOKUP($A127,'Pre-Assessment Estimator'!$A$10:$AA$226,AA$2,FALSE)=0,"",VLOOKUP($A127,'Pre-Assessment Estimator'!$A$10:$AA$226,AA$2,FALSE))</f>
        <v/>
      </c>
      <c r="AB127" s="605">
        <v>117</v>
      </c>
      <c r="AC127" s="509"/>
      <c r="AG127" s="15">
        <f t="shared" si="2"/>
        <v>1</v>
      </c>
    </row>
    <row r="128" spans="1:33" x14ac:dyDescent="0.25">
      <c r="A128" s="716">
        <v>119</v>
      </c>
      <c r="B128" s="1022" t="s">
        <v>67</v>
      </c>
      <c r="C128" s="1022"/>
      <c r="D128" s="1044" t="str">
        <f>VLOOKUP($A128,'Pre-Assessment Estimator'!$A$10:$AA$226,D$2,FALSE)</f>
        <v>Mat 03</v>
      </c>
      <c r="E128" s="1044">
        <f>VLOOKUP($A128,'Pre-Assessment Estimator'!$A$10:$AA$226,E$2,FALSE)</f>
        <v>2</v>
      </c>
      <c r="F128" s="1045" t="str">
        <f>VLOOKUP($A128,'Pre-Assessment Estimator'!$A$10:$AA$226,F$2,FALSE)</f>
        <v>Enabling sustainable procurement</v>
      </c>
      <c r="G128" s="506">
        <f>VLOOKUP($A128,'Pre-Assessment Estimator'!$A$10:$AA$226,G$2,FALSE)</f>
        <v>1</v>
      </c>
      <c r="H128" s="512" t="str">
        <f>IF(VLOOKUP($A128,'Pre-Assessment Estimator'!$A$10:$AA$226,H$2,FALSE)=0,"",VLOOKUP($A128,'Pre-Assessment Estimator'!$A$10:$AA$226,H$2,FALSE))</f>
        <v/>
      </c>
      <c r="I128" s="1012">
        <f>VLOOKUP($A128,'Pre-Assessment Estimator'!$A$10:$AA$226,I$2,FALSE)</f>
        <v>0</v>
      </c>
      <c r="J128" s="508" t="str">
        <f>VLOOKUP($A128,'Pre-Assessment Estimator'!$A$10:$AA$226,J$2,FALSE)</f>
        <v>N/A</v>
      </c>
      <c r="K128" s="509" t="str">
        <f>IF(VLOOKUP($A128,'Pre-Assessment Estimator'!$A$10:$AA$226,K$2,FALSE)=0,"",VLOOKUP($A128,'Pre-Assessment Estimator'!$A$10:$AA$226,K$2,FALSE))</f>
        <v/>
      </c>
      <c r="L128" s="509" t="str">
        <f>IF(VLOOKUP($A128,'Pre-Assessment Estimator'!$A$10:$AA$226,L$2,FALSE)=0,"",VLOOKUP($A128,'Pre-Assessment Estimator'!$A$10:$AA$226,L$2,FALSE))</f>
        <v/>
      </c>
      <c r="M128" s="510" t="str">
        <f>IF(VLOOKUP($A128,'Pre-Assessment Estimator'!$A$10:$AA$226,M$2,FALSE)=0,"",VLOOKUP($A128,'Pre-Assessment Estimator'!$A$10:$AA$226,M$2,FALSE))</f>
        <v/>
      </c>
      <c r="N128" s="511"/>
      <c r="O128" s="512" t="str">
        <f>IF(VLOOKUP($A128,'Pre-Assessment Estimator'!$A$10:$AA$226,O$2,FALSE)=0,"",VLOOKUP($A128,'Pre-Assessment Estimator'!$A$10:$AA$226,O$2,FALSE))</f>
        <v/>
      </c>
      <c r="P128" s="507">
        <f>VLOOKUP($A128,'Pre-Assessment Estimator'!$A$10:$AA$226,P$2,FALSE)</f>
        <v>0</v>
      </c>
      <c r="Q128" s="506" t="str">
        <f>VLOOKUP($A128,'Pre-Assessment Estimator'!$A$10:$AA$226,Q$2,FALSE)</f>
        <v>N/A</v>
      </c>
      <c r="R128" s="509" t="str">
        <f>IF(VLOOKUP($A128,'Pre-Assessment Estimator'!$A$10:$AA$226,R$2,FALSE)=0,"",VLOOKUP($A128,'Pre-Assessment Estimator'!$A$10:$AA$226,R$2,FALSE))</f>
        <v/>
      </c>
      <c r="S128" s="509" t="str">
        <f>IF(VLOOKUP($A128,'Pre-Assessment Estimator'!$A$10:$AA$226,S$2,FALSE)=0,"",VLOOKUP($A128,'Pre-Assessment Estimator'!$A$10:$AA$226,S$2,FALSE))</f>
        <v/>
      </c>
      <c r="T128" s="510" t="str">
        <f>IF(VLOOKUP($A128,'Pre-Assessment Estimator'!$A$10:$AA$226,T$2,FALSE)=0,"",VLOOKUP($A128,'Pre-Assessment Estimator'!$A$10:$AA$226,T$2,FALSE))</f>
        <v/>
      </c>
      <c r="U128" s="513"/>
      <c r="V128" s="512" t="str">
        <f>IF(VLOOKUP($A128,'Pre-Assessment Estimator'!$A$10:$AA$226,V$2,FALSE)=0,"",VLOOKUP($A128,'Pre-Assessment Estimator'!$A$10:$AA$226,V$2,FALSE))</f>
        <v/>
      </c>
      <c r="W128" s="507">
        <f>VLOOKUP($A128,'Pre-Assessment Estimator'!$A$10:$AA$226,W$2,FALSE)</f>
        <v>0</v>
      </c>
      <c r="X128" s="506" t="str">
        <f>VLOOKUP($A128,'Pre-Assessment Estimator'!$A$10:$AA$226,X$2,FALSE)</f>
        <v>N/A</v>
      </c>
      <c r="Y128" s="509" t="str">
        <f>IF(VLOOKUP($A128,'Pre-Assessment Estimator'!$A$10:$AA$226,Y$2,FALSE)=0,"",VLOOKUP($A128,'Pre-Assessment Estimator'!$A$10:$AA$226,Y$2,FALSE))</f>
        <v/>
      </c>
      <c r="Z128" s="509" t="str">
        <f>IF(VLOOKUP($A128,'Pre-Assessment Estimator'!$A$10:$AA$226,Z$2,FALSE)=0,"",VLOOKUP($A128,'Pre-Assessment Estimator'!$A$10:$AA$226,Z$2,FALSE))</f>
        <v/>
      </c>
      <c r="AA128" s="322" t="str">
        <f>IF(VLOOKUP($A128,'Pre-Assessment Estimator'!$A$10:$AA$226,AA$2,FALSE)=0,"",VLOOKUP($A128,'Pre-Assessment Estimator'!$A$10:$AA$226,AA$2,FALSE))</f>
        <v/>
      </c>
      <c r="AB128" s="605">
        <v>118</v>
      </c>
      <c r="AC128" s="509"/>
      <c r="AG128" s="15">
        <f t="shared" si="2"/>
        <v>1</v>
      </c>
    </row>
    <row r="129" spans="1:33" x14ac:dyDescent="0.25">
      <c r="A129" s="716">
        <v>120</v>
      </c>
      <c r="B129" s="1022" t="s">
        <v>67</v>
      </c>
      <c r="C129" s="1022"/>
      <c r="D129" s="1044" t="str">
        <f>VLOOKUP($A129,'Pre-Assessment Estimator'!$A$10:$AA$226,D$2,FALSE)</f>
        <v>Mat 03</v>
      </c>
      <c r="E129" s="1044">
        <f>VLOOKUP($A129,'Pre-Assessment Estimator'!$A$10:$AA$226,E$2,FALSE)</f>
        <v>3</v>
      </c>
      <c r="F129" s="1045" t="str">
        <f>VLOOKUP($A129,'Pre-Assessment Estimator'!$A$10:$AA$226,F$2,FALSE)</f>
        <v>Responsible sourcing of relevant materials</v>
      </c>
      <c r="G129" s="506">
        <f>VLOOKUP($A129,'Pre-Assessment Estimator'!$A$10:$AA$226,G$2,FALSE)</f>
        <v>2</v>
      </c>
      <c r="H129" s="512" t="str">
        <f>IF(VLOOKUP($A129,'Pre-Assessment Estimator'!$A$10:$AA$226,H$2,FALSE)=0,"",VLOOKUP($A129,'Pre-Assessment Estimator'!$A$10:$AA$226,H$2,FALSE))</f>
        <v/>
      </c>
      <c r="I129" s="1012">
        <f>VLOOKUP($A129,'Pre-Assessment Estimator'!$A$10:$AA$226,I$2,FALSE)</f>
        <v>0</v>
      </c>
      <c r="J129" s="508" t="str">
        <f>VLOOKUP($A129,'Pre-Assessment Estimator'!$A$10:$AA$226,J$2,FALSE)</f>
        <v>N/A</v>
      </c>
      <c r="K129" s="509" t="str">
        <f>IF(VLOOKUP($A129,'Pre-Assessment Estimator'!$A$10:$AA$226,K$2,FALSE)=0,"",VLOOKUP($A129,'Pre-Assessment Estimator'!$A$10:$AA$226,K$2,FALSE))</f>
        <v/>
      </c>
      <c r="L129" s="509" t="str">
        <f>IF(VLOOKUP($A129,'Pre-Assessment Estimator'!$A$10:$AA$226,L$2,FALSE)=0,"",VLOOKUP($A129,'Pre-Assessment Estimator'!$A$10:$AA$226,L$2,FALSE))</f>
        <v/>
      </c>
      <c r="M129" s="510" t="str">
        <f>IF(VLOOKUP($A129,'Pre-Assessment Estimator'!$A$10:$AA$226,M$2,FALSE)=0,"",VLOOKUP($A129,'Pre-Assessment Estimator'!$A$10:$AA$226,M$2,FALSE))</f>
        <v/>
      </c>
      <c r="N129" s="511"/>
      <c r="O129" s="512" t="str">
        <f>IF(VLOOKUP($A129,'Pre-Assessment Estimator'!$A$10:$AA$226,O$2,FALSE)=0,"",VLOOKUP($A129,'Pre-Assessment Estimator'!$A$10:$AA$226,O$2,FALSE))</f>
        <v/>
      </c>
      <c r="P129" s="507">
        <f>VLOOKUP($A129,'Pre-Assessment Estimator'!$A$10:$AA$226,P$2,FALSE)</f>
        <v>0</v>
      </c>
      <c r="Q129" s="506" t="str">
        <f>VLOOKUP($A129,'Pre-Assessment Estimator'!$A$10:$AA$226,Q$2,FALSE)</f>
        <v>N/A</v>
      </c>
      <c r="R129" s="509" t="str">
        <f>IF(VLOOKUP($A129,'Pre-Assessment Estimator'!$A$10:$AA$226,R$2,FALSE)=0,"",VLOOKUP($A129,'Pre-Assessment Estimator'!$A$10:$AA$226,R$2,FALSE))</f>
        <v/>
      </c>
      <c r="S129" s="509" t="str">
        <f>IF(VLOOKUP($A129,'Pre-Assessment Estimator'!$A$10:$AA$226,S$2,FALSE)=0,"",VLOOKUP($A129,'Pre-Assessment Estimator'!$A$10:$AA$226,S$2,FALSE))</f>
        <v/>
      </c>
      <c r="T129" s="510" t="str">
        <f>IF(VLOOKUP($A129,'Pre-Assessment Estimator'!$A$10:$AA$226,T$2,FALSE)=0,"",VLOOKUP($A129,'Pre-Assessment Estimator'!$A$10:$AA$226,T$2,FALSE))</f>
        <v/>
      </c>
      <c r="U129" s="513"/>
      <c r="V129" s="512" t="str">
        <f>IF(VLOOKUP($A129,'Pre-Assessment Estimator'!$A$10:$AA$226,V$2,FALSE)=0,"",VLOOKUP($A129,'Pre-Assessment Estimator'!$A$10:$AA$226,V$2,FALSE))</f>
        <v/>
      </c>
      <c r="W129" s="507">
        <f>VLOOKUP($A129,'Pre-Assessment Estimator'!$A$10:$AA$226,W$2,FALSE)</f>
        <v>0</v>
      </c>
      <c r="X129" s="506" t="str">
        <f>VLOOKUP($A129,'Pre-Assessment Estimator'!$A$10:$AA$226,X$2,FALSE)</f>
        <v>N/A</v>
      </c>
      <c r="Y129" s="509" t="str">
        <f>IF(VLOOKUP($A129,'Pre-Assessment Estimator'!$A$10:$AA$226,Y$2,FALSE)=0,"",VLOOKUP($A129,'Pre-Assessment Estimator'!$A$10:$AA$226,Y$2,FALSE))</f>
        <v/>
      </c>
      <c r="Z129" s="509" t="str">
        <f>IF(VLOOKUP($A129,'Pre-Assessment Estimator'!$A$10:$AA$226,Z$2,FALSE)=0,"",VLOOKUP($A129,'Pre-Assessment Estimator'!$A$10:$AA$226,Z$2,FALSE))</f>
        <v/>
      </c>
      <c r="AA129" s="322" t="str">
        <f>IF(VLOOKUP($A129,'Pre-Assessment Estimator'!$A$10:$AA$226,AA$2,FALSE)=0,"",VLOOKUP($A129,'Pre-Assessment Estimator'!$A$10:$AA$226,AA$2,FALSE))</f>
        <v/>
      </c>
      <c r="AB129" s="605">
        <v>119</v>
      </c>
      <c r="AC129" s="509"/>
      <c r="AG129" s="15">
        <f t="shared" si="2"/>
        <v>1</v>
      </c>
    </row>
    <row r="130" spans="1:33" x14ac:dyDescent="0.25">
      <c r="A130" s="716">
        <v>121</v>
      </c>
      <c r="B130" s="1022" t="s">
        <v>67</v>
      </c>
      <c r="C130" s="1022"/>
      <c r="D130" s="1043" t="str">
        <f>VLOOKUP($A130,'Pre-Assessment Estimator'!$A$10:$AA$226,D$2,FALSE)</f>
        <v>Mat 05</v>
      </c>
      <c r="E130" s="1044"/>
      <c r="F130" s="1043" t="str">
        <f>VLOOKUP($A130,'Pre-Assessment Estimator'!$A$10:$AA$226,F$2,FALSE)</f>
        <v>Mat 05 Designing for durability and climate adaption</v>
      </c>
      <c r="G130" s="506">
        <f>VLOOKUP($A130,'Pre-Assessment Estimator'!$A$10:$AA$226,G$2,FALSE)</f>
        <v>4</v>
      </c>
      <c r="H130" s="512" t="str">
        <f>IF(VLOOKUP($A130,'Pre-Assessment Estimator'!$A$10:$AA$226,H$2,FALSE)=0,"",VLOOKUP($A130,'Pre-Assessment Estimator'!$A$10:$AA$226,H$2,FALSE))</f>
        <v/>
      </c>
      <c r="I130" s="1012" t="str">
        <f>VLOOKUP($A130,'Pre-Assessment Estimator'!$A$10:$AA$226,I$2,FALSE)</f>
        <v>0 c. 0 %</v>
      </c>
      <c r="J130" s="508" t="str">
        <f>VLOOKUP($A130,'Pre-Assessment Estimator'!$A$10:$AA$226,J$2,FALSE)</f>
        <v>N/A</v>
      </c>
      <c r="K130" s="509" t="str">
        <f>IF(VLOOKUP($A130,'Pre-Assessment Estimator'!$A$10:$AA$226,K$2,FALSE)=0,"",VLOOKUP($A130,'Pre-Assessment Estimator'!$A$10:$AA$226,K$2,FALSE))</f>
        <v/>
      </c>
      <c r="L130" s="509" t="str">
        <f>IF(VLOOKUP($A130,'Pre-Assessment Estimator'!$A$10:$AA$226,L$2,FALSE)=0,"",VLOOKUP($A130,'Pre-Assessment Estimator'!$A$10:$AA$226,L$2,FALSE))</f>
        <v/>
      </c>
      <c r="M130" s="510" t="str">
        <f>IF(VLOOKUP($A130,'Pre-Assessment Estimator'!$A$10:$AA$226,M$2,FALSE)=0,"",VLOOKUP($A130,'Pre-Assessment Estimator'!$A$10:$AA$226,M$2,FALSE))</f>
        <v/>
      </c>
      <c r="N130" s="511"/>
      <c r="O130" s="512" t="str">
        <f>IF(VLOOKUP($A130,'Pre-Assessment Estimator'!$A$10:$AA$226,O$2,FALSE)=0,"",VLOOKUP($A130,'Pre-Assessment Estimator'!$A$10:$AA$226,O$2,FALSE))</f>
        <v/>
      </c>
      <c r="P130" s="507" t="str">
        <f>VLOOKUP($A130,'Pre-Assessment Estimator'!$A$10:$AA$226,P$2,FALSE)</f>
        <v>0 c. 0 %</v>
      </c>
      <c r="Q130" s="506" t="str">
        <f>VLOOKUP($A130,'Pre-Assessment Estimator'!$A$10:$AA$226,Q$2,FALSE)</f>
        <v>N/A</v>
      </c>
      <c r="R130" s="509" t="str">
        <f>IF(VLOOKUP($A130,'Pre-Assessment Estimator'!$A$10:$AA$226,R$2,FALSE)=0,"",VLOOKUP($A130,'Pre-Assessment Estimator'!$A$10:$AA$226,R$2,FALSE))</f>
        <v/>
      </c>
      <c r="S130" s="509" t="str">
        <f>IF(VLOOKUP($A130,'Pre-Assessment Estimator'!$A$10:$AA$226,S$2,FALSE)=0,"",VLOOKUP($A130,'Pre-Assessment Estimator'!$A$10:$AA$226,S$2,FALSE))</f>
        <v/>
      </c>
      <c r="T130" s="510" t="str">
        <f>IF(VLOOKUP($A130,'Pre-Assessment Estimator'!$A$10:$AA$226,T$2,FALSE)=0,"",VLOOKUP($A130,'Pre-Assessment Estimator'!$A$10:$AA$226,T$2,FALSE))</f>
        <v/>
      </c>
      <c r="U130" s="513"/>
      <c r="V130" s="512" t="str">
        <f>IF(VLOOKUP($A130,'Pre-Assessment Estimator'!$A$10:$AA$226,V$2,FALSE)=0,"",VLOOKUP($A130,'Pre-Assessment Estimator'!$A$10:$AA$226,V$2,FALSE))</f>
        <v/>
      </c>
      <c r="W130" s="507" t="str">
        <f>VLOOKUP($A130,'Pre-Assessment Estimator'!$A$10:$AA$226,W$2,FALSE)</f>
        <v>0 c. 0 %</v>
      </c>
      <c r="X130" s="506" t="str">
        <f>VLOOKUP($A130,'Pre-Assessment Estimator'!$A$10:$AA$226,X$2,FALSE)</f>
        <v>N/A</v>
      </c>
      <c r="Y130" s="509" t="str">
        <f>IF(VLOOKUP($A130,'Pre-Assessment Estimator'!$A$10:$AA$226,Y$2,FALSE)=0,"",VLOOKUP($A130,'Pre-Assessment Estimator'!$A$10:$AA$226,Y$2,FALSE))</f>
        <v/>
      </c>
      <c r="Z130" s="509" t="str">
        <f>IF(VLOOKUP($A130,'Pre-Assessment Estimator'!$A$10:$AA$226,Z$2,FALSE)=0,"",VLOOKUP($A130,'Pre-Assessment Estimator'!$A$10:$AA$226,Z$2,FALSE))</f>
        <v/>
      </c>
      <c r="AA130" s="322" t="str">
        <f>IF(VLOOKUP($A130,'Pre-Assessment Estimator'!$A$10:$AA$226,AA$2,FALSE)=0,"",VLOOKUP($A130,'Pre-Assessment Estimator'!$A$10:$AA$226,AA$2,FALSE))</f>
        <v/>
      </c>
      <c r="AB130" s="605">
        <v>120</v>
      </c>
      <c r="AC130" s="509"/>
      <c r="AG130" s="15">
        <f t="shared" si="2"/>
        <v>1</v>
      </c>
    </row>
    <row r="131" spans="1:33" x14ac:dyDescent="0.25">
      <c r="A131" s="716">
        <v>122</v>
      </c>
      <c r="B131" s="1022" t="s">
        <v>67</v>
      </c>
      <c r="C131" s="1022"/>
      <c r="D131" s="1044" t="str">
        <f>VLOOKUP($A131,'Pre-Assessment Estimator'!$A$10:$AA$226,D$2,FALSE)</f>
        <v>Mat 05</v>
      </c>
      <c r="E131" s="1044">
        <f>VLOOKUP($A131,'Pre-Assessment Estimator'!$A$10:$AA$226,E$2,FALSE)</f>
        <v>1</v>
      </c>
      <c r="F131" s="1045" t="str">
        <f>VLOOKUP($A131,'Pre-Assessment Estimator'!$A$10:$AA$226,F$2,FALSE)</f>
        <v>Pre-requisite: risk analysis</v>
      </c>
      <c r="G131" s="506" t="str">
        <f>VLOOKUP($A131,'Pre-Assessment Estimator'!$A$10:$AA$226,G$2,FALSE)</f>
        <v>Yes/No</v>
      </c>
      <c r="H131" s="512" t="str">
        <f>IF(VLOOKUP($A131,'Pre-Assessment Estimator'!$A$10:$AA$226,H$2,FALSE)=0,"",VLOOKUP($A131,'Pre-Assessment Estimator'!$A$10:$AA$226,H$2,FALSE))</f>
        <v/>
      </c>
      <c r="I131" s="1012" t="str">
        <f>VLOOKUP($A131,'Pre-Assessment Estimator'!$A$10:$AA$226,I$2,FALSE)</f>
        <v>-</v>
      </c>
      <c r="J131" s="508" t="str">
        <f>VLOOKUP($A131,'Pre-Assessment Estimator'!$A$10:$AA$226,J$2,FALSE)</f>
        <v>N/A</v>
      </c>
      <c r="K131" s="509" t="str">
        <f>IF(VLOOKUP($A131,'Pre-Assessment Estimator'!$A$10:$AA$226,K$2,FALSE)=0,"",VLOOKUP($A131,'Pre-Assessment Estimator'!$A$10:$AA$226,K$2,FALSE))</f>
        <v/>
      </c>
      <c r="L131" s="509" t="str">
        <f>IF(VLOOKUP($A131,'Pre-Assessment Estimator'!$A$10:$AA$226,L$2,FALSE)=0,"",VLOOKUP($A131,'Pre-Assessment Estimator'!$A$10:$AA$226,L$2,FALSE))</f>
        <v/>
      </c>
      <c r="M131" s="510" t="str">
        <f>IF(VLOOKUP($A131,'Pre-Assessment Estimator'!$A$10:$AA$226,M$2,FALSE)=0,"",VLOOKUP($A131,'Pre-Assessment Estimator'!$A$10:$AA$226,M$2,FALSE))</f>
        <v/>
      </c>
      <c r="N131" s="511"/>
      <c r="O131" s="512" t="str">
        <f>IF(VLOOKUP($A131,'Pre-Assessment Estimator'!$A$10:$AA$226,O$2,FALSE)=0,"",VLOOKUP($A131,'Pre-Assessment Estimator'!$A$10:$AA$226,O$2,FALSE))</f>
        <v/>
      </c>
      <c r="P131" s="507" t="str">
        <f>VLOOKUP($A131,'Pre-Assessment Estimator'!$A$10:$AA$226,P$2,FALSE)</f>
        <v>-</v>
      </c>
      <c r="Q131" s="506" t="str">
        <f>VLOOKUP($A131,'Pre-Assessment Estimator'!$A$10:$AA$226,Q$2,FALSE)</f>
        <v>N/A</v>
      </c>
      <c r="R131" s="509" t="str">
        <f>IF(VLOOKUP($A131,'Pre-Assessment Estimator'!$A$10:$AA$226,R$2,FALSE)=0,"",VLOOKUP($A131,'Pre-Assessment Estimator'!$A$10:$AA$226,R$2,FALSE))</f>
        <v/>
      </c>
      <c r="S131" s="509" t="str">
        <f>IF(VLOOKUP($A131,'Pre-Assessment Estimator'!$A$10:$AA$226,S$2,FALSE)=0,"",VLOOKUP($A131,'Pre-Assessment Estimator'!$A$10:$AA$226,S$2,FALSE))</f>
        <v/>
      </c>
      <c r="T131" s="510" t="str">
        <f>IF(VLOOKUP($A131,'Pre-Assessment Estimator'!$A$10:$AA$226,T$2,FALSE)=0,"",VLOOKUP($A131,'Pre-Assessment Estimator'!$A$10:$AA$226,T$2,FALSE))</f>
        <v/>
      </c>
      <c r="U131" s="513"/>
      <c r="V131" s="512" t="str">
        <f>IF(VLOOKUP($A131,'Pre-Assessment Estimator'!$A$10:$AA$226,V$2,FALSE)=0,"",VLOOKUP($A131,'Pre-Assessment Estimator'!$A$10:$AA$226,V$2,FALSE))</f>
        <v/>
      </c>
      <c r="W131" s="507" t="str">
        <f>VLOOKUP($A131,'Pre-Assessment Estimator'!$A$10:$AA$226,W$2,FALSE)</f>
        <v>-</v>
      </c>
      <c r="X131" s="506" t="str">
        <f>VLOOKUP($A131,'Pre-Assessment Estimator'!$A$10:$AA$226,X$2,FALSE)</f>
        <v>N/A</v>
      </c>
      <c r="Y131" s="509" t="str">
        <f>IF(VLOOKUP($A131,'Pre-Assessment Estimator'!$A$10:$AA$226,Y$2,FALSE)=0,"",VLOOKUP($A131,'Pre-Assessment Estimator'!$A$10:$AA$226,Y$2,FALSE))</f>
        <v/>
      </c>
      <c r="Z131" s="509" t="str">
        <f>IF(VLOOKUP($A131,'Pre-Assessment Estimator'!$A$10:$AA$226,Z$2,FALSE)=0,"",VLOOKUP($A131,'Pre-Assessment Estimator'!$A$10:$AA$226,Z$2,FALSE))</f>
        <v/>
      </c>
      <c r="AA131" s="322" t="str">
        <f>IF(VLOOKUP($A131,'Pre-Assessment Estimator'!$A$10:$AA$226,AA$2,FALSE)=0,"",VLOOKUP($A131,'Pre-Assessment Estimator'!$A$10:$AA$226,AA$2,FALSE))</f>
        <v/>
      </c>
      <c r="AB131" s="605">
        <v>121</v>
      </c>
      <c r="AC131" s="509"/>
      <c r="AG131" s="15">
        <f t="shared" si="2"/>
        <v>1</v>
      </c>
    </row>
    <row r="132" spans="1:33" x14ac:dyDescent="0.25">
      <c r="A132" s="716">
        <v>123</v>
      </c>
      <c r="B132" s="1022" t="s">
        <v>67</v>
      </c>
      <c r="C132" s="1022"/>
      <c r="D132" s="1044" t="str">
        <f>VLOOKUP($A132,'Pre-Assessment Estimator'!$A$10:$AA$226,D$2,FALSE)</f>
        <v>Mat 05</v>
      </c>
      <c r="E132" s="1044">
        <f>VLOOKUP($A132,'Pre-Assessment Estimator'!$A$10:$AA$226,E$2,FALSE)</f>
        <v>2</v>
      </c>
      <c r="F132" s="1045" t="str">
        <f>VLOOKUP($A132,'Pre-Assessment Estimator'!$A$10:$AA$226,F$2,FALSE)</f>
        <v>Protect vulnerable parts of the building from damage</v>
      </c>
      <c r="G132" s="506">
        <f>VLOOKUP($A132,'Pre-Assessment Estimator'!$A$10:$AA$226,G$2,FALSE)</f>
        <v>1</v>
      </c>
      <c r="H132" s="512" t="str">
        <f>IF(VLOOKUP($A132,'Pre-Assessment Estimator'!$A$10:$AA$226,H$2,FALSE)=0,"",VLOOKUP($A132,'Pre-Assessment Estimator'!$A$10:$AA$226,H$2,FALSE))</f>
        <v/>
      </c>
      <c r="I132" s="1012">
        <f>VLOOKUP($A132,'Pre-Assessment Estimator'!$A$10:$AA$226,I$2,FALSE)</f>
        <v>0</v>
      </c>
      <c r="J132" s="508" t="str">
        <f>VLOOKUP($A132,'Pre-Assessment Estimator'!$A$10:$AA$226,J$2,FALSE)</f>
        <v>N/A</v>
      </c>
      <c r="K132" s="509" t="str">
        <f>IF(VLOOKUP($A132,'Pre-Assessment Estimator'!$A$10:$AA$226,K$2,FALSE)=0,"",VLOOKUP($A132,'Pre-Assessment Estimator'!$A$10:$AA$226,K$2,FALSE))</f>
        <v/>
      </c>
      <c r="L132" s="509" t="str">
        <f>IF(VLOOKUP($A132,'Pre-Assessment Estimator'!$A$10:$AA$226,L$2,FALSE)=0,"",VLOOKUP($A132,'Pre-Assessment Estimator'!$A$10:$AA$226,L$2,FALSE))</f>
        <v/>
      </c>
      <c r="M132" s="510" t="str">
        <f>IF(VLOOKUP($A132,'Pre-Assessment Estimator'!$A$10:$AA$226,M$2,FALSE)=0,"",VLOOKUP($A132,'Pre-Assessment Estimator'!$A$10:$AA$226,M$2,FALSE))</f>
        <v/>
      </c>
      <c r="N132" s="511"/>
      <c r="O132" s="512" t="str">
        <f>IF(VLOOKUP($A132,'Pre-Assessment Estimator'!$A$10:$AA$226,O$2,FALSE)=0,"",VLOOKUP($A132,'Pre-Assessment Estimator'!$A$10:$AA$226,O$2,FALSE))</f>
        <v/>
      </c>
      <c r="P132" s="507">
        <f>VLOOKUP($A132,'Pre-Assessment Estimator'!$A$10:$AA$226,P$2,FALSE)</f>
        <v>0</v>
      </c>
      <c r="Q132" s="506" t="str">
        <f>VLOOKUP($A132,'Pre-Assessment Estimator'!$A$10:$AA$226,Q$2,FALSE)</f>
        <v>N/A</v>
      </c>
      <c r="R132" s="509" t="str">
        <f>IF(VLOOKUP($A132,'Pre-Assessment Estimator'!$A$10:$AA$226,R$2,FALSE)=0,"",VLOOKUP($A132,'Pre-Assessment Estimator'!$A$10:$AA$226,R$2,FALSE))</f>
        <v/>
      </c>
      <c r="S132" s="509" t="str">
        <f>IF(VLOOKUP($A132,'Pre-Assessment Estimator'!$A$10:$AA$226,S$2,FALSE)=0,"",VLOOKUP($A132,'Pre-Assessment Estimator'!$A$10:$AA$226,S$2,FALSE))</f>
        <v/>
      </c>
      <c r="T132" s="510" t="str">
        <f>IF(VLOOKUP($A132,'Pre-Assessment Estimator'!$A$10:$AA$226,T$2,FALSE)=0,"",VLOOKUP($A132,'Pre-Assessment Estimator'!$A$10:$AA$226,T$2,FALSE))</f>
        <v/>
      </c>
      <c r="U132" s="513"/>
      <c r="V132" s="512" t="str">
        <f>IF(VLOOKUP($A132,'Pre-Assessment Estimator'!$A$10:$AA$226,V$2,FALSE)=0,"",VLOOKUP($A132,'Pre-Assessment Estimator'!$A$10:$AA$226,V$2,FALSE))</f>
        <v/>
      </c>
      <c r="W132" s="507">
        <f>VLOOKUP($A132,'Pre-Assessment Estimator'!$A$10:$AA$226,W$2,FALSE)</f>
        <v>0</v>
      </c>
      <c r="X132" s="506" t="str">
        <f>VLOOKUP($A132,'Pre-Assessment Estimator'!$A$10:$AA$226,X$2,FALSE)</f>
        <v>N/A</v>
      </c>
      <c r="Y132" s="509" t="str">
        <f>IF(VLOOKUP($A132,'Pre-Assessment Estimator'!$A$10:$AA$226,Y$2,FALSE)=0,"",VLOOKUP($A132,'Pre-Assessment Estimator'!$A$10:$AA$226,Y$2,FALSE))</f>
        <v/>
      </c>
      <c r="Z132" s="509" t="str">
        <f>IF(VLOOKUP($A132,'Pre-Assessment Estimator'!$A$10:$AA$226,Z$2,FALSE)=0,"",VLOOKUP($A132,'Pre-Assessment Estimator'!$A$10:$AA$226,Z$2,FALSE))</f>
        <v/>
      </c>
      <c r="AA132" s="322" t="str">
        <f>IF(VLOOKUP($A132,'Pre-Assessment Estimator'!$A$10:$AA$226,AA$2,FALSE)=0,"",VLOOKUP($A132,'Pre-Assessment Estimator'!$A$10:$AA$226,AA$2,FALSE))</f>
        <v/>
      </c>
      <c r="AB132" s="605">
        <v>122</v>
      </c>
      <c r="AC132" s="509"/>
      <c r="AG132" s="15">
        <f t="shared" si="2"/>
        <v>1</v>
      </c>
    </row>
    <row r="133" spans="1:33" x14ac:dyDescent="0.25">
      <c r="A133" s="716">
        <v>124</v>
      </c>
      <c r="B133" s="1022" t="s">
        <v>67</v>
      </c>
      <c r="C133" s="1022"/>
      <c r="D133" s="1044" t="str">
        <f>VLOOKUP($A133,'Pre-Assessment Estimator'!$A$10:$AA$226,D$2,FALSE)</f>
        <v>Mat 05</v>
      </c>
      <c r="E133" s="1044" t="str">
        <f>VLOOKUP($A133,'Pre-Assessment Estimator'!$A$10:$AA$226,E$2,FALSE)</f>
        <v>3-5</v>
      </c>
      <c r="F133" s="1045" t="str">
        <f>VLOOKUP($A133,'Pre-Assessment Estimator'!$A$10:$AA$226,F$2,FALSE)</f>
        <v xml:space="preserve">Protecting exposed parts of the building from material degradation </v>
      </c>
      <c r="G133" s="506">
        <f>VLOOKUP($A133,'Pre-Assessment Estimator'!$A$10:$AA$226,G$2,FALSE)</f>
        <v>1</v>
      </c>
      <c r="H133" s="512" t="str">
        <f>IF(VLOOKUP($A133,'Pre-Assessment Estimator'!$A$10:$AA$226,H$2,FALSE)=0,"",VLOOKUP($A133,'Pre-Assessment Estimator'!$A$10:$AA$226,H$2,FALSE))</f>
        <v/>
      </c>
      <c r="I133" s="1012">
        <f>VLOOKUP($A133,'Pre-Assessment Estimator'!$A$10:$AA$226,I$2,FALSE)</f>
        <v>0</v>
      </c>
      <c r="J133" s="508" t="str">
        <f>VLOOKUP($A133,'Pre-Assessment Estimator'!$A$10:$AA$226,J$2,FALSE)</f>
        <v>N/A</v>
      </c>
      <c r="K133" s="509" t="str">
        <f>IF(VLOOKUP($A133,'Pre-Assessment Estimator'!$A$10:$AA$226,K$2,FALSE)=0,"",VLOOKUP($A133,'Pre-Assessment Estimator'!$A$10:$AA$226,K$2,FALSE))</f>
        <v/>
      </c>
      <c r="L133" s="509" t="str">
        <f>IF(VLOOKUP($A133,'Pre-Assessment Estimator'!$A$10:$AA$226,L$2,FALSE)=0,"",VLOOKUP($A133,'Pre-Assessment Estimator'!$A$10:$AA$226,L$2,FALSE))</f>
        <v/>
      </c>
      <c r="M133" s="510" t="str">
        <f>IF(VLOOKUP($A133,'Pre-Assessment Estimator'!$A$10:$AA$226,M$2,FALSE)=0,"",VLOOKUP($A133,'Pre-Assessment Estimator'!$A$10:$AA$226,M$2,FALSE))</f>
        <v/>
      </c>
      <c r="N133" s="511"/>
      <c r="O133" s="512" t="str">
        <f>IF(VLOOKUP($A133,'Pre-Assessment Estimator'!$A$10:$AA$226,O$2,FALSE)=0,"",VLOOKUP($A133,'Pre-Assessment Estimator'!$A$10:$AA$226,O$2,FALSE))</f>
        <v/>
      </c>
      <c r="P133" s="507">
        <f>VLOOKUP($A133,'Pre-Assessment Estimator'!$A$10:$AA$226,P$2,FALSE)</f>
        <v>0</v>
      </c>
      <c r="Q133" s="506" t="str">
        <f>VLOOKUP($A133,'Pre-Assessment Estimator'!$A$10:$AA$226,Q$2,FALSE)</f>
        <v>N/A</v>
      </c>
      <c r="R133" s="509" t="str">
        <f>IF(VLOOKUP($A133,'Pre-Assessment Estimator'!$A$10:$AA$226,R$2,FALSE)=0,"",VLOOKUP($A133,'Pre-Assessment Estimator'!$A$10:$AA$226,R$2,FALSE))</f>
        <v/>
      </c>
      <c r="S133" s="509" t="str">
        <f>IF(VLOOKUP($A133,'Pre-Assessment Estimator'!$A$10:$AA$226,S$2,FALSE)=0,"",VLOOKUP($A133,'Pre-Assessment Estimator'!$A$10:$AA$226,S$2,FALSE))</f>
        <v/>
      </c>
      <c r="T133" s="510" t="str">
        <f>IF(VLOOKUP($A133,'Pre-Assessment Estimator'!$A$10:$AA$226,T$2,FALSE)=0,"",VLOOKUP($A133,'Pre-Assessment Estimator'!$A$10:$AA$226,T$2,FALSE))</f>
        <v/>
      </c>
      <c r="U133" s="513"/>
      <c r="V133" s="512" t="str">
        <f>IF(VLOOKUP($A133,'Pre-Assessment Estimator'!$A$10:$AA$226,V$2,FALSE)=0,"",VLOOKUP($A133,'Pre-Assessment Estimator'!$A$10:$AA$226,V$2,FALSE))</f>
        <v/>
      </c>
      <c r="W133" s="507">
        <f>VLOOKUP($A133,'Pre-Assessment Estimator'!$A$10:$AA$226,W$2,FALSE)</f>
        <v>0</v>
      </c>
      <c r="X133" s="506" t="str">
        <f>VLOOKUP($A133,'Pre-Assessment Estimator'!$A$10:$AA$226,X$2,FALSE)</f>
        <v>N/A</v>
      </c>
      <c r="Y133" s="509" t="str">
        <f>IF(VLOOKUP($A133,'Pre-Assessment Estimator'!$A$10:$AA$226,Y$2,FALSE)=0,"",VLOOKUP($A133,'Pre-Assessment Estimator'!$A$10:$AA$226,Y$2,FALSE))</f>
        <v/>
      </c>
      <c r="Z133" s="509" t="str">
        <f>IF(VLOOKUP($A133,'Pre-Assessment Estimator'!$A$10:$AA$226,Z$2,FALSE)=0,"",VLOOKUP($A133,'Pre-Assessment Estimator'!$A$10:$AA$226,Z$2,FALSE))</f>
        <v/>
      </c>
      <c r="AA133" s="322" t="str">
        <f>IF(VLOOKUP($A133,'Pre-Assessment Estimator'!$A$10:$AA$226,AA$2,FALSE)=0,"",VLOOKUP($A133,'Pre-Assessment Estimator'!$A$10:$AA$226,AA$2,FALSE))</f>
        <v/>
      </c>
      <c r="AB133" s="605">
        <v>123</v>
      </c>
      <c r="AC133" s="509"/>
      <c r="AG133" s="15">
        <f t="shared" si="2"/>
        <v>1</v>
      </c>
    </row>
    <row r="134" spans="1:33" x14ac:dyDescent="0.25">
      <c r="A134" s="716">
        <v>125</v>
      </c>
      <c r="B134" s="1022" t="s">
        <v>67</v>
      </c>
      <c r="C134" s="1022"/>
      <c r="D134" s="1044" t="str">
        <f>VLOOKUP($A134,'Pre-Assessment Estimator'!$A$10:$AA$226,D$2,FALSE)</f>
        <v>Mat 05</v>
      </c>
      <c r="E134" s="1044" t="str">
        <f>VLOOKUP($A134,'Pre-Assessment Estimator'!$A$10:$AA$226,E$2,FALSE)</f>
        <v>6-8</v>
      </c>
      <c r="F134" s="1045" t="str">
        <f>VLOOKUP($A134,'Pre-Assessment Estimator'!$A$10:$AA$226,F$2,FALSE)</f>
        <v>Control plan and moisture measurements</v>
      </c>
      <c r="G134" s="506">
        <f>VLOOKUP($A134,'Pre-Assessment Estimator'!$A$10:$AA$226,G$2,FALSE)</f>
        <v>1</v>
      </c>
      <c r="H134" s="512" t="str">
        <f>IF(VLOOKUP($A134,'Pre-Assessment Estimator'!$A$10:$AA$226,H$2,FALSE)=0,"",VLOOKUP($A134,'Pre-Assessment Estimator'!$A$10:$AA$226,H$2,FALSE))</f>
        <v/>
      </c>
      <c r="I134" s="1012">
        <f>VLOOKUP($A134,'Pre-Assessment Estimator'!$A$10:$AA$226,I$2,FALSE)</f>
        <v>0</v>
      </c>
      <c r="J134" s="508" t="str">
        <f>VLOOKUP($A134,'Pre-Assessment Estimator'!$A$10:$AA$226,J$2,FALSE)</f>
        <v>Very Good</v>
      </c>
      <c r="K134" s="509" t="str">
        <f>IF(VLOOKUP($A134,'Pre-Assessment Estimator'!$A$10:$AA$226,K$2,FALSE)=0,"",VLOOKUP($A134,'Pre-Assessment Estimator'!$A$10:$AA$226,K$2,FALSE))</f>
        <v/>
      </c>
      <c r="L134" s="509" t="str">
        <f>IF(VLOOKUP($A134,'Pre-Assessment Estimator'!$A$10:$AA$226,L$2,FALSE)=0,"",VLOOKUP($A134,'Pre-Assessment Estimator'!$A$10:$AA$226,L$2,FALSE))</f>
        <v/>
      </c>
      <c r="M134" s="510" t="str">
        <f>IF(VLOOKUP($A134,'Pre-Assessment Estimator'!$A$10:$AA$226,M$2,FALSE)=0,"",VLOOKUP($A134,'Pre-Assessment Estimator'!$A$10:$AA$226,M$2,FALSE))</f>
        <v/>
      </c>
      <c r="N134" s="511"/>
      <c r="O134" s="512">
        <f>IF(VLOOKUP($A134,'Pre-Assessment Estimator'!$A$10:$AA$226,O$2,FALSE)=0,"",VLOOKUP($A134,'Pre-Assessment Estimator'!$A$10:$AA$226,O$2,FALSE))</f>
        <v>1</v>
      </c>
      <c r="P134" s="507">
        <f>VLOOKUP($A134,'Pre-Assessment Estimator'!$A$10:$AA$226,P$2,FALSE)</f>
        <v>0</v>
      </c>
      <c r="Q134" s="506" t="str">
        <f>VLOOKUP($A134,'Pre-Assessment Estimator'!$A$10:$AA$226,Q$2,FALSE)</f>
        <v>Very Good</v>
      </c>
      <c r="R134" s="509" t="str">
        <f>IF(VLOOKUP($A134,'Pre-Assessment Estimator'!$A$10:$AA$226,R$2,FALSE)=0,"",VLOOKUP($A134,'Pre-Assessment Estimator'!$A$10:$AA$226,R$2,FALSE))</f>
        <v/>
      </c>
      <c r="S134" s="509" t="str">
        <f>IF(VLOOKUP($A134,'Pre-Assessment Estimator'!$A$10:$AA$226,S$2,FALSE)=0,"",VLOOKUP($A134,'Pre-Assessment Estimator'!$A$10:$AA$226,S$2,FALSE))</f>
        <v/>
      </c>
      <c r="T134" s="510" t="str">
        <f>IF(VLOOKUP($A134,'Pre-Assessment Estimator'!$A$10:$AA$226,T$2,FALSE)=0,"",VLOOKUP($A134,'Pre-Assessment Estimator'!$A$10:$AA$226,T$2,FALSE))</f>
        <v/>
      </c>
      <c r="U134" s="513"/>
      <c r="V134" s="512">
        <f>IF(VLOOKUP($A134,'Pre-Assessment Estimator'!$A$10:$AA$226,V$2,FALSE)=0,"",VLOOKUP($A134,'Pre-Assessment Estimator'!$A$10:$AA$226,V$2,FALSE))</f>
        <v>1</v>
      </c>
      <c r="W134" s="507">
        <f>VLOOKUP($A134,'Pre-Assessment Estimator'!$A$10:$AA$226,W$2,FALSE)</f>
        <v>0</v>
      </c>
      <c r="X134" s="506" t="str">
        <f>VLOOKUP($A134,'Pre-Assessment Estimator'!$A$10:$AA$226,X$2,FALSE)</f>
        <v>Very Good</v>
      </c>
      <c r="Y134" s="509" t="str">
        <f>IF(VLOOKUP($A134,'Pre-Assessment Estimator'!$A$10:$AA$226,Y$2,FALSE)=0,"",VLOOKUP($A134,'Pre-Assessment Estimator'!$A$10:$AA$226,Y$2,FALSE))</f>
        <v/>
      </c>
      <c r="Z134" s="509" t="str">
        <f>IF(VLOOKUP($A134,'Pre-Assessment Estimator'!$A$10:$AA$226,Z$2,FALSE)=0,"",VLOOKUP($A134,'Pre-Assessment Estimator'!$A$10:$AA$226,Z$2,FALSE))</f>
        <v/>
      </c>
      <c r="AA134" s="322" t="str">
        <f>IF(VLOOKUP($A134,'Pre-Assessment Estimator'!$A$10:$AA$226,AA$2,FALSE)=0,"",VLOOKUP($A134,'Pre-Assessment Estimator'!$A$10:$AA$226,AA$2,FALSE))</f>
        <v/>
      </c>
      <c r="AB134" s="605">
        <v>124</v>
      </c>
      <c r="AC134" s="509"/>
      <c r="AG134" s="15">
        <f t="shared" si="2"/>
        <v>1</v>
      </c>
    </row>
    <row r="135" spans="1:33" x14ac:dyDescent="0.25">
      <c r="A135" s="716">
        <v>126</v>
      </c>
      <c r="B135" s="1022" t="s">
        <v>67</v>
      </c>
      <c r="C135" s="1022"/>
      <c r="D135" s="1044" t="str">
        <f>VLOOKUP($A135,'Pre-Assessment Estimator'!$A$10:$AA$226,D$2,FALSE)</f>
        <v>Mat 05</v>
      </c>
      <c r="E135" s="1044">
        <f>VLOOKUP($A135,'Pre-Assessment Estimator'!$A$10:$AA$226,E$2,FALSE)</f>
        <v>9</v>
      </c>
      <c r="F135" s="1045" t="str">
        <f>VLOOKUP($A135,'Pre-Assessment Estimator'!$A$10:$AA$226,F$2,FALSE)</f>
        <v>Construction under cover</v>
      </c>
      <c r="G135" s="506">
        <f>VLOOKUP($A135,'Pre-Assessment Estimator'!$A$10:$AA$226,G$2,FALSE)</f>
        <v>1</v>
      </c>
      <c r="H135" s="512" t="str">
        <f>IF(VLOOKUP($A135,'Pre-Assessment Estimator'!$A$10:$AA$226,H$2,FALSE)=0,"",VLOOKUP($A135,'Pre-Assessment Estimator'!$A$10:$AA$226,H$2,FALSE))</f>
        <v/>
      </c>
      <c r="I135" s="1012">
        <f>VLOOKUP($A135,'Pre-Assessment Estimator'!$A$10:$AA$226,I$2,FALSE)</f>
        <v>0</v>
      </c>
      <c r="J135" s="508" t="str">
        <f>VLOOKUP($A135,'Pre-Assessment Estimator'!$A$10:$AA$226,J$2,FALSE)</f>
        <v>N/A</v>
      </c>
      <c r="K135" s="509" t="str">
        <f>IF(VLOOKUP($A135,'Pre-Assessment Estimator'!$A$10:$AA$226,K$2,FALSE)=0,"",VLOOKUP($A135,'Pre-Assessment Estimator'!$A$10:$AA$226,K$2,FALSE))</f>
        <v/>
      </c>
      <c r="L135" s="509" t="str">
        <f>IF(VLOOKUP($A135,'Pre-Assessment Estimator'!$A$10:$AA$226,L$2,FALSE)=0,"",VLOOKUP($A135,'Pre-Assessment Estimator'!$A$10:$AA$226,L$2,FALSE))</f>
        <v/>
      </c>
      <c r="M135" s="510" t="str">
        <f>IF(VLOOKUP($A135,'Pre-Assessment Estimator'!$A$10:$AA$226,M$2,FALSE)=0,"",VLOOKUP($A135,'Pre-Assessment Estimator'!$A$10:$AA$226,M$2,FALSE))</f>
        <v/>
      </c>
      <c r="N135" s="511"/>
      <c r="O135" s="512" t="str">
        <f>IF(VLOOKUP($A135,'Pre-Assessment Estimator'!$A$10:$AA$226,O$2,FALSE)=0,"",VLOOKUP($A135,'Pre-Assessment Estimator'!$A$10:$AA$226,O$2,FALSE))</f>
        <v/>
      </c>
      <c r="P135" s="507">
        <f>VLOOKUP($A135,'Pre-Assessment Estimator'!$A$10:$AA$226,P$2,FALSE)</f>
        <v>0</v>
      </c>
      <c r="Q135" s="506" t="str">
        <f>VLOOKUP($A135,'Pre-Assessment Estimator'!$A$10:$AA$226,Q$2,FALSE)</f>
        <v>N/A</v>
      </c>
      <c r="R135" s="509" t="str">
        <f>IF(VLOOKUP($A135,'Pre-Assessment Estimator'!$A$10:$AA$226,R$2,FALSE)=0,"",VLOOKUP($A135,'Pre-Assessment Estimator'!$A$10:$AA$226,R$2,FALSE))</f>
        <v/>
      </c>
      <c r="S135" s="509" t="str">
        <f>IF(VLOOKUP($A135,'Pre-Assessment Estimator'!$A$10:$AA$226,S$2,FALSE)=0,"",VLOOKUP($A135,'Pre-Assessment Estimator'!$A$10:$AA$226,S$2,FALSE))</f>
        <v/>
      </c>
      <c r="T135" s="510" t="str">
        <f>IF(VLOOKUP($A135,'Pre-Assessment Estimator'!$A$10:$AA$226,T$2,FALSE)=0,"",VLOOKUP($A135,'Pre-Assessment Estimator'!$A$10:$AA$226,T$2,FALSE))</f>
        <v/>
      </c>
      <c r="U135" s="513"/>
      <c r="V135" s="512" t="str">
        <f>IF(VLOOKUP($A135,'Pre-Assessment Estimator'!$A$10:$AA$226,V$2,FALSE)=0,"",VLOOKUP($A135,'Pre-Assessment Estimator'!$A$10:$AA$226,V$2,FALSE))</f>
        <v/>
      </c>
      <c r="W135" s="507">
        <f>VLOOKUP($A135,'Pre-Assessment Estimator'!$A$10:$AA$226,W$2,FALSE)</f>
        <v>0</v>
      </c>
      <c r="X135" s="506" t="str">
        <f>VLOOKUP($A135,'Pre-Assessment Estimator'!$A$10:$AA$226,X$2,FALSE)</f>
        <v>N/A</v>
      </c>
      <c r="Y135" s="509" t="str">
        <f>IF(VLOOKUP($A135,'Pre-Assessment Estimator'!$A$10:$AA$226,Y$2,FALSE)=0,"",VLOOKUP($A135,'Pre-Assessment Estimator'!$A$10:$AA$226,Y$2,FALSE))</f>
        <v/>
      </c>
      <c r="Z135" s="509" t="str">
        <f>IF(VLOOKUP($A135,'Pre-Assessment Estimator'!$A$10:$AA$226,Z$2,FALSE)=0,"",VLOOKUP($A135,'Pre-Assessment Estimator'!$A$10:$AA$226,Z$2,FALSE))</f>
        <v/>
      </c>
      <c r="AA135" s="322" t="str">
        <f>IF(VLOOKUP($A135,'Pre-Assessment Estimator'!$A$10:$AA$226,AA$2,FALSE)=0,"",VLOOKUP($A135,'Pre-Assessment Estimator'!$A$10:$AA$226,AA$2,FALSE))</f>
        <v/>
      </c>
      <c r="AB135" s="605">
        <v>125</v>
      </c>
      <c r="AC135" s="509"/>
      <c r="AG135" s="15">
        <f t="shared" si="2"/>
        <v>1</v>
      </c>
    </row>
    <row r="136" spans="1:33" x14ac:dyDescent="0.25">
      <c r="A136" s="716">
        <v>127</v>
      </c>
      <c r="B136" s="1022" t="s">
        <v>67</v>
      </c>
      <c r="C136" s="1022"/>
      <c r="D136" s="1043" t="str">
        <f>VLOOKUP($A136,'Pre-Assessment Estimator'!$A$10:$AA$226,D$2,FALSE)</f>
        <v>Mat 06</v>
      </c>
      <c r="E136" s="1044"/>
      <c r="F136" s="1043" t="str">
        <f>VLOOKUP($A136,'Pre-Assessment Estimator'!$A$10:$AA$226,F$2,FALSE)</f>
        <v>Mat 06 Material efficiency</v>
      </c>
      <c r="G136" s="506">
        <f>VLOOKUP($A136,'Pre-Assessment Estimator'!$A$10:$AA$226,G$2,FALSE)</f>
        <v>3</v>
      </c>
      <c r="H136" s="512" t="str">
        <f>IF(VLOOKUP($A136,'Pre-Assessment Estimator'!$A$10:$AA$226,H$2,FALSE)=0,"",VLOOKUP($A136,'Pre-Assessment Estimator'!$A$10:$AA$226,H$2,FALSE))</f>
        <v/>
      </c>
      <c r="I136" s="1012" t="str">
        <f>VLOOKUP($A136,'Pre-Assessment Estimator'!$A$10:$AA$226,I$2,FALSE)</f>
        <v>0 c. 0 %</v>
      </c>
      <c r="J136" s="508" t="str">
        <f>VLOOKUP($A136,'Pre-Assessment Estimator'!$A$10:$AA$226,J$2,FALSE)</f>
        <v>N/A</v>
      </c>
      <c r="K136" s="509" t="str">
        <f>IF(VLOOKUP($A136,'Pre-Assessment Estimator'!$A$10:$AA$226,K$2,FALSE)=0,"",VLOOKUP($A136,'Pre-Assessment Estimator'!$A$10:$AA$226,K$2,FALSE))</f>
        <v/>
      </c>
      <c r="L136" s="509" t="str">
        <f>IF(VLOOKUP($A136,'Pre-Assessment Estimator'!$A$10:$AA$226,L$2,FALSE)=0,"",VLOOKUP($A136,'Pre-Assessment Estimator'!$A$10:$AA$226,L$2,FALSE))</f>
        <v/>
      </c>
      <c r="M136" s="510" t="str">
        <f>IF(VLOOKUP($A136,'Pre-Assessment Estimator'!$A$10:$AA$226,M$2,FALSE)=0,"",VLOOKUP($A136,'Pre-Assessment Estimator'!$A$10:$AA$226,M$2,FALSE))</f>
        <v/>
      </c>
      <c r="N136" s="511"/>
      <c r="O136" s="512" t="str">
        <f>IF(VLOOKUP($A136,'Pre-Assessment Estimator'!$A$10:$AA$226,O$2,FALSE)=0,"",VLOOKUP($A136,'Pre-Assessment Estimator'!$A$10:$AA$226,O$2,FALSE))</f>
        <v/>
      </c>
      <c r="P136" s="507" t="str">
        <f>VLOOKUP($A136,'Pre-Assessment Estimator'!$A$10:$AA$226,P$2,FALSE)</f>
        <v>0 c. 0 %</v>
      </c>
      <c r="Q136" s="506" t="str">
        <f>VLOOKUP($A136,'Pre-Assessment Estimator'!$A$10:$AA$226,Q$2,FALSE)</f>
        <v>N/A</v>
      </c>
      <c r="R136" s="509" t="str">
        <f>IF(VLOOKUP($A136,'Pre-Assessment Estimator'!$A$10:$AA$226,R$2,FALSE)=0,"",VLOOKUP($A136,'Pre-Assessment Estimator'!$A$10:$AA$226,R$2,FALSE))</f>
        <v/>
      </c>
      <c r="S136" s="509" t="str">
        <f>IF(VLOOKUP($A136,'Pre-Assessment Estimator'!$A$10:$AA$226,S$2,FALSE)=0,"",VLOOKUP($A136,'Pre-Assessment Estimator'!$A$10:$AA$226,S$2,FALSE))</f>
        <v/>
      </c>
      <c r="T136" s="510" t="str">
        <f>IF(VLOOKUP($A136,'Pre-Assessment Estimator'!$A$10:$AA$226,T$2,FALSE)=0,"",VLOOKUP($A136,'Pre-Assessment Estimator'!$A$10:$AA$226,T$2,FALSE))</f>
        <v/>
      </c>
      <c r="U136" s="513"/>
      <c r="V136" s="512" t="str">
        <f>IF(VLOOKUP($A136,'Pre-Assessment Estimator'!$A$10:$AA$226,V$2,FALSE)=0,"",VLOOKUP($A136,'Pre-Assessment Estimator'!$A$10:$AA$226,V$2,FALSE))</f>
        <v/>
      </c>
      <c r="W136" s="507" t="str">
        <f>VLOOKUP($A136,'Pre-Assessment Estimator'!$A$10:$AA$226,W$2,FALSE)</f>
        <v>0 c. 0 %</v>
      </c>
      <c r="X136" s="506" t="str">
        <f>VLOOKUP($A136,'Pre-Assessment Estimator'!$A$10:$AA$226,X$2,FALSE)</f>
        <v>N/A</v>
      </c>
      <c r="Y136" s="509" t="str">
        <f>IF(VLOOKUP($A136,'Pre-Assessment Estimator'!$A$10:$AA$226,Y$2,FALSE)=0,"",VLOOKUP($A136,'Pre-Assessment Estimator'!$A$10:$AA$226,Y$2,FALSE))</f>
        <v/>
      </c>
      <c r="Z136" s="509" t="str">
        <f>IF(VLOOKUP($A136,'Pre-Assessment Estimator'!$A$10:$AA$226,Z$2,FALSE)=0,"",VLOOKUP($A136,'Pre-Assessment Estimator'!$A$10:$AA$226,Z$2,FALSE))</f>
        <v/>
      </c>
      <c r="AA136" s="322" t="str">
        <f>IF(VLOOKUP($A136,'Pre-Assessment Estimator'!$A$10:$AA$226,AA$2,FALSE)=0,"",VLOOKUP($A136,'Pre-Assessment Estimator'!$A$10:$AA$226,AA$2,FALSE))</f>
        <v/>
      </c>
      <c r="AB136" s="605">
        <v>126</v>
      </c>
      <c r="AC136" s="509"/>
      <c r="AG136" s="15">
        <f t="shared" si="2"/>
        <v>1</v>
      </c>
    </row>
    <row r="137" spans="1:33" ht="30" x14ac:dyDescent="0.25">
      <c r="A137" s="716">
        <v>128</v>
      </c>
      <c r="B137" s="1022" t="s">
        <v>67</v>
      </c>
      <c r="C137" s="1022"/>
      <c r="D137" s="1044" t="str">
        <f>VLOOKUP($A137,'Pre-Assessment Estimator'!$A$10:$AA$226,D$2,FALSE)</f>
        <v>Mat 06</v>
      </c>
      <c r="E137" s="1044">
        <f>VLOOKUP($A137,'Pre-Assessment Estimator'!$A$10:$AA$226,E$2,FALSE)</f>
        <v>1</v>
      </c>
      <c r="F137" s="1045" t="str">
        <f>VLOOKUP($A137,'Pre-Assessment Estimator'!$A$10:$AA$226,F$2,FALSE)</f>
        <v>Minimum req: mapping for component reuse - criterion 1 (EU taxonomy requirement: criterion 1)</v>
      </c>
      <c r="G137" s="506" t="str">
        <f>VLOOKUP($A137,'Pre-Assessment Estimator'!$A$10:$AA$226,G$2,FALSE)</f>
        <v>Yes/No</v>
      </c>
      <c r="H137" s="512" t="str">
        <f>IF(VLOOKUP($A137,'Pre-Assessment Estimator'!$A$10:$AA$226,H$2,FALSE)=0,"",VLOOKUP($A137,'Pre-Assessment Estimator'!$A$10:$AA$226,H$2,FALSE))</f>
        <v/>
      </c>
      <c r="I137" s="1012" t="str">
        <f>VLOOKUP($A137,'Pre-Assessment Estimator'!$A$10:$AA$226,I$2,FALSE)</f>
        <v>-</v>
      </c>
      <c r="J137" s="508" t="str">
        <f>VLOOKUP($A137,'Pre-Assessment Estimator'!$A$10:$AA$226,J$2,FALSE)</f>
        <v>Unclassified</v>
      </c>
      <c r="K137" s="509" t="str">
        <f>IF(VLOOKUP($A137,'Pre-Assessment Estimator'!$A$10:$AA$226,K$2,FALSE)=0,"",VLOOKUP($A137,'Pre-Assessment Estimator'!$A$10:$AA$226,K$2,FALSE))</f>
        <v/>
      </c>
      <c r="L137" s="509" t="str">
        <f>IF(VLOOKUP($A137,'Pre-Assessment Estimator'!$A$10:$AA$226,L$2,FALSE)=0,"",VLOOKUP($A137,'Pre-Assessment Estimator'!$A$10:$AA$226,L$2,FALSE))</f>
        <v/>
      </c>
      <c r="M137" s="510" t="str">
        <f>IF(VLOOKUP($A137,'Pre-Assessment Estimator'!$A$10:$AA$226,M$2,FALSE)=0,"",VLOOKUP($A137,'Pre-Assessment Estimator'!$A$10:$AA$226,M$2,FALSE))</f>
        <v/>
      </c>
      <c r="N137" s="511"/>
      <c r="O137" s="512" t="str">
        <f>IF(VLOOKUP($A137,'Pre-Assessment Estimator'!$A$10:$AA$226,O$2,FALSE)=0,"",VLOOKUP($A137,'Pre-Assessment Estimator'!$A$10:$AA$226,O$2,FALSE))</f>
        <v/>
      </c>
      <c r="P137" s="507" t="str">
        <f>VLOOKUP($A137,'Pre-Assessment Estimator'!$A$10:$AA$226,P$2,FALSE)</f>
        <v>-</v>
      </c>
      <c r="Q137" s="506" t="str">
        <f>VLOOKUP($A137,'Pre-Assessment Estimator'!$A$10:$AA$226,Q$2,FALSE)</f>
        <v>Unclassified</v>
      </c>
      <c r="R137" s="509" t="str">
        <f>IF(VLOOKUP($A137,'Pre-Assessment Estimator'!$A$10:$AA$226,R$2,FALSE)=0,"",VLOOKUP($A137,'Pre-Assessment Estimator'!$A$10:$AA$226,R$2,FALSE))</f>
        <v/>
      </c>
      <c r="S137" s="509" t="str">
        <f>IF(VLOOKUP($A137,'Pre-Assessment Estimator'!$A$10:$AA$226,S$2,FALSE)=0,"",VLOOKUP($A137,'Pre-Assessment Estimator'!$A$10:$AA$226,S$2,FALSE))</f>
        <v/>
      </c>
      <c r="T137" s="510" t="str">
        <f>IF(VLOOKUP($A137,'Pre-Assessment Estimator'!$A$10:$AA$226,T$2,FALSE)=0,"",VLOOKUP($A137,'Pre-Assessment Estimator'!$A$10:$AA$226,T$2,FALSE))</f>
        <v/>
      </c>
      <c r="U137" s="513"/>
      <c r="V137" s="512" t="str">
        <f>IF(VLOOKUP($A137,'Pre-Assessment Estimator'!$A$10:$AA$226,V$2,FALSE)=0,"",VLOOKUP($A137,'Pre-Assessment Estimator'!$A$10:$AA$226,V$2,FALSE))</f>
        <v/>
      </c>
      <c r="W137" s="507" t="str">
        <f>VLOOKUP($A137,'Pre-Assessment Estimator'!$A$10:$AA$226,W$2,FALSE)</f>
        <v>-</v>
      </c>
      <c r="X137" s="506" t="str">
        <f>VLOOKUP($A137,'Pre-Assessment Estimator'!$A$10:$AA$226,X$2,FALSE)</f>
        <v>Unclassified</v>
      </c>
      <c r="Y137" s="509" t="str">
        <f>IF(VLOOKUP($A137,'Pre-Assessment Estimator'!$A$10:$AA$226,Y$2,FALSE)=0,"",VLOOKUP($A137,'Pre-Assessment Estimator'!$A$10:$AA$226,Y$2,FALSE))</f>
        <v/>
      </c>
      <c r="Z137" s="509" t="str">
        <f>IF(VLOOKUP($A137,'Pre-Assessment Estimator'!$A$10:$AA$226,Z$2,FALSE)=0,"",VLOOKUP($A137,'Pre-Assessment Estimator'!$A$10:$AA$226,Z$2,FALSE))</f>
        <v/>
      </c>
      <c r="AA137" s="322" t="str">
        <f>IF(VLOOKUP($A137,'Pre-Assessment Estimator'!$A$10:$AA$226,AA$2,FALSE)=0,"",VLOOKUP($A137,'Pre-Assessment Estimator'!$A$10:$AA$226,AA$2,FALSE))</f>
        <v/>
      </c>
      <c r="AB137" s="605">
        <v>127</v>
      </c>
      <c r="AC137" s="509"/>
      <c r="AG137" s="15">
        <f t="shared" si="2"/>
        <v>1</v>
      </c>
    </row>
    <row r="138" spans="1:33" x14ac:dyDescent="0.25">
      <c r="A138" s="716">
        <v>129</v>
      </c>
      <c r="B138" s="1022" t="s">
        <v>67</v>
      </c>
      <c r="C138" s="1022"/>
      <c r="D138" s="1044" t="str">
        <f>VLOOKUP($A138,'Pre-Assessment Estimator'!$A$10:$AA$226,D$2,FALSE)</f>
        <v>Mat 06</v>
      </c>
      <c r="E138" s="1044" t="str">
        <f>VLOOKUP($A138,'Pre-Assessment Estimator'!$A$10:$AA$226,E$2,FALSE)</f>
        <v>1-3</v>
      </c>
      <c r="F138" s="1071" t="str">
        <f>VLOOKUP($A138,'Pre-Assessment Estimator'!$A$10:$AA$226,F$2,FALSE)</f>
        <v>Mapping for component reuse and implementation</v>
      </c>
      <c r="G138" s="506">
        <f>VLOOKUP($A138,'Pre-Assessment Estimator'!$A$10:$AA$226,G$2,FALSE)</f>
        <v>1</v>
      </c>
      <c r="H138" s="512" t="str">
        <f>IF(VLOOKUP($A138,'Pre-Assessment Estimator'!$A$10:$AA$226,H$2,FALSE)=0,"",VLOOKUP($A138,'Pre-Assessment Estimator'!$A$10:$AA$226,H$2,FALSE))</f>
        <v/>
      </c>
      <c r="I138" s="1012">
        <f>VLOOKUP($A138,'Pre-Assessment Estimator'!$A$10:$AA$226,I$2,FALSE)</f>
        <v>0</v>
      </c>
      <c r="J138" s="508" t="str">
        <f>VLOOKUP($A138,'Pre-Assessment Estimator'!$A$10:$AA$226,J$2,FALSE)</f>
        <v>Unclassified</v>
      </c>
      <c r="K138" s="509" t="str">
        <f>IF(VLOOKUP($A138,'Pre-Assessment Estimator'!$A$10:$AA$226,K$2,FALSE)=0,"",VLOOKUP($A138,'Pre-Assessment Estimator'!$A$10:$AA$226,K$2,FALSE))</f>
        <v/>
      </c>
      <c r="L138" s="509" t="str">
        <f>IF(VLOOKUP($A138,'Pre-Assessment Estimator'!$A$10:$AA$226,L$2,FALSE)=0,"",VLOOKUP($A138,'Pre-Assessment Estimator'!$A$10:$AA$226,L$2,FALSE))</f>
        <v/>
      </c>
      <c r="M138" s="510" t="str">
        <f>IF(VLOOKUP($A138,'Pre-Assessment Estimator'!$A$10:$AA$226,M$2,FALSE)=0,"",VLOOKUP($A138,'Pre-Assessment Estimator'!$A$10:$AA$226,M$2,FALSE))</f>
        <v/>
      </c>
      <c r="N138" s="511"/>
      <c r="O138" s="512" t="str">
        <f>IF(VLOOKUP($A138,'Pre-Assessment Estimator'!$A$10:$AA$226,O$2,FALSE)=0,"",VLOOKUP($A138,'Pre-Assessment Estimator'!$A$10:$AA$226,O$2,FALSE))</f>
        <v/>
      </c>
      <c r="P138" s="507">
        <f>VLOOKUP($A138,'Pre-Assessment Estimator'!$A$10:$AA$226,P$2,FALSE)</f>
        <v>0</v>
      </c>
      <c r="Q138" s="506" t="str">
        <f>VLOOKUP($A138,'Pre-Assessment Estimator'!$A$10:$AA$226,Q$2,FALSE)</f>
        <v>Unclassified</v>
      </c>
      <c r="R138" s="509" t="str">
        <f>IF(VLOOKUP($A138,'Pre-Assessment Estimator'!$A$10:$AA$226,R$2,FALSE)=0,"",VLOOKUP($A138,'Pre-Assessment Estimator'!$A$10:$AA$226,R$2,FALSE))</f>
        <v/>
      </c>
      <c r="S138" s="509" t="str">
        <f>IF(VLOOKUP($A138,'Pre-Assessment Estimator'!$A$10:$AA$226,S$2,FALSE)=0,"",VLOOKUP($A138,'Pre-Assessment Estimator'!$A$10:$AA$226,S$2,FALSE))</f>
        <v/>
      </c>
      <c r="T138" s="510" t="str">
        <f>IF(VLOOKUP($A138,'Pre-Assessment Estimator'!$A$10:$AA$226,T$2,FALSE)=0,"",VLOOKUP($A138,'Pre-Assessment Estimator'!$A$10:$AA$226,T$2,FALSE))</f>
        <v/>
      </c>
      <c r="U138" s="513"/>
      <c r="V138" s="512" t="str">
        <f>IF(VLOOKUP($A138,'Pre-Assessment Estimator'!$A$10:$AA$226,V$2,FALSE)=0,"",VLOOKUP($A138,'Pre-Assessment Estimator'!$A$10:$AA$226,V$2,FALSE))</f>
        <v/>
      </c>
      <c r="W138" s="507">
        <f>VLOOKUP($A138,'Pre-Assessment Estimator'!$A$10:$AA$226,W$2,FALSE)</f>
        <v>0</v>
      </c>
      <c r="X138" s="506" t="str">
        <f>VLOOKUP($A138,'Pre-Assessment Estimator'!$A$10:$AA$226,X$2,FALSE)</f>
        <v>Unclassified</v>
      </c>
      <c r="Y138" s="509" t="str">
        <f>IF(VLOOKUP($A138,'Pre-Assessment Estimator'!$A$10:$AA$226,Y$2,FALSE)=0,"",VLOOKUP($A138,'Pre-Assessment Estimator'!$A$10:$AA$226,Y$2,FALSE))</f>
        <v/>
      </c>
      <c r="Z138" s="509" t="str">
        <f>IF(VLOOKUP($A138,'Pre-Assessment Estimator'!$A$10:$AA$226,Z$2,FALSE)=0,"",VLOOKUP($A138,'Pre-Assessment Estimator'!$A$10:$AA$226,Z$2,FALSE))</f>
        <v/>
      </c>
      <c r="AA138" s="322" t="str">
        <f>IF(VLOOKUP($A138,'Pre-Assessment Estimator'!$A$10:$AA$226,AA$2,FALSE)=0,"",VLOOKUP($A138,'Pre-Assessment Estimator'!$A$10:$AA$226,AA$2,FALSE))</f>
        <v/>
      </c>
      <c r="AB138" s="605">
        <v>128</v>
      </c>
      <c r="AC138" s="509"/>
      <c r="AG138" s="15">
        <f t="shared" si="2"/>
        <v>1</v>
      </c>
    </row>
    <row r="139" spans="1:33" x14ac:dyDescent="0.25">
      <c r="A139" s="716">
        <v>130</v>
      </c>
      <c r="B139" s="1022" t="s">
        <v>67</v>
      </c>
      <c r="C139" s="1022"/>
      <c r="D139" s="1044" t="str">
        <f>VLOOKUP($A139,'Pre-Assessment Estimator'!$A$10:$AA$226,D$2,FALSE)</f>
        <v>Mat 06</v>
      </c>
      <c r="E139" s="1044">
        <f>VLOOKUP($A139,'Pre-Assessment Estimator'!$A$10:$AA$226,E$2,FALSE)</f>
        <v>4</v>
      </c>
      <c r="F139" s="1045" t="str">
        <f>VLOOKUP($A139,'Pre-Assessment Estimator'!$A$10:$AA$226,F$2,FALSE)</f>
        <v>Material efficency</v>
      </c>
      <c r="G139" s="506">
        <f>VLOOKUP($A139,'Pre-Assessment Estimator'!$A$10:$AA$226,G$2,FALSE)</f>
        <v>1</v>
      </c>
      <c r="H139" s="512" t="str">
        <f>IF(VLOOKUP($A139,'Pre-Assessment Estimator'!$A$10:$AA$226,H$2,FALSE)=0,"",VLOOKUP($A139,'Pre-Assessment Estimator'!$A$10:$AA$226,H$2,FALSE))</f>
        <v/>
      </c>
      <c r="I139" s="1012">
        <f>VLOOKUP($A139,'Pre-Assessment Estimator'!$A$10:$AA$226,I$2,FALSE)</f>
        <v>0</v>
      </c>
      <c r="J139" s="508" t="str">
        <f>VLOOKUP($A139,'Pre-Assessment Estimator'!$A$10:$AA$226,J$2,FALSE)</f>
        <v>N/A</v>
      </c>
      <c r="K139" s="509" t="str">
        <f>IF(VLOOKUP($A139,'Pre-Assessment Estimator'!$A$10:$AA$226,K$2,FALSE)=0,"",VLOOKUP($A139,'Pre-Assessment Estimator'!$A$10:$AA$226,K$2,FALSE))</f>
        <v/>
      </c>
      <c r="L139" s="509" t="str">
        <f>IF(VLOOKUP($A139,'Pre-Assessment Estimator'!$A$10:$AA$226,L$2,FALSE)=0,"",VLOOKUP($A139,'Pre-Assessment Estimator'!$A$10:$AA$226,L$2,FALSE))</f>
        <v/>
      </c>
      <c r="M139" s="510" t="str">
        <f>IF(VLOOKUP($A139,'Pre-Assessment Estimator'!$A$10:$AA$226,M$2,FALSE)=0,"",VLOOKUP($A139,'Pre-Assessment Estimator'!$A$10:$AA$226,M$2,FALSE))</f>
        <v/>
      </c>
      <c r="N139" s="511"/>
      <c r="O139" s="512" t="str">
        <f>IF(VLOOKUP($A139,'Pre-Assessment Estimator'!$A$10:$AA$226,O$2,FALSE)=0,"",VLOOKUP($A139,'Pre-Assessment Estimator'!$A$10:$AA$226,O$2,FALSE))</f>
        <v/>
      </c>
      <c r="P139" s="507">
        <f>VLOOKUP($A139,'Pre-Assessment Estimator'!$A$10:$AA$226,P$2,FALSE)</f>
        <v>0</v>
      </c>
      <c r="Q139" s="506" t="str">
        <f>VLOOKUP($A139,'Pre-Assessment Estimator'!$A$10:$AA$226,Q$2,FALSE)</f>
        <v>N/A</v>
      </c>
      <c r="R139" s="509" t="str">
        <f>IF(VLOOKUP($A139,'Pre-Assessment Estimator'!$A$10:$AA$226,R$2,FALSE)=0,"",VLOOKUP($A139,'Pre-Assessment Estimator'!$A$10:$AA$226,R$2,FALSE))</f>
        <v/>
      </c>
      <c r="S139" s="509" t="str">
        <f>IF(VLOOKUP($A139,'Pre-Assessment Estimator'!$A$10:$AA$226,S$2,FALSE)=0,"",VLOOKUP($A139,'Pre-Assessment Estimator'!$A$10:$AA$226,S$2,FALSE))</f>
        <v/>
      </c>
      <c r="T139" s="510" t="str">
        <f>IF(VLOOKUP($A139,'Pre-Assessment Estimator'!$A$10:$AA$226,T$2,FALSE)=0,"",VLOOKUP($A139,'Pre-Assessment Estimator'!$A$10:$AA$226,T$2,FALSE))</f>
        <v/>
      </c>
      <c r="U139" s="513"/>
      <c r="V139" s="512" t="str">
        <f>IF(VLOOKUP($A139,'Pre-Assessment Estimator'!$A$10:$AA$226,V$2,FALSE)=0,"",VLOOKUP($A139,'Pre-Assessment Estimator'!$A$10:$AA$226,V$2,FALSE))</f>
        <v/>
      </c>
      <c r="W139" s="507">
        <f>VLOOKUP($A139,'Pre-Assessment Estimator'!$A$10:$AA$226,W$2,FALSE)</f>
        <v>0</v>
      </c>
      <c r="X139" s="506" t="str">
        <f>VLOOKUP($A139,'Pre-Assessment Estimator'!$A$10:$AA$226,X$2,FALSE)</f>
        <v>N/A</v>
      </c>
      <c r="Y139" s="509" t="str">
        <f>IF(VLOOKUP($A139,'Pre-Assessment Estimator'!$A$10:$AA$226,Y$2,FALSE)=0,"",VLOOKUP($A139,'Pre-Assessment Estimator'!$A$10:$AA$226,Y$2,FALSE))</f>
        <v/>
      </c>
      <c r="Z139" s="509" t="str">
        <f>IF(VLOOKUP($A139,'Pre-Assessment Estimator'!$A$10:$AA$226,Z$2,FALSE)=0,"",VLOOKUP($A139,'Pre-Assessment Estimator'!$A$10:$AA$226,Z$2,FALSE))</f>
        <v/>
      </c>
      <c r="AA139" s="322" t="str">
        <f>IF(VLOOKUP($A139,'Pre-Assessment Estimator'!$A$10:$AA$226,AA$2,FALSE)=0,"",VLOOKUP($A139,'Pre-Assessment Estimator'!$A$10:$AA$226,AA$2,FALSE))</f>
        <v/>
      </c>
      <c r="AB139" s="605">
        <v>129</v>
      </c>
      <c r="AC139" s="509" t="str">
        <f>IF(VLOOKUP($A139,'Pre-Assessment Estimator'!$A$10:$AC$226,AC$2,FALSE)=0,"",VLOOKUP($A139,'Pre-Assessment Estimator'!$A$10:$AC$226,AC$2,FALSE))</f>
        <v>N/A</v>
      </c>
      <c r="AG139" s="15">
        <f t="shared" si="2"/>
        <v>1</v>
      </c>
    </row>
    <row r="140" spans="1:33" x14ac:dyDescent="0.25">
      <c r="A140" s="716">
        <v>131</v>
      </c>
      <c r="B140" s="1022" t="s">
        <v>67</v>
      </c>
      <c r="C140" s="1022"/>
      <c r="D140" s="1044" t="str">
        <f>VLOOKUP($A140,'Pre-Assessment Estimator'!$A$10:$AA$226,D$2,FALSE)</f>
        <v>Mat 06</v>
      </c>
      <c r="E140" s="1044">
        <f>VLOOKUP($A140,'Pre-Assessment Estimator'!$A$10:$AA$226,E$2,FALSE)</f>
        <v>5</v>
      </c>
      <c r="F140" s="1045" t="str">
        <f>VLOOKUP($A140,'Pre-Assessment Estimator'!$A$10:$AA$226,F$2,FALSE)</f>
        <v>Reuse of extern building components</v>
      </c>
      <c r="G140" s="506">
        <f>VLOOKUP($A140,'Pre-Assessment Estimator'!$A$10:$AA$226,G$2,FALSE)</f>
        <v>1</v>
      </c>
      <c r="H140" s="512" t="str">
        <f>IF(VLOOKUP($A140,'Pre-Assessment Estimator'!$A$10:$AA$226,H$2,FALSE)=0,"",VLOOKUP($A140,'Pre-Assessment Estimator'!$A$10:$AA$226,H$2,FALSE))</f>
        <v/>
      </c>
      <c r="I140" s="1012">
        <f>VLOOKUP($A140,'Pre-Assessment Estimator'!$A$10:$AA$226,I$2,FALSE)</f>
        <v>0</v>
      </c>
      <c r="J140" s="508" t="str">
        <f>VLOOKUP($A140,'Pre-Assessment Estimator'!$A$10:$AA$226,J$2,FALSE)</f>
        <v>N/A</v>
      </c>
      <c r="K140" s="509" t="str">
        <f>IF(VLOOKUP($A140,'Pre-Assessment Estimator'!$A$10:$AA$226,K$2,FALSE)=0,"",VLOOKUP($A140,'Pre-Assessment Estimator'!$A$10:$AA$226,K$2,FALSE))</f>
        <v/>
      </c>
      <c r="L140" s="509" t="str">
        <f>IF(VLOOKUP($A140,'Pre-Assessment Estimator'!$A$10:$AA$226,L$2,FALSE)=0,"",VLOOKUP($A140,'Pre-Assessment Estimator'!$A$10:$AA$226,L$2,FALSE))</f>
        <v/>
      </c>
      <c r="M140" s="510" t="str">
        <f>IF(VLOOKUP($A140,'Pre-Assessment Estimator'!$A$10:$AA$226,M$2,FALSE)=0,"",VLOOKUP($A140,'Pre-Assessment Estimator'!$A$10:$AA$226,M$2,FALSE))</f>
        <v/>
      </c>
      <c r="N140" s="511"/>
      <c r="O140" s="512" t="str">
        <f>IF(VLOOKUP($A140,'Pre-Assessment Estimator'!$A$10:$AA$226,O$2,FALSE)=0,"",VLOOKUP($A140,'Pre-Assessment Estimator'!$A$10:$AA$226,O$2,FALSE))</f>
        <v/>
      </c>
      <c r="P140" s="507">
        <f>VLOOKUP($A140,'Pre-Assessment Estimator'!$A$10:$AA$226,P$2,FALSE)</f>
        <v>0</v>
      </c>
      <c r="Q140" s="506" t="str">
        <f>VLOOKUP($A140,'Pre-Assessment Estimator'!$A$10:$AA$226,Q$2,FALSE)</f>
        <v>N/A</v>
      </c>
      <c r="R140" s="509" t="str">
        <f>IF(VLOOKUP($A140,'Pre-Assessment Estimator'!$A$10:$AA$226,R$2,FALSE)=0,"",VLOOKUP($A140,'Pre-Assessment Estimator'!$A$10:$AA$226,R$2,FALSE))</f>
        <v/>
      </c>
      <c r="S140" s="509" t="str">
        <f>IF(VLOOKUP($A140,'Pre-Assessment Estimator'!$A$10:$AA$226,S$2,FALSE)=0,"",VLOOKUP($A140,'Pre-Assessment Estimator'!$A$10:$AA$226,S$2,FALSE))</f>
        <v/>
      </c>
      <c r="T140" s="510" t="str">
        <f>IF(VLOOKUP($A140,'Pre-Assessment Estimator'!$A$10:$AA$226,T$2,FALSE)=0,"",VLOOKUP($A140,'Pre-Assessment Estimator'!$A$10:$AA$226,T$2,FALSE))</f>
        <v/>
      </c>
      <c r="U140" s="513"/>
      <c r="V140" s="512" t="str">
        <f>IF(VLOOKUP($A140,'Pre-Assessment Estimator'!$A$10:$AA$226,V$2,FALSE)=0,"",VLOOKUP($A140,'Pre-Assessment Estimator'!$A$10:$AA$226,V$2,FALSE))</f>
        <v/>
      </c>
      <c r="W140" s="507">
        <f>VLOOKUP($A140,'Pre-Assessment Estimator'!$A$10:$AA$226,W$2,FALSE)</f>
        <v>0</v>
      </c>
      <c r="X140" s="506" t="str">
        <f>VLOOKUP($A140,'Pre-Assessment Estimator'!$A$10:$AA$226,X$2,FALSE)</f>
        <v>N/A</v>
      </c>
      <c r="Y140" s="509" t="str">
        <f>IF(VLOOKUP($A140,'Pre-Assessment Estimator'!$A$10:$AA$226,Y$2,FALSE)=0,"",VLOOKUP($A140,'Pre-Assessment Estimator'!$A$10:$AA$226,Y$2,FALSE))</f>
        <v/>
      </c>
      <c r="Z140" s="509" t="str">
        <f>IF(VLOOKUP($A140,'Pre-Assessment Estimator'!$A$10:$AA$226,Z$2,FALSE)=0,"",VLOOKUP($A140,'Pre-Assessment Estimator'!$A$10:$AA$226,Z$2,FALSE))</f>
        <v/>
      </c>
      <c r="AA140" s="322" t="str">
        <f>IF(VLOOKUP($A140,'Pre-Assessment Estimator'!$A$10:$AA$226,AA$2,FALSE)=0,"",VLOOKUP($A140,'Pre-Assessment Estimator'!$A$10:$AA$226,AA$2,FALSE))</f>
        <v/>
      </c>
      <c r="AB140" s="605">
        <v>130</v>
      </c>
      <c r="AC140" s="509" t="str">
        <f>IF(VLOOKUP($A140,'Pre-Assessment Estimator'!$A$10:$AC$226,AC$2,FALSE)=0,"",VLOOKUP($A140,'Pre-Assessment Estimator'!$A$10:$AC$226,AC$2,FALSE))</f>
        <v>N/A</v>
      </c>
      <c r="AG140" s="15">
        <f t="shared" si="2"/>
        <v>1</v>
      </c>
    </row>
    <row r="141" spans="1:33" x14ac:dyDescent="0.25">
      <c r="A141" s="716">
        <v>132</v>
      </c>
      <c r="B141" s="1022" t="s">
        <v>67</v>
      </c>
      <c r="C141" s="1022"/>
      <c r="D141" s="1043" t="str">
        <f>VLOOKUP($A141,'Pre-Assessment Estimator'!$A$10:$AA$226,D$2,FALSE)</f>
        <v>Mat 07</v>
      </c>
      <c r="E141" s="1044"/>
      <c r="F141" s="1043" t="str">
        <f>VLOOKUP($A141,'Pre-Assessment Estimator'!$A$10:$AA$226,F$2,FALSE)</f>
        <v>Mat 07 Design for disassembly and adaptability</v>
      </c>
      <c r="G141" s="506">
        <f>VLOOKUP($A141,'Pre-Assessment Estimator'!$A$10:$AA$226,G$2,FALSE)</f>
        <v>3</v>
      </c>
      <c r="H141" s="512" t="str">
        <f>IF(VLOOKUP($A141,'Pre-Assessment Estimator'!$A$10:$AA$226,H$2,FALSE)=0,"",VLOOKUP($A141,'Pre-Assessment Estimator'!$A$10:$AA$226,H$2,FALSE))</f>
        <v/>
      </c>
      <c r="I141" s="1012" t="str">
        <f>VLOOKUP($A141,'Pre-Assessment Estimator'!$A$10:$AA$226,I$2,FALSE)</f>
        <v>0 c. 0 %</v>
      </c>
      <c r="J141" s="508" t="str">
        <f>VLOOKUP($A141,'Pre-Assessment Estimator'!$A$10:$AA$226,J$2,FALSE)</f>
        <v>N/A</v>
      </c>
      <c r="K141" s="509" t="str">
        <f>IF(VLOOKUP($A141,'Pre-Assessment Estimator'!$A$10:$AA$226,K$2,FALSE)=0,"",VLOOKUP($A141,'Pre-Assessment Estimator'!$A$10:$AA$226,K$2,FALSE))</f>
        <v/>
      </c>
      <c r="L141" s="509" t="str">
        <f>IF(VLOOKUP($A141,'Pre-Assessment Estimator'!$A$10:$AA$226,L$2,FALSE)=0,"",VLOOKUP($A141,'Pre-Assessment Estimator'!$A$10:$AA$226,L$2,FALSE))</f>
        <v/>
      </c>
      <c r="M141" s="510" t="str">
        <f>IF(VLOOKUP($A141,'Pre-Assessment Estimator'!$A$10:$AA$226,M$2,FALSE)=0,"",VLOOKUP($A141,'Pre-Assessment Estimator'!$A$10:$AA$226,M$2,FALSE))</f>
        <v/>
      </c>
      <c r="N141" s="511"/>
      <c r="O141" s="512" t="str">
        <f>IF(VLOOKUP($A141,'Pre-Assessment Estimator'!$A$10:$AA$226,O$2,FALSE)=0,"",VLOOKUP($A141,'Pre-Assessment Estimator'!$A$10:$AA$226,O$2,FALSE))</f>
        <v/>
      </c>
      <c r="P141" s="507" t="str">
        <f>VLOOKUP($A141,'Pre-Assessment Estimator'!$A$10:$AA$226,P$2,FALSE)</f>
        <v>0 c. 0 %</v>
      </c>
      <c r="Q141" s="506" t="str">
        <f>VLOOKUP($A141,'Pre-Assessment Estimator'!$A$10:$AA$226,Q$2,FALSE)</f>
        <v>N/A</v>
      </c>
      <c r="R141" s="509" t="str">
        <f>IF(VLOOKUP($A141,'Pre-Assessment Estimator'!$A$10:$AA$226,R$2,FALSE)=0,"",VLOOKUP($A141,'Pre-Assessment Estimator'!$A$10:$AA$226,R$2,FALSE))</f>
        <v/>
      </c>
      <c r="S141" s="509" t="str">
        <f>IF(VLOOKUP($A141,'Pre-Assessment Estimator'!$A$10:$AA$226,S$2,FALSE)=0,"",VLOOKUP($A141,'Pre-Assessment Estimator'!$A$10:$AA$226,S$2,FALSE))</f>
        <v/>
      </c>
      <c r="T141" s="510" t="str">
        <f>IF(VLOOKUP($A141,'Pre-Assessment Estimator'!$A$10:$AA$226,T$2,FALSE)=0,"",VLOOKUP($A141,'Pre-Assessment Estimator'!$A$10:$AA$226,T$2,FALSE))</f>
        <v/>
      </c>
      <c r="U141" s="513"/>
      <c r="V141" s="512" t="str">
        <f>IF(VLOOKUP($A141,'Pre-Assessment Estimator'!$A$10:$AA$226,V$2,FALSE)=0,"",VLOOKUP($A141,'Pre-Assessment Estimator'!$A$10:$AA$226,V$2,FALSE))</f>
        <v/>
      </c>
      <c r="W141" s="507" t="str">
        <f>VLOOKUP($A141,'Pre-Assessment Estimator'!$A$10:$AA$226,W$2,FALSE)</f>
        <v>0 c. 0 %</v>
      </c>
      <c r="X141" s="506" t="str">
        <f>VLOOKUP($A141,'Pre-Assessment Estimator'!$A$10:$AA$226,X$2,FALSE)</f>
        <v>N/A</v>
      </c>
      <c r="Y141" s="509" t="str">
        <f>IF(VLOOKUP($A141,'Pre-Assessment Estimator'!$A$10:$AA$226,Y$2,FALSE)=0,"",VLOOKUP($A141,'Pre-Assessment Estimator'!$A$10:$AA$226,Y$2,FALSE))</f>
        <v/>
      </c>
      <c r="Z141" s="509" t="str">
        <f>IF(VLOOKUP($A141,'Pre-Assessment Estimator'!$A$10:$AA$226,Z$2,FALSE)=0,"",VLOOKUP($A141,'Pre-Assessment Estimator'!$A$10:$AA$226,Z$2,FALSE))</f>
        <v/>
      </c>
      <c r="AA141" s="322" t="str">
        <f>IF(VLOOKUP($A141,'Pre-Assessment Estimator'!$A$10:$AA$226,AA$2,FALSE)=0,"",VLOOKUP($A141,'Pre-Assessment Estimator'!$A$10:$AA$226,AA$2,FALSE))</f>
        <v/>
      </c>
      <c r="AB141" s="605">
        <v>131</v>
      </c>
      <c r="AC141" s="509"/>
      <c r="AG141" s="15">
        <f t="shared" si="2"/>
        <v>1</v>
      </c>
    </row>
    <row r="142" spans="1:33" x14ac:dyDescent="0.25">
      <c r="A142" s="716">
        <v>133</v>
      </c>
      <c r="B142" s="1022" t="s">
        <v>67</v>
      </c>
      <c r="C142" s="1022"/>
      <c r="D142" s="1044" t="str">
        <f>VLOOKUP($A142,'Pre-Assessment Estimator'!$A$10:$AA$226,D$2,FALSE)</f>
        <v>Mat 07</v>
      </c>
      <c r="E142" s="1044">
        <f>VLOOKUP($A142,'Pre-Assessment Estimator'!$A$10:$AA$226,E$2,FALSE)</f>
        <v>1</v>
      </c>
      <c r="F142" s="1045" t="str">
        <f>VLOOKUP($A142,'Pre-Assessment Estimator'!$A$10:$AA$226,F$2,FALSE)</f>
        <v>Resource inventory</v>
      </c>
      <c r="G142" s="506">
        <f>VLOOKUP($A142,'Pre-Assessment Estimator'!$A$10:$AA$226,G$2,FALSE)</f>
        <v>1</v>
      </c>
      <c r="H142" s="512" t="str">
        <f>IF(VLOOKUP($A142,'Pre-Assessment Estimator'!$A$10:$AA$226,H$2,FALSE)=0,"",VLOOKUP($A142,'Pre-Assessment Estimator'!$A$10:$AA$226,H$2,FALSE))</f>
        <v/>
      </c>
      <c r="I142" s="1012">
        <f>VLOOKUP($A142,'Pre-Assessment Estimator'!$A$10:$AA$226,I$2,FALSE)</f>
        <v>0</v>
      </c>
      <c r="J142" s="508" t="str">
        <f>VLOOKUP($A142,'Pre-Assessment Estimator'!$A$10:$AA$226,J$2,FALSE)</f>
        <v>N/A</v>
      </c>
      <c r="K142" s="509" t="str">
        <f>IF(VLOOKUP($A142,'Pre-Assessment Estimator'!$A$10:$AA$226,K$2,FALSE)=0,"",VLOOKUP($A142,'Pre-Assessment Estimator'!$A$10:$AA$226,K$2,FALSE))</f>
        <v/>
      </c>
      <c r="L142" s="509" t="str">
        <f>IF(VLOOKUP($A142,'Pre-Assessment Estimator'!$A$10:$AA$226,L$2,FALSE)=0,"",VLOOKUP($A142,'Pre-Assessment Estimator'!$A$10:$AA$226,L$2,FALSE))</f>
        <v/>
      </c>
      <c r="M142" s="510" t="str">
        <f>IF(VLOOKUP($A142,'Pre-Assessment Estimator'!$A$10:$AA$226,M$2,FALSE)=0,"",VLOOKUP($A142,'Pre-Assessment Estimator'!$A$10:$AA$226,M$2,FALSE))</f>
        <v/>
      </c>
      <c r="N142" s="511"/>
      <c r="O142" s="512" t="str">
        <f>IF(VLOOKUP($A142,'Pre-Assessment Estimator'!$A$10:$AA$226,O$2,FALSE)=0,"",VLOOKUP($A142,'Pre-Assessment Estimator'!$A$10:$AA$226,O$2,FALSE))</f>
        <v/>
      </c>
      <c r="P142" s="507">
        <f>VLOOKUP($A142,'Pre-Assessment Estimator'!$A$10:$AA$226,P$2,FALSE)</f>
        <v>0</v>
      </c>
      <c r="Q142" s="506" t="str">
        <f>VLOOKUP($A142,'Pre-Assessment Estimator'!$A$10:$AA$226,Q$2,FALSE)</f>
        <v>N/A</v>
      </c>
      <c r="R142" s="509" t="str">
        <f>IF(VLOOKUP($A142,'Pre-Assessment Estimator'!$A$10:$AA$226,R$2,FALSE)=0,"",VLOOKUP($A142,'Pre-Assessment Estimator'!$A$10:$AA$226,R$2,FALSE))</f>
        <v/>
      </c>
      <c r="S142" s="509" t="str">
        <f>IF(VLOOKUP($A142,'Pre-Assessment Estimator'!$A$10:$AA$226,S$2,FALSE)=0,"",VLOOKUP($A142,'Pre-Assessment Estimator'!$A$10:$AA$226,S$2,FALSE))</f>
        <v/>
      </c>
      <c r="T142" s="510" t="str">
        <f>IF(VLOOKUP($A142,'Pre-Assessment Estimator'!$A$10:$AA$226,T$2,FALSE)=0,"",VLOOKUP($A142,'Pre-Assessment Estimator'!$A$10:$AA$226,T$2,FALSE))</f>
        <v/>
      </c>
      <c r="U142" s="513"/>
      <c r="V142" s="512" t="str">
        <f>IF(VLOOKUP($A142,'Pre-Assessment Estimator'!$A$10:$AA$226,V$2,FALSE)=0,"",VLOOKUP($A142,'Pre-Assessment Estimator'!$A$10:$AA$226,V$2,FALSE))</f>
        <v/>
      </c>
      <c r="W142" s="507">
        <f>VLOOKUP($A142,'Pre-Assessment Estimator'!$A$10:$AA$226,W$2,FALSE)</f>
        <v>0</v>
      </c>
      <c r="X142" s="506" t="str">
        <f>VLOOKUP($A142,'Pre-Assessment Estimator'!$A$10:$AA$226,X$2,FALSE)</f>
        <v>N/A</v>
      </c>
      <c r="Y142" s="509" t="str">
        <f>IF(VLOOKUP($A142,'Pre-Assessment Estimator'!$A$10:$AA$226,Y$2,FALSE)=0,"",VLOOKUP($A142,'Pre-Assessment Estimator'!$A$10:$AA$226,Y$2,FALSE))</f>
        <v/>
      </c>
      <c r="Z142" s="509" t="str">
        <f>IF(VLOOKUP($A142,'Pre-Assessment Estimator'!$A$10:$AA$226,Z$2,FALSE)=0,"",VLOOKUP($A142,'Pre-Assessment Estimator'!$A$10:$AA$226,Z$2,FALSE))</f>
        <v/>
      </c>
      <c r="AA142" s="322" t="str">
        <f>IF(VLOOKUP($A142,'Pre-Assessment Estimator'!$A$10:$AA$226,AA$2,FALSE)=0,"",VLOOKUP($A142,'Pre-Assessment Estimator'!$A$10:$AA$226,AA$2,FALSE))</f>
        <v/>
      </c>
      <c r="AB142" s="605">
        <v>132</v>
      </c>
      <c r="AC142" s="509"/>
      <c r="AG142" s="15">
        <f t="shared" si="2"/>
        <v>1</v>
      </c>
    </row>
    <row r="143" spans="1:33" ht="30" x14ac:dyDescent="0.25">
      <c r="A143" s="716">
        <v>134</v>
      </c>
      <c r="B143" s="1022" t="s">
        <v>67</v>
      </c>
      <c r="C143" s="1022"/>
      <c r="D143" s="1044" t="str">
        <f>VLOOKUP($A143,'Pre-Assessment Estimator'!$A$10:$AA$226,D$2,FALSE)</f>
        <v>Mat 07</v>
      </c>
      <c r="E143" s="1044" t="str">
        <f>VLOOKUP($A143,'Pre-Assessment Estimator'!$A$10:$AA$226,E$2,FALSE)</f>
        <v>2-3</v>
      </c>
      <c r="F143" s="1045" t="str">
        <f>VLOOKUP($A143,'Pre-Assessment Estimator'!$A$10:$AA$226,F$2,FALSE)</f>
        <v>Design for disassembly and functional adaptability - recommendations (EU taxonomy requirement: criterion 2-3)</v>
      </c>
      <c r="G143" s="506">
        <f>VLOOKUP($A143,'Pre-Assessment Estimator'!$A$10:$AA$226,G$2,FALSE)</f>
        <v>1</v>
      </c>
      <c r="H143" s="512" t="str">
        <f>IF(VLOOKUP($A143,'Pre-Assessment Estimator'!$A$10:$AA$226,H$2,FALSE)=0,"",VLOOKUP($A143,'Pre-Assessment Estimator'!$A$10:$AA$226,H$2,FALSE))</f>
        <v/>
      </c>
      <c r="I143" s="1012">
        <f>VLOOKUP($A143,'Pre-Assessment Estimator'!$A$10:$AA$226,I$2,FALSE)</f>
        <v>0</v>
      </c>
      <c r="J143" s="508" t="str">
        <f>VLOOKUP($A143,'Pre-Assessment Estimator'!$A$10:$AA$226,J$2,FALSE)</f>
        <v>Very Good</v>
      </c>
      <c r="K143" s="509" t="str">
        <f>IF(VLOOKUP($A143,'Pre-Assessment Estimator'!$A$10:$AA$226,K$2,FALSE)=0,"",VLOOKUP($A143,'Pre-Assessment Estimator'!$A$10:$AA$226,K$2,FALSE))</f>
        <v/>
      </c>
      <c r="L143" s="509" t="str">
        <f>IF(VLOOKUP($A143,'Pre-Assessment Estimator'!$A$10:$AA$226,L$2,FALSE)=0,"",VLOOKUP($A143,'Pre-Assessment Estimator'!$A$10:$AA$226,L$2,FALSE))</f>
        <v/>
      </c>
      <c r="M143" s="510" t="str">
        <f>IF(VLOOKUP($A143,'Pre-Assessment Estimator'!$A$10:$AA$226,M$2,FALSE)=0,"",VLOOKUP($A143,'Pre-Assessment Estimator'!$A$10:$AA$226,M$2,FALSE))</f>
        <v/>
      </c>
      <c r="N143" s="511"/>
      <c r="O143" s="512" t="str">
        <f>IF(VLOOKUP($A143,'Pre-Assessment Estimator'!$A$10:$AA$226,O$2,FALSE)=0,"",VLOOKUP($A143,'Pre-Assessment Estimator'!$A$10:$AA$226,O$2,FALSE))</f>
        <v/>
      </c>
      <c r="P143" s="507">
        <f>VLOOKUP($A143,'Pre-Assessment Estimator'!$A$10:$AA$226,P$2,FALSE)</f>
        <v>0</v>
      </c>
      <c r="Q143" s="506" t="str">
        <f>VLOOKUP($A143,'Pre-Assessment Estimator'!$A$10:$AA$226,Q$2,FALSE)</f>
        <v>Very Good</v>
      </c>
      <c r="R143" s="509" t="str">
        <f>IF(VLOOKUP($A143,'Pre-Assessment Estimator'!$A$10:$AA$226,R$2,FALSE)=0,"",VLOOKUP($A143,'Pre-Assessment Estimator'!$A$10:$AA$226,R$2,FALSE))</f>
        <v/>
      </c>
      <c r="S143" s="509" t="str">
        <f>IF(VLOOKUP($A143,'Pre-Assessment Estimator'!$A$10:$AA$226,S$2,FALSE)=0,"",VLOOKUP($A143,'Pre-Assessment Estimator'!$A$10:$AA$226,S$2,FALSE))</f>
        <v/>
      </c>
      <c r="T143" s="510" t="str">
        <f>IF(VLOOKUP($A143,'Pre-Assessment Estimator'!$A$10:$AA$226,T$2,FALSE)=0,"",VLOOKUP($A143,'Pre-Assessment Estimator'!$A$10:$AA$226,T$2,FALSE))</f>
        <v/>
      </c>
      <c r="U143" s="513"/>
      <c r="V143" s="512" t="str">
        <f>IF(VLOOKUP($A143,'Pre-Assessment Estimator'!$A$10:$AA$226,V$2,FALSE)=0,"",VLOOKUP($A143,'Pre-Assessment Estimator'!$A$10:$AA$226,V$2,FALSE))</f>
        <v/>
      </c>
      <c r="W143" s="507">
        <f>VLOOKUP($A143,'Pre-Assessment Estimator'!$A$10:$AA$226,W$2,FALSE)</f>
        <v>0</v>
      </c>
      <c r="X143" s="506" t="str">
        <f>VLOOKUP($A143,'Pre-Assessment Estimator'!$A$10:$AA$226,X$2,FALSE)</f>
        <v>Very Good</v>
      </c>
      <c r="Y143" s="509" t="str">
        <f>IF(VLOOKUP($A143,'Pre-Assessment Estimator'!$A$10:$AA$226,Y$2,FALSE)=0,"",VLOOKUP($A143,'Pre-Assessment Estimator'!$A$10:$AA$226,Y$2,FALSE))</f>
        <v/>
      </c>
      <c r="Z143" s="509" t="str">
        <f>IF(VLOOKUP($A143,'Pre-Assessment Estimator'!$A$10:$AA$226,Z$2,FALSE)=0,"",VLOOKUP($A143,'Pre-Assessment Estimator'!$A$10:$AA$226,Z$2,FALSE))</f>
        <v/>
      </c>
      <c r="AA143" s="322" t="str">
        <f>IF(VLOOKUP($A143,'Pre-Assessment Estimator'!$A$10:$AA$226,AA$2,FALSE)=0,"",VLOOKUP($A143,'Pre-Assessment Estimator'!$A$10:$AA$226,AA$2,FALSE))</f>
        <v/>
      </c>
      <c r="AB143" s="605">
        <v>133</v>
      </c>
      <c r="AC143" s="509" t="str">
        <f>IF(VLOOKUP($A143,'Pre-Assessment Estimator'!$A$10:$AC$226,AC$2,FALSE)=0,"",VLOOKUP($A143,'Pre-Assessment Estimator'!$A$10:$AC$226,AC$2,FALSE))</f>
        <v>Very Good</v>
      </c>
      <c r="AG143" s="15">
        <f t="shared" si="2"/>
        <v>1</v>
      </c>
    </row>
    <row r="144" spans="1:33" ht="30" x14ac:dyDescent="0.25">
      <c r="A144" s="716">
        <v>135</v>
      </c>
      <c r="B144" s="1022" t="s">
        <v>67</v>
      </c>
      <c r="C144" s="1022"/>
      <c r="D144" s="1044" t="str">
        <f>VLOOKUP($A144,'Pre-Assessment Estimator'!$A$10:$AA$226,D$2,FALSE)</f>
        <v>Mat 07</v>
      </c>
      <c r="E144" s="1044" t="str">
        <f>VLOOKUP($A144,'Pre-Assessment Estimator'!$A$10:$AA$226,E$2,FALSE)</f>
        <v>4-6</v>
      </c>
      <c r="F144" s="1045" t="str">
        <f>VLOOKUP($A144,'Pre-Assessment Estimator'!$A$10:$AA$226,F$2,FALSE)</f>
        <v>Disassembly and functional adaptability - implementation (EU taxonomy requirement: criterion 4-6)</v>
      </c>
      <c r="G144" s="506">
        <f>VLOOKUP($A144,'Pre-Assessment Estimator'!$A$10:$AA$226,G$2,FALSE)</f>
        <v>1</v>
      </c>
      <c r="H144" s="512" t="str">
        <f>IF(VLOOKUP($A144,'Pre-Assessment Estimator'!$A$10:$AA$226,H$2,FALSE)=0,"",VLOOKUP($A144,'Pre-Assessment Estimator'!$A$10:$AA$226,H$2,FALSE))</f>
        <v/>
      </c>
      <c r="I144" s="1012">
        <f>VLOOKUP($A144,'Pre-Assessment Estimator'!$A$10:$AA$226,I$2,FALSE)</f>
        <v>0</v>
      </c>
      <c r="J144" s="508" t="str">
        <f>VLOOKUP($A144,'Pre-Assessment Estimator'!$A$10:$AA$226,J$2,FALSE)</f>
        <v>Very Good</v>
      </c>
      <c r="K144" s="509" t="str">
        <f>IF(VLOOKUP($A144,'Pre-Assessment Estimator'!$A$10:$AA$226,K$2,FALSE)=0,"",VLOOKUP($A144,'Pre-Assessment Estimator'!$A$10:$AA$226,K$2,FALSE))</f>
        <v/>
      </c>
      <c r="L144" s="509" t="str">
        <f>IF(VLOOKUP($A144,'Pre-Assessment Estimator'!$A$10:$AA$226,L$2,FALSE)=0,"",VLOOKUP($A144,'Pre-Assessment Estimator'!$A$10:$AA$226,L$2,FALSE))</f>
        <v/>
      </c>
      <c r="M144" s="510" t="str">
        <f>IF(VLOOKUP($A144,'Pre-Assessment Estimator'!$A$10:$AA$226,M$2,FALSE)=0,"",VLOOKUP($A144,'Pre-Assessment Estimator'!$A$10:$AA$226,M$2,FALSE))</f>
        <v/>
      </c>
      <c r="N144" s="511"/>
      <c r="O144" s="512" t="str">
        <f>IF(VLOOKUP($A144,'Pre-Assessment Estimator'!$A$10:$AA$226,O$2,FALSE)=0,"",VLOOKUP($A144,'Pre-Assessment Estimator'!$A$10:$AA$226,O$2,FALSE))</f>
        <v/>
      </c>
      <c r="P144" s="507">
        <f>VLOOKUP($A144,'Pre-Assessment Estimator'!$A$10:$AA$226,P$2,FALSE)</f>
        <v>0</v>
      </c>
      <c r="Q144" s="506" t="str">
        <f>VLOOKUP($A144,'Pre-Assessment Estimator'!$A$10:$AA$226,Q$2,FALSE)</f>
        <v>Very Good</v>
      </c>
      <c r="R144" s="509" t="str">
        <f>IF(VLOOKUP($A144,'Pre-Assessment Estimator'!$A$10:$AA$226,R$2,FALSE)=0,"",VLOOKUP($A144,'Pre-Assessment Estimator'!$A$10:$AA$226,R$2,FALSE))</f>
        <v/>
      </c>
      <c r="S144" s="509" t="str">
        <f>IF(VLOOKUP($A144,'Pre-Assessment Estimator'!$A$10:$AA$226,S$2,FALSE)=0,"",VLOOKUP($A144,'Pre-Assessment Estimator'!$A$10:$AA$226,S$2,FALSE))</f>
        <v/>
      </c>
      <c r="T144" s="510" t="str">
        <f>IF(VLOOKUP($A144,'Pre-Assessment Estimator'!$A$10:$AA$226,T$2,FALSE)=0,"",VLOOKUP($A144,'Pre-Assessment Estimator'!$A$10:$AA$226,T$2,FALSE))</f>
        <v/>
      </c>
      <c r="U144" s="513"/>
      <c r="V144" s="512" t="str">
        <f>IF(VLOOKUP($A144,'Pre-Assessment Estimator'!$A$10:$AA$226,V$2,FALSE)=0,"",VLOOKUP($A144,'Pre-Assessment Estimator'!$A$10:$AA$226,V$2,FALSE))</f>
        <v/>
      </c>
      <c r="W144" s="507">
        <f>VLOOKUP($A144,'Pre-Assessment Estimator'!$A$10:$AA$226,W$2,FALSE)</f>
        <v>0</v>
      </c>
      <c r="X144" s="506" t="str">
        <f>VLOOKUP($A144,'Pre-Assessment Estimator'!$A$10:$AA$226,X$2,FALSE)</f>
        <v>Very Good</v>
      </c>
      <c r="Y144" s="509" t="str">
        <f>IF(VLOOKUP($A144,'Pre-Assessment Estimator'!$A$10:$AA$226,Y$2,FALSE)=0,"",VLOOKUP($A144,'Pre-Assessment Estimator'!$A$10:$AA$226,Y$2,FALSE))</f>
        <v/>
      </c>
      <c r="Z144" s="509" t="str">
        <f>IF(VLOOKUP($A144,'Pre-Assessment Estimator'!$A$10:$AA$226,Z$2,FALSE)=0,"",VLOOKUP($A144,'Pre-Assessment Estimator'!$A$10:$AA$226,Z$2,FALSE))</f>
        <v/>
      </c>
      <c r="AA144" s="322" t="str">
        <f>IF(VLOOKUP($A144,'Pre-Assessment Estimator'!$A$10:$AA$226,AA$2,FALSE)=0,"",VLOOKUP($A144,'Pre-Assessment Estimator'!$A$10:$AA$226,AA$2,FALSE))</f>
        <v/>
      </c>
      <c r="AB144" s="605">
        <v>134</v>
      </c>
      <c r="AC144" s="517" t="str">
        <f>IF(VLOOKUP($A144,'Pre-Assessment Estimator'!$A$10:$AC$226,AC$2,FALSE)=0,"",VLOOKUP($A144,'Pre-Assessment Estimator'!$A$10:$AC$226,AC$2,FALSE))</f>
        <v>Very Good</v>
      </c>
      <c r="AG144" s="15">
        <f t="shared" si="2"/>
        <v>1</v>
      </c>
    </row>
    <row r="145" spans="1:33" ht="30" customHeight="1" thickBot="1" x14ac:dyDescent="0.3">
      <c r="A145" s="716">
        <v>136</v>
      </c>
      <c r="B145" s="1022" t="s">
        <v>68</v>
      </c>
      <c r="C145" s="1022"/>
      <c r="D145" s="1046"/>
      <c r="E145" s="1046"/>
      <c r="F145" s="1046" t="str">
        <f>VLOOKUP($A145,'Pre-Assessment Estimator'!$A$10:$AA$226,F$2,FALSE)</f>
        <v>Total performance materials</v>
      </c>
      <c r="G145" s="514">
        <f>VLOOKUP($A145,'Pre-Assessment Estimator'!$A$10:$AA$226,G$2,FALSE)</f>
        <v>21</v>
      </c>
      <c r="H145" s="516" t="str">
        <f>IF(VLOOKUP($A145,'Pre-Assessment Estimator'!$A$10:$AA$226,H$2,FALSE)=0,"",VLOOKUP($A145,'Pre-Assessment Estimator'!$A$10:$AA$226,H$2,FALSE))</f>
        <v/>
      </c>
      <c r="I145" s="515">
        <f>VLOOKUP($A145,'Pre-Assessment Estimator'!$A$10:$AA$226,I$2,FALSE)</f>
        <v>0</v>
      </c>
      <c r="J145" s="514" t="str">
        <f>VLOOKUP($A145,'Pre-Assessment Estimator'!$A$10:$AA$226,J$2,FALSE)</f>
        <v>Credits achieved: 0</v>
      </c>
      <c r="K145" s="994" t="str">
        <f>IF(VLOOKUP($A145,'Pre-Assessment Estimator'!$A$10:$AA$226,K$2,FALSE)=0,"",VLOOKUP($A145,'Pre-Assessment Estimator'!$A$10:$AA$226,K$2,FALSE))</f>
        <v/>
      </c>
      <c r="L145" s="994" t="str">
        <f>IF(VLOOKUP($A145,'Pre-Assessment Estimator'!$A$10:$AA$226,L$2,FALSE)=0,"",VLOOKUP($A145,'Pre-Assessment Estimator'!$A$10:$AA$226,L$2,FALSE))</f>
        <v/>
      </c>
      <c r="M145" s="1013" t="str">
        <f>IF(VLOOKUP($A145,'Pre-Assessment Estimator'!$A$10:$AA$226,M$2,FALSE)=0,"",VLOOKUP($A145,'Pre-Assessment Estimator'!$A$10:$AA$226,M$2,FALSE))</f>
        <v/>
      </c>
      <c r="N145" s="1014"/>
      <c r="O145" s="516" t="str">
        <f>IF(VLOOKUP($A145,'Pre-Assessment Estimator'!$A$10:$AA$226,O$2,FALSE)=0,"",VLOOKUP($A145,'Pre-Assessment Estimator'!$A$10:$AA$226,O$2,FALSE))</f>
        <v/>
      </c>
      <c r="P145" s="515">
        <f>VLOOKUP($A145,'Pre-Assessment Estimator'!$A$10:$AA$226,P$2,FALSE)</f>
        <v>0</v>
      </c>
      <c r="Q145" s="514" t="str">
        <f>VLOOKUP($A145,'Pre-Assessment Estimator'!$A$10:$AA$226,Q$2,FALSE)</f>
        <v>Credits achieved: 0</v>
      </c>
      <c r="R145" s="994" t="str">
        <f>IF(VLOOKUP($A145,'Pre-Assessment Estimator'!$A$10:$AA$226,R$2,FALSE)=0,"",VLOOKUP($A145,'Pre-Assessment Estimator'!$A$10:$AA$226,R$2,FALSE))</f>
        <v/>
      </c>
      <c r="S145" s="994" t="str">
        <f>IF(VLOOKUP($A145,'Pre-Assessment Estimator'!$A$10:$AA$226,S$2,FALSE)=0,"",VLOOKUP($A145,'Pre-Assessment Estimator'!$A$10:$AA$226,S$2,FALSE))</f>
        <v/>
      </c>
      <c r="T145" s="1013" t="str">
        <f>IF(VLOOKUP($A145,'Pre-Assessment Estimator'!$A$10:$AA$226,T$2,FALSE)=0,"",VLOOKUP($A145,'Pre-Assessment Estimator'!$A$10:$AA$226,T$2,FALSE))</f>
        <v/>
      </c>
      <c r="U145" s="1015"/>
      <c r="V145" s="516" t="str">
        <f>IF(VLOOKUP($A145,'Pre-Assessment Estimator'!$A$10:$AA$226,V$2,FALSE)=0,"",VLOOKUP($A145,'Pre-Assessment Estimator'!$A$10:$AA$226,V$2,FALSE))</f>
        <v/>
      </c>
      <c r="W145" s="515">
        <f>VLOOKUP($A145,'Pre-Assessment Estimator'!$A$10:$AA$226,W$2,FALSE)</f>
        <v>0</v>
      </c>
      <c r="X145" s="514" t="str">
        <f>VLOOKUP($A145,'Pre-Assessment Estimator'!$A$10:$AA$226,X$2,FALSE)</f>
        <v>Credits achieved: 0</v>
      </c>
      <c r="Y145" s="994" t="str">
        <f>IF(VLOOKUP($A145,'Pre-Assessment Estimator'!$A$10:$AA$226,Y$2,FALSE)=0,"",VLOOKUP($A145,'Pre-Assessment Estimator'!$A$10:$AA$226,Y$2,FALSE))</f>
        <v/>
      </c>
      <c r="Z145" s="994" t="str">
        <f>IF(VLOOKUP($A145,'Pre-Assessment Estimator'!$A$10:$AA$226,Z$2,FALSE)=0,"",VLOOKUP($A145,'Pre-Assessment Estimator'!$A$10:$AA$226,Z$2,FALSE))</f>
        <v/>
      </c>
      <c r="AA145" s="1016" t="str">
        <f>IF(VLOOKUP($A145,'Pre-Assessment Estimator'!$A$10:$AA$226,AA$2,FALSE)=0,"",VLOOKUP($A145,'Pre-Assessment Estimator'!$A$10:$AA$226,AA$2,FALSE))</f>
        <v/>
      </c>
      <c r="AB145" s="605">
        <v>135</v>
      </c>
      <c r="AC145" s="606" t="str">
        <f>IF(VLOOKUP($A145,'Pre-Assessment Estimator'!$A$10:$AC$226,AC$2,FALSE)=0,"",VLOOKUP($A145,'Pre-Assessment Estimator'!$A$10:$AC$226,AC$2,FALSE))</f>
        <v>Credits achieved: 0</v>
      </c>
      <c r="AG145" s="15">
        <f t="shared" si="2"/>
        <v>1</v>
      </c>
    </row>
    <row r="146" spans="1:33" x14ac:dyDescent="0.25">
      <c r="A146" s="716">
        <v>137</v>
      </c>
      <c r="B146" s="1022" t="s">
        <v>68</v>
      </c>
      <c r="C146" s="1022"/>
      <c r="D146" s="517"/>
      <c r="E146" s="517"/>
      <c r="F146" s="517"/>
      <c r="G146" s="518"/>
      <c r="H146" s="518"/>
      <c r="I146" s="518"/>
      <c r="J146" s="518"/>
      <c r="K146" s="517"/>
      <c r="L146" s="518"/>
      <c r="M146" s="517"/>
      <c r="N146" s="511"/>
      <c r="O146" s="518"/>
      <c r="P146" s="518"/>
      <c r="Q146" s="518"/>
      <c r="R146" s="517"/>
      <c r="S146" s="518"/>
      <c r="T146" s="517"/>
      <c r="U146" s="513"/>
      <c r="V146" s="518"/>
      <c r="W146" s="518"/>
      <c r="X146" s="518"/>
      <c r="Y146" s="517"/>
      <c r="Z146" s="518"/>
      <c r="AA146" s="300"/>
      <c r="AB146" s="605">
        <v>136</v>
      </c>
      <c r="AC146" s="509" t="str">
        <f>IF(VLOOKUP($A146,'Pre-Assessment Estimator'!$A$10:$AC$226,AC$2,FALSE)=0,"",VLOOKUP($A146,'Pre-Assessment Estimator'!$A$10:$AC$226,AC$2,FALSE))</f>
        <v/>
      </c>
      <c r="AG146" s="15">
        <f t="shared" ref="AG146:AG210" si="3">IF(G146="",1,IF(G146=0,2,1))</f>
        <v>1</v>
      </c>
    </row>
    <row r="147" spans="1:33" ht="18.75" x14ac:dyDescent="0.25">
      <c r="A147" s="716">
        <v>138</v>
      </c>
      <c r="B147" s="1022" t="s">
        <v>68</v>
      </c>
      <c r="C147" s="1022"/>
      <c r="D147" s="519"/>
      <c r="E147" s="519"/>
      <c r="F147" s="519" t="s">
        <v>68</v>
      </c>
      <c r="G147" s="502"/>
      <c r="H147" s="502"/>
      <c r="I147" s="502"/>
      <c r="J147" s="502"/>
      <c r="K147" s="503"/>
      <c r="L147" s="502"/>
      <c r="M147" s="503"/>
      <c r="N147" s="511"/>
      <c r="O147" s="502"/>
      <c r="P147" s="502"/>
      <c r="Q147" s="502"/>
      <c r="R147" s="503"/>
      <c r="S147" s="502"/>
      <c r="T147" s="503"/>
      <c r="U147" s="513"/>
      <c r="V147" s="502"/>
      <c r="W147" s="502"/>
      <c r="X147" s="502"/>
      <c r="Y147" s="503"/>
      <c r="Z147" s="502"/>
      <c r="AA147" s="351"/>
      <c r="AB147" s="605">
        <v>137</v>
      </c>
      <c r="AC147" s="509"/>
      <c r="AG147" s="15">
        <f t="shared" si="3"/>
        <v>1</v>
      </c>
    </row>
    <row r="148" spans="1:33" x14ac:dyDescent="0.25">
      <c r="A148" s="716">
        <v>139</v>
      </c>
      <c r="B148" s="1022" t="s">
        <v>68</v>
      </c>
      <c r="C148" s="1022"/>
      <c r="D148" s="1043" t="str">
        <f>VLOOKUP($A148,'Pre-Assessment Estimator'!$A$10:$AA$226,D$2,FALSE)</f>
        <v>Wst 01</v>
      </c>
      <c r="E148" s="1044"/>
      <c r="F148" s="1043" t="str">
        <f>VLOOKUP($A148,'Pre-Assessment Estimator'!$A$10:$AA$226,F$2,FALSE)</f>
        <v>Wst 01 Construction waste management</v>
      </c>
      <c r="G148" s="506">
        <f>VLOOKUP($A148,'Pre-Assessment Estimator'!$A$10:$AA$226,G$2,FALSE)</f>
        <v>5</v>
      </c>
      <c r="H148" s="512" t="str">
        <f>IF(VLOOKUP($A148,'Pre-Assessment Estimator'!$A$10:$AA$226,H$2,FALSE)=0,"",VLOOKUP($A148,'Pre-Assessment Estimator'!$A$10:$AA$226,H$2,FALSE))</f>
        <v/>
      </c>
      <c r="I148" s="1012" t="str">
        <f>VLOOKUP($A148,'Pre-Assessment Estimator'!$A$10:$AA$226,I$2,FALSE)</f>
        <v>0 c. 0 %</v>
      </c>
      <c r="J148" s="508" t="str">
        <f>VLOOKUP($A148,'Pre-Assessment Estimator'!$A$10:$AA$226,J$2,FALSE)</f>
        <v>N/A</v>
      </c>
      <c r="K148" s="509" t="str">
        <f>IF(VLOOKUP($A148,'Pre-Assessment Estimator'!$A$10:$AA$226,K$2,FALSE)=0,"",VLOOKUP($A148,'Pre-Assessment Estimator'!$A$10:$AA$226,K$2,FALSE))</f>
        <v/>
      </c>
      <c r="L148" s="509" t="str">
        <f>IF(VLOOKUP($A148,'Pre-Assessment Estimator'!$A$10:$AA$226,L$2,FALSE)=0,"",VLOOKUP($A148,'Pre-Assessment Estimator'!$A$10:$AA$226,L$2,FALSE))</f>
        <v/>
      </c>
      <c r="M148" s="510" t="str">
        <f>IF(VLOOKUP($A148,'Pre-Assessment Estimator'!$A$10:$AA$226,M$2,FALSE)=0,"",VLOOKUP($A148,'Pre-Assessment Estimator'!$A$10:$AA$226,M$2,FALSE))</f>
        <v/>
      </c>
      <c r="N148" s="511"/>
      <c r="O148" s="512" t="str">
        <f>IF(VLOOKUP($A148,'Pre-Assessment Estimator'!$A$10:$AA$226,O$2,FALSE)=0,"",VLOOKUP($A148,'Pre-Assessment Estimator'!$A$10:$AA$226,O$2,FALSE))</f>
        <v/>
      </c>
      <c r="P148" s="507" t="str">
        <f>VLOOKUP($A148,'Pre-Assessment Estimator'!$A$10:$AA$226,P$2,FALSE)</f>
        <v>0 c. 0 %</v>
      </c>
      <c r="Q148" s="506" t="str">
        <f>VLOOKUP($A148,'Pre-Assessment Estimator'!$A$10:$AA$226,Q$2,FALSE)</f>
        <v>N/A</v>
      </c>
      <c r="R148" s="509" t="str">
        <f>IF(VLOOKUP($A148,'Pre-Assessment Estimator'!$A$10:$AA$226,R$2,FALSE)=0,"",VLOOKUP($A148,'Pre-Assessment Estimator'!$A$10:$AA$226,R$2,FALSE))</f>
        <v/>
      </c>
      <c r="S148" s="509" t="str">
        <f>IF(VLOOKUP($A148,'Pre-Assessment Estimator'!$A$10:$AA$226,S$2,FALSE)=0,"",VLOOKUP($A148,'Pre-Assessment Estimator'!$A$10:$AA$226,S$2,FALSE))</f>
        <v/>
      </c>
      <c r="T148" s="510" t="str">
        <f>IF(VLOOKUP($A148,'Pre-Assessment Estimator'!$A$10:$AA$226,T$2,FALSE)=0,"",VLOOKUP($A148,'Pre-Assessment Estimator'!$A$10:$AA$226,T$2,FALSE))</f>
        <v/>
      </c>
      <c r="U148" s="513"/>
      <c r="V148" s="512" t="str">
        <f>IF(VLOOKUP($A148,'Pre-Assessment Estimator'!$A$10:$AA$226,V$2,FALSE)=0,"",VLOOKUP($A148,'Pre-Assessment Estimator'!$A$10:$AA$226,V$2,FALSE))</f>
        <v/>
      </c>
      <c r="W148" s="507" t="str">
        <f>VLOOKUP($A148,'Pre-Assessment Estimator'!$A$10:$AA$226,W$2,FALSE)</f>
        <v>0 c. 0 %</v>
      </c>
      <c r="X148" s="506" t="str">
        <f>VLOOKUP($A148,'Pre-Assessment Estimator'!$A$10:$AA$226,X$2,FALSE)</f>
        <v>N/A</v>
      </c>
      <c r="Y148" s="509" t="str">
        <f>IF(VLOOKUP($A148,'Pre-Assessment Estimator'!$A$10:$AA$226,Y$2,FALSE)=0,"",VLOOKUP($A148,'Pre-Assessment Estimator'!$A$10:$AA$226,Y$2,FALSE))</f>
        <v/>
      </c>
      <c r="Z148" s="509" t="str">
        <f>IF(VLOOKUP($A148,'Pre-Assessment Estimator'!$A$10:$AA$226,Z$2,FALSE)=0,"",VLOOKUP($A148,'Pre-Assessment Estimator'!$A$10:$AA$226,Z$2,FALSE))</f>
        <v/>
      </c>
      <c r="AA148" s="322" t="str">
        <f>IF(VLOOKUP($A148,'Pre-Assessment Estimator'!$A$10:$AA$226,AA$2,FALSE)=0,"",VLOOKUP($A148,'Pre-Assessment Estimator'!$A$10:$AA$226,AA$2,FALSE))</f>
        <v/>
      </c>
      <c r="AB148" s="605">
        <v>138</v>
      </c>
      <c r="AC148" s="509"/>
      <c r="AG148" s="15">
        <f t="shared" si="3"/>
        <v>1</v>
      </c>
    </row>
    <row r="149" spans="1:33" x14ac:dyDescent="0.25">
      <c r="A149" s="716">
        <v>140</v>
      </c>
      <c r="B149" s="1022" t="s">
        <v>68</v>
      </c>
      <c r="C149" s="1022"/>
      <c r="D149" s="1044" t="str">
        <f>VLOOKUP($A149,'Pre-Assessment Estimator'!$A$10:$AA$226,D$2,FALSE)</f>
        <v>Wst 01</v>
      </c>
      <c r="E149" s="1044" t="str">
        <f>VLOOKUP($A149,'Pre-Assessment Estimator'!$A$10:$AA$226,E$2,FALSE)</f>
        <v>1-2</v>
      </c>
      <c r="F149" s="1045" t="str">
        <f>VLOOKUP($A149,'Pre-Assessment Estimator'!$A$10:$AA$226,F$2,FALSE)</f>
        <v>Resource managment plan</v>
      </c>
      <c r="G149" s="506">
        <f>VLOOKUP($A149,'Pre-Assessment Estimator'!$A$10:$AA$226,G$2,FALSE)</f>
        <v>1</v>
      </c>
      <c r="H149" s="512" t="str">
        <f>IF(VLOOKUP($A149,'Pre-Assessment Estimator'!$A$10:$AA$226,H$2,FALSE)=0,"",VLOOKUP($A149,'Pre-Assessment Estimator'!$A$10:$AA$226,H$2,FALSE))</f>
        <v/>
      </c>
      <c r="I149" s="1012">
        <f>VLOOKUP($A149,'Pre-Assessment Estimator'!$A$10:$AA$226,I$2,FALSE)</f>
        <v>0</v>
      </c>
      <c r="J149" s="508" t="str">
        <f>VLOOKUP($A149,'Pre-Assessment Estimator'!$A$10:$AA$226,J$2,FALSE)</f>
        <v>Good</v>
      </c>
      <c r="K149" s="509" t="str">
        <f>IF(VLOOKUP($A149,'Pre-Assessment Estimator'!$A$10:$AA$226,K$2,FALSE)=0,"",VLOOKUP($A149,'Pre-Assessment Estimator'!$A$10:$AA$226,K$2,FALSE))</f>
        <v/>
      </c>
      <c r="L149" s="509" t="str">
        <f>IF(VLOOKUP($A149,'Pre-Assessment Estimator'!$A$10:$AA$226,L$2,FALSE)=0,"",VLOOKUP($A149,'Pre-Assessment Estimator'!$A$10:$AA$226,L$2,FALSE))</f>
        <v/>
      </c>
      <c r="M149" s="510" t="str">
        <f>IF(VLOOKUP($A149,'Pre-Assessment Estimator'!$A$10:$AA$226,M$2,FALSE)=0,"",VLOOKUP($A149,'Pre-Assessment Estimator'!$A$10:$AA$226,M$2,FALSE))</f>
        <v/>
      </c>
      <c r="N149" s="511"/>
      <c r="O149" s="512" t="str">
        <f>IF(VLOOKUP($A149,'Pre-Assessment Estimator'!$A$10:$AA$226,O$2,FALSE)=0,"",VLOOKUP($A149,'Pre-Assessment Estimator'!$A$10:$AA$226,O$2,FALSE))</f>
        <v/>
      </c>
      <c r="P149" s="507">
        <f>VLOOKUP($A149,'Pre-Assessment Estimator'!$A$10:$AA$226,P$2,FALSE)</f>
        <v>0</v>
      </c>
      <c r="Q149" s="506" t="str">
        <f>VLOOKUP($A149,'Pre-Assessment Estimator'!$A$10:$AA$226,Q$2,FALSE)</f>
        <v>Good</v>
      </c>
      <c r="R149" s="509" t="str">
        <f>IF(VLOOKUP($A149,'Pre-Assessment Estimator'!$A$10:$AA$226,R$2,FALSE)=0,"",VLOOKUP($A149,'Pre-Assessment Estimator'!$A$10:$AA$226,R$2,FALSE))</f>
        <v/>
      </c>
      <c r="S149" s="509" t="str">
        <f>IF(VLOOKUP($A149,'Pre-Assessment Estimator'!$A$10:$AA$226,S$2,FALSE)=0,"",VLOOKUP($A149,'Pre-Assessment Estimator'!$A$10:$AA$226,S$2,FALSE))</f>
        <v/>
      </c>
      <c r="T149" s="510" t="str">
        <f>IF(VLOOKUP($A149,'Pre-Assessment Estimator'!$A$10:$AA$226,T$2,FALSE)=0,"",VLOOKUP($A149,'Pre-Assessment Estimator'!$A$10:$AA$226,T$2,FALSE))</f>
        <v/>
      </c>
      <c r="U149" s="513"/>
      <c r="V149" s="512" t="str">
        <f>IF(VLOOKUP($A149,'Pre-Assessment Estimator'!$A$10:$AA$226,V$2,FALSE)=0,"",VLOOKUP($A149,'Pre-Assessment Estimator'!$A$10:$AA$226,V$2,FALSE))</f>
        <v/>
      </c>
      <c r="W149" s="507">
        <f>VLOOKUP($A149,'Pre-Assessment Estimator'!$A$10:$AA$226,W$2,FALSE)</f>
        <v>0</v>
      </c>
      <c r="X149" s="506" t="str">
        <f>VLOOKUP($A149,'Pre-Assessment Estimator'!$A$10:$AA$226,X$2,FALSE)</f>
        <v>Good</v>
      </c>
      <c r="Y149" s="509" t="str">
        <f>IF(VLOOKUP($A149,'Pre-Assessment Estimator'!$A$10:$AA$226,Y$2,FALSE)=0,"",VLOOKUP($A149,'Pre-Assessment Estimator'!$A$10:$AA$226,Y$2,FALSE))</f>
        <v/>
      </c>
      <c r="Z149" s="509" t="str">
        <f>IF(VLOOKUP($A149,'Pre-Assessment Estimator'!$A$10:$AA$226,Z$2,FALSE)=0,"",VLOOKUP($A149,'Pre-Assessment Estimator'!$A$10:$AA$226,Z$2,FALSE))</f>
        <v/>
      </c>
      <c r="AA149" s="322" t="str">
        <f>IF(VLOOKUP($A149,'Pre-Assessment Estimator'!$A$10:$AA$226,AA$2,FALSE)=0,"",VLOOKUP($A149,'Pre-Assessment Estimator'!$A$10:$AA$226,AA$2,FALSE))</f>
        <v/>
      </c>
      <c r="AB149" s="605">
        <v>139</v>
      </c>
      <c r="AC149" s="509"/>
      <c r="AG149" s="15">
        <f t="shared" si="3"/>
        <v>1</v>
      </c>
    </row>
    <row r="150" spans="1:33" x14ac:dyDescent="0.25">
      <c r="A150" s="716">
        <v>141</v>
      </c>
      <c r="B150" s="1022" t="s">
        <v>68</v>
      </c>
      <c r="C150" s="1022"/>
      <c r="D150" s="1044" t="str">
        <f>VLOOKUP($A150,'Pre-Assessment Estimator'!$A$10:$AA$226,D$2,FALSE)</f>
        <v>Wst 01</v>
      </c>
      <c r="E150" s="1044">
        <f>VLOOKUP($A150,'Pre-Assessment Estimator'!$A$10:$AA$226,E$2,FALSE)</f>
        <v>1</v>
      </c>
      <c r="F150" s="1047" t="str">
        <f>VLOOKUP($A150,'Pre-Assessment Estimator'!$A$10:$AA$226,F$2,FALSE)</f>
        <v>EU taxonomy requirement: criterion 1</v>
      </c>
      <c r="G150" s="506" t="str">
        <f>VLOOKUP($A150,'Pre-Assessment Estimator'!$A$10:$AA$226,G$2,FALSE)</f>
        <v>Yes/No</v>
      </c>
      <c r="H150" s="512" t="str">
        <f>IF(VLOOKUP($A150,'Pre-Assessment Estimator'!$A$10:$AA$226,H$2,FALSE)=0,"",VLOOKUP($A150,'Pre-Assessment Estimator'!$A$10:$AA$226,H$2,FALSE))</f>
        <v/>
      </c>
      <c r="I150" s="1012" t="str">
        <f>VLOOKUP($A150,'Pre-Assessment Estimator'!$A$10:$AA$226,I$2,FALSE)</f>
        <v>-</v>
      </c>
      <c r="J150" s="508" t="str">
        <f>VLOOKUP($A150,'Pre-Assessment Estimator'!$A$10:$AA$226,J$2,FALSE)</f>
        <v>N/A</v>
      </c>
      <c r="K150" s="509" t="str">
        <f>IF(VLOOKUP($A150,'Pre-Assessment Estimator'!$A$10:$AA$226,K$2,FALSE)=0,"",VLOOKUP($A150,'Pre-Assessment Estimator'!$A$10:$AA$226,K$2,FALSE))</f>
        <v/>
      </c>
      <c r="L150" s="509" t="str">
        <f>IF(VLOOKUP($A150,'Pre-Assessment Estimator'!$A$10:$AA$226,L$2,FALSE)=0,"",VLOOKUP($A150,'Pre-Assessment Estimator'!$A$10:$AA$226,L$2,FALSE))</f>
        <v/>
      </c>
      <c r="M150" s="510" t="str">
        <f>IF(VLOOKUP($A150,'Pre-Assessment Estimator'!$A$10:$AA$226,M$2,FALSE)=0,"",VLOOKUP($A150,'Pre-Assessment Estimator'!$A$10:$AA$226,M$2,FALSE))</f>
        <v/>
      </c>
      <c r="N150" s="511"/>
      <c r="O150" s="512" t="str">
        <f>IF(VLOOKUP($A150,'Pre-Assessment Estimator'!$A$10:$AA$226,O$2,FALSE)=0,"",VLOOKUP($A150,'Pre-Assessment Estimator'!$A$10:$AA$226,O$2,FALSE))</f>
        <v/>
      </c>
      <c r="P150" s="507" t="str">
        <f>VLOOKUP($A150,'Pre-Assessment Estimator'!$A$10:$AA$226,P$2,FALSE)</f>
        <v>-</v>
      </c>
      <c r="Q150" s="506" t="str">
        <f>VLOOKUP($A150,'Pre-Assessment Estimator'!$A$10:$AA$226,Q$2,FALSE)</f>
        <v>N/A</v>
      </c>
      <c r="R150" s="509" t="str">
        <f>IF(VLOOKUP($A150,'Pre-Assessment Estimator'!$A$10:$AA$226,R$2,FALSE)=0,"",VLOOKUP($A150,'Pre-Assessment Estimator'!$A$10:$AA$226,R$2,FALSE))</f>
        <v/>
      </c>
      <c r="S150" s="509" t="str">
        <f>IF(VLOOKUP($A150,'Pre-Assessment Estimator'!$A$10:$AA$226,S$2,FALSE)=0,"",VLOOKUP($A150,'Pre-Assessment Estimator'!$A$10:$AA$226,S$2,FALSE))</f>
        <v/>
      </c>
      <c r="T150" s="510" t="str">
        <f>IF(VLOOKUP($A150,'Pre-Assessment Estimator'!$A$10:$AA$226,T$2,FALSE)=0,"",VLOOKUP($A150,'Pre-Assessment Estimator'!$A$10:$AA$226,T$2,FALSE))</f>
        <v/>
      </c>
      <c r="U150" s="513"/>
      <c r="V150" s="512" t="str">
        <f>IF(VLOOKUP($A150,'Pre-Assessment Estimator'!$A$10:$AA$226,V$2,FALSE)=0,"",VLOOKUP($A150,'Pre-Assessment Estimator'!$A$10:$AA$226,V$2,FALSE))</f>
        <v/>
      </c>
      <c r="W150" s="507" t="str">
        <f>VLOOKUP($A150,'Pre-Assessment Estimator'!$A$10:$AA$226,W$2,FALSE)</f>
        <v>-</v>
      </c>
      <c r="X150" s="506" t="str">
        <f>VLOOKUP($A150,'Pre-Assessment Estimator'!$A$10:$AA$226,X$2,FALSE)</f>
        <v>N/A</v>
      </c>
      <c r="Y150" s="509" t="str">
        <f>IF(VLOOKUP($A150,'Pre-Assessment Estimator'!$A$10:$AA$226,Y$2,FALSE)=0,"",VLOOKUP($A150,'Pre-Assessment Estimator'!$A$10:$AA$226,Y$2,FALSE))</f>
        <v/>
      </c>
      <c r="Z150" s="509" t="str">
        <f>IF(VLOOKUP($A150,'Pre-Assessment Estimator'!$A$10:$AA$226,Z$2,FALSE)=0,"",VLOOKUP($A150,'Pre-Assessment Estimator'!$A$10:$AA$226,Z$2,FALSE))</f>
        <v/>
      </c>
      <c r="AA150" s="322" t="str">
        <f>IF(VLOOKUP($A150,'Pre-Assessment Estimator'!$A$10:$AA$226,AA$2,FALSE)=0,"",VLOOKUP($A150,'Pre-Assessment Estimator'!$A$10:$AA$226,AA$2,FALSE))</f>
        <v/>
      </c>
      <c r="AB150" s="605">
        <v>140</v>
      </c>
      <c r="AC150" s="509"/>
      <c r="AG150" s="15">
        <f t="shared" si="3"/>
        <v>1</v>
      </c>
    </row>
    <row r="151" spans="1:33" x14ac:dyDescent="0.25">
      <c r="A151" s="716">
        <v>142</v>
      </c>
      <c r="B151" s="1022" t="s">
        <v>68</v>
      </c>
      <c r="C151" s="1022"/>
      <c r="D151" s="1044" t="str">
        <f>VLOOKUP($A151,'Pre-Assessment Estimator'!$A$10:$AA$226,D$2,FALSE)</f>
        <v>Wst 01</v>
      </c>
      <c r="E151" s="1044">
        <f>VLOOKUP($A151,'Pre-Assessment Estimator'!$A$10:$AA$226,E$2,FALSE)</f>
        <v>3</v>
      </c>
      <c r="F151" s="1045" t="str">
        <f>VLOOKUP($A151,'Pre-Assessment Estimator'!$A$10:$AA$226,F$2,FALSE)</f>
        <v>Amount of construction waste</v>
      </c>
      <c r="G151" s="506">
        <f>VLOOKUP($A151,'Pre-Assessment Estimator'!$A$10:$AA$226,G$2,FALSE)</f>
        <v>2</v>
      </c>
      <c r="H151" s="512" t="str">
        <f>IF(VLOOKUP($A151,'Pre-Assessment Estimator'!$A$10:$AA$226,H$2,FALSE)=0,"",VLOOKUP($A151,'Pre-Assessment Estimator'!$A$10:$AA$226,H$2,FALSE))</f>
        <v/>
      </c>
      <c r="I151" s="1012">
        <f>VLOOKUP($A151,'Pre-Assessment Estimator'!$A$10:$AA$226,I$2,FALSE)</f>
        <v>0</v>
      </c>
      <c r="J151" s="508" t="str">
        <f>VLOOKUP($A151,'Pre-Assessment Estimator'!$A$10:$AA$226,J$2,FALSE)</f>
        <v>Excellent</v>
      </c>
      <c r="K151" s="509" t="str">
        <f>IF(VLOOKUP($A151,'Pre-Assessment Estimator'!$A$10:$AA$226,K$2,FALSE)=0,"",VLOOKUP($A151,'Pre-Assessment Estimator'!$A$10:$AA$226,K$2,FALSE))</f>
        <v/>
      </c>
      <c r="L151" s="509" t="str">
        <f>IF(VLOOKUP($A151,'Pre-Assessment Estimator'!$A$10:$AA$226,L$2,FALSE)=0,"",VLOOKUP($A151,'Pre-Assessment Estimator'!$A$10:$AA$226,L$2,FALSE))</f>
        <v/>
      </c>
      <c r="M151" s="510" t="str">
        <f>IF(VLOOKUP($A151,'Pre-Assessment Estimator'!$A$10:$AA$226,M$2,FALSE)=0,"",VLOOKUP($A151,'Pre-Assessment Estimator'!$A$10:$AA$226,M$2,FALSE))</f>
        <v/>
      </c>
      <c r="N151" s="511"/>
      <c r="O151" s="512" t="str">
        <f>IF(VLOOKUP($A151,'Pre-Assessment Estimator'!$A$10:$AA$226,O$2,FALSE)=0,"",VLOOKUP($A151,'Pre-Assessment Estimator'!$A$10:$AA$226,O$2,FALSE))</f>
        <v/>
      </c>
      <c r="P151" s="507">
        <f>VLOOKUP($A151,'Pre-Assessment Estimator'!$A$10:$AA$226,P$2,FALSE)</f>
        <v>0</v>
      </c>
      <c r="Q151" s="506" t="str">
        <f>VLOOKUP($A151,'Pre-Assessment Estimator'!$A$10:$AA$226,Q$2,FALSE)</f>
        <v>Excellent</v>
      </c>
      <c r="R151" s="509" t="str">
        <f>IF(VLOOKUP($A151,'Pre-Assessment Estimator'!$A$10:$AA$226,R$2,FALSE)=0,"",VLOOKUP($A151,'Pre-Assessment Estimator'!$A$10:$AA$226,R$2,FALSE))</f>
        <v/>
      </c>
      <c r="S151" s="509" t="str">
        <f>IF(VLOOKUP($A151,'Pre-Assessment Estimator'!$A$10:$AA$226,S$2,FALSE)=0,"",VLOOKUP($A151,'Pre-Assessment Estimator'!$A$10:$AA$226,S$2,FALSE))</f>
        <v/>
      </c>
      <c r="T151" s="510" t="str">
        <f>IF(VLOOKUP($A151,'Pre-Assessment Estimator'!$A$10:$AA$226,T$2,FALSE)=0,"",VLOOKUP($A151,'Pre-Assessment Estimator'!$A$10:$AA$226,T$2,FALSE))</f>
        <v/>
      </c>
      <c r="U151" s="513"/>
      <c r="V151" s="512" t="str">
        <f>IF(VLOOKUP($A151,'Pre-Assessment Estimator'!$A$10:$AA$226,V$2,FALSE)=0,"",VLOOKUP($A151,'Pre-Assessment Estimator'!$A$10:$AA$226,V$2,FALSE))</f>
        <v/>
      </c>
      <c r="W151" s="507">
        <f>VLOOKUP($A151,'Pre-Assessment Estimator'!$A$10:$AA$226,W$2,FALSE)</f>
        <v>0</v>
      </c>
      <c r="X151" s="506" t="str">
        <f>VLOOKUP($A151,'Pre-Assessment Estimator'!$A$10:$AA$226,X$2,FALSE)</f>
        <v>Excellent</v>
      </c>
      <c r="Y151" s="509" t="str">
        <f>IF(VLOOKUP($A151,'Pre-Assessment Estimator'!$A$10:$AA$226,Y$2,FALSE)=0,"",VLOOKUP($A151,'Pre-Assessment Estimator'!$A$10:$AA$226,Y$2,FALSE))</f>
        <v/>
      </c>
      <c r="Z151" s="509" t="str">
        <f>IF(VLOOKUP($A151,'Pre-Assessment Estimator'!$A$10:$AA$226,Z$2,FALSE)=0,"",VLOOKUP($A151,'Pre-Assessment Estimator'!$A$10:$AA$226,Z$2,FALSE))</f>
        <v/>
      </c>
      <c r="AA151" s="322" t="str">
        <f>IF(VLOOKUP($A151,'Pre-Assessment Estimator'!$A$10:$AA$226,AA$2,FALSE)=0,"",VLOOKUP($A151,'Pre-Assessment Estimator'!$A$10:$AA$226,AA$2,FALSE))</f>
        <v/>
      </c>
      <c r="AB151" s="605">
        <v>141</v>
      </c>
      <c r="AC151" s="509"/>
      <c r="AG151" s="15">
        <f t="shared" si="3"/>
        <v>1</v>
      </c>
    </row>
    <row r="152" spans="1:33" x14ac:dyDescent="0.25">
      <c r="A152" s="716">
        <v>143</v>
      </c>
      <c r="B152" s="1022" t="s">
        <v>68</v>
      </c>
      <c r="C152" s="1022"/>
      <c r="D152" s="1044" t="str">
        <f>VLOOKUP($A152,'Pre-Assessment Estimator'!$A$10:$AA$226,D$2,FALSE)</f>
        <v>Wst 01</v>
      </c>
      <c r="E152" s="1044">
        <f>VLOOKUP($A152,'Pre-Assessment Estimator'!$A$10:$AA$226,E$2,FALSE)</f>
        <v>4</v>
      </c>
      <c r="F152" s="1045" t="str">
        <f>VLOOKUP($A152,'Pre-Assessment Estimator'!$A$10:$AA$226,F$2,FALSE)</f>
        <v>Waste sorting, reuse and recycling</v>
      </c>
      <c r="G152" s="506">
        <f>VLOOKUP($A152,'Pre-Assessment Estimator'!$A$10:$AA$226,G$2,FALSE)</f>
        <v>2</v>
      </c>
      <c r="H152" s="512" t="str">
        <f>IF(VLOOKUP($A152,'Pre-Assessment Estimator'!$A$10:$AA$226,H$2,FALSE)=0,"",VLOOKUP($A152,'Pre-Assessment Estimator'!$A$10:$AA$226,H$2,FALSE))</f>
        <v/>
      </c>
      <c r="I152" s="1012">
        <f>VLOOKUP($A152,'Pre-Assessment Estimator'!$A$10:$AA$226,I$2,FALSE)</f>
        <v>0</v>
      </c>
      <c r="J152" s="508" t="str">
        <f>VLOOKUP($A152,'Pre-Assessment Estimator'!$A$10:$AA$226,J$2,FALSE)</f>
        <v>Very Good</v>
      </c>
      <c r="K152" s="509" t="str">
        <f>IF(VLOOKUP($A152,'Pre-Assessment Estimator'!$A$10:$AA$226,K$2,FALSE)=0,"",VLOOKUP($A152,'Pre-Assessment Estimator'!$A$10:$AA$226,K$2,FALSE))</f>
        <v/>
      </c>
      <c r="L152" s="509" t="str">
        <f>IF(VLOOKUP($A152,'Pre-Assessment Estimator'!$A$10:$AA$226,L$2,FALSE)=0,"",VLOOKUP($A152,'Pre-Assessment Estimator'!$A$10:$AA$226,L$2,FALSE))</f>
        <v/>
      </c>
      <c r="M152" s="510" t="str">
        <f>IF(VLOOKUP($A152,'Pre-Assessment Estimator'!$A$10:$AA$226,M$2,FALSE)=0,"",VLOOKUP($A152,'Pre-Assessment Estimator'!$A$10:$AA$226,M$2,FALSE))</f>
        <v/>
      </c>
      <c r="N152" s="511"/>
      <c r="O152" s="512" t="str">
        <f>IF(VLOOKUP($A152,'Pre-Assessment Estimator'!$A$10:$AA$226,O$2,FALSE)=0,"",VLOOKUP($A152,'Pre-Assessment Estimator'!$A$10:$AA$226,O$2,FALSE))</f>
        <v/>
      </c>
      <c r="P152" s="507">
        <f>VLOOKUP($A152,'Pre-Assessment Estimator'!$A$10:$AA$226,P$2,FALSE)</f>
        <v>0</v>
      </c>
      <c r="Q152" s="506" t="str">
        <f>VLOOKUP($A152,'Pre-Assessment Estimator'!$A$10:$AA$226,Q$2,FALSE)</f>
        <v>Very Good</v>
      </c>
      <c r="R152" s="509" t="str">
        <f>IF(VLOOKUP($A152,'Pre-Assessment Estimator'!$A$10:$AA$226,R$2,FALSE)=0,"",VLOOKUP($A152,'Pre-Assessment Estimator'!$A$10:$AA$226,R$2,FALSE))</f>
        <v/>
      </c>
      <c r="S152" s="509" t="str">
        <f>IF(VLOOKUP($A152,'Pre-Assessment Estimator'!$A$10:$AA$226,S$2,FALSE)=0,"",VLOOKUP($A152,'Pre-Assessment Estimator'!$A$10:$AA$226,S$2,FALSE))</f>
        <v/>
      </c>
      <c r="T152" s="510" t="str">
        <f>IF(VLOOKUP($A152,'Pre-Assessment Estimator'!$A$10:$AA$226,T$2,FALSE)=0,"",VLOOKUP($A152,'Pre-Assessment Estimator'!$A$10:$AA$226,T$2,FALSE))</f>
        <v/>
      </c>
      <c r="U152" s="513"/>
      <c r="V152" s="512" t="str">
        <f>IF(VLOOKUP($A152,'Pre-Assessment Estimator'!$A$10:$AA$226,V$2,FALSE)=0,"",VLOOKUP($A152,'Pre-Assessment Estimator'!$A$10:$AA$226,V$2,FALSE))</f>
        <v/>
      </c>
      <c r="W152" s="507">
        <f>VLOOKUP($A152,'Pre-Assessment Estimator'!$A$10:$AA$226,W$2,FALSE)</f>
        <v>0</v>
      </c>
      <c r="X152" s="506" t="str">
        <f>VLOOKUP($A152,'Pre-Assessment Estimator'!$A$10:$AA$226,X$2,FALSE)</f>
        <v>Very Good</v>
      </c>
      <c r="Y152" s="509" t="str">
        <f>IF(VLOOKUP($A152,'Pre-Assessment Estimator'!$A$10:$AA$226,Y$2,FALSE)=0,"",VLOOKUP($A152,'Pre-Assessment Estimator'!$A$10:$AA$226,Y$2,FALSE))</f>
        <v/>
      </c>
      <c r="Z152" s="509" t="str">
        <f>IF(VLOOKUP($A152,'Pre-Assessment Estimator'!$A$10:$AA$226,Z$2,FALSE)=0,"",VLOOKUP($A152,'Pre-Assessment Estimator'!$A$10:$AA$226,Z$2,FALSE))</f>
        <v/>
      </c>
      <c r="AA152" s="322" t="str">
        <f>IF(VLOOKUP($A152,'Pre-Assessment Estimator'!$A$10:$AA$226,AA$2,FALSE)=0,"",VLOOKUP($A152,'Pre-Assessment Estimator'!$A$10:$AA$226,AA$2,FALSE))</f>
        <v/>
      </c>
      <c r="AB152" s="605">
        <v>142</v>
      </c>
      <c r="AC152" s="509"/>
      <c r="AG152" s="15">
        <f t="shared" si="3"/>
        <v>1</v>
      </c>
    </row>
    <row r="153" spans="1:33" x14ac:dyDescent="0.25">
      <c r="A153" s="716">
        <v>144</v>
      </c>
      <c r="B153" s="1022" t="s">
        <v>68</v>
      </c>
      <c r="C153" s="1022"/>
      <c r="D153" s="1044" t="str">
        <f>VLOOKUP($A153,'Pre-Assessment Estimator'!$A$10:$AA$226,D$2,FALSE)</f>
        <v>Wst 01</v>
      </c>
      <c r="E153" s="1044">
        <f>VLOOKUP($A153,'Pre-Assessment Estimator'!$A$10:$AA$226,E$2,FALSE)</f>
        <v>4</v>
      </c>
      <c r="F153" s="1047" t="str">
        <f>VLOOKUP($A153,'Pre-Assessment Estimator'!$A$10:$AA$226,F$2,FALSE)</f>
        <v>EU taxonomy requirement: criterion 4, ready for reuse &gt;70%</v>
      </c>
      <c r="G153" s="506" t="str">
        <f>VLOOKUP($A153,'Pre-Assessment Estimator'!$A$10:$AA$226,G$2,FALSE)</f>
        <v>Yes/No</v>
      </c>
      <c r="H153" s="512" t="str">
        <f>IF(VLOOKUP($A153,'Pre-Assessment Estimator'!$A$10:$AA$226,H$2,FALSE)=0,"",VLOOKUP($A153,'Pre-Assessment Estimator'!$A$10:$AA$226,H$2,FALSE))</f>
        <v/>
      </c>
      <c r="I153" s="1012" t="str">
        <f>VLOOKUP($A153,'Pre-Assessment Estimator'!$A$10:$AA$226,I$2,FALSE)</f>
        <v>-</v>
      </c>
      <c r="J153" s="508" t="str">
        <f>VLOOKUP($A153,'Pre-Assessment Estimator'!$A$10:$AA$226,J$2,FALSE)</f>
        <v>Very Good</v>
      </c>
      <c r="K153" s="509" t="str">
        <f>IF(VLOOKUP($A153,'Pre-Assessment Estimator'!$A$10:$AA$226,K$2,FALSE)=0,"",VLOOKUP($A153,'Pre-Assessment Estimator'!$A$10:$AA$226,K$2,FALSE))</f>
        <v/>
      </c>
      <c r="L153" s="509" t="str">
        <f>IF(VLOOKUP($A153,'Pre-Assessment Estimator'!$A$10:$AA$226,L$2,FALSE)=0,"",VLOOKUP($A153,'Pre-Assessment Estimator'!$A$10:$AA$226,L$2,FALSE))</f>
        <v/>
      </c>
      <c r="M153" s="510" t="str">
        <f>IF(VLOOKUP($A153,'Pre-Assessment Estimator'!$A$10:$AA$226,M$2,FALSE)=0,"",VLOOKUP($A153,'Pre-Assessment Estimator'!$A$10:$AA$226,M$2,FALSE))</f>
        <v/>
      </c>
      <c r="N153" s="511"/>
      <c r="O153" s="512" t="str">
        <f>IF(VLOOKUP($A153,'Pre-Assessment Estimator'!$A$10:$AA$226,O$2,FALSE)=0,"",VLOOKUP($A153,'Pre-Assessment Estimator'!$A$10:$AA$226,O$2,FALSE))</f>
        <v/>
      </c>
      <c r="P153" s="507" t="str">
        <f>VLOOKUP($A153,'Pre-Assessment Estimator'!$A$10:$AA$226,P$2,FALSE)</f>
        <v>-</v>
      </c>
      <c r="Q153" s="506" t="str">
        <f>VLOOKUP($A153,'Pre-Assessment Estimator'!$A$10:$AA$226,Q$2,FALSE)</f>
        <v>Very Good</v>
      </c>
      <c r="R153" s="509" t="str">
        <f>IF(VLOOKUP($A153,'Pre-Assessment Estimator'!$A$10:$AA$226,R$2,FALSE)=0,"",VLOOKUP($A153,'Pre-Assessment Estimator'!$A$10:$AA$226,R$2,FALSE))</f>
        <v/>
      </c>
      <c r="S153" s="509" t="str">
        <f>IF(VLOOKUP($A153,'Pre-Assessment Estimator'!$A$10:$AA$226,S$2,FALSE)=0,"",VLOOKUP($A153,'Pre-Assessment Estimator'!$A$10:$AA$226,S$2,FALSE))</f>
        <v/>
      </c>
      <c r="T153" s="510" t="str">
        <f>IF(VLOOKUP($A153,'Pre-Assessment Estimator'!$A$10:$AA$226,T$2,FALSE)=0,"",VLOOKUP($A153,'Pre-Assessment Estimator'!$A$10:$AA$226,T$2,FALSE))</f>
        <v/>
      </c>
      <c r="U153" s="513"/>
      <c r="V153" s="512" t="str">
        <f>IF(VLOOKUP($A153,'Pre-Assessment Estimator'!$A$10:$AA$226,V$2,FALSE)=0,"",VLOOKUP($A153,'Pre-Assessment Estimator'!$A$10:$AA$226,V$2,FALSE))</f>
        <v/>
      </c>
      <c r="W153" s="507" t="str">
        <f>VLOOKUP($A153,'Pre-Assessment Estimator'!$A$10:$AA$226,W$2,FALSE)</f>
        <v>-</v>
      </c>
      <c r="X153" s="506" t="str">
        <f>VLOOKUP($A153,'Pre-Assessment Estimator'!$A$10:$AA$226,X$2,FALSE)</f>
        <v>Very Good</v>
      </c>
      <c r="Y153" s="509" t="str">
        <f>IF(VLOOKUP($A153,'Pre-Assessment Estimator'!$A$10:$AA$226,Y$2,FALSE)=0,"",VLOOKUP($A153,'Pre-Assessment Estimator'!$A$10:$AA$226,Y$2,FALSE))</f>
        <v/>
      </c>
      <c r="Z153" s="509" t="str">
        <f>IF(VLOOKUP($A153,'Pre-Assessment Estimator'!$A$10:$AA$226,Z$2,FALSE)=0,"",VLOOKUP($A153,'Pre-Assessment Estimator'!$A$10:$AA$226,Z$2,FALSE))</f>
        <v/>
      </c>
      <c r="AA153" s="322" t="str">
        <f>IF(VLOOKUP($A153,'Pre-Assessment Estimator'!$A$10:$AA$226,AA$2,FALSE)=0,"",VLOOKUP($A153,'Pre-Assessment Estimator'!$A$10:$AA$226,AA$2,FALSE))</f>
        <v/>
      </c>
      <c r="AB153" s="605">
        <v>143</v>
      </c>
      <c r="AC153" s="509"/>
      <c r="AG153" s="15">
        <f t="shared" si="3"/>
        <v>1</v>
      </c>
    </row>
    <row r="154" spans="1:33" x14ac:dyDescent="0.25">
      <c r="A154" s="716">
        <v>145</v>
      </c>
      <c r="B154" s="1022" t="s">
        <v>68</v>
      </c>
      <c r="C154" s="1022"/>
      <c r="D154" s="1043" t="str">
        <f>VLOOKUP($A154,'Pre-Assessment Estimator'!$A$10:$AA$226,D$2,FALSE)</f>
        <v>Wst 03a</v>
      </c>
      <c r="E154" s="1044"/>
      <c r="F154" s="1043" t="str">
        <f>VLOOKUP($A154,'Pre-Assessment Estimator'!$A$10:$AA$226,F$2,FALSE)</f>
        <v>Wst 03a Operational waste</v>
      </c>
      <c r="G154" s="506">
        <f>VLOOKUP($A154,'Pre-Assessment Estimator'!$A$10:$AA$226,G$2,FALSE)</f>
        <v>1</v>
      </c>
      <c r="H154" s="512" t="str">
        <f>IF(VLOOKUP($A154,'Pre-Assessment Estimator'!$A$10:$AA$226,H$2,FALSE)=0,"",VLOOKUP($A154,'Pre-Assessment Estimator'!$A$10:$AA$226,H$2,FALSE))</f>
        <v/>
      </c>
      <c r="I154" s="1012" t="str">
        <f>VLOOKUP($A154,'Pre-Assessment Estimator'!$A$10:$AA$226,I$2,FALSE)</f>
        <v>0 c. 0 %</v>
      </c>
      <c r="J154" s="508" t="str">
        <f>VLOOKUP($A154,'Pre-Assessment Estimator'!$A$10:$AA$226,J$2,FALSE)</f>
        <v>N/A</v>
      </c>
      <c r="K154" s="509" t="str">
        <f>IF(VLOOKUP($A154,'Pre-Assessment Estimator'!$A$10:$AA$226,K$2,FALSE)=0,"",VLOOKUP($A154,'Pre-Assessment Estimator'!$A$10:$AA$226,K$2,FALSE))</f>
        <v/>
      </c>
      <c r="L154" s="509" t="str">
        <f>IF(VLOOKUP($A154,'Pre-Assessment Estimator'!$A$10:$AA$226,L$2,FALSE)=0,"",VLOOKUP($A154,'Pre-Assessment Estimator'!$A$10:$AA$226,L$2,FALSE))</f>
        <v/>
      </c>
      <c r="M154" s="510" t="str">
        <f>IF(VLOOKUP($A154,'Pre-Assessment Estimator'!$A$10:$AA$226,M$2,FALSE)=0,"",VLOOKUP($A154,'Pre-Assessment Estimator'!$A$10:$AA$226,M$2,FALSE))</f>
        <v/>
      </c>
      <c r="N154" s="511"/>
      <c r="O154" s="512" t="str">
        <f>IF(VLOOKUP($A154,'Pre-Assessment Estimator'!$A$10:$AA$226,O$2,FALSE)=0,"",VLOOKUP($A154,'Pre-Assessment Estimator'!$A$10:$AA$226,O$2,FALSE))</f>
        <v/>
      </c>
      <c r="P154" s="507" t="str">
        <f>VLOOKUP($A154,'Pre-Assessment Estimator'!$A$10:$AA$226,P$2,FALSE)</f>
        <v>0 c. 0 %</v>
      </c>
      <c r="Q154" s="506" t="str">
        <f>VLOOKUP($A154,'Pre-Assessment Estimator'!$A$10:$AA$226,Q$2,FALSE)</f>
        <v>N/A</v>
      </c>
      <c r="R154" s="509" t="str">
        <f>IF(VLOOKUP($A154,'Pre-Assessment Estimator'!$A$10:$AA$226,R$2,FALSE)=0,"",VLOOKUP($A154,'Pre-Assessment Estimator'!$A$10:$AA$226,R$2,FALSE))</f>
        <v/>
      </c>
      <c r="S154" s="509" t="str">
        <f>IF(VLOOKUP($A154,'Pre-Assessment Estimator'!$A$10:$AA$226,S$2,FALSE)=0,"",VLOOKUP($A154,'Pre-Assessment Estimator'!$A$10:$AA$226,S$2,FALSE))</f>
        <v/>
      </c>
      <c r="T154" s="510" t="str">
        <f>IF(VLOOKUP($A154,'Pre-Assessment Estimator'!$A$10:$AA$226,T$2,FALSE)=0,"",VLOOKUP($A154,'Pre-Assessment Estimator'!$A$10:$AA$226,T$2,FALSE))</f>
        <v/>
      </c>
      <c r="U154" s="513"/>
      <c r="V154" s="512" t="str">
        <f>IF(VLOOKUP($A154,'Pre-Assessment Estimator'!$A$10:$AA$226,V$2,FALSE)=0,"",VLOOKUP($A154,'Pre-Assessment Estimator'!$A$10:$AA$226,V$2,FALSE))</f>
        <v/>
      </c>
      <c r="W154" s="507" t="str">
        <f>VLOOKUP($A154,'Pre-Assessment Estimator'!$A$10:$AA$226,W$2,FALSE)</f>
        <v>0 c. 0 %</v>
      </c>
      <c r="X154" s="506" t="str">
        <f>VLOOKUP($A154,'Pre-Assessment Estimator'!$A$10:$AA$226,X$2,FALSE)</f>
        <v>N/A</v>
      </c>
      <c r="Y154" s="509" t="str">
        <f>IF(VLOOKUP($A154,'Pre-Assessment Estimator'!$A$10:$AA$226,Y$2,FALSE)=0,"",VLOOKUP($A154,'Pre-Assessment Estimator'!$A$10:$AA$226,Y$2,FALSE))</f>
        <v/>
      </c>
      <c r="Z154" s="509" t="str">
        <f>IF(VLOOKUP($A154,'Pre-Assessment Estimator'!$A$10:$AA$226,Z$2,FALSE)=0,"",VLOOKUP($A154,'Pre-Assessment Estimator'!$A$10:$AA$226,Z$2,FALSE))</f>
        <v/>
      </c>
      <c r="AA154" s="322" t="str">
        <f>IF(VLOOKUP($A154,'Pre-Assessment Estimator'!$A$10:$AA$226,AA$2,FALSE)=0,"",VLOOKUP($A154,'Pre-Assessment Estimator'!$A$10:$AA$226,AA$2,FALSE))</f>
        <v/>
      </c>
      <c r="AB154" s="605">
        <v>144</v>
      </c>
      <c r="AC154" s="509"/>
      <c r="AG154" s="15">
        <f t="shared" si="3"/>
        <v>1</v>
      </c>
    </row>
    <row r="155" spans="1:33" x14ac:dyDescent="0.25">
      <c r="A155" s="716">
        <v>146</v>
      </c>
      <c r="B155" s="1022" t="s">
        <v>68</v>
      </c>
      <c r="C155" s="1022"/>
      <c r="D155" s="1044" t="str">
        <f>VLOOKUP($A155,'Pre-Assessment Estimator'!$A$10:$AA$226,D$2,FALSE)</f>
        <v>Wst 03a</v>
      </c>
      <c r="E155" s="1044" t="str">
        <f>VLOOKUP($A155,'Pre-Assessment Estimator'!$A$10:$AA$226,E$2,FALSE)</f>
        <v>1-5</v>
      </c>
      <c r="F155" s="1045" t="str">
        <f>VLOOKUP($A155,'Pre-Assessment Estimator'!$A$10:$AA$226,F$2,FALSE)</f>
        <v>Operational waste</v>
      </c>
      <c r="G155" s="506">
        <f>VLOOKUP($A155,'Pre-Assessment Estimator'!$A$10:$AA$226,G$2,FALSE)</f>
        <v>1</v>
      </c>
      <c r="H155" s="512" t="str">
        <f>IF(VLOOKUP($A155,'Pre-Assessment Estimator'!$A$10:$AA$226,H$2,FALSE)=0,"",VLOOKUP($A155,'Pre-Assessment Estimator'!$A$10:$AA$226,H$2,FALSE))</f>
        <v/>
      </c>
      <c r="I155" s="1012">
        <f>VLOOKUP($A155,'Pre-Assessment Estimator'!$A$10:$AA$226,I$2,FALSE)</f>
        <v>0</v>
      </c>
      <c r="J155" s="508" t="str">
        <f>VLOOKUP($A155,'Pre-Assessment Estimator'!$A$10:$AA$226,J$2,FALSE)</f>
        <v>Very Good</v>
      </c>
      <c r="K155" s="509" t="str">
        <f>IF(VLOOKUP($A155,'Pre-Assessment Estimator'!$A$10:$AA$226,K$2,FALSE)=0,"",VLOOKUP($A155,'Pre-Assessment Estimator'!$A$10:$AA$226,K$2,FALSE))</f>
        <v/>
      </c>
      <c r="L155" s="509" t="str">
        <f>IF(VLOOKUP($A155,'Pre-Assessment Estimator'!$A$10:$AA$226,L$2,FALSE)=0,"",VLOOKUP($A155,'Pre-Assessment Estimator'!$A$10:$AA$226,L$2,FALSE))</f>
        <v/>
      </c>
      <c r="M155" s="510" t="str">
        <f>IF(VLOOKUP($A155,'Pre-Assessment Estimator'!$A$10:$AA$226,M$2,FALSE)=0,"",VLOOKUP($A155,'Pre-Assessment Estimator'!$A$10:$AA$226,M$2,FALSE))</f>
        <v/>
      </c>
      <c r="N155" s="511"/>
      <c r="O155" s="512" t="str">
        <f>IF(VLOOKUP($A155,'Pre-Assessment Estimator'!$A$10:$AA$226,O$2,FALSE)=0,"",VLOOKUP($A155,'Pre-Assessment Estimator'!$A$10:$AA$226,O$2,FALSE))</f>
        <v/>
      </c>
      <c r="P155" s="507">
        <f>VLOOKUP($A155,'Pre-Assessment Estimator'!$A$10:$AA$226,P$2,FALSE)</f>
        <v>0</v>
      </c>
      <c r="Q155" s="506" t="str">
        <f>VLOOKUP($A155,'Pre-Assessment Estimator'!$A$10:$AA$226,Q$2,FALSE)</f>
        <v>Very Good</v>
      </c>
      <c r="R155" s="509" t="str">
        <f>IF(VLOOKUP($A155,'Pre-Assessment Estimator'!$A$10:$AA$226,R$2,FALSE)=0,"",VLOOKUP($A155,'Pre-Assessment Estimator'!$A$10:$AA$226,R$2,FALSE))</f>
        <v/>
      </c>
      <c r="S155" s="509" t="str">
        <f>IF(VLOOKUP($A155,'Pre-Assessment Estimator'!$A$10:$AA$226,S$2,FALSE)=0,"",VLOOKUP($A155,'Pre-Assessment Estimator'!$A$10:$AA$226,S$2,FALSE))</f>
        <v/>
      </c>
      <c r="T155" s="510" t="str">
        <f>IF(VLOOKUP($A155,'Pre-Assessment Estimator'!$A$10:$AA$226,T$2,FALSE)=0,"",VLOOKUP($A155,'Pre-Assessment Estimator'!$A$10:$AA$226,T$2,FALSE))</f>
        <v/>
      </c>
      <c r="U155" s="513"/>
      <c r="V155" s="512" t="str">
        <f>IF(VLOOKUP($A155,'Pre-Assessment Estimator'!$A$10:$AA$226,V$2,FALSE)=0,"",VLOOKUP($A155,'Pre-Assessment Estimator'!$A$10:$AA$226,V$2,FALSE))</f>
        <v/>
      </c>
      <c r="W155" s="507">
        <f>VLOOKUP($A155,'Pre-Assessment Estimator'!$A$10:$AA$226,W$2,FALSE)</f>
        <v>0</v>
      </c>
      <c r="X155" s="506" t="str">
        <f>VLOOKUP($A155,'Pre-Assessment Estimator'!$A$10:$AA$226,X$2,FALSE)</f>
        <v>Very Good</v>
      </c>
      <c r="Y155" s="509" t="str">
        <f>IF(VLOOKUP($A155,'Pre-Assessment Estimator'!$A$10:$AA$226,Y$2,FALSE)=0,"",VLOOKUP($A155,'Pre-Assessment Estimator'!$A$10:$AA$226,Y$2,FALSE))</f>
        <v/>
      </c>
      <c r="Z155" s="509" t="str">
        <f>IF(VLOOKUP($A155,'Pre-Assessment Estimator'!$A$10:$AA$226,Z$2,FALSE)=0,"",VLOOKUP($A155,'Pre-Assessment Estimator'!$A$10:$AA$226,Z$2,FALSE))</f>
        <v/>
      </c>
      <c r="AA155" s="322" t="str">
        <f>IF(VLOOKUP($A155,'Pre-Assessment Estimator'!$A$10:$AA$226,AA$2,FALSE)=0,"",VLOOKUP($A155,'Pre-Assessment Estimator'!$A$10:$AA$226,AA$2,FALSE))</f>
        <v/>
      </c>
      <c r="AB155" s="605">
        <v>145</v>
      </c>
      <c r="AC155" s="509"/>
      <c r="AG155" s="15">
        <f t="shared" si="3"/>
        <v>1</v>
      </c>
    </row>
    <row r="156" spans="1:33" x14ac:dyDescent="0.25">
      <c r="A156" s="716">
        <v>147</v>
      </c>
      <c r="B156" s="1022" t="s">
        <v>68</v>
      </c>
      <c r="C156" s="1022"/>
      <c r="D156" s="1043" t="str">
        <f>VLOOKUP($A156,'Pre-Assessment Estimator'!$A$10:$AA$226,D$2,FALSE)</f>
        <v>Wst 03b</v>
      </c>
      <c r="E156" s="1044"/>
      <c r="F156" s="1043" t="str">
        <f>VLOOKUP($A156,'Pre-Assessment Estimator'!$A$10:$AA$226,F$2,FALSE)</f>
        <v>Wst 03b Operational waste</v>
      </c>
      <c r="G156" s="506">
        <f>VLOOKUP($A156,'Pre-Assessment Estimator'!$A$10:$AA$226,G$2,FALSE)</f>
        <v>0</v>
      </c>
      <c r="H156" s="512" t="str">
        <f>IF(VLOOKUP($A156,'Pre-Assessment Estimator'!$A$10:$AA$226,H$2,FALSE)=0,"",VLOOKUP($A156,'Pre-Assessment Estimator'!$A$10:$AA$226,H$2,FALSE))</f>
        <v/>
      </c>
      <c r="I156" s="1012" t="str">
        <f>VLOOKUP($A156,'Pre-Assessment Estimator'!$A$10:$AA$226,I$2,FALSE)</f>
        <v>0 c. 0 %</v>
      </c>
      <c r="J156" s="508" t="str">
        <f>VLOOKUP($A156,'Pre-Assessment Estimator'!$A$10:$AA$226,J$2,FALSE)</f>
        <v>N/A</v>
      </c>
      <c r="K156" s="509" t="str">
        <f>IF(VLOOKUP($A156,'Pre-Assessment Estimator'!$A$10:$AA$226,K$2,FALSE)=0,"",VLOOKUP($A156,'Pre-Assessment Estimator'!$A$10:$AA$226,K$2,FALSE))</f>
        <v/>
      </c>
      <c r="L156" s="509" t="str">
        <f>IF(VLOOKUP($A156,'Pre-Assessment Estimator'!$A$10:$AA$226,L$2,FALSE)=0,"",VLOOKUP($A156,'Pre-Assessment Estimator'!$A$10:$AA$226,L$2,FALSE))</f>
        <v/>
      </c>
      <c r="M156" s="510" t="str">
        <f>IF(VLOOKUP($A156,'Pre-Assessment Estimator'!$A$10:$AA$226,M$2,FALSE)=0,"",VLOOKUP($A156,'Pre-Assessment Estimator'!$A$10:$AA$226,M$2,FALSE))</f>
        <v/>
      </c>
      <c r="N156" s="511"/>
      <c r="O156" s="512" t="str">
        <f>IF(VLOOKUP($A156,'Pre-Assessment Estimator'!$A$10:$AA$226,O$2,FALSE)=0,"",VLOOKUP($A156,'Pre-Assessment Estimator'!$A$10:$AA$226,O$2,FALSE))</f>
        <v/>
      </c>
      <c r="P156" s="507" t="str">
        <f>VLOOKUP($A156,'Pre-Assessment Estimator'!$A$10:$AA$226,P$2,FALSE)</f>
        <v>0 c. 0 %</v>
      </c>
      <c r="Q156" s="506" t="str">
        <f>VLOOKUP($A156,'Pre-Assessment Estimator'!$A$10:$AA$226,Q$2,FALSE)</f>
        <v>N/A</v>
      </c>
      <c r="R156" s="509" t="str">
        <f>IF(VLOOKUP($A156,'Pre-Assessment Estimator'!$A$10:$AA$226,R$2,FALSE)=0,"",VLOOKUP($A156,'Pre-Assessment Estimator'!$A$10:$AA$226,R$2,FALSE))</f>
        <v/>
      </c>
      <c r="S156" s="509" t="str">
        <f>IF(VLOOKUP($A156,'Pre-Assessment Estimator'!$A$10:$AA$226,S$2,FALSE)=0,"",VLOOKUP($A156,'Pre-Assessment Estimator'!$A$10:$AA$226,S$2,FALSE))</f>
        <v/>
      </c>
      <c r="T156" s="510" t="str">
        <f>IF(VLOOKUP($A156,'Pre-Assessment Estimator'!$A$10:$AA$226,T$2,FALSE)=0,"",VLOOKUP($A156,'Pre-Assessment Estimator'!$A$10:$AA$226,T$2,FALSE))</f>
        <v/>
      </c>
      <c r="U156" s="513"/>
      <c r="V156" s="512" t="str">
        <f>IF(VLOOKUP($A156,'Pre-Assessment Estimator'!$A$10:$AA$226,V$2,FALSE)=0,"",VLOOKUP($A156,'Pre-Assessment Estimator'!$A$10:$AA$226,V$2,FALSE))</f>
        <v/>
      </c>
      <c r="W156" s="507" t="str">
        <f>VLOOKUP($A156,'Pre-Assessment Estimator'!$A$10:$AA$226,W$2,FALSE)</f>
        <v>0 c. 0 %</v>
      </c>
      <c r="X156" s="506" t="str">
        <f>VLOOKUP($A156,'Pre-Assessment Estimator'!$A$10:$AA$226,X$2,FALSE)</f>
        <v>N/A</v>
      </c>
      <c r="Y156" s="509" t="str">
        <f>IF(VLOOKUP($A156,'Pre-Assessment Estimator'!$A$10:$AA$226,Y$2,FALSE)=0,"",VLOOKUP($A156,'Pre-Assessment Estimator'!$A$10:$AA$226,Y$2,FALSE))</f>
        <v/>
      </c>
      <c r="Z156" s="509" t="str">
        <f>IF(VLOOKUP($A156,'Pre-Assessment Estimator'!$A$10:$AA$226,Z$2,FALSE)=0,"",VLOOKUP($A156,'Pre-Assessment Estimator'!$A$10:$AA$226,Z$2,FALSE))</f>
        <v/>
      </c>
      <c r="AA156" s="322" t="str">
        <f>IF(VLOOKUP($A156,'Pre-Assessment Estimator'!$A$10:$AA$226,AA$2,FALSE)=0,"",VLOOKUP($A156,'Pre-Assessment Estimator'!$A$10:$AA$226,AA$2,FALSE))</f>
        <v/>
      </c>
      <c r="AB156" s="605">
        <v>146</v>
      </c>
      <c r="AC156" s="509"/>
      <c r="AG156" s="15">
        <f t="shared" si="3"/>
        <v>2</v>
      </c>
    </row>
    <row r="157" spans="1:33" x14ac:dyDescent="0.25">
      <c r="A157" s="716">
        <v>148</v>
      </c>
      <c r="B157" s="1022" t="s">
        <v>68</v>
      </c>
      <c r="C157" s="1022"/>
      <c r="D157" s="1044" t="str">
        <f>VLOOKUP($A157,'Pre-Assessment Estimator'!$A$10:$AA$226,D$2,FALSE)</f>
        <v>Wst 03b</v>
      </c>
      <c r="E157" s="1044" t="str">
        <f>VLOOKUP($A157,'Pre-Assessment Estimator'!$A$10:$AA$226,E$2,FALSE)</f>
        <v>1-2</v>
      </c>
      <c r="F157" s="1045" t="str">
        <f>VLOOKUP($A157,'Pre-Assessment Estimator'!$A$10:$AA$226,F$2,FALSE)</f>
        <v>Sorting of waste</v>
      </c>
      <c r="G157" s="506">
        <f>VLOOKUP($A157,'Pre-Assessment Estimator'!$A$10:$AA$226,G$2,FALSE)</f>
        <v>0</v>
      </c>
      <c r="H157" s="512" t="str">
        <f>IF(VLOOKUP($A157,'Pre-Assessment Estimator'!$A$10:$AA$226,H$2,FALSE)=0,"",VLOOKUP($A157,'Pre-Assessment Estimator'!$A$10:$AA$226,H$2,FALSE))</f>
        <v/>
      </c>
      <c r="I157" s="1012">
        <f>VLOOKUP($A157,'Pre-Assessment Estimator'!$A$10:$AA$226,I$2,FALSE)</f>
        <v>0</v>
      </c>
      <c r="J157" s="508" t="str">
        <f>VLOOKUP($A157,'Pre-Assessment Estimator'!$A$10:$AA$226,J$2,FALSE)</f>
        <v>N/A</v>
      </c>
      <c r="K157" s="509" t="str">
        <f>IF(VLOOKUP($A157,'Pre-Assessment Estimator'!$A$10:$AA$226,K$2,FALSE)=0,"",VLOOKUP($A157,'Pre-Assessment Estimator'!$A$10:$AA$226,K$2,FALSE))</f>
        <v/>
      </c>
      <c r="L157" s="509" t="str">
        <f>IF(VLOOKUP($A157,'Pre-Assessment Estimator'!$A$10:$AA$226,L$2,FALSE)=0,"",VLOOKUP($A157,'Pre-Assessment Estimator'!$A$10:$AA$226,L$2,FALSE))</f>
        <v/>
      </c>
      <c r="M157" s="510" t="str">
        <f>IF(VLOOKUP($A157,'Pre-Assessment Estimator'!$A$10:$AA$226,M$2,FALSE)=0,"",VLOOKUP($A157,'Pre-Assessment Estimator'!$A$10:$AA$226,M$2,FALSE))</f>
        <v/>
      </c>
      <c r="N157" s="511"/>
      <c r="O157" s="512" t="str">
        <f>IF(VLOOKUP($A157,'Pre-Assessment Estimator'!$A$10:$AA$226,O$2,FALSE)=0,"",VLOOKUP($A157,'Pre-Assessment Estimator'!$A$10:$AA$226,O$2,FALSE))</f>
        <v/>
      </c>
      <c r="P157" s="507">
        <f>VLOOKUP($A157,'Pre-Assessment Estimator'!$A$10:$AA$226,P$2,FALSE)</f>
        <v>0</v>
      </c>
      <c r="Q157" s="506" t="str">
        <f>VLOOKUP($A157,'Pre-Assessment Estimator'!$A$10:$AA$226,Q$2,FALSE)</f>
        <v>N/A</v>
      </c>
      <c r="R157" s="509" t="str">
        <f>IF(VLOOKUP($A157,'Pre-Assessment Estimator'!$A$10:$AA$226,R$2,FALSE)=0,"",VLOOKUP($A157,'Pre-Assessment Estimator'!$A$10:$AA$226,R$2,FALSE))</f>
        <v/>
      </c>
      <c r="S157" s="509" t="str">
        <f>IF(VLOOKUP($A157,'Pre-Assessment Estimator'!$A$10:$AA$226,S$2,FALSE)=0,"",VLOOKUP($A157,'Pre-Assessment Estimator'!$A$10:$AA$226,S$2,FALSE))</f>
        <v/>
      </c>
      <c r="T157" s="510" t="str">
        <f>IF(VLOOKUP($A157,'Pre-Assessment Estimator'!$A$10:$AA$226,T$2,FALSE)=0,"",VLOOKUP($A157,'Pre-Assessment Estimator'!$A$10:$AA$226,T$2,FALSE))</f>
        <v/>
      </c>
      <c r="U157" s="513"/>
      <c r="V157" s="512" t="str">
        <f>IF(VLOOKUP($A157,'Pre-Assessment Estimator'!$A$10:$AA$226,V$2,FALSE)=0,"",VLOOKUP($A157,'Pre-Assessment Estimator'!$A$10:$AA$226,V$2,FALSE))</f>
        <v/>
      </c>
      <c r="W157" s="507">
        <f>VLOOKUP($A157,'Pre-Assessment Estimator'!$A$10:$AA$226,W$2,FALSE)</f>
        <v>0</v>
      </c>
      <c r="X157" s="506" t="str">
        <f>VLOOKUP($A157,'Pre-Assessment Estimator'!$A$10:$AA$226,X$2,FALSE)</f>
        <v>N/A</v>
      </c>
      <c r="Y157" s="509" t="str">
        <f>IF(VLOOKUP($A157,'Pre-Assessment Estimator'!$A$10:$AA$226,Y$2,FALSE)=0,"",VLOOKUP($A157,'Pre-Assessment Estimator'!$A$10:$AA$226,Y$2,FALSE))</f>
        <v/>
      </c>
      <c r="Z157" s="509" t="str">
        <f>IF(VLOOKUP($A157,'Pre-Assessment Estimator'!$A$10:$AA$226,Z$2,FALSE)=0,"",VLOOKUP($A157,'Pre-Assessment Estimator'!$A$10:$AA$226,Z$2,FALSE))</f>
        <v/>
      </c>
      <c r="AA157" s="322" t="str">
        <f>IF(VLOOKUP($A157,'Pre-Assessment Estimator'!$A$10:$AA$226,AA$2,FALSE)=0,"",VLOOKUP($A157,'Pre-Assessment Estimator'!$A$10:$AA$226,AA$2,FALSE))</f>
        <v/>
      </c>
      <c r="AB157" s="605">
        <v>147</v>
      </c>
      <c r="AC157" s="509" t="str">
        <f>IF(VLOOKUP($A157,'Pre-Assessment Estimator'!$A$10:$AC$226,AC$2,FALSE)=0,"",VLOOKUP($A157,'Pre-Assessment Estimator'!$A$10:$AC$226,AC$2,FALSE))</f>
        <v>N/A</v>
      </c>
      <c r="AG157" s="15">
        <f t="shared" si="3"/>
        <v>2</v>
      </c>
    </row>
    <row r="158" spans="1:33" x14ac:dyDescent="0.25">
      <c r="A158" s="716">
        <v>149</v>
      </c>
      <c r="B158" s="1022" t="s">
        <v>68</v>
      </c>
      <c r="C158" s="1022"/>
      <c r="D158" s="1043" t="str">
        <f>VLOOKUP($A158,'Pre-Assessment Estimator'!$A$10:$AA$226,D$2,FALSE)</f>
        <v>Wst 04</v>
      </c>
      <c r="E158" s="1044"/>
      <c r="F158" s="1043" t="str">
        <f>VLOOKUP($A158,'Pre-Assessment Estimator'!$A$10:$AA$226,F$2,FALSE)</f>
        <v>Wst 04 Speculative finishes</v>
      </c>
      <c r="G158" s="506">
        <f>VLOOKUP($A158,'Pre-Assessment Estimator'!$A$10:$AA$226,G$2,FALSE)</f>
        <v>1</v>
      </c>
      <c r="H158" s="512" t="str">
        <f>IF(VLOOKUP($A158,'Pre-Assessment Estimator'!$A$10:$AA$226,H$2,FALSE)=0,"",VLOOKUP($A158,'Pre-Assessment Estimator'!$A$10:$AA$226,H$2,FALSE))</f>
        <v/>
      </c>
      <c r="I158" s="1012" t="str">
        <f>VLOOKUP($A158,'Pre-Assessment Estimator'!$A$10:$AA$226,I$2,FALSE)</f>
        <v>0 c. 0 %</v>
      </c>
      <c r="J158" s="508" t="str">
        <f>VLOOKUP($A158,'Pre-Assessment Estimator'!$A$10:$AA$226,J$2,FALSE)</f>
        <v>N/A</v>
      </c>
      <c r="K158" s="509" t="str">
        <f>IF(VLOOKUP($A158,'Pre-Assessment Estimator'!$A$10:$AA$226,K$2,FALSE)=0,"",VLOOKUP($A158,'Pre-Assessment Estimator'!$A$10:$AA$226,K$2,FALSE))</f>
        <v/>
      </c>
      <c r="L158" s="509" t="str">
        <f>IF(VLOOKUP($A158,'Pre-Assessment Estimator'!$A$10:$AA$226,L$2,FALSE)=0,"",VLOOKUP($A158,'Pre-Assessment Estimator'!$A$10:$AA$226,L$2,FALSE))</f>
        <v/>
      </c>
      <c r="M158" s="510" t="str">
        <f>IF(VLOOKUP($A158,'Pre-Assessment Estimator'!$A$10:$AA$226,M$2,FALSE)=0,"",VLOOKUP($A158,'Pre-Assessment Estimator'!$A$10:$AA$226,M$2,FALSE))</f>
        <v/>
      </c>
      <c r="N158" s="511"/>
      <c r="O158" s="512" t="str">
        <f>IF(VLOOKUP($A158,'Pre-Assessment Estimator'!$A$10:$AA$226,O$2,FALSE)=0,"",VLOOKUP($A158,'Pre-Assessment Estimator'!$A$10:$AA$226,O$2,FALSE))</f>
        <v/>
      </c>
      <c r="P158" s="507" t="str">
        <f>VLOOKUP($A158,'Pre-Assessment Estimator'!$A$10:$AA$226,P$2,FALSE)</f>
        <v>0 c. 0 %</v>
      </c>
      <c r="Q158" s="506" t="str">
        <f>VLOOKUP($A158,'Pre-Assessment Estimator'!$A$10:$AA$226,Q$2,FALSE)</f>
        <v>N/A</v>
      </c>
      <c r="R158" s="509" t="str">
        <f>IF(VLOOKUP($A158,'Pre-Assessment Estimator'!$A$10:$AA$226,R$2,FALSE)=0,"",VLOOKUP($A158,'Pre-Assessment Estimator'!$A$10:$AA$226,R$2,FALSE))</f>
        <v/>
      </c>
      <c r="S158" s="509" t="str">
        <f>IF(VLOOKUP($A158,'Pre-Assessment Estimator'!$A$10:$AA$226,S$2,FALSE)=0,"",VLOOKUP($A158,'Pre-Assessment Estimator'!$A$10:$AA$226,S$2,FALSE))</f>
        <v/>
      </c>
      <c r="T158" s="510" t="str">
        <f>IF(VLOOKUP($A158,'Pre-Assessment Estimator'!$A$10:$AA$226,T$2,FALSE)=0,"",VLOOKUP($A158,'Pre-Assessment Estimator'!$A$10:$AA$226,T$2,FALSE))</f>
        <v/>
      </c>
      <c r="U158" s="513"/>
      <c r="V158" s="512" t="str">
        <f>IF(VLOOKUP($A158,'Pre-Assessment Estimator'!$A$10:$AA$226,V$2,FALSE)=0,"",VLOOKUP($A158,'Pre-Assessment Estimator'!$A$10:$AA$226,V$2,FALSE))</f>
        <v/>
      </c>
      <c r="W158" s="507" t="str">
        <f>VLOOKUP($A158,'Pre-Assessment Estimator'!$A$10:$AA$226,W$2,FALSE)</f>
        <v>0 c. 0 %</v>
      </c>
      <c r="X158" s="506" t="str">
        <f>VLOOKUP($A158,'Pre-Assessment Estimator'!$A$10:$AA$226,X$2,FALSE)</f>
        <v>N/A</v>
      </c>
      <c r="Y158" s="509" t="str">
        <f>IF(VLOOKUP($A158,'Pre-Assessment Estimator'!$A$10:$AA$226,Y$2,FALSE)=0,"",VLOOKUP($A158,'Pre-Assessment Estimator'!$A$10:$AA$226,Y$2,FALSE))</f>
        <v/>
      </c>
      <c r="Z158" s="509" t="str">
        <f>IF(VLOOKUP($A158,'Pre-Assessment Estimator'!$A$10:$AA$226,Z$2,FALSE)=0,"",VLOOKUP($A158,'Pre-Assessment Estimator'!$A$10:$AA$226,Z$2,FALSE))</f>
        <v/>
      </c>
      <c r="AA158" s="322" t="str">
        <f>IF(VLOOKUP($A158,'Pre-Assessment Estimator'!$A$10:$AA$226,AA$2,FALSE)=0,"",VLOOKUP($A158,'Pre-Assessment Estimator'!$A$10:$AA$226,AA$2,FALSE))</f>
        <v/>
      </c>
      <c r="AB158" s="605">
        <v>148</v>
      </c>
      <c r="AC158" s="517" t="str">
        <f>IF(VLOOKUP($A158,'Pre-Assessment Estimator'!$A$10:$AC$226,AC$2,FALSE)=0,"",VLOOKUP($A158,'Pre-Assessment Estimator'!$A$10:$AC$226,AC$2,FALSE))</f>
        <v>N/A</v>
      </c>
      <c r="AG158" s="15">
        <f t="shared" si="3"/>
        <v>1</v>
      </c>
    </row>
    <row r="159" spans="1:33" x14ac:dyDescent="0.25">
      <c r="A159" s="716">
        <v>150</v>
      </c>
      <c r="B159" s="1022" t="s">
        <v>69</v>
      </c>
      <c r="C159" s="1022"/>
      <c r="D159" s="1044" t="str">
        <f>VLOOKUP($A159,'Pre-Assessment Estimator'!$A$10:$AA$226,D$2,FALSE)</f>
        <v>Wst 04</v>
      </c>
      <c r="E159" s="1044" t="str">
        <f>VLOOKUP($A159,'Pre-Assessment Estimator'!$A$10:$AA$226,E$2,FALSE)</f>
        <v>1-3</v>
      </c>
      <c r="F159" s="1045" t="str">
        <f>VLOOKUP($A159,'Pre-Assessment Estimator'!$A$10:$AA$226,F$2,FALSE)</f>
        <v xml:space="preserve">User involvement surface finishes </v>
      </c>
      <c r="G159" s="506">
        <f>VLOOKUP($A159,'Pre-Assessment Estimator'!$A$10:$AA$226,G$2,FALSE)</f>
        <v>1</v>
      </c>
      <c r="H159" s="512" t="str">
        <f>IF(VLOOKUP($A159,'Pre-Assessment Estimator'!$A$10:$AA$226,H$2,FALSE)=0,"",VLOOKUP($A159,'Pre-Assessment Estimator'!$A$10:$AA$226,H$2,FALSE))</f>
        <v/>
      </c>
      <c r="I159" s="1012">
        <f>VLOOKUP($A159,'Pre-Assessment Estimator'!$A$10:$AA$226,I$2,FALSE)</f>
        <v>0</v>
      </c>
      <c r="J159" s="508" t="str">
        <f>VLOOKUP($A159,'Pre-Assessment Estimator'!$A$10:$AA$226,J$2,FALSE)</f>
        <v>N/A</v>
      </c>
      <c r="K159" s="509" t="str">
        <f>IF(VLOOKUP($A159,'Pre-Assessment Estimator'!$A$10:$AA$226,K$2,FALSE)=0,"",VLOOKUP($A159,'Pre-Assessment Estimator'!$A$10:$AA$226,K$2,FALSE))</f>
        <v/>
      </c>
      <c r="L159" s="509" t="str">
        <f>IF(VLOOKUP($A159,'Pre-Assessment Estimator'!$A$10:$AA$226,L$2,FALSE)=0,"",VLOOKUP($A159,'Pre-Assessment Estimator'!$A$10:$AA$226,L$2,FALSE))</f>
        <v/>
      </c>
      <c r="M159" s="510" t="str">
        <f>IF(VLOOKUP($A159,'Pre-Assessment Estimator'!$A$10:$AA$226,M$2,FALSE)=0,"",VLOOKUP($A159,'Pre-Assessment Estimator'!$A$10:$AA$226,M$2,FALSE))</f>
        <v/>
      </c>
      <c r="N159" s="511"/>
      <c r="O159" s="512" t="str">
        <f>IF(VLOOKUP($A159,'Pre-Assessment Estimator'!$A$10:$AA$226,O$2,FALSE)=0,"",VLOOKUP($A159,'Pre-Assessment Estimator'!$A$10:$AA$226,O$2,FALSE))</f>
        <v/>
      </c>
      <c r="P159" s="507">
        <f>VLOOKUP($A159,'Pre-Assessment Estimator'!$A$10:$AA$226,P$2,FALSE)</f>
        <v>0</v>
      </c>
      <c r="Q159" s="506" t="str">
        <f>VLOOKUP($A159,'Pre-Assessment Estimator'!$A$10:$AA$226,Q$2,FALSE)</f>
        <v>N/A</v>
      </c>
      <c r="R159" s="509" t="str">
        <f>IF(VLOOKUP($A159,'Pre-Assessment Estimator'!$A$10:$AA$226,R$2,FALSE)=0,"",VLOOKUP($A159,'Pre-Assessment Estimator'!$A$10:$AA$226,R$2,FALSE))</f>
        <v/>
      </c>
      <c r="S159" s="509" t="str">
        <f>IF(VLOOKUP($A159,'Pre-Assessment Estimator'!$A$10:$AA$226,S$2,FALSE)=0,"",VLOOKUP($A159,'Pre-Assessment Estimator'!$A$10:$AA$226,S$2,FALSE))</f>
        <v/>
      </c>
      <c r="T159" s="510" t="str">
        <f>IF(VLOOKUP($A159,'Pre-Assessment Estimator'!$A$10:$AA$226,T$2,FALSE)=0,"",VLOOKUP($A159,'Pre-Assessment Estimator'!$A$10:$AA$226,T$2,FALSE))</f>
        <v/>
      </c>
      <c r="U159" s="513"/>
      <c r="V159" s="512" t="str">
        <f>IF(VLOOKUP($A159,'Pre-Assessment Estimator'!$A$10:$AA$226,V$2,FALSE)=0,"",VLOOKUP($A159,'Pre-Assessment Estimator'!$A$10:$AA$226,V$2,FALSE))</f>
        <v/>
      </c>
      <c r="W159" s="507">
        <f>VLOOKUP($A159,'Pre-Assessment Estimator'!$A$10:$AA$226,W$2,FALSE)</f>
        <v>0</v>
      </c>
      <c r="X159" s="506" t="str">
        <f>VLOOKUP($A159,'Pre-Assessment Estimator'!$A$10:$AA$226,X$2,FALSE)</f>
        <v>N/A</v>
      </c>
      <c r="Y159" s="509" t="str">
        <f>IF(VLOOKUP($A159,'Pre-Assessment Estimator'!$A$10:$AA$226,Y$2,FALSE)=0,"",VLOOKUP($A159,'Pre-Assessment Estimator'!$A$10:$AA$226,Y$2,FALSE))</f>
        <v/>
      </c>
      <c r="Z159" s="509" t="str">
        <f>IF(VLOOKUP($A159,'Pre-Assessment Estimator'!$A$10:$AA$226,Z$2,FALSE)=0,"",VLOOKUP($A159,'Pre-Assessment Estimator'!$A$10:$AA$226,Z$2,FALSE))</f>
        <v/>
      </c>
      <c r="AA159" s="322" t="str">
        <f>IF(VLOOKUP($A159,'Pre-Assessment Estimator'!$A$10:$AA$226,AA$2,FALSE)=0,"",VLOOKUP($A159,'Pre-Assessment Estimator'!$A$10:$AA$226,AA$2,FALSE))</f>
        <v/>
      </c>
      <c r="AB159" s="605">
        <v>149</v>
      </c>
      <c r="AC159" s="606" t="str">
        <f>IF(VLOOKUP($A159,'Pre-Assessment Estimator'!$A$10:$AC$226,AC$2,FALSE)=0,"",VLOOKUP($A159,'Pre-Assessment Estimator'!$A$10:$AC$226,AC$2,FALSE))</f>
        <v>N/A</v>
      </c>
      <c r="AG159" s="15">
        <f t="shared" si="3"/>
        <v>1</v>
      </c>
    </row>
    <row r="160" spans="1:33" ht="30" customHeight="1" thickBot="1" x14ac:dyDescent="0.3">
      <c r="A160" s="716">
        <v>151</v>
      </c>
      <c r="B160" s="1022" t="s">
        <v>69</v>
      </c>
      <c r="C160" s="1022"/>
      <c r="D160" s="1046"/>
      <c r="E160" s="1046"/>
      <c r="F160" s="1046" t="str">
        <f>VLOOKUP($A160,'Pre-Assessment Estimator'!$A$10:$AA$226,F$2,FALSE)</f>
        <v>Total performance waste</v>
      </c>
      <c r="G160" s="514">
        <f>VLOOKUP($A160,'Pre-Assessment Estimator'!$A$10:$AA$226,G$2,FALSE)</f>
        <v>7</v>
      </c>
      <c r="H160" s="516" t="str">
        <f>IF(VLOOKUP($A160,'Pre-Assessment Estimator'!$A$10:$AA$226,H$2,FALSE)=0,"",VLOOKUP($A160,'Pre-Assessment Estimator'!$A$10:$AA$226,H$2,FALSE))</f>
        <v/>
      </c>
      <c r="I160" s="515">
        <f>VLOOKUP($A160,'Pre-Assessment Estimator'!$A$10:$AA$226,I$2,FALSE)</f>
        <v>0</v>
      </c>
      <c r="J160" s="514" t="str">
        <f>VLOOKUP($A160,'Pre-Assessment Estimator'!$A$10:$AA$226,J$2,FALSE)</f>
        <v>Credits achieved: 0</v>
      </c>
      <c r="K160" s="994" t="str">
        <f>IF(VLOOKUP($A160,'Pre-Assessment Estimator'!$A$10:$AA$226,K$2,FALSE)=0,"",VLOOKUP($A160,'Pre-Assessment Estimator'!$A$10:$AA$226,K$2,FALSE))</f>
        <v/>
      </c>
      <c r="L160" s="994" t="str">
        <f>IF(VLOOKUP($A160,'Pre-Assessment Estimator'!$A$10:$AA$226,L$2,FALSE)=0,"",VLOOKUP($A160,'Pre-Assessment Estimator'!$A$10:$AA$226,L$2,FALSE))</f>
        <v/>
      </c>
      <c r="M160" s="1013" t="str">
        <f>IF(VLOOKUP($A160,'Pre-Assessment Estimator'!$A$10:$AA$226,M$2,FALSE)=0,"",VLOOKUP($A160,'Pre-Assessment Estimator'!$A$10:$AA$226,M$2,FALSE))</f>
        <v/>
      </c>
      <c r="N160" s="1014"/>
      <c r="O160" s="516" t="str">
        <f>IF(VLOOKUP($A160,'Pre-Assessment Estimator'!$A$10:$AA$226,O$2,FALSE)=0,"",VLOOKUP($A160,'Pre-Assessment Estimator'!$A$10:$AA$226,O$2,FALSE))</f>
        <v/>
      </c>
      <c r="P160" s="515">
        <f>VLOOKUP($A160,'Pre-Assessment Estimator'!$A$10:$AA$226,P$2,FALSE)</f>
        <v>0</v>
      </c>
      <c r="Q160" s="514" t="str">
        <f>VLOOKUP($A160,'Pre-Assessment Estimator'!$A$10:$AA$226,Q$2,FALSE)</f>
        <v>Credits achieved: 0</v>
      </c>
      <c r="R160" s="994" t="str">
        <f>IF(VLOOKUP($A160,'Pre-Assessment Estimator'!$A$10:$AA$226,R$2,FALSE)=0,"",VLOOKUP($A160,'Pre-Assessment Estimator'!$A$10:$AA$226,R$2,FALSE))</f>
        <v/>
      </c>
      <c r="S160" s="994" t="str">
        <f>IF(VLOOKUP($A160,'Pre-Assessment Estimator'!$A$10:$AA$226,S$2,FALSE)=0,"",VLOOKUP($A160,'Pre-Assessment Estimator'!$A$10:$AA$226,S$2,FALSE))</f>
        <v/>
      </c>
      <c r="T160" s="1013" t="str">
        <f>IF(VLOOKUP($A160,'Pre-Assessment Estimator'!$A$10:$AA$226,T$2,FALSE)=0,"",VLOOKUP($A160,'Pre-Assessment Estimator'!$A$10:$AA$226,T$2,FALSE))</f>
        <v/>
      </c>
      <c r="U160" s="1015"/>
      <c r="V160" s="516" t="str">
        <f>IF(VLOOKUP($A160,'Pre-Assessment Estimator'!$A$10:$AA$226,V$2,FALSE)=0,"",VLOOKUP($A160,'Pre-Assessment Estimator'!$A$10:$AA$226,V$2,FALSE))</f>
        <v/>
      </c>
      <c r="W160" s="515">
        <f>VLOOKUP($A160,'Pre-Assessment Estimator'!$A$10:$AA$226,W$2,FALSE)</f>
        <v>0</v>
      </c>
      <c r="X160" s="514" t="str">
        <f>VLOOKUP($A160,'Pre-Assessment Estimator'!$A$10:$AA$226,X$2,FALSE)</f>
        <v>Credits achieved: 0</v>
      </c>
      <c r="Y160" s="994" t="str">
        <f>IF(VLOOKUP($A160,'Pre-Assessment Estimator'!$A$10:$AA$226,Y$2,FALSE)=0,"",VLOOKUP($A160,'Pre-Assessment Estimator'!$A$10:$AA$226,Y$2,FALSE))</f>
        <v/>
      </c>
      <c r="Z160" s="994" t="str">
        <f>IF(VLOOKUP($A160,'Pre-Assessment Estimator'!$A$10:$AA$226,Z$2,FALSE)=0,"",VLOOKUP($A160,'Pre-Assessment Estimator'!$A$10:$AA$226,Z$2,FALSE))</f>
        <v/>
      </c>
      <c r="AA160" s="1016" t="str">
        <f>IF(VLOOKUP($A160,'Pre-Assessment Estimator'!$A$10:$AA$226,AA$2,FALSE)=0,"",VLOOKUP($A160,'Pre-Assessment Estimator'!$A$10:$AA$226,AA$2,FALSE))</f>
        <v/>
      </c>
      <c r="AB160" s="605">
        <v>150</v>
      </c>
      <c r="AC160" s="509" t="str">
        <f>IF(VLOOKUP($A160,'Pre-Assessment Estimator'!$A$10:$AC$226,AC$2,FALSE)=0,"",VLOOKUP($A160,'Pre-Assessment Estimator'!$A$10:$AC$226,AC$2,FALSE))</f>
        <v>Credits achieved: 0</v>
      </c>
      <c r="AG160" s="15">
        <f t="shared" si="3"/>
        <v>1</v>
      </c>
    </row>
    <row r="161" spans="1:33" x14ac:dyDescent="0.25">
      <c r="A161" s="716">
        <v>152</v>
      </c>
      <c r="B161" s="1022" t="s">
        <v>69</v>
      </c>
      <c r="C161" s="1022"/>
      <c r="D161" s="517"/>
      <c r="E161" s="517"/>
      <c r="F161" s="517"/>
      <c r="G161" s="518"/>
      <c r="H161" s="518"/>
      <c r="I161" s="518"/>
      <c r="J161" s="518"/>
      <c r="K161" s="517"/>
      <c r="L161" s="518"/>
      <c r="M161" s="517"/>
      <c r="N161" s="511"/>
      <c r="O161" s="518"/>
      <c r="P161" s="518"/>
      <c r="Q161" s="518"/>
      <c r="R161" s="517"/>
      <c r="S161" s="518"/>
      <c r="T161" s="517"/>
      <c r="U161" s="513"/>
      <c r="V161" s="518"/>
      <c r="W161" s="518"/>
      <c r="X161" s="518"/>
      <c r="Y161" s="517"/>
      <c r="Z161" s="518"/>
      <c r="AA161" s="300"/>
      <c r="AB161" s="605">
        <v>151</v>
      </c>
      <c r="AC161" s="509"/>
      <c r="AG161" s="15">
        <f t="shared" si="3"/>
        <v>1</v>
      </c>
    </row>
    <row r="162" spans="1:33" ht="18.75" x14ac:dyDescent="0.25">
      <c r="A162" s="716">
        <v>153</v>
      </c>
      <c r="B162" s="1022" t="s">
        <v>69</v>
      </c>
      <c r="C162" s="1022"/>
      <c r="D162" s="519"/>
      <c r="E162" s="519"/>
      <c r="F162" s="519" t="s">
        <v>393</v>
      </c>
      <c r="G162" s="502"/>
      <c r="H162" s="502"/>
      <c r="I162" s="502"/>
      <c r="J162" s="502"/>
      <c r="K162" s="503"/>
      <c r="L162" s="502"/>
      <c r="M162" s="503"/>
      <c r="N162" s="511"/>
      <c r="O162" s="502"/>
      <c r="P162" s="502"/>
      <c r="Q162" s="502"/>
      <c r="R162" s="503"/>
      <c r="S162" s="502"/>
      <c r="T162" s="503"/>
      <c r="U162" s="513"/>
      <c r="V162" s="502"/>
      <c r="W162" s="502"/>
      <c r="X162" s="502"/>
      <c r="Y162" s="503"/>
      <c r="Z162" s="502"/>
      <c r="AA162" s="351"/>
      <c r="AB162" s="605">
        <v>152</v>
      </c>
      <c r="AC162" s="509"/>
      <c r="AG162" s="15">
        <f t="shared" si="3"/>
        <v>1</v>
      </c>
    </row>
    <row r="163" spans="1:33" x14ac:dyDescent="0.25">
      <c r="A163" s="716">
        <v>154</v>
      </c>
      <c r="B163" s="1022" t="s">
        <v>69</v>
      </c>
      <c r="C163" s="1022"/>
      <c r="D163" s="1043" t="str">
        <f>VLOOKUP($A163,'Pre-Assessment Estimator'!$A$10:$AA$226,D$2,FALSE)</f>
        <v>LE 01</v>
      </c>
      <c r="E163" s="1044"/>
      <c r="F163" s="1043" t="str">
        <f>VLOOKUP($A163,'Pre-Assessment Estimator'!$A$10:$AA$226,F$2,FALSE)</f>
        <v>LE 01 Site selection</v>
      </c>
      <c r="G163" s="506">
        <f>VLOOKUP($A163,'Pre-Assessment Estimator'!$A$10:$AA$226,G$2,FALSE)</f>
        <v>2</v>
      </c>
      <c r="H163" s="512" t="str">
        <f>IF(VLOOKUP($A163,'Pre-Assessment Estimator'!$A$10:$AA$226,H$2,FALSE)=0,"",VLOOKUP($A163,'Pre-Assessment Estimator'!$A$10:$AA$226,H$2,FALSE))</f>
        <v/>
      </c>
      <c r="I163" s="1012" t="str">
        <f>VLOOKUP($A163,'Pre-Assessment Estimator'!$A$10:$AA$226,I$2,FALSE)</f>
        <v>0 c. 0 %</v>
      </c>
      <c r="J163" s="508" t="str">
        <f>VLOOKUP($A163,'Pre-Assessment Estimator'!$A$10:$AA$226,J$2,FALSE)</f>
        <v>N/A</v>
      </c>
      <c r="K163" s="509" t="str">
        <f>IF(VLOOKUP($A163,'Pre-Assessment Estimator'!$A$10:$AA$226,K$2,FALSE)=0,"",VLOOKUP($A163,'Pre-Assessment Estimator'!$A$10:$AA$226,K$2,FALSE))</f>
        <v/>
      </c>
      <c r="L163" s="509" t="str">
        <f>IF(VLOOKUP($A163,'Pre-Assessment Estimator'!$A$10:$AA$226,L$2,FALSE)=0,"",VLOOKUP($A163,'Pre-Assessment Estimator'!$A$10:$AA$226,L$2,FALSE))</f>
        <v/>
      </c>
      <c r="M163" s="510" t="str">
        <f>IF(VLOOKUP($A163,'Pre-Assessment Estimator'!$A$10:$AA$226,M$2,FALSE)=0,"",VLOOKUP($A163,'Pre-Assessment Estimator'!$A$10:$AA$226,M$2,FALSE))</f>
        <v/>
      </c>
      <c r="N163" s="511"/>
      <c r="O163" s="512" t="str">
        <f>IF(VLOOKUP($A163,'Pre-Assessment Estimator'!$A$10:$AA$226,O$2,FALSE)=0,"",VLOOKUP($A163,'Pre-Assessment Estimator'!$A$10:$AA$226,O$2,FALSE))</f>
        <v/>
      </c>
      <c r="P163" s="507" t="str">
        <f>VLOOKUP($A163,'Pre-Assessment Estimator'!$A$10:$AA$226,P$2,FALSE)</f>
        <v>0 c. 0 %</v>
      </c>
      <c r="Q163" s="506" t="str">
        <f>VLOOKUP($A163,'Pre-Assessment Estimator'!$A$10:$AA$226,Q$2,FALSE)</f>
        <v>N/A</v>
      </c>
      <c r="R163" s="509" t="str">
        <f>IF(VLOOKUP($A163,'Pre-Assessment Estimator'!$A$10:$AA$226,R$2,FALSE)=0,"",VLOOKUP($A163,'Pre-Assessment Estimator'!$A$10:$AA$226,R$2,FALSE))</f>
        <v/>
      </c>
      <c r="S163" s="509" t="str">
        <f>IF(VLOOKUP($A163,'Pre-Assessment Estimator'!$A$10:$AA$226,S$2,FALSE)=0,"",VLOOKUP($A163,'Pre-Assessment Estimator'!$A$10:$AA$226,S$2,FALSE))</f>
        <v/>
      </c>
      <c r="T163" s="510" t="str">
        <f>IF(VLOOKUP($A163,'Pre-Assessment Estimator'!$A$10:$AA$226,T$2,FALSE)=0,"",VLOOKUP($A163,'Pre-Assessment Estimator'!$A$10:$AA$226,T$2,FALSE))</f>
        <v/>
      </c>
      <c r="U163" s="513"/>
      <c r="V163" s="512" t="str">
        <f>IF(VLOOKUP($A163,'Pre-Assessment Estimator'!$A$10:$AA$226,V$2,FALSE)=0,"",VLOOKUP($A163,'Pre-Assessment Estimator'!$A$10:$AA$226,V$2,FALSE))</f>
        <v/>
      </c>
      <c r="W163" s="507" t="str">
        <f>VLOOKUP($A163,'Pre-Assessment Estimator'!$A$10:$AA$226,W$2,FALSE)</f>
        <v>0 c. 0 %</v>
      </c>
      <c r="X163" s="506" t="str">
        <f>VLOOKUP($A163,'Pre-Assessment Estimator'!$A$10:$AA$226,X$2,FALSE)</f>
        <v>N/A</v>
      </c>
      <c r="Y163" s="509" t="str">
        <f>IF(VLOOKUP($A163,'Pre-Assessment Estimator'!$A$10:$AA$226,Y$2,FALSE)=0,"",VLOOKUP($A163,'Pre-Assessment Estimator'!$A$10:$AA$226,Y$2,FALSE))</f>
        <v/>
      </c>
      <c r="Z163" s="509" t="str">
        <f>IF(VLOOKUP($A163,'Pre-Assessment Estimator'!$A$10:$AA$226,Z$2,FALSE)=0,"",VLOOKUP($A163,'Pre-Assessment Estimator'!$A$10:$AA$226,Z$2,FALSE))</f>
        <v/>
      </c>
      <c r="AA163" s="322" t="str">
        <f>IF(VLOOKUP($A163,'Pre-Assessment Estimator'!$A$10:$AA$226,AA$2,FALSE)=0,"",VLOOKUP($A163,'Pre-Assessment Estimator'!$A$10:$AA$226,AA$2,FALSE))</f>
        <v/>
      </c>
      <c r="AB163" s="605">
        <v>153</v>
      </c>
      <c r="AC163" s="509"/>
      <c r="AG163" s="15">
        <f t="shared" si="3"/>
        <v>1</v>
      </c>
    </row>
    <row r="164" spans="1:33" x14ac:dyDescent="0.25">
      <c r="A164" s="716">
        <v>155</v>
      </c>
      <c r="B164" s="1022" t="s">
        <v>69</v>
      </c>
      <c r="C164" s="1022"/>
      <c r="D164" s="1044" t="str">
        <f>VLOOKUP($A164,'Pre-Assessment Estimator'!$A$10:$AA$226,D$2,FALSE)</f>
        <v>LE 01</v>
      </c>
      <c r="E164" s="1044" t="str">
        <f>VLOOKUP($A164,'Pre-Assessment Estimator'!$A$10:$AA$226,E$2,FALSE)</f>
        <v>1-2</v>
      </c>
      <c r="F164" s="1045" t="str">
        <f>VLOOKUP($A164,'Pre-Assessment Estimator'!$A$10:$AA$226,F$2,FALSE)</f>
        <v>Previously occupied land</v>
      </c>
      <c r="G164" s="506">
        <f>VLOOKUP($A164,'Pre-Assessment Estimator'!$A$10:$AA$226,G$2,FALSE)</f>
        <v>2</v>
      </c>
      <c r="H164" s="512" t="str">
        <f>IF(VLOOKUP($A164,'Pre-Assessment Estimator'!$A$10:$AA$226,H$2,FALSE)=0,"",VLOOKUP($A164,'Pre-Assessment Estimator'!$A$10:$AA$226,H$2,FALSE))</f>
        <v/>
      </c>
      <c r="I164" s="1012">
        <f>VLOOKUP($A164,'Pre-Assessment Estimator'!$A$10:$AA$226,I$2,FALSE)</f>
        <v>0</v>
      </c>
      <c r="J164" s="508" t="str">
        <f>VLOOKUP($A164,'Pre-Assessment Estimator'!$A$10:$AA$226,J$2,FALSE)</f>
        <v>N/A</v>
      </c>
      <c r="K164" s="509" t="str">
        <f>IF(VLOOKUP($A164,'Pre-Assessment Estimator'!$A$10:$AA$226,K$2,FALSE)=0,"",VLOOKUP($A164,'Pre-Assessment Estimator'!$A$10:$AA$226,K$2,FALSE))</f>
        <v/>
      </c>
      <c r="L164" s="509" t="str">
        <f>IF(VLOOKUP($A164,'Pre-Assessment Estimator'!$A$10:$AA$226,L$2,FALSE)=0,"",VLOOKUP($A164,'Pre-Assessment Estimator'!$A$10:$AA$226,L$2,FALSE))</f>
        <v/>
      </c>
      <c r="M164" s="510" t="str">
        <f>IF(VLOOKUP($A164,'Pre-Assessment Estimator'!$A$10:$AA$226,M$2,FALSE)=0,"",VLOOKUP($A164,'Pre-Assessment Estimator'!$A$10:$AA$226,M$2,FALSE))</f>
        <v/>
      </c>
      <c r="N164" s="511"/>
      <c r="O164" s="512" t="str">
        <f>IF(VLOOKUP($A164,'Pre-Assessment Estimator'!$A$10:$AA$226,O$2,FALSE)=0,"",VLOOKUP($A164,'Pre-Assessment Estimator'!$A$10:$AA$226,O$2,FALSE))</f>
        <v/>
      </c>
      <c r="P164" s="507">
        <f>VLOOKUP($A164,'Pre-Assessment Estimator'!$A$10:$AA$226,P$2,FALSE)</f>
        <v>0</v>
      </c>
      <c r="Q164" s="506" t="str">
        <f>VLOOKUP($A164,'Pre-Assessment Estimator'!$A$10:$AA$226,Q$2,FALSE)</f>
        <v>N/A</v>
      </c>
      <c r="R164" s="509" t="str">
        <f>IF(VLOOKUP($A164,'Pre-Assessment Estimator'!$A$10:$AA$226,R$2,FALSE)=0,"",VLOOKUP($A164,'Pre-Assessment Estimator'!$A$10:$AA$226,R$2,FALSE))</f>
        <v/>
      </c>
      <c r="S164" s="509" t="str">
        <f>IF(VLOOKUP($A164,'Pre-Assessment Estimator'!$A$10:$AA$226,S$2,FALSE)=0,"",VLOOKUP($A164,'Pre-Assessment Estimator'!$A$10:$AA$226,S$2,FALSE))</f>
        <v/>
      </c>
      <c r="T164" s="510" t="str">
        <f>IF(VLOOKUP($A164,'Pre-Assessment Estimator'!$A$10:$AA$226,T$2,FALSE)=0,"",VLOOKUP($A164,'Pre-Assessment Estimator'!$A$10:$AA$226,T$2,FALSE))</f>
        <v/>
      </c>
      <c r="U164" s="513"/>
      <c r="V164" s="512" t="str">
        <f>IF(VLOOKUP($A164,'Pre-Assessment Estimator'!$A$10:$AA$226,V$2,FALSE)=0,"",VLOOKUP($A164,'Pre-Assessment Estimator'!$A$10:$AA$226,V$2,FALSE))</f>
        <v/>
      </c>
      <c r="W164" s="507">
        <f>VLOOKUP($A164,'Pre-Assessment Estimator'!$A$10:$AA$226,W$2,FALSE)</f>
        <v>0</v>
      </c>
      <c r="X164" s="506" t="str">
        <f>VLOOKUP($A164,'Pre-Assessment Estimator'!$A$10:$AA$226,X$2,FALSE)</f>
        <v>N/A</v>
      </c>
      <c r="Y164" s="509" t="str">
        <f>IF(VLOOKUP($A164,'Pre-Assessment Estimator'!$A$10:$AA$226,Y$2,FALSE)=0,"",VLOOKUP($A164,'Pre-Assessment Estimator'!$A$10:$AA$226,Y$2,FALSE))</f>
        <v/>
      </c>
      <c r="Z164" s="509" t="str">
        <f>IF(VLOOKUP($A164,'Pre-Assessment Estimator'!$A$10:$AA$226,Z$2,FALSE)=0,"",VLOOKUP($A164,'Pre-Assessment Estimator'!$A$10:$AA$226,Z$2,FALSE))</f>
        <v/>
      </c>
      <c r="AA164" s="322" t="str">
        <f>IF(VLOOKUP($A164,'Pre-Assessment Estimator'!$A$10:$AA$226,AA$2,FALSE)=0,"",VLOOKUP($A164,'Pre-Assessment Estimator'!$A$10:$AA$226,AA$2,FALSE))</f>
        <v/>
      </c>
      <c r="AB164" s="605">
        <v>154</v>
      </c>
      <c r="AC164" s="509"/>
      <c r="AG164" s="15">
        <f t="shared" si="3"/>
        <v>1</v>
      </c>
    </row>
    <row r="165" spans="1:33" ht="30" x14ac:dyDescent="0.25">
      <c r="A165" s="716">
        <v>156</v>
      </c>
      <c r="B165" s="1022" t="s">
        <v>69</v>
      </c>
      <c r="C165" s="1022"/>
      <c r="D165" s="1044" t="str">
        <f>VLOOKUP($A165,'Pre-Assessment Estimator'!$A$10:$AA$226,D$2,FALSE)</f>
        <v>LE 01</v>
      </c>
      <c r="E165" s="1044">
        <f>VLOOKUP($A165,'Pre-Assessment Estimator'!$A$10:$AA$226,E$2,FALSE)</f>
        <v>2</v>
      </c>
      <c r="F165" s="1045" t="str">
        <f>VLOOKUP($A165,'Pre-Assessment Estimator'!$A$10:$AA$226,F$2,FALSE)</f>
        <v>Minimum req: agricultural area / forest (EU taxonomy requirement: criterion 2)</v>
      </c>
      <c r="G165" s="506" t="str">
        <f>VLOOKUP($A165,'Pre-Assessment Estimator'!$A$10:$AA$226,G$2,FALSE)</f>
        <v>Yes/No</v>
      </c>
      <c r="H165" s="512" t="str">
        <f>IF(VLOOKUP($A165,'Pre-Assessment Estimator'!$A$10:$AA$226,H$2,FALSE)=0,"",VLOOKUP($A165,'Pre-Assessment Estimator'!$A$10:$AA$226,H$2,FALSE))</f>
        <v/>
      </c>
      <c r="I165" s="1012" t="str">
        <f>VLOOKUP($A165,'Pre-Assessment Estimator'!$A$10:$AA$226,I$2,FALSE)</f>
        <v>-</v>
      </c>
      <c r="J165" s="508" t="str">
        <f>VLOOKUP($A165,'Pre-Assessment Estimator'!$A$10:$AA$226,J$2,FALSE)</f>
        <v>Very Good</v>
      </c>
      <c r="K165" s="509" t="str">
        <f>IF(VLOOKUP($A165,'Pre-Assessment Estimator'!$A$10:$AA$226,K$2,FALSE)=0,"",VLOOKUP($A165,'Pre-Assessment Estimator'!$A$10:$AA$226,K$2,FALSE))</f>
        <v/>
      </c>
      <c r="L165" s="509" t="str">
        <f>IF(VLOOKUP($A165,'Pre-Assessment Estimator'!$A$10:$AA$226,L$2,FALSE)=0,"",VLOOKUP($A165,'Pre-Assessment Estimator'!$A$10:$AA$226,L$2,FALSE))</f>
        <v/>
      </c>
      <c r="M165" s="510" t="str">
        <f>IF(VLOOKUP($A165,'Pre-Assessment Estimator'!$A$10:$AA$226,M$2,FALSE)=0,"",VLOOKUP($A165,'Pre-Assessment Estimator'!$A$10:$AA$226,M$2,FALSE))</f>
        <v/>
      </c>
      <c r="N165" s="511"/>
      <c r="O165" s="512" t="str">
        <f>IF(VLOOKUP($A165,'Pre-Assessment Estimator'!$A$10:$AA$226,O$2,FALSE)=0,"",VLOOKUP($A165,'Pre-Assessment Estimator'!$A$10:$AA$226,O$2,FALSE))</f>
        <v/>
      </c>
      <c r="P165" s="507" t="str">
        <f>VLOOKUP($A165,'Pre-Assessment Estimator'!$A$10:$AA$226,P$2,FALSE)</f>
        <v>-</v>
      </c>
      <c r="Q165" s="506" t="str">
        <f>VLOOKUP($A165,'Pre-Assessment Estimator'!$A$10:$AA$226,Q$2,FALSE)</f>
        <v>Very Good</v>
      </c>
      <c r="R165" s="509" t="str">
        <f>IF(VLOOKUP($A165,'Pre-Assessment Estimator'!$A$10:$AA$226,R$2,FALSE)=0,"",VLOOKUP($A165,'Pre-Assessment Estimator'!$A$10:$AA$226,R$2,FALSE))</f>
        <v/>
      </c>
      <c r="S165" s="509" t="str">
        <f>IF(VLOOKUP($A165,'Pre-Assessment Estimator'!$A$10:$AA$226,S$2,FALSE)=0,"",VLOOKUP($A165,'Pre-Assessment Estimator'!$A$10:$AA$226,S$2,FALSE))</f>
        <v/>
      </c>
      <c r="T165" s="510" t="str">
        <f>IF(VLOOKUP($A165,'Pre-Assessment Estimator'!$A$10:$AA$226,T$2,FALSE)=0,"",VLOOKUP($A165,'Pre-Assessment Estimator'!$A$10:$AA$226,T$2,FALSE))</f>
        <v/>
      </c>
      <c r="U165" s="513"/>
      <c r="V165" s="512" t="str">
        <f>IF(VLOOKUP($A165,'Pre-Assessment Estimator'!$A$10:$AA$226,V$2,FALSE)=0,"",VLOOKUP($A165,'Pre-Assessment Estimator'!$A$10:$AA$226,V$2,FALSE))</f>
        <v/>
      </c>
      <c r="W165" s="507" t="str">
        <f>VLOOKUP($A165,'Pre-Assessment Estimator'!$A$10:$AA$226,W$2,FALSE)</f>
        <v>-</v>
      </c>
      <c r="X165" s="506" t="str">
        <f>VLOOKUP($A165,'Pre-Assessment Estimator'!$A$10:$AA$226,X$2,FALSE)</f>
        <v>Very Good</v>
      </c>
      <c r="Y165" s="509" t="str">
        <f>IF(VLOOKUP($A165,'Pre-Assessment Estimator'!$A$10:$AA$226,Y$2,FALSE)=0,"",VLOOKUP($A165,'Pre-Assessment Estimator'!$A$10:$AA$226,Y$2,FALSE))</f>
        <v/>
      </c>
      <c r="Z165" s="509" t="str">
        <f>IF(VLOOKUP($A165,'Pre-Assessment Estimator'!$A$10:$AA$226,Z$2,FALSE)=0,"",VLOOKUP($A165,'Pre-Assessment Estimator'!$A$10:$AA$226,Z$2,FALSE))</f>
        <v/>
      </c>
      <c r="AA165" s="322" t="str">
        <f>IF(VLOOKUP($A165,'Pre-Assessment Estimator'!$A$10:$AA$226,AA$2,FALSE)=0,"",VLOOKUP($A165,'Pre-Assessment Estimator'!$A$10:$AA$226,AA$2,FALSE))</f>
        <v/>
      </c>
      <c r="AB165" s="605">
        <v>155</v>
      </c>
      <c r="AC165" s="509"/>
      <c r="AG165" s="15">
        <f t="shared" si="3"/>
        <v>1</v>
      </c>
    </row>
    <row r="166" spans="1:33" x14ac:dyDescent="0.25">
      <c r="A166" s="716">
        <v>157</v>
      </c>
      <c r="B166" s="1022" t="s">
        <v>69</v>
      </c>
      <c r="C166" s="1022"/>
      <c r="D166" s="1043" t="str">
        <f>VLOOKUP($A166,'Pre-Assessment Estimator'!$A$10:$AA$226,D$2,FALSE)</f>
        <v>LE 02</v>
      </c>
      <c r="E166" s="1044"/>
      <c r="F166" s="1043" t="str">
        <f>VLOOKUP($A166,'Pre-Assessment Estimator'!$A$10:$AA$226,F$2,FALSE)</f>
        <v>LE 02 Ecological risks and opportunities</v>
      </c>
      <c r="G166" s="506">
        <f>VLOOKUP($A166,'Pre-Assessment Estimator'!$A$10:$AA$226,G$2,FALSE)</f>
        <v>2</v>
      </c>
      <c r="H166" s="512" t="str">
        <f>IF(VLOOKUP($A166,'Pre-Assessment Estimator'!$A$10:$AA$226,H$2,FALSE)=0,"",VLOOKUP($A166,'Pre-Assessment Estimator'!$A$10:$AA$226,H$2,FALSE))</f>
        <v/>
      </c>
      <c r="I166" s="1012" t="str">
        <f>VLOOKUP($A166,'Pre-Assessment Estimator'!$A$10:$AA$226,I$2,FALSE)</f>
        <v>0 c. 0 %</v>
      </c>
      <c r="J166" s="508" t="str">
        <f>VLOOKUP($A166,'Pre-Assessment Estimator'!$A$10:$AA$226,J$2,FALSE)</f>
        <v>N/A</v>
      </c>
      <c r="K166" s="509" t="str">
        <f>IF(VLOOKUP($A166,'Pre-Assessment Estimator'!$A$10:$AA$226,K$2,FALSE)=0,"",VLOOKUP($A166,'Pre-Assessment Estimator'!$A$10:$AA$226,K$2,FALSE))</f>
        <v/>
      </c>
      <c r="L166" s="509" t="str">
        <f>IF(VLOOKUP($A166,'Pre-Assessment Estimator'!$A$10:$AA$226,L$2,FALSE)=0,"",VLOOKUP($A166,'Pre-Assessment Estimator'!$A$10:$AA$226,L$2,FALSE))</f>
        <v/>
      </c>
      <c r="M166" s="510" t="str">
        <f>IF(VLOOKUP($A166,'Pre-Assessment Estimator'!$A$10:$AA$226,M$2,FALSE)=0,"",VLOOKUP($A166,'Pre-Assessment Estimator'!$A$10:$AA$226,M$2,FALSE))</f>
        <v/>
      </c>
      <c r="N166" s="511"/>
      <c r="O166" s="512" t="str">
        <f>IF(VLOOKUP($A166,'Pre-Assessment Estimator'!$A$10:$AA$226,O$2,FALSE)=0,"",VLOOKUP($A166,'Pre-Assessment Estimator'!$A$10:$AA$226,O$2,FALSE))</f>
        <v/>
      </c>
      <c r="P166" s="507" t="str">
        <f>VLOOKUP($A166,'Pre-Assessment Estimator'!$A$10:$AA$226,P$2,FALSE)</f>
        <v>0 c. 0 %</v>
      </c>
      <c r="Q166" s="506" t="str">
        <f>VLOOKUP($A166,'Pre-Assessment Estimator'!$A$10:$AA$226,Q$2,FALSE)</f>
        <v>N/A</v>
      </c>
      <c r="R166" s="509" t="str">
        <f>IF(VLOOKUP($A166,'Pre-Assessment Estimator'!$A$10:$AA$226,R$2,FALSE)=0,"",VLOOKUP($A166,'Pre-Assessment Estimator'!$A$10:$AA$226,R$2,FALSE))</f>
        <v/>
      </c>
      <c r="S166" s="509" t="str">
        <f>IF(VLOOKUP($A166,'Pre-Assessment Estimator'!$A$10:$AA$226,S$2,FALSE)=0,"",VLOOKUP($A166,'Pre-Assessment Estimator'!$A$10:$AA$226,S$2,FALSE))</f>
        <v/>
      </c>
      <c r="T166" s="510" t="str">
        <f>IF(VLOOKUP($A166,'Pre-Assessment Estimator'!$A$10:$AA$226,T$2,FALSE)=0,"",VLOOKUP($A166,'Pre-Assessment Estimator'!$A$10:$AA$226,T$2,FALSE))</f>
        <v/>
      </c>
      <c r="U166" s="513"/>
      <c r="V166" s="512" t="str">
        <f>IF(VLOOKUP($A166,'Pre-Assessment Estimator'!$A$10:$AA$226,V$2,FALSE)=0,"",VLOOKUP($A166,'Pre-Assessment Estimator'!$A$10:$AA$226,V$2,FALSE))</f>
        <v/>
      </c>
      <c r="W166" s="507" t="str">
        <f>VLOOKUP($A166,'Pre-Assessment Estimator'!$A$10:$AA$226,W$2,FALSE)</f>
        <v>0 c. 0 %</v>
      </c>
      <c r="X166" s="506" t="str">
        <f>VLOOKUP($A166,'Pre-Assessment Estimator'!$A$10:$AA$226,X$2,FALSE)</f>
        <v>N/A</v>
      </c>
      <c r="Y166" s="509" t="str">
        <f>IF(VLOOKUP($A166,'Pre-Assessment Estimator'!$A$10:$AA$226,Y$2,FALSE)=0,"",VLOOKUP($A166,'Pre-Assessment Estimator'!$A$10:$AA$226,Y$2,FALSE))</f>
        <v/>
      </c>
      <c r="Z166" s="509" t="str">
        <f>IF(VLOOKUP($A166,'Pre-Assessment Estimator'!$A$10:$AA$226,Z$2,FALSE)=0,"",VLOOKUP($A166,'Pre-Assessment Estimator'!$A$10:$AA$226,Z$2,FALSE))</f>
        <v/>
      </c>
      <c r="AA166" s="322" t="str">
        <f>IF(VLOOKUP($A166,'Pre-Assessment Estimator'!$A$10:$AA$226,AA$2,FALSE)=0,"",VLOOKUP($A166,'Pre-Assessment Estimator'!$A$10:$AA$226,AA$2,FALSE))</f>
        <v/>
      </c>
      <c r="AB166" s="605">
        <v>156</v>
      </c>
      <c r="AC166" s="509"/>
      <c r="AG166" s="15">
        <f t="shared" si="3"/>
        <v>1</v>
      </c>
    </row>
    <row r="167" spans="1:33" x14ac:dyDescent="0.25">
      <c r="A167" s="716">
        <v>158</v>
      </c>
      <c r="B167" s="1022" t="s">
        <v>69</v>
      </c>
      <c r="C167" s="1022"/>
      <c r="D167" s="1044" t="str">
        <f>VLOOKUP($A167,'Pre-Assessment Estimator'!$A$10:$AA$226,D$2,FALSE)</f>
        <v>LE 02</v>
      </c>
      <c r="E167" s="1044">
        <f>VLOOKUP($A167,'Pre-Assessment Estimator'!$A$10:$AA$226,E$2,FALSE)</f>
        <v>1</v>
      </c>
      <c r="F167" s="1045" t="str">
        <f>VLOOKUP($A167,'Pre-Assessment Estimator'!$A$10:$AA$226,F$2,FALSE)</f>
        <v>Pre-requisite: statutory obligations fulfilled</v>
      </c>
      <c r="G167" s="506" t="str">
        <f>VLOOKUP($A167,'Pre-Assessment Estimator'!$A$10:$AA$226,G$2,FALSE)</f>
        <v>Yes/No</v>
      </c>
      <c r="H167" s="512" t="str">
        <f>IF(VLOOKUP($A167,'Pre-Assessment Estimator'!$A$10:$AA$226,H$2,FALSE)=0,"",VLOOKUP($A167,'Pre-Assessment Estimator'!$A$10:$AA$226,H$2,FALSE))</f>
        <v/>
      </c>
      <c r="I167" s="1012" t="str">
        <f>VLOOKUP($A167,'Pre-Assessment Estimator'!$A$10:$AA$226,I$2,FALSE)</f>
        <v>-</v>
      </c>
      <c r="J167" s="508" t="str">
        <f>VLOOKUP($A167,'Pre-Assessment Estimator'!$A$10:$AA$226,J$2,FALSE)</f>
        <v>N/A</v>
      </c>
      <c r="K167" s="509" t="str">
        <f>IF(VLOOKUP($A167,'Pre-Assessment Estimator'!$A$10:$AA$226,K$2,FALSE)=0,"",VLOOKUP($A167,'Pre-Assessment Estimator'!$A$10:$AA$226,K$2,FALSE))</f>
        <v/>
      </c>
      <c r="L167" s="509" t="str">
        <f>IF(VLOOKUP($A167,'Pre-Assessment Estimator'!$A$10:$AA$226,L$2,FALSE)=0,"",VLOOKUP($A167,'Pre-Assessment Estimator'!$A$10:$AA$226,L$2,FALSE))</f>
        <v/>
      </c>
      <c r="M167" s="510" t="str">
        <f>IF(VLOOKUP($A167,'Pre-Assessment Estimator'!$A$10:$AA$226,M$2,FALSE)=0,"",VLOOKUP($A167,'Pre-Assessment Estimator'!$A$10:$AA$226,M$2,FALSE))</f>
        <v/>
      </c>
      <c r="N167" s="511"/>
      <c r="O167" s="512" t="str">
        <f>IF(VLOOKUP($A167,'Pre-Assessment Estimator'!$A$10:$AA$226,O$2,FALSE)=0,"",VLOOKUP($A167,'Pre-Assessment Estimator'!$A$10:$AA$226,O$2,FALSE))</f>
        <v/>
      </c>
      <c r="P167" s="507" t="str">
        <f>VLOOKUP($A167,'Pre-Assessment Estimator'!$A$10:$AA$226,P$2,FALSE)</f>
        <v>-</v>
      </c>
      <c r="Q167" s="506" t="str">
        <f>VLOOKUP($A167,'Pre-Assessment Estimator'!$A$10:$AA$226,Q$2,FALSE)</f>
        <v>N/A</v>
      </c>
      <c r="R167" s="509" t="str">
        <f>IF(VLOOKUP($A167,'Pre-Assessment Estimator'!$A$10:$AA$226,R$2,FALSE)=0,"",VLOOKUP($A167,'Pre-Assessment Estimator'!$A$10:$AA$226,R$2,FALSE))</f>
        <v/>
      </c>
      <c r="S167" s="509" t="str">
        <f>IF(VLOOKUP($A167,'Pre-Assessment Estimator'!$A$10:$AA$226,S$2,FALSE)=0,"",VLOOKUP($A167,'Pre-Assessment Estimator'!$A$10:$AA$226,S$2,FALSE))</f>
        <v/>
      </c>
      <c r="T167" s="510" t="str">
        <f>IF(VLOOKUP($A167,'Pre-Assessment Estimator'!$A$10:$AA$226,T$2,FALSE)=0,"",VLOOKUP($A167,'Pre-Assessment Estimator'!$A$10:$AA$226,T$2,FALSE))</f>
        <v/>
      </c>
      <c r="U167" s="513"/>
      <c r="V167" s="512" t="str">
        <f>IF(VLOOKUP($A167,'Pre-Assessment Estimator'!$A$10:$AA$226,V$2,FALSE)=0,"",VLOOKUP($A167,'Pre-Assessment Estimator'!$A$10:$AA$226,V$2,FALSE))</f>
        <v/>
      </c>
      <c r="W167" s="507" t="str">
        <f>VLOOKUP($A167,'Pre-Assessment Estimator'!$A$10:$AA$226,W$2,FALSE)</f>
        <v>-</v>
      </c>
      <c r="X167" s="506" t="str">
        <f>VLOOKUP($A167,'Pre-Assessment Estimator'!$A$10:$AA$226,X$2,FALSE)</f>
        <v>N/A</v>
      </c>
      <c r="Y167" s="509" t="str">
        <f>IF(VLOOKUP($A167,'Pre-Assessment Estimator'!$A$10:$AA$226,Y$2,FALSE)=0,"",VLOOKUP($A167,'Pre-Assessment Estimator'!$A$10:$AA$226,Y$2,FALSE))</f>
        <v/>
      </c>
      <c r="Z167" s="509" t="str">
        <f>IF(VLOOKUP($A167,'Pre-Assessment Estimator'!$A$10:$AA$226,Z$2,FALSE)=0,"",VLOOKUP($A167,'Pre-Assessment Estimator'!$A$10:$AA$226,Z$2,FALSE))</f>
        <v/>
      </c>
      <c r="AA167" s="322" t="str">
        <f>IF(VLOOKUP($A167,'Pre-Assessment Estimator'!$A$10:$AA$226,AA$2,FALSE)=0,"",VLOOKUP($A167,'Pre-Assessment Estimator'!$A$10:$AA$226,AA$2,FALSE))</f>
        <v/>
      </c>
      <c r="AB167" s="605">
        <v>157</v>
      </c>
      <c r="AC167" s="509"/>
      <c r="AG167" s="15">
        <f t="shared" si="3"/>
        <v>1</v>
      </c>
    </row>
    <row r="168" spans="1:33" x14ac:dyDescent="0.25">
      <c r="A168" s="716">
        <v>159</v>
      </c>
      <c r="B168" s="1022" t="s">
        <v>69</v>
      </c>
      <c r="C168" s="1022"/>
      <c r="D168" s="1044" t="str">
        <f>VLOOKUP($A168,'Pre-Assessment Estimator'!$A$10:$AA$226,D$2,FALSE)</f>
        <v>LE 02</v>
      </c>
      <c r="E168" s="1044" t="str">
        <f>VLOOKUP($A168,'Pre-Assessment Estimator'!$A$10:$AA$226,E$2,FALSE)</f>
        <v>2-4</v>
      </c>
      <c r="F168" s="1045" t="str">
        <f>VLOOKUP($A168,'Pre-Assessment Estimator'!$A$10:$AA$226,F$2,FALSE)</f>
        <v>Survey and evaluation (EU taxonomy requirement: criterion 2-4)</v>
      </c>
      <c r="G168" s="506">
        <f>VLOOKUP($A168,'Pre-Assessment Estimator'!$A$10:$AA$226,G$2,FALSE)</f>
        <v>1</v>
      </c>
      <c r="H168" s="512" t="str">
        <f>IF(VLOOKUP($A168,'Pre-Assessment Estimator'!$A$10:$AA$226,H$2,FALSE)=0,"",VLOOKUP($A168,'Pre-Assessment Estimator'!$A$10:$AA$226,H$2,FALSE))</f>
        <v/>
      </c>
      <c r="I168" s="1012">
        <f>VLOOKUP($A168,'Pre-Assessment Estimator'!$A$10:$AA$226,I$2,FALSE)</f>
        <v>0</v>
      </c>
      <c r="J168" s="508" t="str">
        <f>VLOOKUP($A168,'Pre-Assessment Estimator'!$A$10:$AA$226,J$2,FALSE)</f>
        <v>Good</v>
      </c>
      <c r="K168" s="509" t="str">
        <f>IF(VLOOKUP($A168,'Pre-Assessment Estimator'!$A$10:$AA$226,K$2,FALSE)=0,"",VLOOKUP($A168,'Pre-Assessment Estimator'!$A$10:$AA$226,K$2,FALSE))</f>
        <v/>
      </c>
      <c r="L168" s="509" t="str">
        <f>IF(VLOOKUP($A168,'Pre-Assessment Estimator'!$A$10:$AA$226,L$2,FALSE)=0,"",VLOOKUP($A168,'Pre-Assessment Estimator'!$A$10:$AA$226,L$2,FALSE))</f>
        <v/>
      </c>
      <c r="M168" s="510" t="str">
        <f>IF(VLOOKUP($A168,'Pre-Assessment Estimator'!$A$10:$AA$226,M$2,FALSE)=0,"",VLOOKUP($A168,'Pre-Assessment Estimator'!$A$10:$AA$226,M$2,FALSE))</f>
        <v/>
      </c>
      <c r="N168" s="511"/>
      <c r="O168" s="512" t="str">
        <f>IF(VLOOKUP($A168,'Pre-Assessment Estimator'!$A$10:$AA$226,O$2,FALSE)=0,"",VLOOKUP($A168,'Pre-Assessment Estimator'!$A$10:$AA$226,O$2,FALSE))</f>
        <v/>
      </c>
      <c r="P168" s="507">
        <f>VLOOKUP($A168,'Pre-Assessment Estimator'!$A$10:$AA$226,P$2,FALSE)</f>
        <v>0</v>
      </c>
      <c r="Q168" s="506" t="str">
        <f>VLOOKUP($A168,'Pre-Assessment Estimator'!$A$10:$AA$226,Q$2,FALSE)</f>
        <v>Good</v>
      </c>
      <c r="R168" s="509" t="str">
        <f>IF(VLOOKUP($A168,'Pre-Assessment Estimator'!$A$10:$AA$226,R$2,FALSE)=0,"",VLOOKUP($A168,'Pre-Assessment Estimator'!$A$10:$AA$226,R$2,FALSE))</f>
        <v/>
      </c>
      <c r="S168" s="509" t="str">
        <f>IF(VLOOKUP($A168,'Pre-Assessment Estimator'!$A$10:$AA$226,S$2,FALSE)=0,"",VLOOKUP($A168,'Pre-Assessment Estimator'!$A$10:$AA$226,S$2,FALSE))</f>
        <v/>
      </c>
      <c r="T168" s="510" t="str">
        <f>IF(VLOOKUP($A168,'Pre-Assessment Estimator'!$A$10:$AA$226,T$2,FALSE)=0,"",VLOOKUP($A168,'Pre-Assessment Estimator'!$A$10:$AA$226,T$2,FALSE))</f>
        <v/>
      </c>
      <c r="U168" s="513"/>
      <c r="V168" s="512" t="str">
        <f>IF(VLOOKUP($A168,'Pre-Assessment Estimator'!$A$10:$AA$226,V$2,FALSE)=0,"",VLOOKUP($A168,'Pre-Assessment Estimator'!$A$10:$AA$226,V$2,FALSE))</f>
        <v/>
      </c>
      <c r="W168" s="507">
        <f>VLOOKUP($A168,'Pre-Assessment Estimator'!$A$10:$AA$226,W$2,FALSE)</f>
        <v>0</v>
      </c>
      <c r="X168" s="506" t="str">
        <f>VLOOKUP($A168,'Pre-Assessment Estimator'!$A$10:$AA$226,X$2,FALSE)</f>
        <v>Good</v>
      </c>
      <c r="Y168" s="509" t="str">
        <f>IF(VLOOKUP($A168,'Pre-Assessment Estimator'!$A$10:$AA$226,Y$2,FALSE)=0,"",VLOOKUP($A168,'Pre-Assessment Estimator'!$A$10:$AA$226,Y$2,FALSE))</f>
        <v/>
      </c>
      <c r="Z168" s="509" t="str">
        <f>IF(VLOOKUP($A168,'Pre-Assessment Estimator'!$A$10:$AA$226,Z$2,FALSE)=0,"",VLOOKUP($A168,'Pre-Assessment Estimator'!$A$10:$AA$226,Z$2,FALSE))</f>
        <v/>
      </c>
      <c r="AA168" s="322" t="str">
        <f>IF(VLOOKUP($A168,'Pre-Assessment Estimator'!$A$10:$AA$226,AA$2,FALSE)=0,"",VLOOKUP($A168,'Pre-Assessment Estimator'!$A$10:$AA$226,AA$2,FALSE))</f>
        <v/>
      </c>
      <c r="AB168" s="605">
        <v>158</v>
      </c>
      <c r="AC168" s="509"/>
      <c r="AG168" s="15">
        <f t="shared" si="3"/>
        <v>1</v>
      </c>
    </row>
    <row r="169" spans="1:33" x14ac:dyDescent="0.25">
      <c r="A169" s="716">
        <v>160</v>
      </c>
      <c r="B169" s="1022" t="s">
        <v>69</v>
      </c>
      <c r="C169" s="1022"/>
      <c r="D169" s="1044" t="str">
        <f>VLOOKUP($A169,'Pre-Assessment Estimator'!$A$10:$AA$226,D$2,FALSE)</f>
        <v>LE 02</v>
      </c>
      <c r="E169" s="1044" t="str">
        <f>VLOOKUP($A169,'Pre-Assessment Estimator'!$A$10:$AA$226,E$2,FALSE)</f>
        <v>5-6</v>
      </c>
      <c r="F169" s="1045" t="str">
        <f>VLOOKUP($A169,'Pre-Assessment Estimator'!$A$10:$AA$226,F$2,FALSE)</f>
        <v>Determin ecological possibilities</v>
      </c>
      <c r="G169" s="506">
        <f>VLOOKUP($A169,'Pre-Assessment Estimator'!$A$10:$AA$226,G$2,FALSE)</f>
        <v>1</v>
      </c>
      <c r="H169" s="512" t="str">
        <f>IF(VLOOKUP($A169,'Pre-Assessment Estimator'!$A$10:$AA$226,H$2,FALSE)=0,"",VLOOKUP($A169,'Pre-Assessment Estimator'!$A$10:$AA$226,H$2,FALSE))</f>
        <v/>
      </c>
      <c r="I169" s="1012">
        <f>VLOOKUP($A169,'Pre-Assessment Estimator'!$A$10:$AA$226,I$2,FALSE)</f>
        <v>0</v>
      </c>
      <c r="J169" s="508" t="str">
        <f>VLOOKUP($A169,'Pre-Assessment Estimator'!$A$10:$AA$226,J$2,FALSE)</f>
        <v>N/A</v>
      </c>
      <c r="K169" s="509" t="str">
        <f>IF(VLOOKUP($A169,'Pre-Assessment Estimator'!$A$10:$AA$226,K$2,FALSE)=0,"",VLOOKUP($A169,'Pre-Assessment Estimator'!$A$10:$AA$226,K$2,FALSE))</f>
        <v/>
      </c>
      <c r="L169" s="509" t="str">
        <f>IF(VLOOKUP($A169,'Pre-Assessment Estimator'!$A$10:$AA$226,L$2,FALSE)=0,"",VLOOKUP($A169,'Pre-Assessment Estimator'!$A$10:$AA$226,L$2,FALSE))</f>
        <v/>
      </c>
      <c r="M169" s="510" t="str">
        <f>IF(VLOOKUP($A169,'Pre-Assessment Estimator'!$A$10:$AA$226,M$2,FALSE)=0,"",VLOOKUP($A169,'Pre-Assessment Estimator'!$A$10:$AA$226,M$2,FALSE))</f>
        <v/>
      </c>
      <c r="N169" s="511"/>
      <c r="O169" s="512" t="str">
        <f>IF(VLOOKUP($A169,'Pre-Assessment Estimator'!$A$10:$AA$226,O$2,FALSE)=0,"",VLOOKUP($A169,'Pre-Assessment Estimator'!$A$10:$AA$226,O$2,FALSE))</f>
        <v/>
      </c>
      <c r="P169" s="507">
        <f>VLOOKUP($A169,'Pre-Assessment Estimator'!$A$10:$AA$226,P$2,FALSE)</f>
        <v>0</v>
      </c>
      <c r="Q169" s="506" t="str">
        <f>VLOOKUP($A169,'Pre-Assessment Estimator'!$A$10:$AA$226,Q$2,FALSE)</f>
        <v>N/A</v>
      </c>
      <c r="R169" s="509" t="str">
        <f>IF(VLOOKUP($A169,'Pre-Assessment Estimator'!$A$10:$AA$226,R$2,FALSE)=0,"",VLOOKUP($A169,'Pre-Assessment Estimator'!$A$10:$AA$226,R$2,FALSE))</f>
        <v/>
      </c>
      <c r="S169" s="509" t="str">
        <f>IF(VLOOKUP($A169,'Pre-Assessment Estimator'!$A$10:$AA$226,S$2,FALSE)=0,"",VLOOKUP($A169,'Pre-Assessment Estimator'!$A$10:$AA$226,S$2,FALSE))</f>
        <v/>
      </c>
      <c r="T169" s="510" t="str">
        <f>IF(VLOOKUP($A169,'Pre-Assessment Estimator'!$A$10:$AA$226,T$2,FALSE)=0,"",VLOOKUP($A169,'Pre-Assessment Estimator'!$A$10:$AA$226,T$2,FALSE))</f>
        <v/>
      </c>
      <c r="U169" s="513"/>
      <c r="V169" s="512" t="str">
        <f>IF(VLOOKUP($A169,'Pre-Assessment Estimator'!$A$10:$AA$226,V$2,FALSE)=0,"",VLOOKUP($A169,'Pre-Assessment Estimator'!$A$10:$AA$226,V$2,FALSE))</f>
        <v/>
      </c>
      <c r="W169" s="507">
        <f>VLOOKUP($A169,'Pre-Assessment Estimator'!$A$10:$AA$226,W$2,FALSE)</f>
        <v>0</v>
      </c>
      <c r="X169" s="506" t="str">
        <f>VLOOKUP($A169,'Pre-Assessment Estimator'!$A$10:$AA$226,X$2,FALSE)</f>
        <v>N/A</v>
      </c>
      <c r="Y169" s="509" t="str">
        <f>IF(VLOOKUP($A169,'Pre-Assessment Estimator'!$A$10:$AA$226,Y$2,FALSE)=0,"",VLOOKUP($A169,'Pre-Assessment Estimator'!$A$10:$AA$226,Y$2,FALSE))</f>
        <v/>
      </c>
      <c r="Z169" s="509" t="str">
        <f>IF(VLOOKUP($A169,'Pre-Assessment Estimator'!$A$10:$AA$226,Z$2,FALSE)=0,"",VLOOKUP($A169,'Pre-Assessment Estimator'!$A$10:$AA$226,Z$2,FALSE))</f>
        <v/>
      </c>
      <c r="AA169" s="322" t="str">
        <f>IF(VLOOKUP($A169,'Pre-Assessment Estimator'!$A$10:$AA$226,AA$2,FALSE)=0,"",VLOOKUP($A169,'Pre-Assessment Estimator'!$A$10:$AA$226,AA$2,FALSE))</f>
        <v/>
      </c>
      <c r="AB169" s="605">
        <v>159</v>
      </c>
      <c r="AC169" s="509"/>
      <c r="AG169" s="15">
        <f t="shared" si="3"/>
        <v>1</v>
      </c>
    </row>
    <row r="170" spans="1:33" x14ac:dyDescent="0.25">
      <c r="A170" s="716">
        <v>161</v>
      </c>
      <c r="B170" s="1022" t="s">
        <v>69</v>
      </c>
      <c r="C170" s="1022"/>
      <c r="D170" s="1043" t="str">
        <f>VLOOKUP($A170,'Pre-Assessment Estimator'!$A$10:$AA$226,D$2,FALSE)</f>
        <v>LE 03</v>
      </c>
      <c r="E170" s="1044"/>
      <c r="F170" s="1043" t="str">
        <f>VLOOKUP($A170,'Pre-Assessment Estimator'!$A$10:$AA$226,F$2,FALSE)</f>
        <v>LE 03 Managing impacts on ecology</v>
      </c>
      <c r="G170" s="506">
        <f>VLOOKUP($A170,'Pre-Assessment Estimator'!$A$10:$AA$226,G$2,FALSE)</f>
        <v>3</v>
      </c>
      <c r="H170" s="512" t="str">
        <f>IF(VLOOKUP($A170,'Pre-Assessment Estimator'!$A$10:$AA$226,H$2,FALSE)=0,"",VLOOKUP($A170,'Pre-Assessment Estimator'!$A$10:$AA$226,H$2,FALSE))</f>
        <v/>
      </c>
      <c r="I170" s="1012" t="str">
        <f>VLOOKUP($A170,'Pre-Assessment Estimator'!$A$10:$AA$226,I$2,FALSE)</f>
        <v>0 c. 0 %</v>
      </c>
      <c r="J170" s="508" t="str">
        <f>VLOOKUP($A170,'Pre-Assessment Estimator'!$A$10:$AA$226,J$2,FALSE)</f>
        <v>N/A</v>
      </c>
      <c r="K170" s="509" t="str">
        <f>IF(VLOOKUP($A170,'Pre-Assessment Estimator'!$A$10:$AA$226,K$2,FALSE)=0,"",VLOOKUP($A170,'Pre-Assessment Estimator'!$A$10:$AA$226,K$2,FALSE))</f>
        <v/>
      </c>
      <c r="L170" s="509" t="str">
        <f>IF(VLOOKUP($A170,'Pre-Assessment Estimator'!$A$10:$AA$226,L$2,FALSE)=0,"",VLOOKUP($A170,'Pre-Assessment Estimator'!$A$10:$AA$226,L$2,FALSE))</f>
        <v/>
      </c>
      <c r="M170" s="510" t="str">
        <f>IF(VLOOKUP($A170,'Pre-Assessment Estimator'!$A$10:$AA$226,M$2,FALSE)=0,"",VLOOKUP($A170,'Pre-Assessment Estimator'!$A$10:$AA$226,M$2,FALSE))</f>
        <v/>
      </c>
      <c r="N170" s="511"/>
      <c r="O170" s="512" t="str">
        <f>IF(VLOOKUP($A170,'Pre-Assessment Estimator'!$A$10:$AA$226,O$2,FALSE)=0,"",VLOOKUP($A170,'Pre-Assessment Estimator'!$A$10:$AA$226,O$2,FALSE))</f>
        <v/>
      </c>
      <c r="P170" s="507" t="str">
        <f>VLOOKUP($A170,'Pre-Assessment Estimator'!$A$10:$AA$226,P$2,FALSE)</f>
        <v>0 c. 0 %</v>
      </c>
      <c r="Q170" s="506" t="str">
        <f>VLOOKUP($A170,'Pre-Assessment Estimator'!$A$10:$AA$226,Q$2,FALSE)</f>
        <v>N/A</v>
      </c>
      <c r="R170" s="509" t="str">
        <f>IF(VLOOKUP($A170,'Pre-Assessment Estimator'!$A$10:$AA$226,R$2,FALSE)=0,"",VLOOKUP($A170,'Pre-Assessment Estimator'!$A$10:$AA$226,R$2,FALSE))</f>
        <v/>
      </c>
      <c r="S170" s="509" t="str">
        <f>IF(VLOOKUP($A170,'Pre-Assessment Estimator'!$A$10:$AA$226,S$2,FALSE)=0,"",VLOOKUP($A170,'Pre-Assessment Estimator'!$A$10:$AA$226,S$2,FALSE))</f>
        <v/>
      </c>
      <c r="T170" s="510" t="str">
        <f>IF(VLOOKUP($A170,'Pre-Assessment Estimator'!$A$10:$AA$226,T$2,FALSE)=0,"",VLOOKUP($A170,'Pre-Assessment Estimator'!$A$10:$AA$226,T$2,FALSE))</f>
        <v/>
      </c>
      <c r="U170" s="513"/>
      <c r="V170" s="512" t="str">
        <f>IF(VLOOKUP($A170,'Pre-Assessment Estimator'!$A$10:$AA$226,V$2,FALSE)=0,"",VLOOKUP($A170,'Pre-Assessment Estimator'!$A$10:$AA$226,V$2,FALSE))</f>
        <v/>
      </c>
      <c r="W170" s="507" t="str">
        <f>VLOOKUP($A170,'Pre-Assessment Estimator'!$A$10:$AA$226,W$2,FALSE)</f>
        <v>0 c. 0 %</v>
      </c>
      <c r="X170" s="506" t="str">
        <f>VLOOKUP($A170,'Pre-Assessment Estimator'!$A$10:$AA$226,X$2,FALSE)</f>
        <v>N/A</v>
      </c>
      <c r="Y170" s="509" t="str">
        <f>IF(VLOOKUP($A170,'Pre-Assessment Estimator'!$A$10:$AA$226,Y$2,FALSE)=0,"",VLOOKUP($A170,'Pre-Assessment Estimator'!$A$10:$AA$226,Y$2,FALSE))</f>
        <v/>
      </c>
      <c r="Z170" s="509" t="str">
        <f>IF(VLOOKUP($A170,'Pre-Assessment Estimator'!$A$10:$AA$226,Z$2,FALSE)=0,"",VLOOKUP($A170,'Pre-Assessment Estimator'!$A$10:$AA$226,Z$2,FALSE))</f>
        <v/>
      </c>
      <c r="AA170" s="322" t="str">
        <f>IF(VLOOKUP($A170,'Pre-Assessment Estimator'!$A$10:$AA$226,AA$2,FALSE)=0,"",VLOOKUP($A170,'Pre-Assessment Estimator'!$A$10:$AA$226,AA$2,FALSE))</f>
        <v/>
      </c>
      <c r="AB170" s="605">
        <v>160</v>
      </c>
      <c r="AC170" s="509"/>
      <c r="AG170" s="15">
        <f t="shared" si="3"/>
        <v>1</v>
      </c>
    </row>
    <row r="171" spans="1:33" x14ac:dyDescent="0.25">
      <c r="A171" s="716">
        <v>162</v>
      </c>
      <c r="B171" s="1022" t="s">
        <v>69</v>
      </c>
      <c r="C171" s="1022"/>
      <c r="D171" s="1044" t="str">
        <f>VLOOKUP($A171,'Pre-Assessment Estimator'!$A$10:$AA$226,D$2,FALSE)</f>
        <v>LE 03</v>
      </c>
      <c r="E171" s="1044">
        <f>VLOOKUP($A171,'Pre-Assessment Estimator'!$A$10:$AA$226,E$2,FALSE)</f>
        <v>1</v>
      </c>
      <c r="F171" s="1045" t="str">
        <f>VLOOKUP($A171,'Pre-Assessment Estimator'!$A$10:$AA$226,F$2,FALSE)</f>
        <v>Pre-requisite: ecological risks and opportunities</v>
      </c>
      <c r="G171" s="506" t="str">
        <f>VLOOKUP($A171,'Pre-Assessment Estimator'!$A$10:$AA$226,G$2,FALSE)</f>
        <v>Yes/No</v>
      </c>
      <c r="H171" s="512" t="str">
        <f>IF(VLOOKUP($A171,'Pre-Assessment Estimator'!$A$10:$AA$226,H$2,FALSE)=0,"",VLOOKUP($A171,'Pre-Assessment Estimator'!$A$10:$AA$226,H$2,FALSE))</f>
        <v/>
      </c>
      <c r="I171" s="1012" t="str">
        <f>VLOOKUP($A171,'Pre-Assessment Estimator'!$A$10:$AA$226,I$2,FALSE)</f>
        <v>No</v>
      </c>
      <c r="J171" s="508" t="str">
        <f>VLOOKUP($A171,'Pre-Assessment Estimator'!$A$10:$AA$226,J$2,FALSE)</f>
        <v>N/A</v>
      </c>
      <c r="K171" s="509" t="str">
        <f>IF(VLOOKUP($A171,'Pre-Assessment Estimator'!$A$10:$AA$226,K$2,FALSE)=0,"",VLOOKUP($A171,'Pre-Assessment Estimator'!$A$10:$AA$226,K$2,FALSE))</f>
        <v/>
      </c>
      <c r="L171" s="509" t="str">
        <f>IF(VLOOKUP($A171,'Pre-Assessment Estimator'!$A$10:$AA$226,L$2,FALSE)=0,"",VLOOKUP($A171,'Pre-Assessment Estimator'!$A$10:$AA$226,L$2,FALSE))</f>
        <v/>
      </c>
      <c r="M171" s="510" t="str">
        <f>IF(VLOOKUP($A171,'Pre-Assessment Estimator'!$A$10:$AA$226,M$2,FALSE)=0,"",VLOOKUP($A171,'Pre-Assessment Estimator'!$A$10:$AA$226,M$2,FALSE))</f>
        <v/>
      </c>
      <c r="N171" s="511"/>
      <c r="O171" s="512" t="str">
        <f>IF(VLOOKUP($A171,'Pre-Assessment Estimator'!$A$10:$AA$226,O$2,FALSE)=0,"",VLOOKUP($A171,'Pre-Assessment Estimator'!$A$10:$AA$226,O$2,FALSE))</f>
        <v/>
      </c>
      <c r="P171" s="507" t="str">
        <f>VLOOKUP($A171,'Pre-Assessment Estimator'!$A$10:$AA$226,P$2,FALSE)</f>
        <v>No</v>
      </c>
      <c r="Q171" s="506" t="str">
        <f>VLOOKUP($A171,'Pre-Assessment Estimator'!$A$10:$AA$226,Q$2,FALSE)</f>
        <v>N/A</v>
      </c>
      <c r="R171" s="509" t="str">
        <f>IF(VLOOKUP($A171,'Pre-Assessment Estimator'!$A$10:$AA$226,R$2,FALSE)=0,"",VLOOKUP($A171,'Pre-Assessment Estimator'!$A$10:$AA$226,R$2,FALSE))</f>
        <v/>
      </c>
      <c r="S171" s="509" t="str">
        <f>IF(VLOOKUP($A171,'Pre-Assessment Estimator'!$A$10:$AA$226,S$2,FALSE)=0,"",VLOOKUP($A171,'Pre-Assessment Estimator'!$A$10:$AA$226,S$2,FALSE))</f>
        <v/>
      </c>
      <c r="T171" s="510" t="str">
        <f>IF(VLOOKUP($A171,'Pre-Assessment Estimator'!$A$10:$AA$226,T$2,FALSE)=0,"",VLOOKUP($A171,'Pre-Assessment Estimator'!$A$10:$AA$226,T$2,FALSE))</f>
        <v/>
      </c>
      <c r="U171" s="513"/>
      <c r="V171" s="512" t="str">
        <f>IF(VLOOKUP($A171,'Pre-Assessment Estimator'!$A$10:$AA$226,V$2,FALSE)=0,"",VLOOKUP($A171,'Pre-Assessment Estimator'!$A$10:$AA$226,V$2,FALSE))</f>
        <v/>
      </c>
      <c r="W171" s="507" t="str">
        <f>VLOOKUP($A171,'Pre-Assessment Estimator'!$A$10:$AA$226,W$2,FALSE)</f>
        <v>No</v>
      </c>
      <c r="X171" s="506" t="str">
        <f>VLOOKUP($A171,'Pre-Assessment Estimator'!$A$10:$AA$226,X$2,FALSE)</f>
        <v>N/A</v>
      </c>
      <c r="Y171" s="509" t="str">
        <f>IF(VLOOKUP($A171,'Pre-Assessment Estimator'!$A$10:$AA$226,Y$2,FALSE)=0,"",VLOOKUP($A171,'Pre-Assessment Estimator'!$A$10:$AA$226,Y$2,FALSE))</f>
        <v/>
      </c>
      <c r="Z171" s="509" t="str">
        <f>IF(VLOOKUP($A171,'Pre-Assessment Estimator'!$A$10:$AA$226,Z$2,FALSE)=0,"",VLOOKUP($A171,'Pre-Assessment Estimator'!$A$10:$AA$226,Z$2,FALSE))</f>
        <v/>
      </c>
      <c r="AA171" s="322" t="str">
        <f>IF(VLOOKUP($A171,'Pre-Assessment Estimator'!$A$10:$AA$226,AA$2,FALSE)=0,"",VLOOKUP($A171,'Pre-Assessment Estimator'!$A$10:$AA$226,AA$2,FALSE))</f>
        <v/>
      </c>
      <c r="AB171" s="605">
        <v>161</v>
      </c>
      <c r="AC171" s="509"/>
      <c r="AG171" s="15">
        <f t="shared" si="3"/>
        <v>1</v>
      </c>
    </row>
    <row r="172" spans="1:33" x14ac:dyDescent="0.25">
      <c r="A172" s="716">
        <v>163</v>
      </c>
      <c r="B172" s="1022" t="s">
        <v>69</v>
      </c>
      <c r="C172" s="1022"/>
      <c r="D172" s="1044" t="str">
        <f>VLOOKUP($A172,'Pre-Assessment Estimator'!$A$10:$AA$226,D$2,FALSE)</f>
        <v>LE 03</v>
      </c>
      <c r="E172" s="1044" t="str">
        <f>VLOOKUP($A172,'Pre-Assessment Estimator'!$A$10:$AA$226,E$2,FALSE)</f>
        <v>2-4</v>
      </c>
      <c r="F172" s="1045" t="str">
        <f>VLOOKUP($A172,'Pre-Assessment Estimator'!$A$10:$AA$226,F$2,FALSE)</f>
        <v>Planning and measures on site</v>
      </c>
      <c r="G172" s="506">
        <f>VLOOKUP($A172,'Pre-Assessment Estimator'!$A$10:$AA$226,G$2,FALSE)</f>
        <v>1</v>
      </c>
      <c r="H172" s="512" t="str">
        <f>IF(VLOOKUP($A172,'Pre-Assessment Estimator'!$A$10:$AA$226,H$2,FALSE)=0,"",VLOOKUP($A172,'Pre-Assessment Estimator'!$A$10:$AA$226,H$2,FALSE))</f>
        <v/>
      </c>
      <c r="I172" s="1012">
        <f>VLOOKUP($A172,'Pre-Assessment Estimator'!$A$10:$AA$226,I$2,FALSE)</f>
        <v>0</v>
      </c>
      <c r="J172" s="508" t="str">
        <f>VLOOKUP($A172,'Pre-Assessment Estimator'!$A$10:$AA$226,J$2,FALSE)</f>
        <v>N/A</v>
      </c>
      <c r="K172" s="509" t="str">
        <f>IF(VLOOKUP($A172,'Pre-Assessment Estimator'!$A$10:$AA$226,K$2,FALSE)=0,"",VLOOKUP($A172,'Pre-Assessment Estimator'!$A$10:$AA$226,K$2,FALSE))</f>
        <v/>
      </c>
      <c r="L172" s="509" t="str">
        <f>IF(VLOOKUP($A172,'Pre-Assessment Estimator'!$A$10:$AA$226,L$2,FALSE)=0,"",VLOOKUP($A172,'Pre-Assessment Estimator'!$A$10:$AA$226,L$2,FALSE))</f>
        <v/>
      </c>
      <c r="M172" s="510" t="str">
        <f>IF(VLOOKUP($A172,'Pre-Assessment Estimator'!$A$10:$AA$226,M$2,FALSE)=0,"",VLOOKUP($A172,'Pre-Assessment Estimator'!$A$10:$AA$226,M$2,FALSE))</f>
        <v/>
      </c>
      <c r="N172" s="511"/>
      <c r="O172" s="512" t="str">
        <f>IF(VLOOKUP($A172,'Pre-Assessment Estimator'!$A$10:$AA$226,O$2,FALSE)=0,"",VLOOKUP($A172,'Pre-Assessment Estimator'!$A$10:$AA$226,O$2,FALSE))</f>
        <v/>
      </c>
      <c r="P172" s="507">
        <f>VLOOKUP($A172,'Pre-Assessment Estimator'!$A$10:$AA$226,P$2,FALSE)</f>
        <v>0</v>
      </c>
      <c r="Q172" s="506" t="str">
        <f>VLOOKUP($A172,'Pre-Assessment Estimator'!$A$10:$AA$226,Q$2,FALSE)</f>
        <v>N/A</v>
      </c>
      <c r="R172" s="509" t="str">
        <f>IF(VLOOKUP($A172,'Pre-Assessment Estimator'!$A$10:$AA$226,R$2,FALSE)=0,"",VLOOKUP($A172,'Pre-Assessment Estimator'!$A$10:$AA$226,R$2,FALSE))</f>
        <v/>
      </c>
      <c r="S172" s="509" t="str">
        <f>IF(VLOOKUP($A172,'Pre-Assessment Estimator'!$A$10:$AA$226,S$2,FALSE)=0,"",VLOOKUP($A172,'Pre-Assessment Estimator'!$A$10:$AA$226,S$2,FALSE))</f>
        <v/>
      </c>
      <c r="T172" s="510" t="str">
        <f>IF(VLOOKUP($A172,'Pre-Assessment Estimator'!$A$10:$AA$226,T$2,FALSE)=0,"",VLOOKUP($A172,'Pre-Assessment Estimator'!$A$10:$AA$226,T$2,FALSE))</f>
        <v/>
      </c>
      <c r="U172" s="513"/>
      <c r="V172" s="512" t="str">
        <f>IF(VLOOKUP($A172,'Pre-Assessment Estimator'!$A$10:$AA$226,V$2,FALSE)=0,"",VLOOKUP($A172,'Pre-Assessment Estimator'!$A$10:$AA$226,V$2,FALSE))</f>
        <v/>
      </c>
      <c r="W172" s="507">
        <f>VLOOKUP($A172,'Pre-Assessment Estimator'!$A$10:$AA$226,W$2,FALSE)</f>
        <v>0</v>
      </c>
      <c r="X172" s="506" t="str">
        <f>VLOOKUP($A172,'Pre-Assessment Estimator'!$A$10:$AA$226,X$2,FALSE)</f>
        <v>N/A</v>
      </c>
      <c r="Y172" s="509" t="str">
        <f>IF(VLOOKUP($A172,'Pre-Assessment Estimator'!$A$10:$AA$226,Y$2,FALSE)=0,"",VLOOKUP($A172,'Pre-Assessment Estimator'!$A$10:$AA$226,Y$2,FALSE))</f>
        <v/>
      </c>
      <c r="Z172" s="509" t="str">
        <f>IF(VLOOKUP($A172,'Pre-Assessment Estimator'!$A$10:$AA$226,Z$2,FALSE)=0,"",VLOOKUP($A172,'Pre-Assessment Estimator'!$A$10:$AA$226,Z$2,FALSE))</f>
        <v/>
      </c>
      <c r="AA172" s="322" t="str">
        <f>IF(VLOOKUP($A172,'Pre-Assessment Estimator'!$A$10:$AA$226,AA$2,FALSE)=0,"",VLOOKUP($A172,'Pre-Assessment Estimator'!$A$10:$AA$226,AA$2,FALSE))</f>
        <v/>
      </c>
      <c r="AB172" s="605">
        <v>161</v>
      </c>
      <c r="AC172" s="509"/>
      <c r="AG172" s="15">
        <f t="shared" ref="AG172" si="4">IF(G172="",1,IF(G172=0,2,1))</f>
        <v>1</v>
      </c>
    </row>
    <row r="173" spans="1:33" x14ac:dyDescent="0.25">
      <c r="A173" s="716">
        <v>164</v>
      </c>
      <c r="B173" s="1022" t="s">
        <v>69</v>
      </c>
      <c r="C173" s="1022"/>
      <c r="D173" s="1044" t="str">
        <f>VLOOKUP($A173,'Pre-Assessment Estimator'!$A$10:$AA$226,D$2,FALSE)</f>
        <v>LE 03</v>
      </c>
      <c r="E173" s="1044" t="str">
        <f>VLOOKUP($A173,'Pre-Assessment Estimator'!$A$10:$AA$226,E$2,FALSE)</f>
        <v>5-6</v>
      </c>
      <c r="F173" s="1045" t="str">
        <f>VLOOKUP($A173,'Pre-Assessment Estimator'!$A$10:$AA$226,F$2,FALSE)</f>
        <v>Managing negative impacts</v>
      </c>
      <c r="G173" s="506">
        <f>VLOOKUP($A173,'Pre-Assessment Estimator'!$A$10:$AA$226,G$2,FALSE)</f>
        <v>2</v>
      </c>
      <c r="H173" s="512" t="str">
        <f>IF(VLOOKUP($A173,'Pre-Assessment Estimator'!$A$10:$AA$226,H$2,FALSE)=0,"",VLOOKUP($A173,'Pre-Assessment Estimator'!$A$10:$AA$226,H$2,FALSE))</f>
        <v/>
      </c>
      <c r="I173" s="1012">
        <f>VLOOKUP($A173,'Pre-Assessment Estimator'!$A$10:$AA$226,I$2,FALSE)</f>
        <v>0</v>
      </c>
      <c r="J173" s="508" t="str">
        <f>VLOOKUP($A173,'Pre-Assessment Estimator'!$A$10:$AA$226,J$2,FALSE)</f>
        <v>N/A</v>
      </c>
      <c r="K173" s="509" t="str">
        <f>IF(VLOOKUP($A173,'Pre-Assessment Estimator'!$A$10:$AA$226,K$2,FALSE)=0,"",VLOOKUP($A173,'Pre-Assessment Estimator'!$A$10:$AA$226,K$2,FALSE))</f>
        <v/>
      </c>
      <c r="L173" s="509" t="str">
        <f>IF(VLOOKUP($A173,'Pre-Assessment Estimator'!$A$10:$AA$226,L$2,FALSE)=0,"",VLOOKUP($A173,'Pre-Assessment Estimator'!$A$10:$AA$226,L$2,FALSE))</f>
        <v/>
      </c>
      <c r="M173" s="510" t="str">
        <f>IF(VLOOKUP($A173,'Pre-Assessment Estimator'!$A$10:$AA$226,M$2,FALSE)=0,"",VLOOKUP($A173,'Pre-Assessment Estimator'!$A$10:$AA$226,M$2,FALSE))</f>
        <v/>
      </c>
      <c r="N173" s="511"/>
      <c r="O173" s="512" t="str">
        <f>IF(VLOOKUP($A173,'Pre-Assessment Estimator'!$A$10:$AA$226,O$2,FALSE)=0,"",VLOOKUP($A173,'Pre-Assessment Estimator'!$A$10:$AA$226,O$2,FALSE))</f>
        <v/>
      </c>
      <c r="P173" s="507">
        <f>VLOOKUP($A173,'Pre-Assessment Estimator'!$A$10:$AA$226,P$2,FALSE)</f>
        <v>0</v>
      </c>
      <c r="Q173" s="506" t="str">
        <f>VLOOKUP($A173,'Pre-Assessment Estimator'!$A$10:$AA$226,Q$2,FALSE)</f>
        <v>N/A</v>
      </c>
      <c r="R173" s="509" t="str">
        <f>IF(VLOOKUP($A173,'Pre-Assessment Estimator'!$A$10:$AA$226,R$2,FALSE)=0,"",VLOOKUP($A173,'Pre-Assessment Estimator'!$A$10:$AA$226,R$2,FALSE))</f>
        <v/>
      </c>
      <c r="S173" s="509" t="str">
        <f>IF(VLOOKUP($A173,'Pre-Assessment Estimator'!$A$10:$AA$226,S$2,FALSE)=0,"",VLOOKUP($A173,'Pre-Assessment Estimator'!$A$10:$AA$226,S$2,FALSE))</f>
        <v/>
      </c>
      <c r="T173" s="510" t="str">
        <f>IF(VLOOKUP($A173,'Pre-Assessment Estimator'!$A$10:$AA$226,T$2,FALSE)=0,"",VLOOKUP($A173,'Pre-Assessment Estimator'!$A$10:$AA$226,T$2,FALSE))</f>
        <v/>
      </c>
      <c r="U173" s="513"/>
      <c r="V173" s="512" t="str">
        <f>IF(VLOOKUP($A173,'Pre-Assessment Estimator'!$A$10:$AA$226,V$2,FALSE)=0,"",VLOOKUP($A173,'Pre-Assessment Estimator'!$A$10:$AA$226,V$2,FALSE))</f>
        <v/>
      </c>
      <c r="W173" s="507">
        <f>VLOOKUP($A173,'Pre-Assessment Estimator'!$A$10:$AA$226,W$2,FALSE)</f>
        <v>0</v>
      </c>
      <c r="X173" s="506" t="str">
        <f>VLOOKUP($A173,'Pre-Assessment Estimator'!$A$10:$AA$226,X$2,FALSE)</f>
        <v>N/A</v>
      </c>
      <c r="Y173" s="509" t="str">
        <f>IF(VLOOKUP($A173,'Pre-Assessment Estimator'!$A$10:$AA$226,Y$2,FALSE)=0,"",VLOOKUP($A173,'Pre-Assessment Estimator'!$A$10:$AA$226,Y$2,FALSE))</f>
        <v/>
      </c>
      <c r="Z173" s="509" t="str">
        <f>IF(VLOOKUP($A173,'Pre-Assessment Estimator'!$A$10:$AA$226,Z$2,FALSE)=0,"",VLOOKUP($A173,'Pre-Assessment Estimator'!$A$10:$AA$226,Z$2,FALSE))</f>
        <v/>
      </c>
      <c r="AA173" s="322" t="str">
        <f>IF(VLOOKUP($A173,'Pre-Assessment Estimator'!$A$10:$AA$226,AA$2,FALSE)=0,"",VLOOKUP($A173,'Pre-Assessment Estimator'!$A$10:$AA$226,AA$2,FALSE))</f>
        <v/>
      </c>
      <c r="AB173" s="605">
        <v>162</v>
      </c>
      <c r="AC173" s="509"/>
      <c r="AG173" s="15">
        <f t="shared" si="3"/>
        <v>1</v>
      </c>
    </row>
    <row r="174" spans="1:33" x14ac:dyDescent="0.25">
      <c r="A174" s="716">
        <v>165</v>
      </c>
      <c r="B174" s="1022" t="s">
        <v>69</v>
      </c>
      <c r="C174" s="1022"/>
      <c r="D174" s="1043" t="str">
        <f>VLOOKUP($A174,'Pre-Assessment Estimator'!$A$10:$AA$226,D$2,FALSE)</f>
        <v>LE 04</v>
      </c>
      <c r="E174" s="1044"/>
      <c r="F174" s="1043" t="str">
        <f>VLOOKUP($A174,'Pre-Assessment Estimator'!$A$10:$AA$226,F$2,FALSE)</f>
        <v>LE 04 Ecological change and enhancement</v>
      </c>
      <c r="G174" s="506">
        <f>VLOOKUP($A174,'Pre-Assessment Estimator'!$A$10:$AA$226,G$2,FALSE)</f>
        <v>4</v>
      </c>
      <c r="H174" s="512" t="str">
        <f>IF(VLOOKUP($A174,'Pre-Assessment Estimator'!$A$10:$AA$226,H$2,FALSE)=0,"",VLOOKUP($A174,'Pre-Assessment Estimator'!$A$10:$AA$226,H$2,FALSE))</f>
        <v/>
      </c>
      <c r="I174" s="1012" t="str">
        <f>VLOOKUP($A174,'Pre-Assessment Estimator'!$A$10:$AA$226,I$2,FALSE)</f>
        <v>0 c. 0 %</v>
      </c>
      <c r="J174" s="508" t="str">
        <f>VLOOKUP($A174,'Pre-Assessment Estimator'!$A$10:$AA$226,J$2,FALSE)</f>
        <v>N/A</v>
      </c>
      <c r="K174" s="509" t="str">
        <f>IF(VLOOKUP($A174,'Pre-Assessment Estimator'!$A$10:$AA$226,K$2,FALSE)=0,"",VLOOKUP($A174,'Pre-Assessment Estimator'!$A$10:$AA$226,K$2,FALSE))</f>
        <v/>
      </c>
      <c r="L174" s="509" t="str">
        <f>IF(VLOOKUP($A174,'Pre-Assessment Estimator'!$A$10:$AA$226,L$2,FALSE)=0,"",VLOOKUP($A174,'Pre-Assessment Estimator'!$A$10:$AA$226,L$2,FALSE))</f>
        <v/>
      </c>
      <c r="M174" s="510" t="str">
        <f>IF(VLOOKUP($A174,'Pre-Assessment Estimator'!$A$10:$AA$226,M$2,FALSE)=0,"",VLOOKUP($A174,'Pre-Assessment Estimator'!$A$10:$AA$226,M$2,FALSE))</f>
        <v/>
      </c>
      <c r="N174" s="511"/>
      <c r="O174" s="512" t="str">
        <f>IF(VLOOKUP($A174,'Pre-Assessment Estimator'!$A$10:$AA$226,O$2,FALSE)=0,"",VLOOKUP($A174,'Pre-Assessment Estimator'!$A$10:$AA$226,O$2,FALSE))</f>
        <v/>
      </c>
      <c r="P174" s="507" t="str">
        <f>VLOOKUP($A174,'Pre-Assessment Estimator'!$A$10:$AA$226,P$2,FALSE)</f>
        <v>0 c. 0 %</v>
      </c>
      <c r="Q174" s="506" t="str">
        <f>VLOOKUP($A174,'Pre-Assessment Estimator'!$A$10:$AA$226,Q$2,FALSE)</f>
        <v>N/A</v>
      </c>
      <c r="R174" s="509" t="str">
        <f>IF(VLOOKUP($A174,'Pre-Assessment Estimator'!$A$10:$AA$226,R$2,FALSE)=0,"",VLOOKUP($A174,'Pre-Assessment Estimator'!$A$10:$AA$226,R$2,FALSE))</f>
        <v/>
      </c>
      <c r="S174" s="509" t="str">
        <f>IF(VLOOKUP($A174,'Pre-Assessment Estimator'!$A$10:$AA$226,S$2,FALSE)=0,"",VLOOKUP($A174,'Pre-Assessment Estimator'!$A$10:$AA$226,S$2,FALSE))</f>
        <v/>
      </c>
      <c r="T174" s="510" t="str">
        <f>IF(VLOOKUP($A174,'Pre-Assessment Estimator'!$A$10:$AA$226,T$2,FALSE)=0,"",VLOOKUP($A174,'Pre-Assessment Estimator'!$A$10:$AA$226,T$2,FALSE))</f>
        <v/>
      </c>
      <c r="U174" s="513"/>
      <c r="V174" s="512" t="str">
        <f>IF(VLOOKUP($A174,'Pre-Assessment Estimator'!$A$10:$AA$226,V$2,FALSE)=0,"",VLOOKUP($A174,'Pre-Assessment Estimator'!$A$10:$AA$226,V$2,FALSE))</f>
        <v/>
      </c>
      <c r="W174" s="507" t="str">
        <f>VLOOKUP($A174,'Pre-Assessment Estimator'!$A$10:$AA$226,W$2,FALSE)</f>
        <v>0 c. 0 %</v>
      </c>
      <c r="X174" s="506" t="str">
        <f>VLOOKUP($A174,'Pre-Assessment Estimator'!$A$10:$AA$226,X$2,FALSE)</f>
        <v>N/A</v>
      </c>
      <c r="Y174" s="509" t="str">
        <f>IF(VLOOKUP($A174,'Pre-Assessment Estimator'!$A$10:$AA$226,Y$2,FALSE)=0,"",VLOOKUP($A174,'Pre-Assessment Estimator'!$A$10:$AA$226,Y$2,FALSE))</f>
        <v/>
      </c>
      <c r="Z174" s="509" t="str">
        <f>IF(VLOOKUP($A174,'Pre-Assessment Estimator'!$A$10:$AA$226,Z$2,FALSE)=0,"",VLOOKUP($A174,'Pre-Assessment Estimator'!$A$10:$AA$226,Z$2,FALSE))</f>
        <v/>
      </c>
      <c r="AA174" s="322" t="str">
        <f>IF(VLOOKUP($A174,'Pre-Assessment Estimator'!$A$10:$AA$226,AA$2,FALSE)=0,"",VLOOKUP($A174,'Pre-Assessment Estimator'!$A$10:$AA$226,AA$2,FALSE))</f>
        <v/>
      </c>
      <c r="AB174" s="605">
        <v>163</v>
      </c>
      <c r="AC174" s="509"/>
      <c r="AG174" s="15">
        <f t="shared" si="3"/>
        <v>1</v>
      </c>
    </row>
    <row r="175" spans="1:33" x14ac:dyDescent="0.25">
      <c r="A175" s="716">
        <v>166</v>
      </c>
      <c r="B175" s="1022" t="s">
        <v>69</v>
      </c>
      <c r="C175" s="1022"/>
      <c r="D175" s="1044" t="str">
        <f>VLOOKUP($A175,'Pre-Assessment Estimator'!$A$10:$AA$226,D$2,FALSE)</f>
        <v>LE 04</v>
      </c>
      <c r="E175" s="1044" t="str">
        <f>VLOOKUP($A175,'Pre-Assessment Estimator'!$A$10:$AA$226,E$2,FALSE)</f>
        <v>1-2</v>
      </c>
      <c r="F175" s="1045" t="str">
        <f>VLOOKUP($A175,'Pre-Assessment Estimator'!$A$10:$AA$226,F$2,FALSE)</f>
        <v>Pre-requisite: managing negative impacts on ecology</v>
      </c>
      <c r="G175" s="506" t="str">
        <f>VLOOKUP($A175,'Pre-Assessment Estimator'!$A$10:$AA$226,G$2,FALSE)</f>
        <v>Yes/No</v>
      </c>
      <c r="H175" s="512" t="str">
        <f>IF(VLOOKUP($A175,'Pre-Assessment Estimator'!$A$10:$AA$226,H$2,FALSE)=0,"",VLOOKUP($A175,'Pre-Assessment Estimator'!$A$10:$AA$226,H$2,FALSE))</f>
        <v/>
      </c>
      <c r="I175" s="1012" t="str">
        <f>VLOOKUP($A175,'Pre-Assessment Estimator'!$A$10:$AA$226,I$2,FALSE)</f>
        <v>-</v>
      </c>
      <c r="J175" s="508" t="str">
        <f>VLOOKUP($A175,'Pre-Assessment Estimator'!$A$10:$AA$226,J$2,FALSE)</f>
        <v>N/A</v>
      </c>
      <c r="K175" s="509" t="str">
        <f>IF(VLOOKUP($A175,'Pre-Assessment Estimator'!$A$10:$AA$226,K$2,FALSE)=0,"",VLOOKUP($A175,'Pre-Assessment Estimator'!$A$10:$AA$226,K$2,FALSE))</f>
        <v/>
      </c>
      <c r="L175" s="509" t="str">
        <f>IF(VLOOKUP($A175,'Pre-Assessment Estimator'!$A$10:$AA$226,L$2,FALSE)=0,"",VLOOKUP($A175,'Pre-Assessment Estimator'!$A$10:$AA$226,L$2,FALSE))</f>
        <v/>
      </c>
      <c r="M175" s="510" t="str">
        <f>IF(VLOOKUP($A175,'Pre-Assessment Estimator'!$A$10:$AA$226,M$2,FALSE)=0,"",VLOOKUP($A175,'Pre-Assessment Estimator'!$A$10:$AA$226,M$2,FALSE))</f>
        <v/>
      </c>
      <c r="N175" s="511"/>
      <c r="O175" s="512" t="str">
        <f>IF(VLOOKUP($A175,'Pre-Assessment Estimator'!$A$10:$AA$226,O$2,FALSE)=0,"",VLOOKUP($A175,'Pre-Assessment Estimator'!$A$10:$AA$226,O$2,FALSE))</f>
        <v/>
      </c>
      <c r="P175" s="507" t="str">
        <f>VLOOKUP($A175,'Pre-Assessment Estimator'!$A$10:$AA$226,P$2,FALSE)</f>
        <v>-</v>
      </c>
      <c r="Q175" s="506" t="str">
        <f>VLOOKUP($A175,'Pre-Assessment Estimator'!$A$10:$AA$226,Q$2,FALSE)</f>
        <v>N/A</v>
      </c>
      <c r="R175" s="509" t="str">
        <f>IF(VLOOKUP($A175,'Pre-Assessment Estimator'!$A$10:$AA$226,R$2,FALSE)=0,"",VLOOKUP($A175,'Pre-Assessment Estimator'!$A$10:$AA$226,R$2,FALSE))</f>
        <v/>
      </c>
      <c r="S175" s="509" t="str">
        <f>IF(VLOOKUP($A175,'Pre-Assessment Estimator'!$A$10:$AA$226,S$2,FALSE)=0,"",VLOOKUP($A175,'Pre-Assessment Estimator'!$A$10:$AA$226,S$2,FALSE))</f>
        <v/>
      </c>
      <c r="T175" s="510" t="str">
        <f>IF(VLOOKUP($A175,'Pre-Assessment Estimator'!$A$10:$AA$226,T$2,FALSE)=0,"",VLOOKUP($A175,'Pre-Assessment Estimator'!$A$10:$AA$226,T$2,FALSE))</f>
        <v/>
      </c>
      <c r="U175" s="513"/>
      <c r="V175" s="512" t="str">
        <f>IF(VLOOKUP($A175,'Pre-Assessment Estimator'!$A$10:$AA$226,V$2,FALSE)=0,"",VLOOKUP($A175,'Pre-Assessment Estimator'!$A$10:$AA$226,V$2,FALSE))</f>
        <v/>
      </c>
      <c r="W175" s="507" t="str">
        <f>VLOOKUP($A175,'Pre-Assessment Estimator'!$A$10:$AA$226,W$2,FALSE)</f>
        <v>-</v>
      </c>
      <c r="X175" s="506" t="str">
        <f>VLOOKUP($A175,'Pre-Assessment Estimator'!$A$10:$AA$226,X$2,FALSE)</f>
        <v>N/A</v>
      </c>
      <c r="Y175" s="509" t="str">
        <f>IF(VLOOKUP($A175,'Pre-Assessment Estimator'!$A$10:$AA$226,Y$2,FALSE)=0,"",VLOOKUP($A175,'Pre-Assessment Estimator'!$A$10:$AA$226,Y$2,FALSE))</f>
        <v/>
      </c>
      <c r="Z175" s="509" t="str">
        <f>IF(VLOOKUP($A175,'Pre-Assessment Estimator'!$A$10:$AA$226,Z$2,FALSE)=0,"",VLOOKUP($A175,'Pre-Assessment Estimator'!$A$10:$AA$226,Z$2,FALSE))</f>
        <v/>
      </c>
      <c r="AA175" s="322" t="str">
        <f>IF(VLOOKUP($A175,'Pre-Assessment Estimator'!$A$10:$AA$226,AA$2,FALSE)=0,"",VLOOKUP($A175,'Pre-Assessment Estimator'!$A$10:$AA$226,AA$2,FALSE))</f>
        <v/>
      </c>
      <c r="AB175" s="605">
        <v>164</v>
      </c>
      <c r="AC175" s="509"/>
      <c r="AG175" s="15">
        <f t="shared" si="3"/>
        <v>1</v>
      </c>
    </row>
    <row r="176" spans="1:33" x14ac:dyDescent="0.25">
      <c r="A176" s="716">
        <v>167</v>
      </c>
      <c r="B176" s="1022" t="s">
        <v>69</v>
      </c>
      <c r="C176" s="1022"/>
      <c r="D176" s="1044" t="str">
        <f>VLOOKUP($A176,'Pre-Assessment Estimator'!$A$10:$AA$226,D$2,FALSE)</f>
        <v>LE 04</v>
      </c>
      <c r="E176" s="1044" t="str">
        <f>VLOOKUP($A176,'Pre-Assessment Estimator'!$A$10:$AA$226,E$2,FALSE)</f>
        <v>3-4</v>
      </c>
      <c r="F176" s="1045" t="str">
        <f>VLOOKUP($A176,'Pre-Assessment Estimator'!$A$10:$AA$226,F$2,FALSE)</f>
        <v>Ecological enhancement</v>
      </c>
      <c r="G176" s="506">
        <f>VLOOKUP($A176,'Pre-Assessment Estimator'!$A$10:$AA$226,G$2,FALSE)</f>
        <v>1</v>
      </c>
      <c r="H176" s="512" t="str">
        <f>IF(VLOOKUP($A176,'Pre-Assessment Estimator'!$A$10:$AA$226,H$2,FALSE)=0,"",VLOOKUP($A176,'Pre-Assessment Estimator'!$A$10:$AA$226,H$2,FALSE))</f>
        <v/>
      </c>
      <c r="I176" s="1012">
        <f>VLOOKUP($A176,'Pre-Assessment Estimator'!$A$10:$AA$226,I$2,FALSE)</f>
        <v>0</v>
      </c>
      <c r="J176" s="508" t="str">
        <f>VLOOKUP($A176,'Pre-Assessment Estimator'!$A$10:$AA$226,J$2,FALSE)</f>
        <v>Excellent</v>
      </c>
      <c r="K176" s="509" t="str">
        <f>IF(VLOOKUP($A176,'Pre-Assessment Estimator'!$A$10:$AA$226,K$2,FALSE)=0,"",VLOOKUP($A176,'Pre-Assessment Estimator'!$A$10:$AA$226,K$2,FALSE))</f>
        <v/>
      </c>
      <c r="L176" s="509" t="str">
        <f>IF(VLOOKUP($A176,'Pre-Assessment Estimator'!$A$10:$AA$226,L$2,FALSE)=0,"",VLOOKUP($A176,'Pre-Assessment Estimator'!$A$10:$AA$226,L$2,FALSE))</f>
        <v/>
      </c>
      <c r="M176" s="510" t="str">
        <f>IF(VLOOKUP($A176,'Pre-Assessment Estimator'!$A$10:$AA$226,M$2,FALSE)=0,"",VLOOKUP($A176,'Pre-Assessment Estimator'!$A$10:$AA$226,M$2,FALSE))</f>
        <v/>
      </c>
      <c r="N176" s="511"/>
      <c r="O176" s="512" t="str">
        <f>IF(VLOOKUP($A176,'Pre-Assessment Estimator'!$A$10:$AA$226,O$2,FALSE)=0,"",VLOOKUP($A176,'Pre-Assessment Estimator'!$A$10:$AA$226,O$2,FALSE))</f>
        <v/>
      </c>
      <c r="P176" s="507">
        <f>VLOOKUP($A176,'Pre-Assessment Estimator'!$A$10:$AA$226,P$2,FALSE)</f>
        <v>0</v>
      </c>
      <c r="Q176" s="506" t="str">
        <f>VLOOKUP($A176,'Pre-Assessment Estimator'!$A$10:$AA$226,Q$2,FALSE)</f>
        <v>Excellent</v>
      </c>
      <c r="R176" s="509" t="str">
        <f>IF(VLOOKUP($A176,'Pre-Assessment Estimator'!$A$10:$AA$226,R$2,FALSE)=0,"",VLOOKUP($A176,'Pre-Assessment Estimator'!$A$10:$AA$226,R$2,FALSE))</f>
        <v/>
      </c>
      <c r="S176" s="509" t="str">
        <f>IF(VLOOKUP($A176,'Pre-Assessment Estimator'!$A$10:$AA$226,S$2,FALSE)=0,"",VLOOKUP($A176,'Pre-Assessment Estimator'!$A$10:$AA$226,S$2,FALSE))</f>
        <v/>
      </c>
      <c r="T176" s="510" t="str">
        <f>IF(VLOOKUP($A176,'Pre-Assessment Estimator'!$A$10:$AA$226,T$2,FALSE)=0,"",VLOOKUP($A176,'Pre-Assessment Estimator'!$A$10:$AA$226,T$2,FALSE))</f>
        <v/>
      </c>
      <c r="U176" s="513"/>
      <c r="V176" s="512" t="str">
        <f>IF(VLOOKUP($A176,'Pre-Assessment Estimator'!$A$10:$AA$226,V$2,FALSE)=0,"",VLOOKUP($A176,'Pre-Assessment Estimator'!$A$10:$AA$226,V$2,FALSE))</f>
        <v/>
      </c>
      <c r="W176" s="507">
        <f>VLOOKUP($A176,'Pre-Assessment Estimator'!$A$10:$AA$226,W$2,FALSE)</f>
        <v>0</v>
      </c>
      <c r="X176" s="506" t="str">
        <f>VLOOKUP($A176,'Pre-Assessment Estimator'!$A$10:$AA$226,X$2,FALSE)</f>
        <v>Excellent</v>
      </c>
      <c r="Y176" s="509" t="str">
        <f>IF(VLOOKUP($A176,'Pre-Assessment Estimator'!$A$10:$AA$226,Y$2,FALSE)=0,"",VLOOKUP($A176,'Pre-Assessment Estimator'!$A$10:$AA$226,Y$2,FALSE))</f>
        <v/>
      </c>
      <c r="Z176" s="509" t="str">
        <f>IF(VLOOKUP($A176,'Pre-Assessment Estimator'!$A$10:$AA$226,Z$2,FALSE)=0,"",VLOOKUP($A176,'Pre-Assessment Estimator'!$A$10:$AA$226,Z$2,FALSE))</f>
        <v/>
      </c>
      <c r="AA176" s="322" t="str">
        <f>IF(VLOOKUP($A176,'Pre-Assessment Estimator'!$A$10:$AA$226,AA$2,FALSE)=0,"",VLOOKUP($A176,'Pre-Assessment Estimator'!$A$10:$AA$226,AA$2,FALSE))</f>
        <v/>
      </c>
      <c r="AB176" s="605">
        <v>165</v>
      </c>
      <c r="AC176" s="509"/>
      <c r="AG176" s="15">
        <f t="shared" si="3"/>
        <v>1</v>
      </c>
    </row>
    <row r="177" spans="1:33" x14ac:dyDescent="0.25">
      <c r="A177" s="716">
        <v>168</v>
      </c>
      <c r="B177" s="1022" t="s">
        <v>69</v>
      </c>
      <c r="C177" s="1022"/>
      <c r="D177" s="1044" t="str">
        <f>VLOOKUP($A177,'Pre-Assessment Estimator'!$A$10:$AA$226,D$2,FALSE)</f>
        <v>LE 04</v>
      </c>
      <c r="E177" s="1044">
        <f>VLOOKUP($A177,'Pre-Assessment Estimator'!$A$10:$AA$226,E$2,FALSE)</f>
        <v>5</v>
      </c>
      <c r="F177" s="1045" t="str">
        <f>VLOOKUP($A177,'Pre-Assessment Estimator'!$A$10:$AA$226,F$2,FALSE)</f>
        <v>Calculation of change in biodiversity</v>
      </c>
      <c r="G177" s="506">
        <f>VLOOKUP($A177,'Pre-Assessment Estimator'!$A$10:$AA$226,G$2,FALSE)</f>
        <v>3</v>
      </c>
      <c r="H177" s="512" t="str">
        <f>IF(VLOOKUP($A177,'Pre-Assessment Estimator'!$A$10:$AA$226,H$2,FALSE)=0,"",VLOOKUP($A177,'Pre-Assessment Estimator'!$A$10:$AA$226,H$2,FALSE))</f>
        <v/>
      </c>
      <c r="I177" s="1012">
        <f>VLOOKUP($A177,'Pre-Assessment Estimator'!$A$10:$AA$226,I$2,FALSE)</f>
        <v>0</v>
      </c>
      <c r="J177" s="508" t="str">
        <f>VLOOKUP($A177,'Pre-Assessment Estimator'!$A$10:$AA$226,J$2,FALSE)</f>
        <v>N/A</v>
      </c>
      <c r="K177" s="509" t="str">
        <f>IF(VLOOKUP($A177,'Pre-Assessment Estimator'!$A$10:$AA$226,K$2,FALSE)=0,"",VLOOKUP($A177,'Pre-Assessment Estimator'!$A$10:$AA$226,K$2,FALSE))</f>
        <v/>
      </c>
      <c r="L177" s="509" t="str">
        <f>IF(VLOOKUP($A177,'Pre-Assessment Estimator'!$A$10:$AA$226,L$2,FALSE)=0,"",VLOOKUP($A177,'Pre-Assessment Estimator'!$A$10:$AA$226,L$2,FALSE))</f>
        <v/>
      </c>
      <c r="M177" s="510" t="str">
        <f>IF(VLOOKUP($A177,'Pre-Assessment Estimator'!$A$10:$AA$226,M$2,FALSE)=0,"",VLOOKUP($A177,'Pre-Assessment Estimator'!$A$10:$AA$226,M$2,FALSE))</f>
        <v/>
      </c>
      <c r="N177" s="511"/>
      <c r="O177" s="512" t="str">
        <f>IF(VLOOKUP($A177,'Pre-Assessment Estimator'!$A$10:$AA$226,O$2,FALSE)=0,"",VLOOKUP($A177,'Pre-Assessment Estimator'!$A$10:$AA$226,O$2,FALSE))</f>
        <v/>
      </c>
      <c r="P177" s="507">
        <f>VLOOKUP($A177,'Pre-Assessment Estimator'!$A$10:$AA$226,P$2,FALSE)</f>
        <v>0</v>
      </c>
      <c r="Q177" s="506" t="str">
        <f>VLOOKUP($A177,'Pre-Assessment Estimator'!$A$10:$AA$226,Q$2,FALSE)</f>
        <v>N/A</v>
      </c>
      <c r="R177" s="509" t="str">
        <f>IF(VLOOKUP($A177,'Pre-Assessment Estimator'!$A$10:$AA$226,R$2,FALSE)=0,"",VLOOKUP($A177,'Pre-Assessment Estimator'!$A$10:$AA$226,R$2,FALSE))</f>
        <v/>
      </c>
      <c r="S177" s="509" t="str">
        <f>IF(VLOOKUP($A177,'Pre-Assessment Estimator'!$A$10:$AA$226,S$2,FALSE)=0,"",VLOOKUP($A177,'Pre-Assessment Estimator'!$A$10:$AA$226,S$2,FALSE))</f>
        <v/>
      </c>
      <c r="T177" s="510" t="str">
        <f>IF(VLOOKUP($A177,'Pre-Assessment Estimator'!$A$10:$AA$226,T$2,FALSE)=0,"",VLOOKUP($A177,'Pre-Assessment Estimator'!$A$10:$AA$226,T$2,FALSE))</f>
        <v/>
      </c>
      <c r="U177" s="513"/>
      <c r="V177" s="512" t="str">
        <f>IF(VLOOKUP($A177,'Pre-Assessment Estimator'!$A$10:$AA$226,V$2,FALSE)=0,"",VLOOKUP($A177,'Pre-Assessment Estimator'!$A$10:$AA$226,V$2,FALSE))</f>
        <v/>
      </c>
      <c r="W177" s="507">
        <f>VLOOKUP($A177,'Pre-Assessment Estimator'!$A$10:$AA$226,W$2,FALSE)</f>
        <v>0</v>
      </c>
      <c r="X177" s="506" t="str">
        <f>VLOOKUP($A177,'Pre-Assessment Estimator'!$A$10:$AA$226,X$2,FALSE)</f>
        <v>N/A</v>
      </c>
      <c r="Y177" s="509" t="str">
        <f>IF(VLOOKUP($A177,'Pre-Assessment Estimator'!$A$10:$AA$226,Y$2,FALSE)=0,"",VLOOKUP($A177,'Pre-Assessment Estimator'!$A$10:$AA$226,Y$2,FALSE))</f>
        <v/>
      </c>
      <c r="Z177" s="509" t="str">
        <f>IF(VLOOKUP($A177,'Pre-Assessment Estimator'!$A$10:$AA$226,Z$2,FALSE)=0,"",VLOOKUP($A177,'Pre-Assessment Estimator'!$A$10:$AA$226,Z$2,FALSE))</f>
        <v/>
      </c>
      <c r="AA177" s="322" t="str">
        <f>IF(VLOOKUP($A177,'Pre-Assessment Estimator'!$A$10:$AA$226,AA$2,FALSE)=0,"",VLOOKUP($A177,'Pre-Assessment Estimator'!$A$10:$AA$226,AA$2,FALSE))</f>
        <v/>
      </c>
      <c r="AB177" s="605">
        <v>166</v>
      </c>
      <c r="AC177" s="509" t="str">
        <f>IF(VLOOKUP($A177,'Pre-Assessment Estimator'!$A$10:$AC$226,AC$2,FALSE)=0,"",VLOOKUP($A177,'Pre-Assessment Estimator'!$A$10:$AC$226,AC$2,FALSE))</f>
        <v>N/A</v>
      </c>
      <c r="AG177" s="15">
        <f t="shared" si="3"/>
        <v>1</v>
      </c>
    </row>
    <row r="178" spans="1:33" x14ac:dyDescent="0.25">
      <c r="A178" s="716">
        <v>169</v>
      </c>
      <c r="B178" s="1022" t="s">
        <v>69</v>
      </c>
      <c r="C178" s="1022"/>
      <c r="D178" s="1043" t="str">
        <f>VLOOKUP($A178,'Pre-Assessment Estimator'!$A$10:$AA$226,D$2,FALSE)</f>
        <v>LE 05</v>
      </c>
      <c r="E178" s="1044"/>
      <c r="F178" s="1043" t="str">
        <f>VLOOKUP($A178,'Pre-Assessment Estimator'!$A$10:$AA$226,F$2,FALSE)</f>
        <v>LE 05 Long term ecology management and maintenance</v>
      </c>
      <c r="G178" s="506">
        <f>VLOOKUP($A178,'Pre-Assessment Estimator'!$A$10:$AA$226,G$2,FALSE)</f>
        <v>2</v>
      </c>
      <c r="H178" s="512" t="str">
        <f>IF(VLOOKUP($A178,'Pre-Assessment Estimator'!$A$10:$AA$226,H$2,FALSE)=0,"",VLOOKUP($A178,'Pre-Assessment Estimator'!$A$10:$AA$226,H$2,FALSE))</f>
        <v/>
      </c>
      <c r="I178" s="1012" t="str">
        <f>VLOOKUP($A178,'Pre-Assessment Estimator'!$A$10:$AA$226,I$2,FALSE)</f>
        <v>0 c. 0 %</v>
      </c>
      <c r="J178" s="508" t="str">
        <f>VLOOKUP($A178,'Pre-Assessment Estimator'!$A$10:$AA$226,J$2,FALSE)</f>
        <v>N/A</v>
      </c>
      <c r="K178" s="509" t="str">
        <f>IF(VLOOKUP($A178,'Pre-Assessment Estimator'!$A$10:$AA$226,K$2,FALSE)=0,"",VLOOKUP($A178,'Pre-Assessment Estimator'!$A$10:$AA$226,K$2,FALSE))</f>
        <v/>
      </c>
      <c r="L178" s="509" t="str">
        <f>IF(VLOOKUP($A178,'Pre-Assessment Estimator'!$A$10:$AA$226,L$2,FALSE)=0,"",VLOOKUP($A178,'Pre-Assessment Estimator'!$A$10:$AA$226,L$2,FALSE))</f>
        <v/>
      </c>
      <c r="M178" s="510" t="str">
        <f>IF(VLOOKUP($A178,'Pre-Assessment Estimator'!$A$10:$AA$226,M$2,FALSE)=0,"",VLOOKUP($A178,'Pre-Assessment Estimator'!$A$10:$AA$226,M$2,FALSE))</f>
        <v/>
      </c>
      <c r="N178" s="511"/>
      <c r="O178" s="512" t="str">
        <f>IF(VLOOKUP($A178,'Pre-Assessment Estimator'!$A$10:$AA$226,O$2,FALSE)=0,"",VLOOKUP($A178,'Pre-Assessment Estimator'!$A$10:$AA$226,O$2,FALSE))</f>
        <v/>
      </c>
      <c r="P178" s="507" t="str">
        <f>VLOOKUP($A178,'Pre-Assessment Estimator'!$A$10:$AA$226,P$2,FALSE)</f>
        <v>0 c. 0 %</v>
      </c>
      <c r="Q178" s="506" t="str">
        <f>VLOOKUP($A178,'Pre-Assessment Estimator'!$A$10:$AA$226,Q$2,FALSE)</f>
        <v>N/A</v>
      </c>
      <c r="R178" s="509" t="str">
        <f>IF(VLOOKUP($A178,'Pre-Assessment Estimator'!$A$10:$AA$226,R$2,FALSE)=0,"",VLOOKUP($A178,'Pre-Assessment Estimator'!$A$10:$AA$226,R$2,FALSE))</f>
        <v/>
      </c>
      <c r="S178" s="509" t="str">
        <f>IF(VLOOKUP($A178,'Pre-Assessment Estimator'!$A$10:$AA$226,S$2,FALSE)=0,"",VLOOKUP($A178,'Pre-Assessment Estimator'!$A$10:$AA$226,S$2,FALSE))</f>
        <v/>
      </c>
      <c r="T178" s="510" t="str">
        <f>IF(VLOOKUP($A178,'Pre-Assessment Estimator'!$A$10:$AA$226,T$2,FALSE)=0,"",VLOOKUP($A178,'Pre-Assessment Estimator'!$A$10:$AA$226,T$2,FALSE))</f>
        <v/>
      </c>
      <c r="U178" s="513"/>
      <c r="V178" s="512" t="str">
        <f>IF(VLOOKUP($A178,'Pre-Assessment Estimator'!$A$10:$AA$226,V$2,FALSE)=0,"",VLOOKUP($A178,'Pre-Assessment Estimator'!$A$10:$AA$226,V$2,FALSE))</f>
        <v/>
      </c>
      <c r="W178" s="507" t="str">
        <f>VLOOKUP($A178,'Pre-Assessment Estimator'!$A$10:$AA$226,W$2,FALSE)</f>
        <v>0 c. 0 %</v>
      </c>
      <c r="X178" s="506" t="str">
        <f>VLOOKUP($A178,'Pre-Assessment Estimator'!$A$10:$AA$226,X$2,FALSE)</f>
        <v>N/A</v>
      </c>
      <c r="Y178" s="509" t="str">
        <f>IF(VLOOKUP($A178,'Pre-Assessment Estimator'!$A$10:$AA$226,Y$2,FALSE)=0,"",VLOOKUP($A178,'Pre-Assessment Estimator'!$A$10:$AA$226,Y$2,FALSE))</f>
        <v/>
      </c>
      <c r="Z178" s="509" t="str">
        <f>IF(VLOOKUP($A178,'Pre-Assessment Estimator'!$A$10:$AA$226,Z$2,FALSE)=0,"",VLOOKUP($A178,'Pre-Assessment Estimator'!$A$10:$AA$226,Z$2,FALSE))</f>
        <v/>
      </c>
      <c r="AA178" s="322" t="str">
        <f>IF(VLOOKUP($A178,'Pre-Assessment Estimator'!$A$10:$AA$226,AA$2,FALSE)=0,"",VLOOKUP($A178,'Pre-Assessment Estimator'!$A$10:$AA$226,AA$2,FALSE))</f>
        <v/>
      </c>
      <c r="AB178" s="605">
        <v>167</v>
      </c>
      <c r="AC178" s="509" t="str">
        <f>IF(VLOOKUP($A178,'Pre-Assessment Estimator'!$A$10:$AC$226,AC$2,FALSE)=0,"",VLOOKUP($A178,'Pre-Assessment Estimator'!$A$10:$AC$226,AC$2,FALSE))</f>
        <v>N/A</v>
      </c>
      <c r="AG178" s="15">
        <f t="shared" si="3"/>
        <v>1</v>
      </c>
    </row>
    <row r="179" spans="1:33" ht="30" x14ac:dyDescent="0.25">
      <c r="A179" s="716">
        <v>170</v>
      </c>
      <c r="B179" s="1022" t="s">
        <v>69</v>
      </c>
      <c r="C179" s="1022"/>
      <c r="D179" s="1044" t="str">
        <f>VLOOKUP($A179,'Pre-Assessment Estimator'!$A$10:$AA$226,D$2,FALSE)</f>
        <v>LE 05</v>
      </c>
      <c r="E179" s="1044" t="str">
        <f>VLOOKUP($A179,'Pre-Assessment Estimator'!$A$10:$AA$226,E$2,FALSE)</f>
        <v>1-2</v>
      </c>
      <c r="F179" s="1045" t="str">
        <f>VLOOKUP($A179,'Pre-Assessment Estimator'!$A$10:$AA$226,F$2,FALSE)</f>
        <v>Pre-requisite: statutory obligations, planning and site implementation</v>
      </c>
      <c r="G179" s="506" t="str">
        <f>VLOOKUP($A179,'Pre-Assessment Estimator'!$A$10:$AA$226,G$2,FALSE)</f>
        <v>Yes/No</v>
      </c>
      <c r="H179" s="512" t="str">
        <f>IF(VLOOKUP($A179,'Pre-Assessment Estimator'!$A$10:$AA$226,H$2,FALSE)=0,"",VLOOKUP($A179,'Pre-Assessment Estimator'!$A$10:$AA$226,H$2,FALSE))</f>
        <v/>
      </c>
      <c r="I179" s="1012" t="str">
        <f>VLOOKUP($A179,'Pre-Assessment Estimator'!$A$10:$AA$226,I$2,FALSE)</f>
        <v>-</v>
      </c>
      <c r="J179" s="508" t="str">
        <f>VLOOKUP($A179,'Pre-Assessment Estimator'!$A$10:$AA$226,J$2,FALSE)</f>
        <v>N/A</v>
      </c>
      <c r="K179" s="509" t="str">
        <f>IF(VLOOKUP($A179,'Pre-Assessment Estimator'!$A$10:$AA$226,K$2,FALSE)=0,"",VLOOKUP($A179,'Pre-Assessment Estimator'!$A$10:$AA$226,K$2,FALSE))</f>
        <v/>
      </c>
      <c r="L179" s="509" t="str">
        <f>IF(VLOOKUP($A179,'Pre-Assessment Estimator'!$A$10:$AA$226,L$2,FALSE)=0,"",VLOOKUP($A179,'Pre-Assessment Estimator'!$A$10:$AA$226,L$2,FALSE))</f>
        <v/>
      </c>
      <c r="M179" s="510" t="str">
        <f>IF(VLOOKUP($A179,'Pre-Assessment Estimator'!$A$10:$AA$226,M$2,FALSE)=0,"",VLOOKUP($A179,'Pre-Assessment Estimator'!$A$10:$AA$226,M$2,FALSE))</f>
        <v/>
      </c>
      <c r="N179" s="511"/>
      <c r="O179" s="512" t="str">
        <f>IF(VLOOKUP($A179,'Pre-Assessment Estimator'!$A$10:$AA$226,O$2,FALSE)=0,"",VLOOKUP($A179,'Pre-Assessment Estimator'!$A$10:$AA$226,O$2,FALSE))</f>
        <v/>
      </c>
      <c r="P179" s="507" t="str">
        <f>VLOOKUP($A179,'Pre-Assessment Estimator'!$A$10:$AA$226,P$2,FALSE)</f>
        <v>-</v>
      </c>
      <c r="Q179" s="506" t="str">
        <f>VLOOKUP($A179,'Pre-Assessment Estimator'!$A$10:$AA$226,Q$2,FALSE)</f>
        <v>N/A</v>
      </c>
      <c r="R179" s="509" t="str">
        <f>IF(VLOOKUP($A179,'Pre-Assessment Estimator'!$A$10:$AA$226,R$2,FALSE)=0,"",VLOOKUP($A179,'Pre-Assessment Estimator'!$A$10:$AA$226,R$2,FALSE))</f>
        <v/>
      </c>
      <c r="S179" s="509" t="str">
        <f>IF(VLOOKUP($A179,'Pre-Assessment Estimator'!$A$10:$AA$226,S$2,FALSE)=0,"",VLOOKUP($A179,'Pre-Assessment Estimator'!$A$10:$AA$226,S$2,FALSE))</f>
        <v/>
      </c>
      <c r="T179" s="510" t="str">
        <f>IF(VLOOKUP($A179,'Pre-Assessment Estimator'!$A$10:$AA$226,T$2,FALSE)=0,"",VLOOKUP($A179,'Pre-Assessment Estimator'!$A$10:$AA$226,T$2,FALSE))</f>
        <v/>
      </c>
      <c r="U179" s="513"/>
      <c r="V179" s="512" t="str">
        <f>IF(VLOOKUP($A179,'Pre-Assessment Estimator'!$A$10:$AA$226,V$2,FALSE)=0,"",VLOOKUP($A179,'Pre-Assessment Estimator'!$A$10:$AA$226,V$2,FALSE))</f>
        <v/>
      </c>
      <c r="W179" s="507" t="str">
        <f>VLOOKUP($A179,'Pre-Assessment Estimator'!$A$10:$AA$226,W$2,FALSE)</f>
        <v>-</v>
      </c>
      <c r="X179" s="506" t="str">
        <f>VLOOKUP($A179,'Pre-Assessment Estimator'!$A$10:$AA$226,X$2,FALSE)</f>
        <v>N/A</v>
      </c>
      <c r="Y179" s="509" t="str">
        <f>IF(VLOOKUP($A179,'Pre-Assessment Estimator'!$A$10:$AA$226,Y$2,FALSE)=0,"",VLOOKUP($A179,'Pre-Assessment Estimator'!$A$10:$AA$226,Y$2,FALSE))</f>
        <v/>
      </c>
      <c r="Z179" s="509" t="str">
        <f>IF(VLOOKUP($A179,'Pre-Assessment Estimator'!$A$10:$AA$226,Z$2,FALSE)=0,"",VLOOKUP($A179,'Pre-Assessment Estimator'!$A$10:$AA$226,Z$2,FALSE))</f>
        <v/>
      </c>
      <c r="AA179" s="322" t="str">
        <f>IF(VLOOKUP($A179,'Pre-Assessment Estimator'!$A$10:$AA$226,AA$2,FALSE)=0,"",VLOOKUP($A179,'Pre-Assessment Estimator'!$A$10:$AA$226,AA$2,FALSE))</f>
        <v/>
      </c>
      <c r="AB179" s="605">
        <v>168</v>
      </c>
      <c r="AC179" s="509" t="str">
        <f>IF(VLOOKUP($A179,'Pre-Assessment Estimator'!$A$10:$AC$226,AC$2,FALSE)=0,"",VLOOKUP($A179,'Pre-Assessment Estimator'!$A$10:$AC$226,AC$2,FALSE))</f>
        <v>N/A</v>
      </c>
      <c r="AG179" s="15">
        <f t="shared" si="3"/>
        <v>1</v>
      </c>
    </row>
    <row r="180" spans="1:33" x14ac:dyDescent="0.25">
      <c r="A180" s="716">
        <v>171</v>
      </c>
      <c r="B180" s="1022" t="s">
        <v>69</v>
      </c>
      <c r="C180" s="1022"/>
      <c r="D180" s="1044" t="str">
        <f>VLOOKUP($A180,'Pre-Assessment Estimator'!$A$10:$AA$226,D$2,FALSE)</f>
        <v>LE 05</v>
      </c>
      <c r="E180" s="1044" t="str">
        <f>VLOOKUP($A180,'Pre-Assessment Estimator'!$A$10:$AA$226,E$2,FALSE)</f>
        <v>3-4</v>
      </c>
      <c r="F180" s="1045" t="str">
        <f>VLOOKUP($A180,'Pre-Assessment Estimator'!$A$10:$AA$226,F$2,FALSE)</f>
        <v>Management and maintenance throughout the project</v>
      </c>
      <c r="G180" s="506">
        <f>VLOOKUP($A180,'Pre-Assessment Estimator'!$A$10:$AA$226,G$2,FALSE)</f>
        <v>1</v>
      </c>
      <c r="H180" s="512" t="str">
        <f>IF(VLOOKUP($A180,'Pre-Assessment Estimator'!$A$10:$AA$226,H$2,FALSE)=0,"",VLOOKUP($A180,'Pre-Assessment Estimator'!$A$10:$AA$226,H$2,FALSE))</f>
        <v/>
      </c>
      <c r="I180" s="1012">
        <f>VLOOKUP($A180,'Pre-Assessment Estimator'!$A$10:$AA$226,I$2,FALSE)</f>
        <v>0</v>
      </c>
      <c r="J180" s="508" t="str">
        <f>VLOOKUP($A180,'Pre-Assessment Estimator'!$A$10:$AA$226,J$2,FALSE)</f>
        <v>N/A</v>
      </c>
      <c r="K180" s="509" t="str">
        <f>IF(VLOOKUP($A180,'Pre-Assessment Estimator'!$A$10:$AA$226,K$2,FALSE)=0,"",VLOOKUP($A180,'Pre-Assessment Estimator'!$A$10:$AA$226,K$2,FALSE))</f>
        <v/>
      </c>
      <c r="L180" s="509" t="str">
        <f>IF(VLOOKUP($A180,'Pre-Assessment Estimator'!$A$10:$AA$226,L$2,FALSE)=0,"",VLOOKUP($A180,'Pre-Assessment Estimator'!$A$10:$AA$226,L$2,FALSE))</f>
        <v/>
      </c>
      <c r="M180" s="510" t="str">
        <f>IF(VLOOKUP($A180,'Pre-Assessment Estimator'!$A$10:$AA$226,M$2,FALSE)=0,"",VLOOKUP($A180,'Pre-Assessment Estimator'!$A$10:$AA$226,M$2,FALSE))</f>
        <v/>
      </c>
      <c r="N180" s="511"/>
      <c r="O180" s="512" t="str">
        <f>IF(VLOOKUP($A180,'Pre-Assessment Estimator'!$A$10:$AA$226,O$2,FALSE)=0,"",VLOOKUP($A180,'Pre-Assessment Estimator'!$A$10:$AA$226,O$2,FALSE))</f>
        <v/>
      </c>
      <c r="P180" s="507">
        <f>VLOOKUP($A180,'Pre-Assessment Estimator'!$A$10:$AA$226,P$2,FALSE)</f>
        <v>0</v>
      </c>
      <c r="Q180" s="506" t="str">
        <f>VLOOKUP($A180,'Pre-Assessment Estimator'!$A$10:$AA$226,Q$2,FALSE)</f>
        <v>N/A</v>
      </c>
      <c r="R180" s="509" t="str">
        <f>IF(VLOOKUP($A180,'Pre-Assessment Estimator'!$A$10:$AA$226,R$2,FALSE)=0,"",VLOOKUP($A180,'Pre-Assessment Estimator'!$A$10:$AA$226,R$2,FALSE))</f>
        <v/>
      </c>
      <c r="S180" s="509" t="str">
        <f>IF(VLOOKUP($A180,'Pre-Assessment Estimator'!$A$10:$AA$226,S$2,FALSE)=0,"",VLOOKUP($A180,'Pre-Assessment Estimator'!$A$10:$AA$226,S$2,FALSE))</f>
        <v/>
      </c>
      <c r="T180" s="510" t="str">
        <f>IF(VLOOKUP($A180,'Pre-Assessment Estimator'!$A$10:$AA$226,T$2,FALSE)=0,"",VLOOKUP($A180,'Pre-Assessment Estimator'!$A$10:$AA$226,T$2,FALSE))</f>
        <v/>
      </c>
      <c r="U180" s="513"/>
      <c r="V180" s="512" t="str">
        <f>IF(VLOOKUP($A180,'Pre-Assessment Estimator'!$A$10:$AA$226,V$2,FALSE)=0,"",VLOOKUP($A180,'Pre-Assessment Estimator'!$A$10:$AA$226,V$2,FALSE))</f>
        <v/>
      </c>
      <c r="W180" s="507">
        <f>VLOOKUP($A180,'Pre-Assessment Estimator'!$A$10:$AA$226,W$2,FALSE)</f>
        <v>0</v>
      </c>
      <c r="X180" s="506" t="str">
        <f>VLOOKUP($A180,'Pre-Assessment Estimator'!$A$10:$AA$226,X$2,FALSE)</f>
        <v>N/A</v>
      </c>
      <c r="Y180" s="509" t="str">
        <f>IF(VLOOKUP($A180,'Pre-Assessment Estimator'!$A$10:$AA$226,Y$2,FALSE)=0,"",VLOOKUP($A180,'Pre-Assessment Estimator'!$A$10:$AA$226,Y$2,FALSE))</f>
        <v/>
      </c>
      <c r="Z180" s="509" t="str">
        <f>IF(VLOOKUP($A180,'Pre-Assessment Estimator'!$A$10:$AA$226,Z$2,FALSE)=0,"",VLOOKUP($A180,'Pre-Assessment Estimator'!$A$10:$AA$226,Z$2,FALSE))</f>
        <v/>
      </c>
      <c r="AA180" s="322" t="str">
        <f>IF(VLOOKUP($A180,'Pre-Assessment Estimator'!$A$10:$AA$226,AA$2,FALSE)=0,"",VLOOKUP($A180,'Pre-Assessment Estimator'!$A$10:$AA$226,AA$2,FALSE))</f>
        <v/>
      </c>
      <c r="AB180" s="605">
        <v>169</v>
      </c>
      <c r="AC180" s="509"/>
      <c r="AG180" s="15">
        <f t="shared" si="3"/>
        <v>1</v>
      </c>
    </row>
    <row r="181" spans="1:33" x14ac:dyDescent="0.25">
      <c r="A181" s="716">
        <v>172</v>
      </c>
      <c r="B181" s="1022" t="s">
        <v>69</v>
      </c>
      <c r="C181" s="1022"/>
      <c r="D181" s="1044" t="str">
        <f>VLOOKUP($A181,'Pre-Assessment Estimator'!$A$10:$AA$226,D$2,FALSE)</f>
        <v>LE 05</v>
      </c>
      <c r="E181" s="1044" t="str">
        <f>VLOOKUP($A181,'Pre-Assessment Estimator'!$A$10:$AA$226,E$2,FALSE)</f>
        <v>5-6</v>
      </c>
      <c r="F181" s="1045" t="str">
        <f>VLOOKUP($A181,'Pre-Assessment Estimator'!$A$10:$AA$226,F$2,FALSE)</f>
        <v>Landscape and ecology management plan</v>
      </c>
      <c r="G181" s="506">
        <f>VLOOKUP($A181,'Pre-Assessment Estimator'!$A$10:$AA$226,G$2,FALSE)</f>
        <v>1</v>
      </c>
      <c r="H181" s="512" t="str">
        <f>IF(VLOOKUP($A181,'Pre-Assessment Estimator'!$A$10:$AA$226,H$2,FALSE)=0,"",VLOOKUP($A181,'Pre-Assessment Estimator'!$A$10:$AA$226,H$2,FALSE))</f>
        <v/>
      </c>
      <c r="I181" s="1012">
        <f>VLOOKUP($A181,'Pre-Assessment Estimator'!$A$10:$AA$226,I$2,FALSE)</f>
        <v>0</v>
      </c>
      <c r="J181" s="508" t="str">
        <f>VLOOKUP($A181,'Pre-Assessment Estimator'!$A$10:$AA$226,J$2,FALSE)</f>
        <v>N/A</v>
      </c>
      <c r="K181" s="509" t="str">
        <f>IF(VLOOKUP($A181,'Pre-Assessment Estimator'!$A$10:$AA$226,K$2,FALSE)=0,"",VLOOKUP($A181,'Pre-Assessment Estimator'!$A$10:$AA$226,K$2,FALSE))</f>
        <v/>
      </c>
      <c r="L181" s="509" t="str">
        <f>IF(VLOOKUP($A181,'Pre-Assessment Estimator'!$A$10:$AA$226,L$2,FALSE)=0,"",VLOOKUP($A181,'Pre-Assessment Estimator'!$A$10:$AA$226,L$2,FALSE))</f>
        <v/>
      </c>
      <c r="M181" s="510" t="str">
        <f>IF(VLOOKUP($A181,'Pre-Assessment Estimator'!$A$10:$AA$226,M$2,FALSE)=0,"",VLOOKUP($A181,'Pre-Assessment Estimator'!$A$10:$AA$226,M$2,FALSE))</f>
        <v/>
      </c>
      <c r="N181" s="511"/>
      <c r="O181" s="512" t="str">
        <f>IF(VLOOKUP($A181,'Pre-Assessment Estimator'!$A$10:$AA$226,O$2,FALSE)=0,"",VLOOKUP($A181,'Pre-Assessment Estimator'!$A$10:$AA$226,O$2,FALSE))</f>
        <v/>
      </c>
      <c r="P181" s="507">
        <f>VLOOKUP($A181,'Pre-Assessment Estimator'!$A$10:$AA$226,P$2,FALSE)</f>
        <v>0</v>
      </c>
      <c r="Q181" s="506" t="str">
        <f>VLOOKUP($A181,'Pre-Assessment Estimator'!$A$10:$AA$226,Q$2,FALSE)</f>
        <v>N/A</v>
      </c>
      <c r="R181" s="509" t="str">
        <f>IF(VLOOKUP($A181,'Pre-Assessment Estimator'!$A$10:$AA$226,R$2,FALSE)=0,"",VLOOKUP($A181,'Pre-Assessment Estimator'!$A$10:$AA$226,R$2,FALSE))</f>
        <v/>
      </c>
      <c r="S181" s="509" t="str">
        <f>IF(VLOOKUP($A181,'Pre-Assessment Estimator'!$A$10:$AA$226,S$2,FALSE)=0,"",VLOOKUP($A181,'Pre-Assessment Estimator'!$A$10:$AA$226,S$2,FALSE))</f>
        <v/>
      </c>
      <c r="T181" s="510" t="str">
        <f>IF(VLOOKUP($A181,'Pre-Assessment Estimator'!$A$10:$AA$226,T$2,FALSE)=0,"",VLOOKUP($A181,'Pre-Assessment Estimator'!$A$10:$AA$226,T$2,FALSE))</f>
        <v/>
      </c>
      <c r="U181" s="513"/>
      <c r="V181" s="512" t="str">
        <f>IF(VLOOKUP($A181,'Pre-Assessment Estimator'!$A$10:$AA$226,V$2,FALSE)=0,"",VLOOKUP($A181,'Pre-Assessment Estimator'!$A$10:$AA$226,V$2,FALSE))</f>
        <v/>
      </c>
      <c r="W181" s="507">
        <f>VLOOKUP($A181,'Pre-Assessment Estimator'!$A$10:$AA$226,W$2,FALSE)</f>
        <v>0</v>
      </c>
      <c r="X181" s="506" t="str">
        <f>VLOOKUP($A181,'Pre-Assessment Estimator'!$A$10:$AA$226,X$2,FALSE)</f>
        <v>N/A</v>
      </c>
      <c r="Y181" s="509" t="str">
        <f>IF(VLOOKUP($A181,'Pre-Assessment Estimator'!$A$10:$AA$226,Y$2,FALSE)=0,"",VLOOKUP($A181,'Pre-Assessment Estimator'!$A$10:$AA$226,Y$2,FALSE))</f>
        <v/>
      </c>
      <c r="Z181" s="509" t="str">
        <f>IF(VLOOKUP($A181,'Pre-Assessment Estimator'!$A$10:$AA$226,Z$2,FALSE)=0,"",VLOOKUP($A181,'Pre-Assessment Estimator'!$A$10:$AA$226,Z$2,FALSE))</f>
        <v/>
      </c>
      <c r="AA181" s="322" t="str">
        <f>IF(VLOOKUP($A181,'Pre-Assessment Estimator'!$A$10:$AA$226,AA$2,FALSE)=0,"",VLOOKUP($A181,'Pre-Assessment Estimator'!$A$10:$AA$226,AA$2,FALSE))</f>
        <v/>
      </c>
      <c r="AB181" s="605">
        <v>170</v>
      </c>
      <c r="AC181" s="509"/>
      <c r="AG181" s="15">
        <f t="shared" si="3"/>
        <v>1</v>
      </c>
    </row>
    <row r="182" spans="1:33" x14ac:dyDescent="0.25">
      <c r="A182" s="716">
        <v>173</v>
      </c>
      <c r="B182" s="1022" t="s">
        <v>69</v>
      </c>
      <c r="C182" s="1022"/>
      <c r="D182" s="1043" t="str">
        <f>VLOOKUP($A182,'Pre-Assessment Estimator'!$A$10:$AA$226,D$2,FALSE)</f>
        <v>LE 06</v>
      </c>
      <c r="E182" s="1044"/>
      <c r="F182" s="1043" t="str">
        <f>VLOOKUP($A182,'Pre-Assessment Estimator'!$A$10:$AA$226,F$2,FALSE)</f>
        <v>LE 06 Climate adaption</v>
      </c>
      <c r="G182" s="506">
        <f>VLOOKUP($A182,'Pre-Assessment Estimator'!$A$10:$AA$226,G$2,FALSE)</f>
        <v>1</v>
      </c>
      <c r="H182" s="512" t="str">
        <f>IF(VLOOKUP($A182,'Pre-Assessment Estimator'!$A$10:$AA$226,H$2,FALSE)=0,"",VLOOKUP($A182,'Pre-Assessment Estimator'!$A$10:$AA$226,H$2,FALSE))</f>
        <v/>
      </c>
      <c r="I182" s="1012" t="str">
        <f>VLOOKUP($A182,'Pre-Assessment Estimator'!$A$10:$AA$226,I$2,FALSE)</f>
        <v>0 c. 0 %</v>
      </c>
      <c r="J182" s="508" t="str">
        <f>VLOOKUP($A182,'Pre-Assessment Estimator'!$A$10:$AA$226,J$2,FALSE)</f>
        <v>N/A</v>
      </c>
      <c r="K182" s="509" t="str">
        <f>IF(VLOOKUP($A182,'Pre-Assessment Estimator'!$A$10:$AA$226,K$2,FALSE)=0,"",VLOOKUP($A182,'Pre-Assessment Estimator'!$A$10:$AA$226,K$2,FALSE))</f>
        <v/>
      </c>
      <c r="L182" s="509" t="str">
        <f>IF(VLOOKUP($A182,'Pre-Assessment Estimator'!$A$10:$AA$226,L$2,FALSE)=0,"",VLOOKUP($A182,'Pre-Assessment Estimator'!$A$10:$AA$226,L$2,FALSE))</f>
        <v/>
      </c>
      <c r="M182" s="510" t="str">
        <f>IF(VLOOKUP($A182,'Pre-Assessment Estimator'!$A$10:$AA$226,M$2,FALSE)=0,"",VLOOKUP($A182,'Pre-Assessment Estimator'!$A$10:$AA$226,M$2,FALSE))</f>
        <v/>
      </c>
      <c r="N182" s="511"/>
      <c r="O182" s="512" t="str">
        <f>IF(VLOOKUP($A182,'Pre-Assessment Estimator'!$A$10:$AA$226,O$2,FALSE)=0,"",VLOOKUP($A182,'Pre-Assessment Estimator'!$A$10:$AA$226,O$2,FALSE))</f>
        <v/>
      </c>
      <c r="P182" s="507" t="str">
        <f>VLOOKUP($A182,'Pre-Assessment Estimator'!$A$10:$AA$226,P$2,FALSE)</f>
        <v>0 c. 0 %</v>
      </c>
      <c r="Q182" s="506" t="str">
        <f>VLOOKUP($A182,'Pre-Assessment Estimator'!$A$10:$AA$226,Q$2,FALSE)</f>
        <v>N/A</v>
      </c>
      <c r="R182" s="509" t="str">
        <f>IF(VLOOKUP($A182,'Pre-Assessment Estimator'!$A$10:$AA$226,R$2,FALSE)=0,"",VLOOKUP($A182,'Pre-Assessment Estimator'!$A$10:$AA$226,R$2,FALSE))</f>
        <v/>
      </c>
      <c r="S182" s="509" t="str">
        <f>IF(VLOOKUP($A182,'Pre-Assessment Estimator'!$A$10:$AA$226,S$2,FALSE)=0,"",VLOOKUP($A182,'Pre-Assessment Estimator'!$A$10:$AA$226,S$2,FALSE))</f>
        <v/>
      </c>
      <c r="T182" s="510" t="str">
        <f>IF(VLOOKUP($A182,'Pre-Assessment Estimator'!$A$10:$AA$226,T$2,FALSE)=0,"",VLOOKUP($A182,'Pre-Assessment Estimator'!$A$10:$AA$226,T$2,FALSE))</f>
        <v/>
      </c>
      <c r="U182" s="513"/>
      <c r="V182" s="512" t="str">
        <f>IF(VLOOKUP($A182,'Pre-Assessment Estimator'!$A$10:$AA$226,V$2,FALSE)=0,"",VLOOKUP($A182,'Pre-Assessment Estimator'!$A$10:$AA$226,V$2,FALSE))</f>
        <v/>
      </c>
      <c r="W182" s="507" t="str">
        <f>VLOOKUP($A182,'Pre-Assessment Estimator'!$A$10:$AA$226,W$2,FALSE)</f>
        <v>0 c. 0 %</v>
      </c>
      <c r="X182" s="506" t="str">
        <f>VLOOKUP($A182,'Pre-Assessment Estimator'!$A$10:$AA$226,X$2,FALSE)</f>
        <v>N/A</v>
      </c>
      <c r="Y182" s="509" t="str">
        <f>IF(VLOOKUP($A182,'Pre-Assessment Estimator'!$A$10:$AA$226,Y$2,FALSE)=0,"",VLOOKUP($A182,'Pre-Assessment Estimator'!$A$10:$AA$226,Y$2,FALSE))</f>
        <v/>
      </c>
      <c r="Z182" s="509" t="str">
        <f>IF(VLOOKUP($A182,'Pre-Assessment Estimator'!$A$10:$AA$226,Z$2,FALSE)=0,"",VLOOKUP($A182,'Pre-Assessment Estimator'!$A$10:$AA$226,Z$2,FALSE))</f>
        <v/>
      </c>
      <c r="AA182" s="322" t="str">
        <f>IF(VLOOKUP($A182,'Pre-Assessment Estimator'!$A$10:$AA$226,AA$2,FALSE)=0,"",VLOOKUP($A182,'Pre-Assessment Estimator'!$A$10:$AA$226,AA$2,FALSE))</f>
        <v/>
      </c>
      <c r="AB182" s="605">
        <v>171</v>
      </c>
      <c r="AC182" s="509"/>
      <c r="AG182" s="15">
        <f t="shared" si="3"/>
        <v>1</v>
      </c>
    </row>
    <row r="183" spans="1:33" x14ac:dyDescent="0.25">
      <c r="A183" s="716">
        <v>174</v>
      </c>
      <c r="B183" s="1022" t="s">
        <v>69</v>
      </c>
      <c r="C183" s="1022"/>
      <c r="D183" s="1044" t="str">
        <f>VLOOKUP($A183,'Pre-Assessment Estimator'!$A$10:$AA$226,D$2,FALSE)</f>
        <v>LE 06</v>
      </c>
      <c r="E183" s="1044" t="str">
        <f>VLOOKUP($A183,'Pre-Assessment Estimator'!$A$10:$AA$226,E$2,FALSE)</f>
        <v>1-6</v>
      </c>
      <c r="F183" s="1045" t="str">
        <f>VLOOKUP($A183,'Pre-Assessment Estimator'!$A$10:$AA$226,F$2,FALSE)</f>
        <v>Risk assessment (EU taxonomy requirement: criterion 1-6)</v>
      </c>
      <c r="G183" s="506">
        <f>VLOOKUP($A183,'Pre-Assessment Estimator'!$A$10:$AA$226,G$2,FALSE)</f>
        <v>1</v>
      </c>
      <c r="H183" s="512" t="str">
        <f>IF(VLOOKUP($A183,'Pre-Assessment Estimator'!$A$10:$AA$226,H$2,FALSE)=0,"",VLOOKUP($A183,'Pre-Assessment Estimator'!$A$10:$AA$226,H$2,FALSE))</f>
        <v/>
      </c>
      <c r="I183" s="1012">
        <f>VLOOKUP($A183,'Pre-Assessment Estimator'!$A$10:$AA$226,I$2,FALSE)</f>
        <v>0</v>
      </c>
      <c r="J183" s="508" t="str">
        <f>VLOOKUP($A183,'Pre-Assessment Estimator'!$A$10:$AA$226,J$2,FALSE)</f>
        <v>Very Good</v>
      </c>
      <c r="K183" s="509" t="str">
        <f>IF(VLOOKUP($A183,'Pre-Assessment Estimator'!$A$10:$AA$226,K$2,FALSE)=0,"",VLOOKUP($A183,'Pre-Assessment Estimator'!$A$10:$AA$226,K$2,FALSE))</f>
        <v/>
      </c>
      <c r="L183" s="509" t="str">
        <f>IF(VLOOKUP($A183,'Pre-Assessment Estimator'!$A$10:$AA$226,L$2,FALSE)=0,"",VLOOKUP($A183,'Pre-Assessment Estimator'!$A$10:$AA$226,L$2,FALSE))</f>
        <v/>
      </c>
      <c r="M183" s="510" t="str">
        <f>IF(VLOOKUP($A183,'Pre-Assessment Estimator'!$A$10:$AA$226,M$2,FALSE)=0,"",VLOOKUP($A183,'Pre-Assessment Estimator'!$A$10:$AA$226,M$2,FALSE))</f>
        <v/>
      </c>
      <c r="N183" s="511"/>
      <c r="O183" s="512" t="str">
        <f>IF(VLOOKUP($A183,'Pre-Assessment Estimator'!$A$10:$AA$226,O$2,FALSE)=0,"",VLOOKUP($A183,'Pre-Assessment Estimator'!$A$10:$AA$226,O$2,FALSE))</f>
        <v/>
      </c>
      <c r="P183" s="507">
        <f>VLOOKUP($A183,'Pre-Assessment Estimator'!$A$10:$AA$226,P$2,FALSE)</f>
        <v>0</v>
      </c>
      <c r="Q183" s="506" t="str">
        <f>VLOOKUP($A183,'Pre-Assessment Estimator'!$A$10:$AA$226,Q$2,FALSE)</f>
        <v>Very Good</v>
      </c>
      <c r="R183" s="509" t="str">
        <f>IF(VLOOKUP($A183,'Pre-Assessment Estimator'!$A$10:$AA$226,R$2,FALSE)=0,"",VLOOKUP($A183,'Pre-Assessment Estimator'!$A$10:$AA$226,R$2,FALSE))</f>
        <v/>
      </c>
      <c r="S183" s="509" t="str">
        <f>IF(VLOOKUP($A183,'Pre-Assessment Estimator'!$A$10:$AA$226,S$2,FALSE)=0,"",VLOOKUP($A183,'Pre-Assessment Estimator'!$A$10:$AA$226,S$2,FALSE))</f>
        <v/>
      </c>
      <c r="T183" s="510" t="str">
        <f>IF(VLOOKUP($A183,'Pre-Assessment Estimator'!$A$10:$AA$226,T$2,FALSE)=0,"",VLOOKUP($A183,'Pre-Assessment Estimator'!$A$10:$AA$226,T$2,FALSE))</f>
        <v/>
      </c>
      <c r="U183" s="513"/>
      <c r="V183" s="512" t="str">
        <f>IF(VLOOKUP($A183,'Pre-Assessment Estimator'!$A$10:$AA$226,V$2,FALSE)=0,"",VLOOKUP($A183,'Pre-Assessment Estimator'!$A$10:$AA$226,V$2,FALSE))</f>
        <v/>
      </c>
      <c r="W183" s="507">
        <f>VLOOKUP($A183,'Pre-Assessment Estimator'!$A$10:$AA$226,W$2,FALSE)</f>
        <v>0</v>
      </c>
      <c r="X183" s="506" t="str">
        <f>VLOOKUP($A183,'Pre-Assessment Estimator'!$A$10:$AA$226,X$2,FALSE)</f>
        <v>Very Good</v>
      </c>
      <c r="Y183" s="509" t="str">
        <f>IF(VLOOKUP($A183,'Pre-Assessment Estimator'!$A$10:$AA$226,Y$2,FALSE)=0,"",VLOOKUP($A183,'Pre-Assessment Estimator'!$A$10:$AA$226,Y$2,FALSE))</f>
        <v/>
      </c>
      <c r="Z183" s="509" t="str">
        <f>IF(VLOOKUP($A183,'Pre-Assessment Estimator'!$A$10:$AA$226,Z$2,FALSE)=0,"",VLOOKUP($A183,'Pre-Assessment Estimator'!$A$10:$AA$226,Z$2,FALSE))</f>
        <v/>
      </c>
      <c r="AA183" s="322" t="str">
        <f>IF(VLOOKUP($A183,'Pre-Assessment Estimator'!$A$10:$AA$226,AA$2,FALSE)=0,"",VLOOKUP($A183,'Pre-Assessment Estimator'!$A$10:$AA$226,AA$2,FALSE))</f>
        <v/>
      </c>
      <c r="AB183" s="605">
        <v>172</v>
      </c>
      <c r="AC183" s="509"/>
      <c r="AG183" s="15">
        <f t="shared" si="3"/>
        <v>1</v>
      </c>
    </row>
    <row r="184" spans="1:33" x14ac:dyDescent="0.25">
      <c r="A184" s="716">
        <v>175</v>
      </c>
      <c r="B184" s="1022" t="s">
        <v>69</v>
      </c>
      <c r="C184" s="1022"/>
      <c r="D184" s="1043" t="str">
        <f>VLOOKUP($A184,'Pre-Assessment Estimator'!$A$10:$AA$226,D$2,FALSE)</f>
        <v>LE 07</v>
      </c>
      <c r="E184" s="1044"/>
      <c r="F184" s="1043" t="str">
        <f>VLOOKUP($A184,'Pre-Assessment Estimator'!$A$10:$AA$226,F$2,FALSE)</f>
        <v>LE 07 Flooding and storm surge</v>
      </c>
      <c r="G184" s="506">
        <f>VLOOKUP($A184,'Pre-Assessment Estimator'!$A$10:$AA$226,G$2,FALSE)</f>
        <v>2</v>
      </c>
      <c r="H184" s="512" t="str">
        <f>IF(VLOOKUP($A184,'Pre-Assessment Estimator'!$A$10:$AA$226,H$2,FALSE)=0,"",VLOOKUP($A184,'Pre-Assessment Estimator'!$A$10:$AA$226,H$2,FALSE))</f>
        <v/>
      </c>
      <c r="I184" s="1012" t="str">
        <f>VLOOKUP($A184,'Pre-Assessment Estimator'!$A$10:$AA$226,I$2,FALSE)</f>
        <v>0 c. 0 %</v>
      </c>
      <c r="J184" s="508" t="str">
        <f>VLOOKUP($A184,'Pre-Assessment Estimator'!$A$10:$AA$226,J$2,FALSE)</f>
        <v>N/A</v>
      </c>
      <c r="K184" s="509" t="str">
        <f>IF(VLOOKUP($A184,'Pre-Assessment Estimator'!$A$10:$AA$226,K$2,FALSE)=0,"",VLOOKUP($A184,'Pre-Assessment Estimator'!$A$10:$AA$226,K$2,FALSE))</f>
        <v/>
      </c>
      <c r="L184" s="509" t="str">
        <f>IF(VLOOKUP($A184,'Pre-Assessment Estimator'!$A$10:$AA$226,L$2,FALSE)=0,"",VLOOKUP($A184,'Pre-Assessment Estimator'!$A$10:$AA$226,L$2,FALSE))</f>
        <v/>
      </c>
      <c r="M184" s="510" t="str">
        <f>IF(VLOOKUP($A184,'Pre-Assessment Estimator'!$A$10:$AA$226,M$2,FALSE)=0,"",VLOOKUP($A184,'Pre-Assessment Estimator'!$A$10:$AA$226,M$2,FALSE))</f>
        <v/>
      </c>
      <c r="N184" s="511"/>
      <c r="O184" s="512" t="str">
        <f>IF(VLOOKUP($A184,'Pre-Assessment Estimator'!$A$10:$AA$226,O$2,FALSE)=0,"",VLOOKUP($A184,'Pre-Assessment Estimator'!$A$10:$AA$226,O$2,FALSE))</f>
        <v/>
      </c>
      <c r="P184" s="507" t="str">
        <f>VLOOKUP($A184,'Pre-Assessment Estimator'!$A$10:$AA$226,P$2,FALSE)</f>
        <v>0 c. 0 %</v>
      </c>
      <c r="Q184" s="506" t="str">
        <f>VLOOKUP($A184,'Pre-Assessment Estimator'!$A$10:$AA$226,Q$2,FALSE)</f>
        <v>N/A</v>
      </c>
      <c r="R184" s="509" t="str">
        <f>IF(VLOOKUP($A184,'Pre-Assessment Estimator'!$A$10:$AA$226,R$2,FALSE)=0,"",VLOOKUP($A184,'Pre-Assessment Estimator'!$A$10:$AA$226,R$2,FALSE))</f>
        <v/>
      </c>
      <c r="S184" s="509" t="str">
        <f>IF(VLOOKUP($A184,'Pre-Assessment Estimator'!$A$10:$AA$226,S$2,FALSE)=0,"",VLOOKUP($A184,'Pre-Assessment Estimator'!$A$10:$AA$226,S$2,FALSE))</f>
        <v/>
      </c>
      <c r="T184" s="510" t="str">
        <f>IF(VLOOKUP($A184,'Pre-Assessment Estimator'!$A$10:$AA$226,T$2,FALSE)=0,"",VLOOKUP($A184,'Pre-Assessment Estimator'!$A$10:$AA$226,T$2,FALSE))</f>
        <v/>
      </c>
      <c r="U184" s="513"/>
      <c r="V184" s="512" t="str">
        <f>IF(VLOOKUP($A184,'Pre-Assessment Estimator'!$A$10:$AA$226,V$2,FALSE)=0,"",VLOOKUP($A184,'Pre-Assessment Estimator'!$A$10:$AA$226,V$2,FALSE))</f>
        <v/>
      </c>
      <c r="W184" s="507" t="str">
        <f>VLOOKUP($A184,'Pre-Assessment Estimator'!$A$10:$AA$226,W$2,FALSE)</f>
        <v>0 c. 0 %</v>
      </c>
      <c r="X184" s="506" t="str">
        <f>VLOOKUP($A184,'Pre-Assessment Estimator'!$A$10:$AA$226,X$2,FALSE)</f>
        <v>N/A</v>
      </c>
      <c r="Y184" s="509" t="str">
        <f>IF(VLOOKUP($A184,'Pre-Assessment Estimator'!$A$10:$AA$226,Y$2,FALSE)=0,"",VLOOKUP($A184,'Pre-Assessment Estimator'!$A$10:$AA$226,Y$2,FALSE))</f>
        <v/>
      </c>
      <c r="Z184" s="509" t="str">
        <f>IF(VLOOKUP($A184,'Pre-Assessment Estimator'!$A$10:$AA$226,Z$2,FALSE)=0,"",VLOOKUP($A184,'Pre-Assessment Estimator'!$A$10:$AA$226,Z$2,FALSE))</f>
        <v/>
      </c>
      <c r="AA184" s="322" t="str">
        <f>IF(VLOOKUP($A184,'Pre-Assessment Estimator'!$A$10:$AA$226,AA$2,FALSE)=0,"",VLOOKUP($A184,'Pre-Assessment Estimator'!$A$10:$AA$226,AA$2,FALSE))</f>
        <v/>
      </c>
      <c r="AB184" s="605">
        <v>173</v>
      </c>
      <c r="AC184" s="509"/>
      <c r="AG184" s="15">
        <f t="shared" si="3"/>
        <v>1</v>
      </c>
    </row>
    <row r="185" spans="1:33" x14ac:dyDescent="0.25">
      <c r="A185" s="716">
        <v>176</v>
      </c>
      <c r="B185" s="1022" t="s">
        <v>69</v>
      </c>
      <c r="C185" s="1022"/>
      <c r="D185" s="1044" t="str">
        <f>VLOOKUP($A185,'Pre-Assessment Estimator'!$A$10:$AA$226,D$2,FALSE)</f>
        <v>LE 07</v>
      </c>
      <c r="E185" s="1044">
        <f>VLOOKUP($A185,'Pre-Assessment Estimator'!$A$10:$AA$226,E$2,FALSE)</f>
        <v>1</v>
      </c>
      <c r="F185" s="1045" t="str">
        <f>VLOOKUP($A185,'Pre-Assessment Estimator'!$A$10:$AA$226,F$2,FALSE)</f>
        <v>Pre-requisite: flood risk assessment</v>
      </c>
      <c r="G185" s="506" t="str">
        <f>VLOOKUP($A185,'Pre-Assessment Estimator'!$A$10:$AA$226,G$2,FALSE)</f>
        <v>Yes/No</v>
      </c>
      <c r="H185" s="512" t="str">
        <f>IF(VLOOKUP($A185,'Pre-Assessment Estimator'!$A$10:$AA$226,H$2,FALSE)=0,"",VLOOKUP($A185,'Pre-Assessment Estimator'!$A$10:$AA$226,H$2,FALSE))</f>
        <v/>
      </c>
      <c r="I185" s="1012" t="str">
        <f>VLOOKUP($A185,'Pre-Assessment Estimator'!$A$10:$AA$226,I$2,FALSE)</f>
        <v>-</v>
      </c>
      <c r="J185" s="508" t="str">
        <f>VLOOKUP($A185,'Pre-Assessment Estimator'!$A$10:$AA$226,J$2,FALSE)</f>
        <v>N/A</v>
      </c>
      <c r="K185" s="509" t="str">
        <f>IF(VLOOKUP($A185,'Pre-Assessment Estimator'!$A$10:$AA$226,K$2,FALSE)=0,"",VLOOKUP($A185,'Pre-Assessment Estimator'!$A$10:$AA$226,K$2,FALSE))</f>
        <v/>
      </c>
      <c r="L185" s="509" t="str">
        <f>IF(VLOOKUP($A185,'Pre-Assessment Estimator'!$A$10:$AA$226,L$2,FALSE)=0,"",VLOOKUP($A185,'Pre-Assessment Estimator'!$A$10:$AA$226,L$2,FALSE))</f>
        <v/>
      </c>
      <c r="M185" s="510" t="str">
        <f>IF(VLOOKUP($A185,'Pre-Assessment Estimator'!$A$10:$AA$226,M$2,FALSE)=0,"",VLOOKUP($A185,'Pre-Assessment Estimator'!$A$10:$AA$226,M$2,FALSE))</f>
        <v/>
      </c>
      <c r="N185" s="511"/>
      <c r="O185" s="512" t="str">
        <f>IF(VLOOKUP($A185,'Pre-Assessment Estimator'!$A$10:$AA$226,O$2,FALSE)=0,"",VLOOKUP($A185,'Pre-Assessment Estimator'!$A$10:$AA$226,O$2,FALSE))</f>
        <v/>
      </c>
      <c r="P185" s="507" t="str">
        <f>VLOOKUP($A185,'Pre-Assessment Estimator'!$A$10:$AA$226,P$2,FALSE)</f>
        <v>-</v>
      </c>
      <c r="Q185" s="506" t="str">
        <f>VLOOKUP($A185,'Pre-Assessment Estimator'!$A$10:$AA$226,Q$2,FALSE)</f>
        <v>N/A</v>
      </c>
      <c r="R185" s="509" t="str">
        <f>IF(VLOOKUP($A185,'Pre-Assessment Estimator'!$A$10:$AA$226,R$2,FALSE)=0,"",VLOOKUP($A185,'Pre-Assessment Estimator'!$A$10:$AA$226,R$2,FALSE))</f>
        <v/>
      </c>
      <c r="S185" s="509" t="str">
        <f>IF(VLOOKUP($A185,'Pre-Assessment Estimator'!$A$10:$AA$226,S$2,FALSE)=0,"",VLOOKUP($A185,'Pre-Assessment Estimator'!$A$10:$AA$226,S$2,FALSE))</f>
        <v/>
      </c>
      <c r="T185" s="510" t="str">
        <f>IF(VLOOKUP($A185,'Pre-Assessment Estimator'!$A$10:$AA$226,T$2,FALSE)=0,"",VLOOKUP($A185,'Pre-Assessment Estimator'!$A$10:$AA$226,T$2,FALSE))</f>
        <v/>
      </c>
      <c r="U185" s="513"/>
      <c r="V185" s="512" t="str">
        <f>IF(VLOOKUP($A185,'Pre-Assessment Estimator'!$A$10:$AA$226,V$2,FALSE)=0,"",VLOOKUP($A185,'Pre-Assessment Estimator'!$A$10:$AA$226,V$2,FALSE))</f>
        <v/>
      </c>
      <c r="W185" s="507" t="str">
        <f>VLOOKUP($A185,'Pre-Assessment Estimator'!$A$10:$AA$226,W$2,FALSE)</f>
        <v>-</v>
      </c>
      <c r="X185" s="506" t="str">
        <f>VLOOKUP($A185,'Pre-Assessment Estimator'!$A$10:$AA$226,X$2,FALSE)</f>
        <v>N/A</v>
      </c>
      <c r="Y185" s="509" t="str">
        <f>IF(VLOOKUP($A185,'Pre-Assessment Estimator'!$A$10:$AA$226,Y$2,FALSE)=0,"",VLOOKUP($A185,'Pre-Assessment Estimator'!$A$10:$AA$226,Y$2,FALSE))</f>
        <v/>
      </c>
      <c r="Z185" s="509" t="str">
        <f>IF(VLOOKUP($A185,'Pre-Assessment Estimator'!$A$10:$AA$226,Z$2,FALSE)=0,"",VLOOKUP($A185,'Pre-Assessment Estimator'!$A$10:$AA$226,Z$2,FALSE))</f>
        <v/>
      </c>
      <c r="AA185" s="322" t="str">
        <f>IF(VLOOKUP($A185,'Pre-Assessment Estimator'!$A$10:$AA$226,AA$2,FALSE)=0,"",VLOOKUP($A185,'Pre-Assessment Estimator'!$A$10:$AA$226,AA$2,FALSE))</f>
        <v/>
      </c>
      <c r="AB185" s="605">
        <v>174</v>
      </c>
      <c r="AC185" s="509"/>
      <c r="AG185" s="15">
        <f t="shared" si="3"/>
        <v>1</v>
      </c>
    </row>
    <row r="186" spans="1:33" x14ac:dyDescent="0.25">
      <c r="A186" s="716">
        <v>177</v>
      </c>
      <c r="B186" s="1022" t="s">
        <v>69</v>
      </c>
      <c r="C186" s="1022"/>
      <c r="D186" s="1044" t="str">
        <f>VLOOKUP($A186,'Pre-Assessment Estimator'!$A$10:$AA$226,D$2,FALSE)</f>
        <v>LE 07</v>
      </c>
      <c r="E186" s="1044" t="str">
        <f>VLOOKUP($A186,'Pre-Assessment Estimator'!$A$10:$AA$226,E$2,FALSE)</f>
        <v>2-3</v>
      </c>
      <c r="F186" s="1045" t="str">
        <f>VLOOKUP($A186,'Pre-Assessment Estimator'!$A$10:$AA$226,F$2,FALSE)</f>
        <v>Resilience against flood and storm surge</v>
      </c>
      <c r="G186" s="506">
        <f>VLOOKUP($A186,'Pre-Assessment Estimator'!$A$10:$AA$226,G$2,FALSE)</f>
        <v>2</v>
      </c>
      <c r="H186" s="512" t="str">
        <f>IF(VLOOKUP($A186,'Pre-Assessment Estimator'!$A$10:$AA$226,H$2,FALSE)=0,"",VLOOKUP($A186,'Pre-Assessment Estimator'!$A$10:$AA$226,H$2,FALSE))</f>
        <v/>
      </c>
      <c r="I186" s="1012">
        <f>VLOOKUP($A186,'Pre-Assessment Estimator'!$A$10:$AA$226,I$2,FALSE)</f>
        <v>0</v>
      </c>
      <c r="J186" s="508" t="str">
        <f>VLOOKUP($A186,'Pre-Assessment Estimator'!$A$10:$AA$226,J$2,FALSE)</f>
        <v>N/A</v>
      </c>
      <c r="K186" s="509" t="str">
        <f>IF(VLOOKUP($A186,'Pre-Assessment Estimator'!$A$10:$AA$226,K$2,FALSE)=0,"",VLOOKUP($A186,'Pre-Assessment Estimator'!$A$10:$AA$226,K$2,FALSE))</f>
        <v/>
      </c>
      <c r="L186" s="509" t="str">
        <f>IF(VLOOKUP($A186,'Pre-Assessment Estimator'!$A$10:$AA$226,L$2,FALSE)=0,"",VLOOKUP($A186,'Pre-Assessment Estimator'!$A$10:$AA$226,L$2,FALSE))</f>
        <v/>
      </c>
      <c r="M186" s="510" t="str">
        <f>IF(VLOOKUP($A186,'Pre-Assessment Estimator'!$A$10:$AA$226,M$2,FALSE)=0,"",VLOOKUP($A186,'Pre-Assessment Estimator'!$A$10:$AA$226,M$2,FALSE))</f>
        <v/>
      </c>
      <c r="N186" s="511"/>
      <c r="O186" s="512" t="str">
        <f>IF(VLOOKUP($A186,'Pre-Assessment Estimator'!$A$10:$AA$226,O$2,FALSE)=0,"",VLOOKUP($A186,'Pre-Assessment Estimator'!$A$10:$AA$226,O$2,FALSE))</f>
        <v/>
      </c>
      <c r="P186" s="507">
        <f>VLOOKUP($A186,'Pre-Assessment Estimator'!$A$10:$AA$226,P$2,FALSE)</f>
        <v>0</v>
      </c>
      <c r="Q186" s="506" t="str">
        <f>VLOOKUP($A186,'Pre-Assessment Estimator'!$A$10:$AA$226,Q$2,FALSE)</f>
        <v>N/A</v>
      </c>
      <c r="R186" s="509" t="str">
        <f>IF(VLOOKUP($A186,'Pre-Assessment Estimator'!$A$10:$AA$226,R$2,FALSE)=0,"",VLOOKUP($A186,'Pre-Assessment Estimator'!$A$10:$AA$226,R$2,FALSE))</f>
        <v/>
      </c>
      <c r="S186" s="509" t="str">
        <f>IF(VLOOKUP($A186,'Pre-Assessment Estimator'!$A$10:$AA$226,S$2,FALSE)=0,"",VLOOKUP($A186,'Pre-Assessment Estimator'!$A$10:$AA$226,S$2,FALSE))</f>
        <v/>
      </c>
      <c r="T186" s="510" t="str">
        <f>IF(VLOOKUP($A186,'Pre-Assessment Estimator'!$A$10:$AA$226,T$2,FALSE)=0,"",VLOOKUP($A186,'Pre-Assessment Estimator'!$A$10:$AA$226,T$2,FALSE))</f>
        <v/>
      </c>
      <c r="U186" s="513"/>
      <c r="V186" s="512" t="str">
        <f>IF(VLOOKUP($A186,'Pre-Assessment Estimator'!$A$10:$AA$226,V$2,FALSE)=0,"",VLOOKUP($A186,'Pre-Assessment Estimator'!$A$10:$AA$226,V$2,FALSE))</f>
        <v/>
      </c>
      <c r="W186" s="507">
        <f>VLOOKUP($A186,'Pre-Assessment Estimator'!$A$10:$AA$226,W$2,FALSE)</f>
        <v>0</v>
      </c>
      <c r="X186" s="506" t="str">
        <f>VLOOKUP($A186,'Pre-Assessment Estimator'!$A$10:$AA$226,X$2,FALSE)</f>
        <v>N/A</v>
      </c>
      <c r="Y186" s="509" t="str">
        <f>IF(VLOOKUP($A186,'Pre-Assessment Estimator'!$A$10:$AA$226,Y$2,FALSE)=0,"",VLOOKUP($A186,'Pre-Assessment Estimator'!$A$10:$AA$226,Y$2,FALSE))</f>
        <v/>
      </c>
      <c r="Z186" s="509" t="str">
        <f>IF(VLOOKUP($A186,'Pre-Assessment Estimator'!$A$10:$AA$226,Z$2,FALSE)=0,"",VLOOKUP($A186,'Pre-Assessment Estimator'!$A$10:$AA$226,Z$2,FALSE))</f>
        <v/>
      </c>
      <c r="AA186" s="322" t="str">
        <f>IF(VLOOKUP($A186,'Pre-Assessment Estimator'!$A$10:$AA$226,AA$2,FALSE)=0,"",VLOOKUP($A186,'Pre-Assessment Estimator'!$A$10:$AA$226,AA$2,FALSE))</f>
        <v/>
      </c>
      <c r="AB186" s="605">
        <v>175</v>
      </c>
      <c r="AC186" s="509"/>
      <c r="AG186" s="15">
        <f t="shared" si="3"/>
        <v>1</v>
      </c>
    </row>
    <row r="187" spans="1:33" x14ac:dyDescent="0.25">
      <c r="A187" s="716">
        <v>178</v>
      </c>
      <c r="B187" s="1022" t="s">
        <v>69</v>
      </c>
      <c r="C187" s="1022"/>
      <c r="D187" s="1043" t="str">
        <f>VLOOKUP($A187,'Pre-Assessment Estimator'!$A$10:$AA$226,D$2,FALSE)</f>
        <v>LE 08</v>
      </c>
      <c r="E187" s="1044"/>
      <c r="F187" s="1043" t="str">
        <f>VLOOKUP($A187,'Pre-Assessment Estimator'!$A$10:$AA$226,F$2,FALSE)</f>
        <v>LE 08 Local surface water handling</v>
      </c>
      <c r="G187" s="506">
        <f>VLOOKUP($A187,'Pre-Assessment Estimator'!$A$10:$AA$226,G$2,FALSE)</f>
        <v>3</v>
      </c>
      <c r="H187" s="512" t="str">
        <f>IF(VLOOKUP($A187,'Pre-Assessment Estimator'!$A$10:$AA$226,H$2,FALSE)=0,"",VLOOKUP($A187,'Pre-Assessment Estimator'!$A$10:$AA$226,H$2,FALSE))</f>
        <v/>
      </c>
      <c r="I187" s="1012" t="str">
        <f>VLOOKUP($A187,'Pre-Assessment Estimator'!$A$10:$AA$226,I$2,FALSE)</f>
        <v>0 c. 0 %</v>
      </c>
      <c r="J187" s="508" t="str">
        <f>VLOOKUP($A187,'Pre-Assessment Estimator'!$A$10:$AA$226,J$2,FALSE)</f>
        <v>N/A</v>
      </c>
      <c r="K187" s="509" t="str">
        <f>IF(VLOOKUP($A187,'Pre-Assessment Estimator'!$A$10:$AA$226,K$2,FALSE)=0,"",VLOOKUP($A187,'Pre-Assessment Estimator'!$A$10:$AA$226,K$2,FALSE))</f>
        <v/>
      </c>
      <c r="L187" s="509" t="str">
        <f>IF(VLOOKUP($A187,'Pre-Assessment Estimator'!$A$10:$AA$226,L$2,FALSE)=0,"",VLOOKUP($A187,'Pre-Assessment Estimator'!$A$10:$AA$226,L$2,FALSE))</f>
        <v/>
      </c>
      <c r="M187" s="510" t="str">
        <f>IF(VLOOKUP($A187,'Pre-Assessment Estimator'!$A$10:$AA$226,M$2,FALSE)=0,"",VLOOKUP($A187,'Pre-Assessment Estimator'!$A$10:$AA$226,M$2,FALSE))</f>
        <v/>
      </c>
      <c r="N187" s="511"/>
      <c r="O187" s="512" t="str">
        <f>IF(VLOOKUP($A187,'Pre-Assessment Estimator'!$A$10:$AA$226,O$2,FALSE)=0,"",VLOOKUP($A187,'Pre-Assessment Estimator'!$A$10:$AA$226,O$2,FALSE))</f>
        <v/>
      </c>
      <c r="P187" s="507" t="str">
        <f>VLOOKUP($A187,'Pre-Assessment Estimator'!$A$10:$AA$226,P$2,FALSE)</f>
        <v>0 c. 0 %</v>
      </c>
      <c r="Q187" s="506" t="str">
        <f>VLOOKUP($A187,'Pre-Assessment Estimator'!$A$10:$AA$226,Q$2,FALSE)</f>
        <v>N/A</v>
      </c>
      <c r="R187" s="509" t="str">
        <f>IF(VLOOKUP($A187,'Pre-Assessment Estimator'!$A$10:$AA$226,R$2,FALSE)=0,"",VLOOKUP($A187,'Pre-Assessment Estimator'!$A$10:$AA$226,R$2,FALSE))</f>
        <v/>
      </c>
      <c r="S187" s="509" t="str">
        <f>IF(VLOOKUP($A187,'Pre-Assessment Estimator'!$A$10:$AA$226,S$2,FALSE)=0,"",VLOOKUP($A187,'Pre-Assessment Estimator'!$A$10:$AA$226,S$2,FALSE))</f>
        <v/>
      </c>
      <c r="T187" s="510" t="str">
        <f>IF(VLOOKUP($A187,'Pre-Assessment Estimator'!$A$10:$AA$226,T$2,FALSE)=0,"",VLOOKUP($A187,'Pre-Assessment Estimator'!$A$10:$AA$226,T$2,FALSE))</f>
        <v/>
      </c>
      <c r="U187" s="513"/>
      <c r="V187" s="512" t="str">
        <f>IF(VLOOKUP($A187,'Pre-Assessment Estimator'!$A$10:$AA$226,V$2,FALSE)=0,"",VLOOKUP($A187,'Pre-Assessment Estimator'!$A$10:$AA$226,V$2,FALSE))</f>
        <v/>
      </c>
      <c r="W187" s="507" t="str">
        <f>VLOOKUP($A187,'Pre-Assessment Estimator'!$A$10:$AA$226,W$2,FALSE)</f>
        <v>0 c. 0 %</v>
      </c>
      <c r="X187" s="506" t="str">
        <f>VLOOKUP($A187,'Pre-Assessment Estimator'!$A$10:$AA$226,X$2,FALSE)</f>
        <v>N/A</v>
      </c>
      <c r="Y187" s="509" t="str">
        <f>IF(VLOOKUP($A187,'Pre-Assessment Estimator'!$A$10:$AA$226,Y$2,FALSE)=0,"",VLOOKUP($A187,'Pre-Assessment Estimator'!$A$10:$AA$226,Y$2,FALSE))</f>
        <v/>
      </c>
      <c r="Z187" s="509" t="str">
        <f>IF(VLOOKUP($A187,'Pre-Assessment Estimator'!$A$10:$AA$226,Z$2,FALSE)=0,"",VLOOKUP($A187,'Pre-Assessment Estimator'!$A$10:$AA$226,Z$2,FALSE))</f>
        <v/>
      </c>
      <c r="AA187" s="322" t="str">
        <f>IF(VLOOKUP($A187,'Pre-Assessment Estimator'!$A$10:$AA$226,AA$2,FALSE)=0,"",VLOOKUP($A187,'Pre-Assessment Estimator'!$A$10:$AA$226,AA$2,FALSE))</f>
        <v/>
      </c>
      <c r="AB187" s="605">
        <v>176</v>
      </c>
      <c r="AC187" s="509"/>
      <c r="AG187" s="15">
        <f t="shared" si="3"/>
        <v>1</v>
      </c>
    </row>
    <row r="188" spans="1:33" x14ac:dyDescent="0.25">
      <c r="A188" s="716">
        <v>179</v>
      </c>
      <c r="B188" s="1022" t="s">
        <v>69</v>
      </c>
      <c r="C188" s="1022"/>
      <c r="D188" s="1044" t="str">
        <f>VLOOKUP($A188,'Pre-Assessment Estimator'!$A$10:$AA$226,D$2,FALSE)</f>
        <v>LE 08</v>
      </c>
      <c r="E188" s="1044" t="str">
        <f>VLOOKUP($A188,'Pre-Assessment Estimator'!$A$10:$AA$226,E$2,FALSE)</f>
        <v>1-3</v>
      </c>
      <c r="F188" s="1045" t="str">
        <f>VLOOKUP($A188,'Pre-Assessment Estimator'!$A$10:$AA$226,F$2,FALSE)</f>
        <v>Pre-requisite: risk assessment and the "three- step strategy"</v>
      </c>
      <c r="G188" s="506" t="str">
        <f>VLOOKUP($A188,'Pre-Assessment Estimator'!$A$10:$AA$226,G$2,FALSE)</f>
        <v>Yes/No</v>
      </c>
      <c r="H188" s="512" t="str">
        <f>IF(VLOOKUP($A188,'Pre-Assessment Estimator'!$A$10:$AA$226,H$2,FALSE)=0,"",VLOOKUP($A188,'Pre-Assessment Estimator'!$A$10:$AA$226,H$2,FALSE))</f>
        <v/>
      </c>
      <c r="I188" s="1012" t="str">
        <f>VLOOKUP($A188,'Pre-Assessment Estimator'!$A$10:$AA$226,I$2,FALSE)</f>
        <v>-</v>
      </c>
      <c r="J188" s="508" t="str">
        <f>VLOOKUP($A188,'Pre-Assessment Estimator'!$A$10:$AA$226,J$2,FALSE)</f>
        <v>N/A</v>
      </c>
      <c r="K188" s="509" t="str">
        <f>IF(VLOOKUP($A188,'Pre-Assessment Estimator'!$A$10:$AA$226,K$2,FALSE)=0,"",VLOOKUP($A188,'Pre-Assessment Estimator'!$A$10:$AA$226,K$2,FALSE))</f>
        <v/>
      </c>
      <c r="L188" s="509" t="str">
        <f>IF(VLOOKUP($A188,'Pre-Assessment Estimator'!$A$10:$AA$226,L$2,FALSE)=0,"",VLOOKUP($A188,'Pre-Assessment Estimator'!$A$10:$AA$226,L$2,FALSE))</f>
        <v/>
      </c>
      <c r="M188" s="510" t="str">
        <f>IF(VLOOKUP($A188,'Pre-Assessment Estimator'!$A$10:$AA$226,M$2,FALSE)=0,"",VLOOKUP($A188,'Pre-Assessment Estimator'!$A$10:$AA$226,M$2,FALSE))</f>
        <v/>
      </c>
      <c r="N188" s="511"/>
      <c r="O188" s="512" t="str">
        <f>IF(VLOOKUP($A188,'Pre-Assessment Estimator'!$A$10:$AA$226,O$2,FALSE)=0,"",VLOOKUP($A188,'Pre-Assessment Estimator'!$A$10:$AA$226,O$2,FALSE))</f>
        <v/>
      </c>
      <c r="P188" s="507" t="str">
        <f>VLOOKUP($A188,'Pre-Assessment Estimator'!$A$10:$AA$226,P$2,FALSE)</f>
        <v>-</v>
      </c>
      <c r="Q188" s="506" t="str">
        <f>VLOOKUP($A188,'Pre-Assessment Estimator'!$A$10:$AA$226,Q$2,FALSE)</f>
        <v>N/A</v>
      </c>
      <c r="R188" s="509" t="str">
        <f>IF(VLOOKUP($A188,'Pre-Assessment Estimator'!$A$10:$AA$226,R$2,FALSE)=0,"",VLOOKUP($A188,'Pre-Assessment Estimator'!$A$10:$AA$226,R$2,FALSE))</f>
        <v/>
      </c>
      <c r="S188" s="509" t="str">
        <f>IF(VLOOKUP($A188,'Pre-Assessment Estimator'!$A$10:$AA$226,S$2,FALSE)=0,"",VLOOKUP($A188,'Pre-Assessment Estimator'!$A$10:$AA$226,S$2,FALSE))</f>
        <v/>
      </c>
      <c r="T188" s="510" t="str">
        <f>IF(VLOOKUP($A188,'Pre-Assessment Estimator'!$A$10:$AA$226,T$2,FALSE)=0,"",VLOOKUP($A188,'Pre-Assessment Estimator'!$A$10:$AA$226,T$2,FALSE))</f>
        <v/>
      </c>
      <c r="U188" s="513"/>
      <c r="V188" s="512" t="str">
        <f>IF(VLOOKUP($A188,'Pre-Assessment Estimator'!$A$10:$AA$226,V$2,FALSE)=0,"",VLOOKUP($A188,'Pre-Assessment Estimator'!$A$10:$AA$226,V$2,FALSE))</f>
        <v/>
      </c>
      <c r="W188" s="507" t="str">
        <f>VLOOKUP($A188,'Pre-Assessment Estimator'!$A$10:$AA$226,W$2,FALSE)</f>
        <v>-</v>
      </c>
      <c r="X188" s="506" t="str">
        <f>VLOOKUP($A188,'Pre-Assessment Estimator'!$A$10:$AA$226,X$2,FALSE)</f>
        <v>N/A</v>
      </c>
      <c r="Y188" s="509" t="str">
        <f>IF(VLOOKUP($A188,'Pre-Assessment Estimator'!$A$10:$AA$226,Y$2,FALSE)=0,"",VLOOKUP($A188,'Pre-Assessment Estimator'!$A$10:$AA$226,Y$2,FALSE))</f>
        <v/>
      </c>
      <c r="Z188" s="509" t="str">
        <f>IF(VLOOKUP($A188,'Pre-Assessment Estimator'!$A$10:$AA$226,Z$2,FALSE)=0,"",VLOOKUP($A188,'Pre-Assessment Estimator'!$A$10:$AA$226,Z$2,FALSE))</f>
        <v/>
      </c>
      <c r="AA188" s="322" t="str">
        <f>IF(VLOOKUP($A188,'Pre-Assessment Estimator'!$A$10:$AA$226,AA$2,FALSE)=0,"",VLOOKUP($A188,'Pre-Assessment Estimator'!$A$10:$AA$226,AA$2,FALSE))</f>
        <v/>
      </c>
      <c r="AB188" s="605">
        <v>177</v>
      </c>
      <c r="AC188" s="509"/>
      <c r="AG188" s="15">
        <f t="shared" si="3"/>
        <v>1</v>
      </c>
    </row>
    <row r="189" spans="1:33" x14ac:dyDescent="0.25">
      <c r="A189" s="716">
        <v>180</v>
      </c>
      <c r="B189" s="1022" t="s">
        <v>69</v>
      </c>
      <c r="C189" s="1022"/>
      <c r="D189" s="1044" t="str">
        <f>VLOOKUP($A189,'Pre-Assessment Estimator'!$A$10:$AA$226,D$2,FALSE)</f>
        <v>LE 08</v>
      </c>
      <c r="E189" s="1044" t="str">
        <f>VLOOKUP($A189,'Pre-Assessment Estimator'!$A$10:$AA$226,E$2,FALSE)</f>
        <v>4-5</v>
      </c>
      <c r="F189" s="1045" t="str">
        <f>VLOOKUP($A189,'Pre-Assessment Estimator'!$A$10:$AA$226,F$2,FALSE)</f>
        <v>5 mm precipitation</v>
      </c>
      <c r="G189" s="506">
        <f>VLOOKUP($A189,'Pre-Assessment Estimator'!$A$10:$AA$226,G$2,FALSE)</f>
        <v>1</v>
      </c>
      <c r="H189" s="512" t="str">
        <f>IF(VLOOKUP($A189,'Pre-Assessment Estimator'!$A$10:$AA$226,H$2,FALSE)=0,"",VLOOKUP($A189,'Pre-Assessment Estimator'!$A$10:$AA$226,H$2,FALSE))</f>
        <v/>
      </c>
      <c r="I189" s="1012">
        <f>VLOOKUP($A189,'Pre-Assessment Estimator'!$A$10:$AA$226,I$2,FALSE)</f>
        <v>0</v>
      </c>
      <c r="J189" s="508" t="str">
        <f>VLOOKUP($A189,'Pre-Assessment Estimator'!$A$10:$AA$226,J$2,FALSE)</f>
        <v>N/A</v>
      </c>
      <c r="K189" s="509" t="str">
        <f>IF(VLOOKUP($A189,'Pre-Assessment Estimator'!$A$10:$AA$226,K$2,FALSE)=0,"",VLOOKUP($A189,'Pre-Assessment Estimator'!$A$10:$AA$226,K$2,FALSE))</f>
        <v/>
      </c>
      <c r="L189" s="509" t="str">
        <f>IF(VLOOKUP($A189,'Pre-Assessment Estimator'!$A$10:$AA$226,L$2,FALSE)=0,"",VLOOKUP($A189,'Pre-Assessment Estimator'!$A$10:$AA$226,L$2,FALSE))</f>
        <v/>
      </c>
      <c r="M189" s="510" t="str">
        <f>IF(VLOOKUP($A189,'Pre-Assessment Estimator'!$A$10:$AA$226,M$2,FALSE)=0,"",VLOOKUP($A189,'Pre-Assessment Estimator'!$A$10:$AA$226,M$2,FALSE))</f>
        <v/>
      </c>
      <c r="N189" s="511"/>
      <c r="O189" s="512" t="str">
        <f>IF(VLOOKUP($A189,'Pre-Assessment Estimator'!$A$10:$AA$226,O$2,FALSE)=0,"",VLOOKUP($A189,'Pre-Assessment Estimator'!$A$10:$AA$226,O$2,FALSE))</f>
        <v/>
      </c>
      <c r="P189" s="507">
        <f>VLOOKUP($A189,'Pre-Assessment Estimator'!$A$10:$AA$226,P$2,FALSE)</f>
        <v>0</v>
      </c>
      <c r="Q189" s="506" t="str">
        <f>VLOOKUP($A189,'Pre-Assessment Estimator'!$A$10:$AA$226,Q$2,FALSE)</f>
        <v>N/A</v>
      </c>
      <c r="R189" s="509" t="str">
        <f>IF(VLOOKUP($A189,'Pre-Assessment Estimator'!$A$10:$AA$226,R$2,FALSE)=0,"",VLOOKUP($A189,'Pre-Assessment Estimator'!$A$10:$AA$226,R$2,FALSE))</f>
        <v/>
      </c>
      <c r="S189" s="509" t="str">
        <f>IF(VLOOKUP($A189,'Pre-Assessment Estimator'!$A$10:$AA$226,S$2,FALSE)=0,"",VLOOKUP($A189,'Pre-Assessment Estimator'!$A$10:$AA$226,S$2,FALSE))</f>
        <v/>
      </c>
      <c r="T189" s="510" t="str">
        <f>IF(VLOOKUP($A189,'Pre-Assessment Estimator'!$A$10:$AA$226,T$2,FALSE)=0,"",VLOOKUP($A189,'Pre-Assessment Estimator'!$A$10:$AA$226,T$2,FALSE))</f>
        <v/>
      </c>
      <c r="U189" s="513"/>
      <c r="V189" s="512" t="str">
        <f>IF(VLOOKUP($A189,'Pre-Assessment Estimator'!$A$10:$AA$226,V$2,FALSE)=0,"",VLOOKUP($A189,'Pre-Assessment Estimator'!$A$10:$AA$226,V$2,FALSE))</f>
        <v/>
      </c>
      <c r="W189" s="507">
        <f>VLOOKUP($A189,'Pre-Assessment Estimator'!$A$10:$AA$226,W$2,FALSE)</f>
        <v>0</v>
      </c>
      <c r="X189" s="506" t="str">
        <f>VLOOKUP($A189,'Pre-Assessment Estimator'!$A$10:$AA$226,X$2,FALSE)</f>
        <v>N/A</v>
      </c>
      <c r="Y189" s="509" t="str">
        <f>IF(VLOOKUP($A189,'Pre-Assessment Estimator'!$A$10:$AA$226,Y$2,FALSE)=0,"",VLOOKUP($A189,'Pre-Assessment Estimator'!$A$10:$AA$226,Y$2,FALSE))</f>
        <v/>
      </c>
      <c r="Z189" s="509" t="str">
        <f>IF(VLOOKUP($A189,'Pre-Assessment Estimator'!$A$10:$AA$226,Z$2,FALSE)=0,"",VLOOKUP($A189,'Pre-Assessment Estimator'!$A$10:$AA$226,Z$2,FALSE))</f>
        <v/>
      </c>
      <c r="AA189" s="322" t="str">
        <f>IF(VLOOKUP($A189,'Pre-Assessment Estimator'!$A$10:$AA$226,AA$2,FALSE)=0,"",VLOOKUP($A189,'Pre-Assessment Estimator'!$A$10:$AA$226,AA$2,FALSE))</f>
        <v/>
      </c>
      <c r="AB189" s="605">
        <v>178</v>
      </c>
      <c r="AC189" s="509" t="str">
        <f>IF(VLOOKUP($A189,'Pre-Assessment Estimator'!$A$10:$AC$226,AC$2,FALSE)=0,"",VLOOKUP($A189,'Pre-Assessment Estimator'!$A$10:$AC$226,AC$2,FALSE))</f>
        <v>N/A</v>
      </c>
      <c r="AG189" s="15">
        <f t="shared" si="3"/>
        <v>1</v>
      </c>
    </row>
    <row r="190" spans="1:33" x14ac:dyDescent="0.25">
      <c r="A190" s="716">
        <v>181</v>
      </c>
      <c r="B190" s="1022" t="s">
        <v>69</v>
      </c>
      <c r="C190" s="1022"/>
      <c r="D190" s="1044" t="str">
        <f>VLOOKUP($A190,'Pre-Assessment Estimator'!$A$10:$AA$226,D$2,FALSE)</f>
        <v>LE 08</v>
      </c>
      <c r="E190" s="1044" t="str">
        <f>VLOOKUP($A190,'Pre-Assessment Estimator'!$A$10:$AA$226,E$2,FALSE)</f>
        <v>6-7</v>
      </c>
      <c r="F190" s="1045" t="str">
        <f>VLOOKUP($A190,'Pre-Assessment Estimator'!$A$10:$AA$226,F$2,FALSE)</f>
        <v>Maximum run-off</v>
      </c>
      <c r="G190" s="506">
        <f>VLOOKUP($A190,'Pre-Assessment Estimator'!$A$10:$AA$226,G$2,FALSE)</f>
        <v>1</v>
      </c>
      <c r="H190" s="512" t="str">
        <f>IF(VLOOKUP($A190,'Pre-Assessment Estimator'!$A$10:$AA$226,H$2,FALSE)=0,"",VLOOKUP($A190,'Pre-Assessment Estimator'!$A$10:$AA$226,H$2,FALSE))</f>
        <v/>
      </c>
      <c r="I190" s="1012">
        <f>VLOOKUP($A190,'Pre-Assessment Estimator'!$A$10:$AA$226,I$2,FALSE)</f>
        <v>0</v>
      </c>
      <c r="J190" s="508" t="str">
        <f>VLOOKUP($A190,'Pre-Assessment Estimator'!$A$10:$AA$226,J$2,FALSE)</f>
        <v>N/A</v>
      </c>
      <c r="K190" s="509" t="str">
        <f>IF(VLOOKUP($A190,'Pre-Assessment Estimator'!$A$10:$AA$226,K$2,FALSE)=0,"",VLOOKUP($A190,'Pre-Assessment Estimator'!$A$10:$AA$226,K$2,FALSE))</f>
        <v/>
      </c>
      <c r="L190" s="509" t="str">
        <f>IF(VLOOKUP($A190,'Pre-Assessment Estimator'!$A$10:$AA$226,L$2,FALSE)=0,"",VLOOKUP($A190,'Pre-Assessment Estimator'!$A$10:$AA$226,L$2,FALSE))</f>
        <v/>
      </c>
      <c r="M190" s="510" t="str">
        <f>IF(VLOOKUP($A190,'Pre-Assessment Estimator'!$A$10:$AA$226,M$2,FALSE)=0,"",VLOOKUP($A190,'Pre-Assessment Estimator'!$A$10:$AA$226,M$2,FALSE))</f>
        <v/>
      </c>
      <c r="N190" s="511"/>
      <c r="O190" s="512" t="str">
        <f>IF(VLOOKUP($A190,'Pre-Assessment Estimator'!$A$10:$AA$226,O$2,FALSE)=0,"",VLOOKUP($A190,'Pre-Assessment Estimator'!$A$10:$AA$226,O$2,FALSE))</f>
        <v/>
      </c>
      <c r="P190" s="507">
        <f>VLOOKUP($A190,'Pre-Assessment Estimator'!$A$10:$AA$226,P$2,FALSE)</f>
        <v>0</v>
      </c>
      <c r="Q190" s="506" t="str">
        <f>VLOOKUP($A190,'Pre-Assessment Estimator'!$A$10:$AA$226,Q$2,FALSE)</f>
        <v>N/A</v>
      </c>
      <c r="R190" s="509" t="str">
        <f>IF(VLOOKUP($A190,'Pre-Assessment Estimator'!$A$10:$AA$226,R$2,FALSE)=0,"",VLOOKUP($A190,'Pre-Assessment Estimator'!$A$10:$AA$226,R$2,FALSE))</f>
        <v/>
      </c>
      <c r="S190" s="509" t="str">
        <f>IF(VLOOKUP($A190,'Pre-Assessment Estimator'!$A$10:$AA$226,S$2,FALSE)=0,"",VLOOKUP($A190,'Pre-Assessment Estimator'!$A$10:$AA$226,S$2,FALSE))</f>
        <v/>
      </c>
      <c r="T190" s="510" t="str">
        <f>IF(VLOOKUP($A190,'Pre-Assessment Estimator'!$A$10:$AA$226,T$2,FALSE)=0,"",VLOOKUP($A190,'Pre-Assessment Estimator'!$A$10:$AA$226,T$2,FALSE))</f>
        <v/>
      </c>
      <c r="U190" s="513"/>
      <c r="V190" s="512" t="str">
        <f>IF(VLOOKUP($A190,'Pre-Assessment Estimator'!$A$10:$AA$226,V$2,FALSE)=0,"",VLOOKUP($A190,'Pre-Assessment Estimator'!$A$10:$AA$226,V$2,FALSE))</f>
        <v/>
      </c>
      <c r="W190" s="507">
        <f>VLOOKUP($A190,'Pre-Assessment Estimator'!$A$10:$AA$226,W$2,FALSE)</f>
        <v>0</v>
      </c>
      <c r="X190" s="506" t="str">
        <f>VLOOKUP($A190,'Pre-Assessment Estimator'!$A$10:$AA$226,X$2,FALSE)</f>
        <v>N/A</v>
      </c>
      <c r="Y190" s="509" t="str">
        <f>IF(VLOOKUP($A190,'Pre-Assessment Estimator'!$A$10:$AA$226,Y$2,FALSE)=0,"",VLOOKUP($A190,'Pre-Assessment Estimator'!$A$10:$AA$226,Y$2,FALSE))</f>
        <v/>
      </c>
      <c r="Z190" s="509" t="str">
        <f>IF(VLOOKUP($A190,'Pre-Assessment Estimator'!$A$10:$AA$226,Z$2,FALSE)=0,"",VLOOKUP($A190,'Pre-Assessment Estimator'!$A$10:$AA$226,Z$2,FALSE))</f>
        <v/>
      </c>
      <c r="AA190" s="322" t="str">
        <f>IF(VLOOKUP($A190,'Pre-Assessment Estimator'!$A$10:$AA$226,AA$2,FALSE)=0,"",VLOOKUP($A190,'Pre-Assessment Estimator'!$A$10:$AA$226,AA$2,FALSE))</f>
        <v/>
      </c>
      <c r="AB190" s="605">
        <v>179</v>
      </c>
      <c r="AC190" s="517" t="str">
        <f>IF(VLOOKUP($A190,'Pre-Assessment Estimator'!$A$10:$AC$226,AC$2,FALSE)=0,"",VLOOKUP($A190,'Pre-Assessment Estimator'!$A$10:$AC$226,AC$2,FALSE))</f>
        <v>N/A</v>
      </c>
      <c r="AG190" s="15">
        <f t="shared" si="3"/>
        <v>1</v>
      </c>
    </row>
    <row r="191" spans="1:33" x14ac:dyDescent="0.25">
      <c r="A191" s="716">
        <v>182</v>
      </c>
      <c r="B191" s="1022" t="s">
        <v>70</v>
      </c>
      <c r="C191" s="1022"/>
      <c r="D191" s="1044" t="str">
        <f>VLOOKUP($A191,'Pre-Assessment Estimator'!$A$10:$AA$226,D$2,FALSE)</f>
        <v>LE 08</v>
      </c>
      <c r="E191" s="1044" t="str">
        <f>VLOOKUP($A191,'Pre-Assessment Estimator'!$A$10:$AA$226,E$2,FALSE)</f>
        <v>8-9</v>
      </c>
      <c r="F191" s="1045" t="str">
        <f>VLOOKUP($A191,'Pre-Assessment Estimator'!$A$10:$AA$226,F$2,FALSE)</f>
        <v>Measures for surface-based water management</v>
      </c>
      <c r="G191" s="506">
        <f>VLOOKUP($A191,'Pre-Assessment Estimator'!$A$10:$AA$226,G$2,FALSE)</f>
        <v>1</v>
      </c>
      <c r="H191" s="512" t="str">
        <f>IF(VLOOKUP($A191,'Pre-Assessment Estimator'!$A$10:$AA$226,H$2,FALSE)=0,"",VLOOKUP($A191,'Pre-Assessment Estimator'!$A$10:$AA$226,H$2,FALSE))</f>
        <v/>
      </c>
      <c r="I191" s="1012">
        <f>VLOOKUP($A191,'Pre-Assessment Estimator'!$A$10:$AA$226,I$2,FALSE)</f>
        <v>0</v>
      </c>
      <c r="J191" s="508" t="str">
        <f>VLOOKUP($A191,'Pre-Assessment Estimator'!$A$10:$AA$226,J$2,FALSE)</f>
        <v>N/A</v>
      </c>
      <c r="K191" s="509" t="str">
        <f>IF(VLOOKUP($A191,'Pre-Assessment Estimator'!$A$10:$AA$226,K$2,FALSE)=0,"",VLOOKUP($A191,'Pre-Assessment Estimator'!$A$10:$AA$226,K$2,FALSE))</f>
        <v/>
      </c>
      <c r="L191" s="509" t="str">
        <f>IF(VLOOKUP($A191,'Pre-Assessment Estimator'!$A$10:$AA$226,L$2,FALSE)=0,"",VLOOKUP($A191,'Pre-Assessment Estimator'!$A$10:$AA$226,L$2,FALSE))</f>
        <v/>
      </c>
      <c r="M191" s="510" t="str">
        <f>IF(VLOOKUP($A191,'Pre-Assessment Estimator'!$A$10:$AA$226,M$2,FALSE)=0,"",VLOOKUP($A191,'Pre-Assessment Estimator'!$A$10:$AA$226,M$2,FALSE))</f>
        <v/>
      </c>
      <c r="N191" s="511"/>
      <c r="O191" s="512" t="str">
        <f>IF(VLOOKUP($A191,'Pre-Assessment Estimator'!$A$10:$AA$226,O$2,FALSE)=0,"",VLOOKUP($A191,'Pre-Assessment Estimator'!$A$10:$AA$226,O$2,FALSE))</f>
        <v/>
      </c>
      <c r="P191" s="507">
        <f>VLOOKUP($A191,'Pre-Assessment Estimator'!$A$10:$AA$226,P$2,FALSE)</f>
        <v>0</v>
      </c>
      <c r="Q191" s="506" t="str">
        <f>VLOOKUP($A191,'Pre-Assessment Estimator'!$A$10:$AA$226,Q$2,FALSE)</f>
        <v>N/A</v>
      </c>
      <c r="R191" s="509" t="str">
        <f>IF(VLOOKUP($A191,'Pre-Assessment Estimator'!$A$10:$AA$226,R$2,FALSE)=0,"",VLOOKUP($A191,'Pre-Assessment Estimator'!$A$10:$AA$226,R$2,FALSE))</f>
        <v/>
      </c>
      <c r="S191" s="509" t="str">
        <f>IF(VLOOKUP($A191,'Pre-Assessment Estimator'!$A$10:$AA$226,S$2,FALSE)=0,"",VLOOKUP($A191,'Pre-Assessment Estimator'!$A$10:$AA$226,S$2,FALSE))</f>
        <v/>
      </c>
      <c r="T191" s="510" t="str">
        <f>IF(VLOOKUP($A191,'Pre-Assessment Estimator'!$A$10:$AA$226,T$2,FALSE)=0,"",VLOOKUP($A191,'Pre-Assessment Estimator'!$A$10:$AA$226,T$2,FALSE))</f>
        <v/>
      </c>
      <c r="U191" s="513"/>
      <c r="V191" s="512" t="str">
        <f>IF(VLOOKUP($A191,'Pre-Assessment Estimator'!$A$10:$AA$226,V$2,FALSE)=0,"",VLOOKUP($A191,'Pre-Assessment Estimator'!$A$10:$AA$226,V$2,FALSE))</f>
        <v/>
      </c>
      <c r="W191" s="507">
        <f>VLOOKUP($A191,'Pre-Assessment Estimator'!$A$10:$AA$226,W$2,FALSE)</f>
        <v>0</v>
      </c>
      <c r="X191" s="506" t="str">
        <f>VLOOKUP($A191,'Pre-Assessment Estimator'!$A$10:$AA$226,X$2,FALSE)</f>
        <v>N/A</v>
      </c>
      <c r="Y191" s="509" t="str">
        <f>IF(VLOOKUP($A191,'Pre-Assessment Estimator'!$A$10:$AA$226,Y$2,FALSE)=0,"",VLOOKUP($A191,'Pre-Assessment Estimator'!$A$10:$AA$226,Y$2,FALSE))</f>
        <v/>
      </c>
      <c r="Z191" s="509" t="str">
        <f>IF(VLOOKUP($A191,'Pre-Assessment Estimator'!$A$10:$AA$226,Z$2,FALSE)=0,"",VLOOKUP($A191,'Pre-Assessment Estimator'!$A$10:$AA$226,Z$2,FALSE))</f>
        <v/>
      </c>
      <c r="AA191" s="322" t="str">
        <f>IF(VLOOKUP($A191,'Pre-Assessment Estimator'!$A$10:$AA$226,AA$2,FALSE)=0,"",VLOOKUP($A191,'Pre-Assessment Estimator'!$A$10:$AA$226,AA$2,FALSE))</f>
        <v/>
      </c>
      <c r="AB191" s="605">
        <v>180</v>
      </c>
      <c r="AC191" s="606" t="str">
        <f>IF(VLOOKUP($A191,'Pre-Assessment Estimator'!$A$10:$AC$226,AC$2,FALSE)=0,"",VLOOKUP($A191,'Pre-Assessment Estimator'!$A$10:$AC$226,AC$2,FALSE))</f>
        <v>N/A</v>
      </c>
      <c r="AG191" s="15">
        <f t="shared" si="3"/>
        <v>1</v>
      </c>
    </row>
    <row r="192" spans="1:33" ht="30" customHeight="1" thickBot="1" x14ac:dyDescent="0.3">
      <c r="A192" s="716">
        <v>183</v>
      </c>
      <c r="B192" s="1022" t="s">
        <v>70</v>
      </c>
      <c r="C192" s="1022"/>
      <c r="D192" s="1046"/>
      <c r="E192" s="1046"/>
      <c r="F192" s="1046" t="str">
        <f>VLOOKUP($A192,'Pre-Assessment Estimator'!$A$10:$AA$226,F$2,FALSE)</f>
        <v>Total performance land use and ecology</v>
      </c>
      <c r="G192" s="514">
        <f>VLOOKUP($A192,'Pre-Assessment Estimator'!$A$10:$AA$226,G$2,FALSE)</f>
        <v>19</v>
      </c>
      <c r="H192" s="516" t="str">
        <f>IF(VLOOKUP($A192,'Pre-Assessment Estimator'!$A$10:$AA$226,H$2,FALSE)=0,"",VLOOKUP($A192,'Pre-Assessment Estimator'!$A$10:$AA$226,H$2,FALSE))</f>
        <v/>
      </c>
      <c r="I192" s="515">
        <f>VLOOKUP($A192,'Pre-Assessment Estimator'!$A$10:$AA$226,I$2,FALSE)</f>
        <v>0</v>
      </c>
      <c r="J192" s="514" t="str">
        <f>VLOOKUP($A192,'Pre-Assessment Estimator'!$A$10:$AA$226,J$2,FALSE)</f>
        <v>Credits achieved: 0</v>
      </c>
      <c r="K192" s="994" t="str">
        <f>IF(VLOOKUP($A192,'Pre-Assessment Estimator'!$A$10:$AA$226,K$2,FALSE)=0,"",VLOOKUP($A192,'Pre-Assessment Estimator'!$A$10:$AA$226,K$2,FALSE))</f>
        <v/>
      </c>
      <c r="L192" s="994" t="str">
        <f>IF(VLOOKUP($A192,'Pre-Assessment Estimator'!$A$10:$AA$226,L$2,FALSE)=0,"",VLOOKUP($A192,'Pre-Assessment Estimator'!$A$10:$AA$226,L$2,FALSE))</f>
        <v/>
      </c>
      <c r="M192" s="1013" t="str">
        <f>IF(VLOOKUP($A192,'Pre-Assessment Estimator'!$A$10:$AA$226,M$2,FALSE)=0,"",VLOOKUP($A192,'Pre-Assessment Estimator'!$A$10:$AA$226,M$2,FALSE))</f>
        <v/>
      </c>
      <c r="N192" s="1014"/>
      <c r="O192" s="516" t="str">
        <f>IF(VLOOKUP($A192,'Pre-Assessment Estimator'!$A$10:$AA$226,O$2,FALSE)=0,"",VLOOKUP($A192,'Pre-Assessment Estimator'!$A$10:$AA$226,O$2,FALSE))</f>
        <v/>
      </c>
      <c r="P192" s="515">
        <f>VLOOKUP($A192,'Pre-Assessment Estimator'!$A$10:$AA$226,P$2,FALSE)</f>
        <v>0</v>
      </c>
      <c r="Q192" s="514" t="str">
        <f>VLOOKUP($A192,'Pre-Assessment Estimator'!$A$10:$AA$226,Q$2,FALSE)</f>
        <v>Credits achieved: 0</v>
      </c>
      <c r="R192" s="994" t="str">
        <f>IF(VLOOKUP($A192,'Pre-Assessment Estimator'!$A$10:$AA$226,R$2,FALSE)=0,"",VLOOKUP($A192,'Pre-Assessment Estimator'!$A$10:$AA$226,R$2,FALSE))</f>
        <v/>
      </c>
      <c r="S192" s="994" t="str">
        <f>IF(VLOOKUP($A192,'Pre-Assessment Estimator'!$A$10:$AA$226,S$2,FALSE)=0,"",VLOOKUP($A192,'Pre-Assessment Estimator'!$A$10:$AA$226,S$2,FALSE))</f>
        <v/>
      </c>
      <c r="T192" s="1013" t="str">
        <f>IF(VLOOKUP($A192,'Pre-Assessment Estimator'!$A$10:$AA$226,T$2,FALSE)=0,"",VLOOKUP($A192,'Pre-Assessment Estimator'!$A$10:$AA$226,T$2,FALSE))</f>
        <v/>
      </c>
      <c r="U192" s="1015"/>
      <c r="V192" s="516" t="str">
        <f>IF(VLOOKUP($A192,'Pre-Assessment Estimator'!$A$10:$AA$226,V$2,FALSE)=0,"",VLOOKUP($A192,'Pre-Assessment Estimator'!$A$10:$AA$226,V$2,FALSE))</f>
        <v/>
      </c>
      <c r="W192" s="515">
        <f>VLOOKUP($A192,'Pre-Assessment Estimator'!$A$10:$AA$226,W$2,FALSE)</f>
        <v>0</v>
      </c>
      <c r="X192" s="514" t="str">
        <f>VLOOKUP($A192,'Pre-Assessment Estimator'!$A$10:$AA$226,X$2,FALSE)</f>
        <v>Credits achieved: 0</v>
      </c>
      <c r="Y192" s="994" t="str">
        <f>IF(VLOOKUP($A192,'Pre-Assessment Estimator'!$A$10:$AA$226,Y$2,FALSE)=0,"",VLOOKUP($A192,'Pre-Assessment Estimator'!$A$10:$AA$226,Y$2,FALSE))</f>
        <v/>
      </c>
      <c r="Z192" s="994" t="str">
        <f>IF(VLOOKUP($A192,'Pre-Assessment Estimator'!$A$10:$AA$226,Z$2,FALSE)=0,"",VLOOKUP($A192,'Pre-Assessment Estimator'!$A$10:$AA$226,Z$2,FALSE))</f>
        <v/>
      </c>
      <c r="AA192" s="1016" t="str">
        <f>IF(VLOOKUP($A192,'Pre-Assessment Estimator'!$A$10:$AA$226,AA$2,FALSE)=0,"",VLOOKUP($A192,'Pre-Assessment Estimator'!$A$10:$AA$226,AA$2,FALSE))</f>
        <v/>
      </c>
      <c r="AB192" s="605">
        <v>181</v>
      </c>
      <c r="AC192" s="509" t="str">
        <f>IF(VLOOKUP($A192,'Pre-Assessment Estimator'!$A$10:$AC$226,AC$2,FALSE)=0,"",VLOOKUP($A192,'Pre-Assessment Estimator'!$A$10:$AC$226,AC$2,FALSE))</f>
        <v>Credits achieved: 0</v>
      </c>
      <c r="AG192" s="15">
        <f t="shared" si="3"/>
        <v>1</v>
      </c>
    </row>
    <row r="193" spans="1:33" x14ac:dyDescent="0.25">
      <c r="A193" s="716">
        <v>184</v>
      </c>
      <c r="B193" s="1022" t="s">
        <v>70</v>
      </c>
      <c r="C193" s="1022"/>
      <c r="D193" s="517"/>
      <c r="E193" s="517"/>
      <c r="F193" s="517"/>
      <c r="G193" s="518"/>
      <c r="H193" s="518"/>
      <c r="I193" s="518"/>
      <c r="J193" s="518"/>
      <c r="K193" s="517"/>
      <c r="L193" s="518"/>
      <c r="M193" s="517"/>
      <c r="N193" s="511"/>
      <c r="O193" s="518"/>
      <c r="P193" s="518"/>
      <c r="Q193" s="518"/>
      <c r="R193" s="517"/>
      <c r="S193" s="518"/>
      <c r="T193" s="517"/>
      <c r="U193" s="513"/>
      <c r="V193" s="518"/>
      <c r="W193" s="518"/>
      <c r="X193" s="518"/>
      <c r="Y193" s="517"/>
      <c r="Z193" s="518"/>
      <c r="AA193" s="300"/>
      <c r="AB193" s="605">
        <v>182</v>
      </c>
      <c r="AC193" s="509" t="str">
        <f>IF(VLOOKUP($A193,'Pre-Assessment Estimator'!$A$10:$AC$226,AC$2,FALSE)=0,"",VLOOKUP($A193,'Pre-Assessment Estimator'!$A$10:$AC$226,AC$2,FALSE))</f>
        <v/>
      </c>
      <c r="AG193" s="15">
        <f t="shared" si="3"/>
        <v>1</v>
      </c>
    </row>
    <row r="194" spans="1:33" ht="18.75" x14ac:dyDescent="0.25">
      <c r="A194" s="716">
        <v>185</v>
      </c>
      <c r="B194" s="1022" t="s">
        <v>70</v>
      </c>
      <c r="C194" s="1022"/>
      <c r="D194" s="519"/>
      <c r="E194" s="519"/>
      <c r="F194" s="519" t="s">
        <v>70</v>
      </c>
      <c r="G194" s="502"/>
      <c r="H194" s="502"/>
      <c r="I194" s="502"/>
      <c r="J194" s="502"/>
      <c r="K194" s="503"/>
      <c r="L194" s="502"/>
      <c r="M194" s="503"/>
      <c r="N194" s="511"/>
      <c r="O194" s="502"/>
      <c r="P194" s="502"/>
      <c r="Q194" s="502"/>
      <c r="R194" s="503"/>
      <c r="S194" s="502"/>
      <c r="T194" s="503"/>
      <c r="U194" s="513"/>
      <c r="V194" s="502"/>
      <c r="W194" s="502"/>
      <c r="X194" s="502"/>
      <c r="Y194" s="503"/>
      <c r="Z194" s="502"/>
      <c r="AA194" s="351"/>
      <c r="AB194" s="605">
        <v>183</v>
      </c>
      <c r="AC194" s="509"/>
      <c r="AG194" s="15">
        <f t="shared" si="3"/>
        <v>1</v>
      </c>
    </row>
    <row r="195" spans="1:33" x14ac:dyDescent="0.25">
      <c r="A195" s="716">
        <v>186</v>
      </c>
      <c r="B195" s="1022" t="s">
        <v>70</v>
      </c>
      <c r="C195" s="1022"/>
      <c r="D195" s="1043" t="str">
        <f>VLOOKUP($A195,'Pre-Assessment Estimator'!$A$10:$AA$226,D$2,FALSE)</f>
        <v>POL 01</v>
      </c>
      <c r="E195" s="1044"/>
      <c r="F195" s="1043" t="str">
        <f>VLOOKUP($A195,'Pre-Assessment Estimator'!$A$10:$AA$226,F$2,FALSE)</f>
        <v>POL 01 Impacts of refrigerants</v>
      </c>
      <c r="G195" s="506">
        <f>VLOOKUP($A195,'Pre-Assessment Estimator'!$A$10:$AA$226,G$2,FALSE)</f>
        <v>3</v>
      </c>
      <c r="H195" s="512" t="str">
        <f>IF(VLOOKUP($A195,'Pre-Assessment Estimator'!$A$10:$AA$226,H$2,FALSE)=0,"",VLOOKUP($A195,'Pre-Assessment Estimator'!$A$10:$AA$226,H$2,FALSE))</f>
        <v/>
      </c>
      <c r="I195" s="1012" t="str">
        <f>VLOOKUP($A195,'Pre-Assessment Estimator'!$A$10:$AA$226,I$2,FALSE)</f>
        <v>0 c. 0 %</v>
      </c>
      <c r="J195" s="508" t="str">
        <f>VLOOKUP($A195,'Pre-Assessment Estimator'!$A$10:$AA$226,J$2,FALSE)</f>
        <v>N/A</v>
      </c>
      <c r="K195" s="509" t="str">
        <f>IF(VLOOKUP($A195,'Pre-Assessment Estimator'!$A$10:$AA$226,K$2,FALSE)=0,"",VLOOKUP($A195,'Pre-Assessment Estimator'!$A$10:$AA$226,K$2,FALSE))</f>
        <v/>
      </c>
      <c r="L195" s="509" t="str">
        <f>IF(VLOOKUP($A195,'Pre-Assessment Estimator'!$A$10:$AA$226,L$2,FALSE)=0,"",VLOOKUP($A195,'Pre-Assessment Estimator'!$A$10:$AA$226,L$2,FALSE))</f>
        <v/>
      </c>
      <c r="M195" s="510" t="str">
        <f>IF(VLOOKUP($A195,'Pre-Assessment Estimator'!$A$10:$AA$226,M$2,FALSE)=0,"",VLOOKUP($A195,'Pre-Assessment Estimator'!$A$10:$AA$226,M$2,FALSE))</f>
        <v/>
      </c>
      <c r="N195" s="511"/>
      <c r="O195" s="512" t="str">
        <f>IF(VLOOKUP($A195,'Pre-Assessment Estimator'!$A$10:$AA$226,O$2,FALSE)=0,"",VLOOKUP($A195,'Pre-Assessment Estimator'!$A$10:$AA$226,O$2,FALSE))</f>
        <v/>
      </c>
      <c r="P195" s="507" t="str">
        <f>VLOOKUP($A195,'Pre-Assessment Estimator'!$A$10:$AA$226,P$2,FALSE)</f>
        <v>0 c. 0 %</v>
      </c>
      <c r="Q195" s="506" t="str">
        <f>VLOOKUP($A195,'Pre-Assessment Estimator'!$A$10:$AA$226,Q$2,FALSE)</f>
        <v>N/A</v>
      </c>
      <c r="R195" s="509" t="str">
        <f>IF(VLOOKUP($A195,'Pre-Assessment Estimator'!$A$10:$AA$226,R$2,FALSE)=0,"",VLOOKUP($A195,'Pre-Assessment Estimator'!$A$10:$AA$226,R$2,FALSE))</f>
        <v/>
      </c>
      <c r="S195" s="509" t="str">
        <f>IF(VLOOKUP($A195,'Pre-Assessment Estimator'!$A$10:$AA$226,S$2,FALSE)=0,"",VLOOKUP($A195,'Pre-Assessment Estimator'!$A$10:$AA$226,S$2,FALSE))</f>
        <v/>
      </c>
      <c r="T195" s="510" t="str">
        <f>IF(VLOOKUP($A195,'Pre-Assessment Estimator'!$A$10:$AA$226,T$2,FALSE)=0,"",VLOOKUP($A195,'Pre-Assessment Estimator'!$A$10:$AA$226,T$2,FALSE))</f>
        <v/>
      </c>
      <c r="U195" s="513"/>
      <c r="V195" s="512" t="str">
        <f>IF(VLOOKUP($A195,'Pre-Assessment Estimator'!$A$10:$AA$226,V$2,FALSE)=0,"",VLOOKUP($A195,'Pre-Assessment Estimator'!$A$10:$AA$226,V$2,FALSE))</f>
        <v/>
      </c>
      <c r="W195" s="507" t="str">
        <f>VLOOKUP($A195,'Pre-Assessment Estimator'!$A$10:$AA$226,W$2,FALSE)</f>
        <v>0 c. 0 %</v>
      </c>
      <c r="X195" s="506" t="str">
        <f>VLOOKUP($A195,'Pre-Assessment Estimator'!$A$10:$AA$226,X$2,FALSE)</f>
        <v>N/A</v>
      </c>
      <c r="Y195" s="509" t="str">
        <f>IF(VLOOKUP($A195,'Pre-Assessment Estimator'!$A$10:$AA$226,Y$2,FALSE)=0,"",VLOOKUP($A195,'Pre-Assessment Estimator'!$A$10:$AA$226,Y$2,FALSE))</f>
        <v/>
      </c>
      <c r="Z195" s="509" t="str">
        <f>IF(VLOOKUP($A195,'Pre-Assessment Estimator'!$A$10:$AA$226,Z$2,FALSE)=0,"",VLOOKUP($A195,'Pre-Assessment Estimator'!$A$10:$AA$226,Z$2,FALSE))</f>
        <v/>
      </c>
      <c r="AA195" s="322" t="str">
        <f>IF(VLOOKUP($A195,'Pre-Assessment Estimator'!$A$10:$AA$226,AA$2,FALSE)=0,"",VLOOKUP($A195,'Pre-Assessment Estimator'!$A$10:$AA$226,AA$2,FALSE))</f>
        <v/>
      </c>
      <c r="AB195" s="605">
        <v>184</v>
      </c>
      <c r="AC195" s="509"/>
      <c r="AG195" s="15">
        <f t="shared" si="3"/>
        <v>1</v>
      </c>
    </row>
    <row r="196" spans="1:33" x14ac:dyDescent="0.25">
      <c r="A196" s="716">
        <v>187</v>
      </c>
      <c r="B196" s="1022" t="s">
        <v>70</v>
      </c>
      <c r="C196" s="1022"/>
      <c r="D196" s="1044" t="str">
        <f>VLOOKUP($A196,'Pre-Assessment Estimator'!$A$10:$AA$226,D$2,FALSE)</f>
        <v>POL 01</v>
      </c>
      <c r="E196" s="1044">
        <f>VLOOKUP($A196,'Pre-Assessment Estimator'!$A$10:$AA$226,E$2,FALSE)</f>
        <v>1</v>
      </c>
      <c r="F196" s="1044" t="str">
        <f>VLOOKUP($A196,'Pre-Assessment Estimator'!$A$10:$AA$226,F$2,FALSE)</f>
        <v>No refrigerants in the building</v>
      </c>
      <c r="G196" s="506">
        <f>VLOOKUP($A196,'Pre-Assessment Estimator'!$A$10:$AA$226,G$2,FALSE)</f>
        <v>3</v>
      </c>
      <c r="H196" s="512" t="str">
        <f>IF(VLOOKUP($A196,'Pre-Assessment Estimator'!$A$10:$AA$226,H$2,FALSE)=0,"",VLOOKUP($A196,'Pre-Assessment Estimator'!$A$10:$AA$226,H$2,FALSE))</f>
        <v/>
      </c>
      <c r="I196" s="1012">
        <f>VLOOKUP($A196,'Pre-Assessment Estimator'!$A$10:$AA$226,I$2,FALSE)</f>
        <v>0</v>
      </c>
      <c r="J196" s="508" t="str">
        <f>VLOOKUP($A196,'Pre-Assessment Estimator'!$A$10:$AA$226,J$2,FALSE)</f>
        <v>N/A</v>
      </c>
      <c r="K196" s="509" t="str">
        <f>IF(VLOOKUP($A196,'Pre-Assessment Estimator'!$A$10:$AA$226,K$2,FALSE)=0,"",VLOOKUP($A196,'Pre-Assessment Estimator'!$A$10:$AA$226,K$2,FALSE))</f>
        <v/>
      </c>
      <c r="L196" s="509" t="str">
        <f>IF(VLOOKUP($A196,'Pre-Assessment Estimator'!$A$10:$AA$226,L$2,FALSE)=0,"",VLOOKUP($A196,'Pre-Assessment Estimator'!$A$10:$AA$226,L$2,FALSE))</f>
        <v/>
      </c>
      <c r="M196" s="510" t="str">
        <f>IF(VLOOKUP($A196,'Pre-Assessment Estimator'!$A$10:$AA$226,M$2,FALSE)=0,"",VLOOKUP($A196,'Pre-Assessment Estimator'!$A$10:$AA$226,M$2,FALSE))</f>
        <v/>
      </c>
      <c r="N196" s="511"/>
      <c r="O196" s="512" t="str">
        <f>IF(VLOOKUP($A196,'Pre-Assessment Estimator'!$A$10:$AA$226,O$2,FALSE)=0,"",VLOOKUP($A196,'Pre-Assessment Estimator'!$A$10:$AA$226,O$2,FALSE))</f>
        <v/>
      </c>
      <c r="P196" s="507">
        <f>VLOOKUP($A196,'Pre-Assessment Estimator'!$A$10:$AA$226,P$2,FALSE)</f>
        <v>0</v>
      </c>
      <c r="Q196" s="506" t="str">
        <f>VLOOKUP($A196,'Pre-Assessment Estimator'!$A$10:$AA$226,Q$2,FALSE)</f>
        <v>N/A</v>
      </c>
      <c r="R196" s="509" t="str">
        <f>IF(VLOOKUP($A196,'Pre-Assessment Estimator'!$A$10:$AA$226,R$2,FALSE)=0,"",VLOOKUP($A196,'Pre-Assessment Estimator'!$A$10:$AA$226,R$2,FALSE))</f>
        <v/>
      </c>
      <c r="S196" s="509" t="str">
        <f>IF(VLOOKUP($A196,'Pre-Assessment Estimator'!$A$10:$AA$226,S$2,FALSE)=0,"",VLOOKUP($A196,'Pre-Assessment Estimator'!$A$10:$AA$226,S$2,FALSE))</f>
        <v/>
      </c>
      <c r="T196" s="510" t="str">
        <f>IF(VLOOKUP($A196,'Pre-Assessment Estimator'!$A$10:$AA$226,T$2,FALSE)=0,"",VLOOKUP($A196,'Pre-Assessment Estimator'!$A$10:$AA$226,T$2,FALSE))</f>
        <v/>
      </c>
      <c r="U196" s="513"/>
      <c r="V196" s="512" t="str">
        <f>IF(VLOOKUP($A196,'Pre-Assessment Estimator'!$A$10:$AA$226,V$2,FALSE)=0,"",VLOOKUP($A196,'Pre-Assessment Estimator'!$A$10:$AA$226,V$2,FALSE))</f>
        <v/>
      </c>
      <c r="W196" s="507">
        <f>VLOOKUP($A196,'Pre-Assessment Estimator'!$A$10:$AA$226,W$2,FALSE)</f>
        <v>0</v>
      </c>
      <c r="X196" s="506" t="str">
        <f>VLOOKUP($A196,'Pre-Assessment Estimator'!$A$10:$AA$226,X$2,FALSE)</f>
        <v>N/A</v>
      </c>
      <c r="Y196" s="509" t="str">
        <f>IF(VLOOKUP($A196,'Pre-Assessment Estimator'!$A$10:$AA$226,Y$2,FALSE)=0,"",VLOOKUP($A196,'Pre-Assessment Estimator'!$A$10:$AA$226,Y$2,FALSE))</f>
        <v/>
      </c>
      <c r="Z196" s="509" t="str">
        <f>IF(VLOOKUP($A196,'Pre-Assessment Estimator'!$A$10:$AA$226,Z$2,FALSE)=0,"",VLOOKUP($A196,'Pre-Assessment Estimator'!$A$10:$AA$226,Z$2,FALSE))</f>
        <v/>
      </c>
      <c r="AA196" s="322" t="str">
        <f>IF(VLOOKUP($A196,'Pre-Assessment Estimator'!$A$10:$AA$226,AA$2,FALSE)=0,"",VLOOKUP($A196,'Pre-Assessment Estimator'!$A$10:$AA$226,AA$2,FALSE))</f>
        <v/>
      </c>
      <c r="AB196" s="605">
        <v>185</v>
      </c>
      <c r="AC196" s="509"/>
      <c r="AG196" s="15">
        <f t="shared" si="3"/>
        <v>1</v>
      </c>
    </row>
    <row r="197" spans="1:33" x14ac:dyDescent="0.25">
      <c r="A197" s="716">
        <v>188</v>
      </c>
      <c r="B197" s="1022" t="s">
        <v>70</v>
      </c>
      <c r="C197" s="1022"/>
      <c r="D197" s="1044" t="str">
        <f>VLOOKUP($A197,'Pre-Assessment Estimator'!$A$10:$AA$226,D$2,FALSE)</f>
        <v>POL 01</v>
      </c>
      <c r="E197" s="1044">
        <f>VLOOKUP($A197,'Pre-Assessment Estimator'!$A$10:$AA$226,E$2,FALSE)</f>
        <v>2</v>
      </c>
      <c r="F197" s="1044" t="str">
        <f>VLOOKUP($A197,'Pre-Assessment Estimator'!$A$10:$AA$226,F$2,FALSE)</f>
        <v>Pre-requisite: impact of refrigerants</v>
      </c>
      <c r="G197" s="506">
        <f>VLOOKUP($A197,'Pre-Assessment Estimator'!$A$10:$AA$226,G$2,FALSE)</f>
        <v>0</v>
      </c>
      <c r="H197" s="512" t="str">
        <f>IF(VLOOKUP($A197,'Pre-Assessment Estimator'!$A$10:$AA$226,H$2,FALSE)=0,"",VLOOKUP($A197,'Pre-Assessment Estimator'!$A$10:$AA$226,H$2,FALSE))</f>
        <v/>
      </c>
      <c r="I197" s="1012" t="str">
        <f>VLOOKUP($A197,'Pre-Assessment Estimator'!$A$10:$AA$226,I$2,FALSE)</f>
        <v>-</v>
      </c>
      <c r="J197" s="508" t="str">
        <f>VLOOKUP($A197,'Pre-Assessment Estimator'!$A$10:$AA$226,J$2,FALSE)</f>
        <v>N/A</v>
      </c>
      <c r="K197" s="509" t="str">
        <f>IF(VLOOKUP($A197,'Pre-Assessment Estimator'!$A$10:$AA$226,K$2,FALSE)=0,"",VLOOKUP($A197,'Pre-Assessment Estimator'!$A$10:$AA$226,K$2,FALSE))</f>
        <v/>
      </c>
      <c r="L197" s="509" t="str">
        <f>IF(VLOOKUP($A197,'Pre-Assessment Estimator'!$A$10:$AA$226,L$2,FALSE)=0,"",VLOOKUP($A197,'Pre-Assessment Estimator'!$A$10:$AA$226,L$2,FALSE))</f>
        <v/>
      </c>
      <c r="M197" s="510" t="str">
        <f>IF(VLOOKUP($A197,'Pre-Assessment Estimator'!$A$10:$AA$226,M$2,FALSE)=0,"",VLOOKUP($A197,'Pre-Assessment Estimator'!$A$10:$AA$226,M$2,FALSE))</f>
        <v/>
      </c>
      <c r="N197" s="511"/>
      <c r="O197" s="512" t="str">
        <f>IF(VLOOKUP($A197,'Pre-Assessment Estimator'!$A$10:$AA$226,O$2,FALSE)=0,"",VLOOKUP($A197,'Pre-Assessment Estimator'!$A$10:$AA$226,O$2,FALSE))</f>
        <v/>
      </c>
      <c r="P197" s="507" t="str">
        <f>VLOOKUP($A197,'Pre-Assessment Estimator'!$A$10:$AA$226,P$2,FALSE)</f>
        <v>-</v>
      </c>
      <c r="Q197" s="506" t="str">
        <f>VLOOKUP($A197,'Pre-Assessment Estimator'!$A$10:$AA$226,Q$2,FALSE)</f>
        <v>N/A</v>
      </c>
      <c r="R197" s="509" t="str">
        <f>IF(VLOOKUP($A197,'Pre-Assessment Estimator'!$A$10:$AA$226,R$2,FALSE)=0,"",VLOOKUP($A197,'Pre-Assessment Estimator'!$A$10:$AA$226,R$2,FALSE))</f>
        <v/>
      </c>
      <c r="S197" s="509" t="str">
        <f>IF(VLOOKUP($A197,'Pre-Assessment Estimator'!$A$10:$AA$226,S$2,FALSE)=0,"",VLOOKUP($A197,'Pre-Assessment Estimator'!$A$10:$AA$226,S$2,FALSE))</f>
        <v/>
      </c>
      <c r="T197" s="510" t="str">
        <f>IF(VLOOKUP($A197,'Pre-Assessment Estimator'!$A$10:$AA$226,T$2,FALSE)=0,"",VLOOKUP($A197,'Pre-Assessment Estimator'!$A$10:$AA$226,T$2,FALSE))</f>
        <v/>
      </c>
      <c r="U197" s="513"/>
      <c r="V197" s="512" t="str">
        <f>IF(VLOOKUP($A197,'Pre-Assessment Estimator'!$A$10:$AA$226,V$2,FALSE)=0,"",VLOOKUP($A197,'Pre-Assessment Estimator'!$A$10:$AA$226,V$2,FALSE))</f>
        <v/>
      </c>
      <c r="W197" s="507" t="str">
        <f>VLOOKUP($A197,'Pre-Assessment Estimator'!$A$10:$AA$226,W$2,FALSE)</f>
        <v>-</v>
      </c>
      <c r="X197" s="506" t="str">
        <f>VLOOKUP($A197,'Pre-Assessment Estimator'!$A$10:$AA$226,X$2,FALSE)</f>
        <v>N/A</v>
      </c>
      <c r="Y197" s="509" t="str">
        <f>IF(VLOOKUP($A197,'Pre-Assessment Estimator'!$A$10:$AA$226,Y$2,FALSE)=0,"",VLOOKUP($A197,'Pre-Assessment Estimator'!$A$10:$AA$226,Y$2,FALSE))</f>
        <v/>
      </c>
      <c r="Z197" s="509" t="str">
        <f>IF(VLOOKUP($A197,'Pre-Assessment Estimator'!$A$10:$AA$226,Z$2,FALSE)=0,"",VLOOKUP($A197,'Pre-Assessment Estimator'!$A$10:$AA$226,Z$2,FALSE))</f>
        <v/>
      </c>
      <c r="AA197" s="322" t="str">
        <f>IF(VLOOKUP($A197,'Pre-Assessment Estimator'!$A$10:$AA$226,AA$2,FALSE)=0,"",VLOOKUP($A197,'Pre-Assessment Estimator'!$A$10:$AA$226,AA$2,FALSE))</f>
        <v/>
      </c>
      <c r="AB197" s="605">
        <v>186</v>
      </c>
      <c r="AC197" s="509"/>
      <c r="AG197" s="15">
        <f t="shared" si="3"/>
        <v>2</v>
      </c>
    </row>
    <row r="198" spans="1:33" x14ac:dyDescent="0.25">
      <c r="A198" s="716">
        <v>189</v>
      </c>
      <c r="B198" s="1022" t="s">
        <v>70</v>
      </c>
      <c r="C198" s="1022"/>
      <c r="D198" s="1044" t="str">
        <f>VLOOKUP($A198,'Pre-Assessment Estimator'!$A$10:$AA$226,D$2,FALSE)</f>
        <v>POL 01</v>
      </c>
      <c r="E198" s="1044" t="str">
        <f>VLOOKUP($A198,'Pre-Assessment Estimator'!$A$10:$AA$226,E$2,FALSE)</f>
        <v>3 or 4 or 5</v>
      </c>
      <c r="F198" s="1044" t="str">
        <f>VLOOKUP($A198,'Pre-Assessment Estimator'!$A$10:$AA$226,F$2,FALSE)</f>
        <v>Impact of refrigerants</v>
      </c>
      <c r="G198" s="506">
        <f>VLOOKUP($A198,'Pre-Assessment Estimator'!$A$10:$AA$226,G$2,FALSE)</f>
        <v>0</v>
      </c>
      <c r="H198" s="512" t="str">
        <f>IF(VLOOKUP($A198,'Pre-Assessment Estimator'!$A$10:$AA$226,H$2,FALSE)=0,"",VLOOKUP($A198,'Pre-Assessment Estimator'!$A$10:$AA$226,H$2,FALSE))</f>
        <v/>
      </c>
      <c r="I198" s="1012">
        <f>VLOOKUP($A198,'Pre-Assessment Estimator'!$A$10:$AA$226,I$2,FALSE)</f>
        <v>0</v>
      </c>
      <c r="J198" s="508" t="str">
        <f>VLOOKUP($A198,'Pre-Assessment Estimator'!$A$10:$AA$226,J$2,FALSE)</f>
        <v>N/A</v>
      </c>
      <c r="K198" s="509" t="str">
        <f>IF(VLOOKUP($A198,'Pre-Assessment Estimator'!$A$10:$AA$226,K$2,FALSE)=0,"",VLOOKUP($A198,'Pre-Assessment Estimator'!$A$10:$AA$226,K$2,FALSE))</f>
        <v/>
      </c>
      <c r="L198" s="509" t="str">
        <f>IF(VLOOKUP($A198,'Pre-Assessment Estimator'!$A$10:$AA$226,L$2,FALSE)=0,"",VLOOKUP($A198,'Pre-Assessment Estimator'!$A$10:$AA$226,L$2,FALSE))</f>
        <v/>
      </c>
      <c r="M198" s="510" t="str">
        <f>IF(VLOOKUP($A198,'Pre-Assessment Estimator'!$A$10:$AA$226,M$2,FALSE)=0,"",VLOOKUP($A198,'Pre-Assessment Estimator'!$A$10:$AA$226,M$2,FALSE))</f>
        <v/>
      </c>
      <c r="N198" s="511"/>
      <c r="O198" s="512" t="str">
        <f>IF(VLOOKUP($A198,'Pre-Assessment Estimator'!$A$10:$AA$226,O$2,FALSE)=0,"",VLOOKUP($A198,'Pre-Assessment Estimator'!$A$10:$AA$226,O$2,FALSE))</f>
        <v/>
      </c>
      <c r="P198" s="507">
        <f>VLOOKUP($A198,'Pre-Assessment Estimator'!$A$10:$AA$226,P$2,FALSE)</f>
        <v>0</v>
      </c>
      <c r="Q198" s="506" t="str">
        <f>VLOOKUP($A198,'Pre-Assessment Estimator'!$A$10:$AA$226,Q$2,FALSE)</f>
        <v>N/A</v>
      </c>
      <c r="R198" s="509" t="str">
        <f>IF(VLOOKUP($A198,'Pre-Assessment Estimator'!$A$10:$AA$226,R$2,FALSE)=0,"",VLOOKUP($A198,'Pre-Assessment Estimator'!$A$10:$AA$226,R$2,FALSE))</f>
        <v/>
      </c>
      <c r="S198" s="509" t="str">
        <f>IF(VLOOKUP($A198,'Pre-Assessment Estimator'!$A$10:$AA$226,S$2,FALSE)=0,"",VLOOKUP($A198,'Pre-Assessment Estimator'!$A$10:$AA$226,S$2,FALSE))</f>
        <v/>
      </c>
      <c r="T198" s="510" t="str">
        <f>IF(VLOOKUP($A198,'Pre-Assessment Estimator'!$A$10:$AA$226,T$2,FALSE)=0,"",VLOOKUP($A198,'Pre-Assessment Estimator'!$A$10:$AA$226,T$2,FALSE))</f>
        <v/>
      </c>
      <c r="U198" s="513"/>
      <c r="V198" s="512" t="str">
        <f>IF(VLOOKUP($A198,'Pre-Assessment Estimator'!$A$10:$AA$226,V$2,FALSE)=0,"",VLOOKUP($A198,'Pre-Assessment Estimator'!$A$10:$AA$226,V$2,FALSE))</f>
        <v/>
      </c>
      <c r="W198" s="507">
        <f>VLOOKUP($A198,'Pre-Assessment Estimator'!$A$10:$AA$226,W$2,FALSE)</f>
        <v>0</v>
      </c>
      <c r="X198" s="506" t="str">
        <f>VLOOKUP($A198,'Pre-Assessment Estimator'!$A$10:$AA$226,X$2,FALSE)</f>
        <v>N/A</v>
      </c>
      <c r="Y198" s="509" t="str">
        <f>IF(VLOOKUP($A198,'Pre-Assessment Estimator'!$A$10:$AA$226,Y$2,FALSE)=0,"",VLOOKUP($A198,'Pre-Assessment Estimator'!$A$10:$AA$226,Y$2,FALSE))</f>
        <v/>
      </c>
      <c r="Z198" s="509" t="str">
        <f>IF(VLOOKUP($A198,'Pre-Assessment Estimator'!$A$10:$AA$226,Z$2,FALSE)=0,"",VLOOKUP($A198,'Pre-Assessment Estimator'!$A$10:$AA$226,Z$2,FALSE))</f>
        <v/>
      </c>
      <c r="AA198" s="322" t="str">
        <f>IF(VLOOKUP($A198,'Pre-Assessment Estimator'!$A$10:$AA$226,AA$2,FALSE)=0,"",VLOOKUP($A198,'Pre-Assessment Estimator'!$A$10:$AA$226,AA$2,FALSE))</f>
        <v/>
      </c>
      <c r="AB198" s="605">
        <v>187</v>
      </c>
      <c r="AC198" s="509"/>
      <c r="AG198" s="15">
        <f t="shared" si="3"/>
        <v>2</v>
      </c>
    </row>
    <row r="199" spans="1:33" x14ac:dyDescent="0.25">
      <c r="A199" s="716">
        <v>190</v>
      </c>
      <c r="B199" s="1022" t="s">
        <v>70</v>
      </c>
      <c r="C199" s="1022"/>
      <c r="D199" s="1044" t="str">
        <f>VLOOKUP($A199,'Pre-Assessment Estimator'!$A$10:$AA$226,D$2,FALSE)</f>
        <v>POL 01</v>
      </c>
      <c r="E199" s="1044" t="str">
        <f>VLOOKUP($A199,'Pre-Assessment Estimator'!$A$10:$AA$226,E$2,FALSE)</f>
        <v>6-7</v>
      </c>
      <c r="F199" s="1044" t="str">
        <f>VLOOKUP($A199,'Pre-Assessment Estimator'!$A$10:$AA$226,F$2,FALSE)</f>
        <v>Leak detection</v>
      </c>
      <c r="G199" s="506">
        <f>VLOOKUP($A199,'Pre-Assessment Estimator'!$A$10:$AA$226,G$2,FALSE)</f>
        <v>0</v>
      </c>
      <c r="H199" s="512" t="str">
        <f>IF(VLOOKUP($A199,'Pre-Assessment Estimator'!$A$10:$AA$226,H$2,FALSE)=0,"",VLOOKUP($A199,'Pre-Assessment Estimator'!$A$10:$AA$226,H$2,FALSE))</f>
        <v/>
      </c>
      <c r="I199" s="1012">
        <f>VLOOKUP($A199,'Pre-Assessment Estimator'!$A$10:$AA$226,I$2,FALSE)</f>
        <v>0</v>
      </c>
      <c r="J199" s="508" t="str">
        <f>VLOOKUP($A199,'Pre-Assessment Estimator'!$A$10:$AA$226,J$2,FALSE)</f>
        <v>N/A</v>
      </c>
      <c r="K199" s="509" t="str">
        <f>IF(VLOOKUP($A199,'Pre-Assessment Estimator'!$A$10:$AA$226,K$2,FALSE)=0,"",VLOOKUP($A199,'Pre-Assessment Estimator'!$A$10:$AA$226,K$2,FALSE))</f>
        <v/>
      </c>
      <c r="L199" s="509" t="str">
        <f>IF(VLOOKUP($A199,'Pre-Assessment Estimator'!$A$10:$AA$226,L$2,FALSE)=0,"",VLOOKUP($A199,'Pre-Assessment Estimator'!$A$10:$AA$226,L$2,FALSE))</f>
        <v/>
      </c>
      <c r="M199" s="510" t="str">
        <f>IF(VLOOKUP($A199,'Pre-Assessment Estimator'!$A$10:$AA$226,M$2,FALSE)=0,"",VLOOKUP($A199,'Pre-Assessment Estimator'!$A$10:$AA$226,M$2,FALSE))</f>
        <v/>
      </c>
      <c r="N199" s="511"/>
      <c r="O199" s="512" t="str">
        <f>IF(VLOOKUP($A199,'Pre-Assessment Estimator'!$A$10:$AA$226,O$2,FALSE)=0,"",VLOOKUP($A199,'Pre-Assessment Estimator'!$A$10:$AA$226,O$2,FALSE))</f>
        <v/>
      </c>
      <c r="P199" s="507">
        <f>VLOOKUP($A199,'Pre-Assessment Estimator'!$A$10:$AA$226,P$2,FALSE)</f>
        <v>0</v>
      </c>
      <c r="Q199" s="506" t="str">
        <f>VLOOKUP($A199,'Pre-Assessment Estimator'!$A$10:$AA$226,Q$2,FALSE)</f>
        <v>N/A</v>
      </c>
      <c r="R199" s="509" t="str">
        <f>IF(VLOOKUP($A199,'Pre-Assessment Estimator'!$A$10:$AA$226,R$2,FALSE)=0,"",VLOOKUP($A199,'Pre-Assessment Estimator'!$A$10:$AA$226,R$2,FALSE))</f>
        <v/>
      </c>
      <c r="S199" s="509" t="str">
        <f>IF(VLOOKUP($A199,'Pre-Assessment Estimator'!$A$10:$AA$226,S$2,FALSE)=0,"",VLOOKUP($A199,'Pre-Assessment Estimator'!$A$10:$AA$226,S$2,FALSE))</f>
        <v/>
      </c>
      <c r="T199" s="510" t="str">
        <f>IF(VLOOKUP($A199,'Pre-Assessment Estimator'!$A$10:$AA$226,T$2,FALSE)=0,"",VLOOKUP($A199,'Pre-Assessment Estimator'!$A$10:$AA$226,T$2,FALSE))</f>
        <v/>
      </c>
      <c r="U199" s="513"/>
      <c r="V199" s="512" t="str">
        <f>IF(VLOOKUP($A199,'Pre-Assessment Estimator'!$A$10:$AA$226,V$2,FALSE)=0,"",VLOOKUP($A199,'Pre-Assessment Estimator'!$A$10:$AA$226,V$2,FALSE))</f>
        <v/>
      </c>
      <c r="W199" s="507">
        <f>VLOOKUP($A199,'Pre-Assessment Estimator'!$A$10:$AA$226,W$2,FALSE)</f>
        <v>0</v>
      </c>
      <c r="X199" s="506" t="str">
        <f>VLOOKUP($A199,'Pre-Assessment Estimator'!$A$10:$AA$226,X$2,FALSE)</f>
        <v>N/A</v>
      </c>
      <c r="Y199" s="509" t="str">
        <f>IF(VLOOKUP($A199,'Pre-Assessment Estimator'!$A$10:$AA$226,Y$2,FALSE)=0,"",VLOOKUP($A199,'Pre-Assessment Estimator'!$A$10:$AA$226,Y$2,FALSE))</f>
        <v/>
      </c>
      <c r="Z199" s="509" t="str">
        <f>IF(VLOOKUP($A199,'Pre-Assessment Estimator'!$A$10:$AA$226,Z$2,FALSE)=0,"",VLOOKUP($A199,'Pre-Assessment Estimator'!$A$10:$AA$226,Z$2,FALSE))</f>
        <v/>
      </c>
      <c r="AA199" s="322" t="str">
        <f>IF(VLOOKUP($A199,'Pre-Assessment Estimator'!$A$10:$AA$226,AA$2,FALSE)=0,"",VLOOKUP($A199,'Pre-Assessment Estimator'!$A$10:$AA$226,AA$2,FALSE))</f>
        <v/>
      </c>
      <c r="AB199" s="605">
        <v>188</v>
      </c>
      <c r="AC199" s="509"/>
      <c r="AG199" s="15">
        <f t="shared" si="3"/>
        <v>2</v>
      </c>
    </row>
    <row r="200" spans="1:33" x14ac:dyDescent="0.25">
      <c r="A200" s="716">
        <v>191</v>
      </c>
      <c r="B200" s="1022" t="s">
        <v>70</v>
      </c>
      <c r="C200" s="1022"/>
      <c r="D200" s="1043" t="str">
        <f>VLOOKUP($A200,'Pre-Assessment Estimator'!$A$10:$AA$226,D$2,FALSE)</f>
        <v>POL 02</v>
      </c>
      <c r="E200" s="1044"/>
      <c r="F200" s="1043" t="str">
        <f>VLOOKUP($A200,'Pre-Assessment Estimator'!$A$10:$AA$226,F$2,FALSE)</f>
        <v>POL 02 Local air quality</v>
      </c>
      <c r="G200" s="506">
        <f>VLOOKUP($A200,'Pre-Assessment Estimator'!$A$10:$AA$226,G$2,FALSE)</f>
        <v>2</v>
      </c>
      <c r="H200" s="512" t="str">
        <f>IF(VLOOKUP($A200,'Pre-Assessment Estimator'!$A$10:$AA$226,H$2,FALSE)=0,"",VLOOKUP($A200,'Pre-Assessment Estimator'!$A$10:$AA$226,H$2,FALSE))</f>
        <v/>
      </c>
      <c r="I200" s="1012" t="str">
        <f>VLOOKUP($A200,'Pre-Assessment Estimator'!$A$10:$AA$226,I$2,FALSE)</f>
        <v>0 c. 0 %</v>
      </c>
      <c r="J200" s="508" t="str">
        <f>VLOOKUP($A200,'Pre-Assessment Estimator'!$A$10:$AA$226,J$2,FALSE)</f>
        <v>N/A</v>
      </c>
      <c r="K200" s="509" t="str">
        <f>IF(VLOOKUP($A200,'Pre-Assessment Estimator'!$A$10:$AA$226,K$2,FALSE)=0,"",VLOOKUP($A200,'Pre-Assessment Estimator'!$A$10:$AA$226,K$2,FALSE))</f>
        <v/>
      </c>
      <c r="L200" s="509" t="str">
        <f>IF(VLOOKUP($A200,'Pre-Assessment Estimator'!$A$10:$AA$226,L$2,FALSE)=0,"",VLOOKUP($A200,'Pre-Assessment Estimator'!$A$10:$AA$226,L$2,FALSE))</f>
        <v/>
      </c>
      <c r="M200" s="510" t="str">
        <f>IF(VLOOKUP($A200,'Pre-Assessment Estimator'!$A$10:$AA$226,M$2,FALSE)=0,"",VLOOKUP($A200,'Pre-Assessment Estimator'!$A$10:$AA$226,M$2,FALSE))</f>
        <v/>
      </c>
      <c r="N200" s="511"/>
      <c r="O200" s="512" t="str">
        <f>IF(VLOOKUP($A200,'Pre-Assessment Estimator'!$A$10:$AA$226,O$2,FALSE)=0,"",VLOOKUP($A200,'Pre-Assessment Estimator'!$A$10:$AA$226,O$2,FALSE))</f>
        <v/>
      </c>
      <c r="P200" s="507" t="str">
        <f>VLOOKUP($A200,'Pre-Assessment Estimator'!$A$10:$AA$226,P$2,FALSE)</f>
        <v>0 c. 0 %</v>
      </c>
      <c r="Q200" s="506" t="str">
        <f>VLOOKUP($A200,'Pre-Assessment Estimator'!$A$10:$AA$226,Q$2,FALSE)</f>
        <v>N/A</v>
      </c>
      <c r="R200" s="509" t="str">
        <f>IF(VLOOKUP($A200,'Pre-Assessment Estimator'!$A$10:$AA$226,R$2,FALSE)=0,"",VLOOKUP($A200,'Pre-Assessment Estimator'!$A$10:$AA$226,R$2,FALSE))</f>
        <v/>
      </c>
      <c r="S200" s="509" t="str">
        <f>IF(VLOOKUP($A200,'Pre-Assessment Estimator'!$A$10:$AA$226,S$2,FALSE)=0,"",VLOOKUP($A200,'Pre-Assessment Estimator'!$A$10:$AA$226,S$2,FALSE))</f>
        <v/>
      </c>
      <c r="T200" s="510" t="str">
        <f>IF(VLOOKUP($A200,'Pre-Assessment Estimator'!$A$10:$AA$226,T$2,FALSE)=0,"",VLOOKUP($A200,'Pre-Assessment Estimator'!$A$10:$AA$226,T$2,FALSE))</f>
        <v/>
      </c>
      <c r="U200" s="513"/>
      <c r="V200" s="512" t="str">
        <f>IF(VLOOKUP($A200,'Pre-Assessment Estimator'!$A$10:$AA$226,V$2,FALSE)=0,"",VLOOKUP($A200,'Pre-Assessment Estimator'!$A$10:$AA$226,V$2,FALSE))</f>
        <v/>
      </c>
      <c r="W200" s="507" t="str">
        <f>VLOOKUP($A200,'Pre-Assessment Estimator'!$A$10:$AA$226,W$2,FALSE)</f>
        <v>0 c. 0 %</v>
      </c>
      <c r="X200" s="506" t="str">
        <f>VLOOKUP($A200,'Pre-Assessment Estimator'!$A$10:$AA$226,X$2,FALSE)</f>
        <v>N/A</v>
      </c>
      <c r="Y200" s="509" t="str">
        <f>IF(VLOOKUP($A200,'Pre-Assessment Estimator'!$A$10:$AA$226,Y$2,FALSE)=0,"",VLOOKUP($A200,'Pre-Assessment Estimator'!$A$10:$AA$226,Y$2,FALSE))</f>
        <v/>
      </c>
      <c r="Z200" s="509" t="str">
        <f>IF(VLOOKUP($A200,'Pre-Assessment Estimator'!$A$10:$AA$226,Z$2,FALSE)=0,"",VLOOKUP($A200,'Pre-Assessment Estimator'!$A$10:$AA$226,Z$2,FALSE))</f>
        <v/>
      </c>
      <c r="AA200" s="322" t="str">
        <f>IF(VLOOKUP($A200,'Pre-Assessment Estimator'!$A$10:$AA$226,AA$2,FALSE)=0,"",VLOOKUP($A200,'Pre-Assessment Estimator'!$A$10:$AA$226,AA$2,FALSE))</f>
        <v/>
      </c>
      <c r="AB200" s="605">
        <v>189</v>
      </c>
      <c r="AC200" s="509"/>
      <c r="AG200" s="15">
        <f t="shared" si="3"/>
        <v>1</v>
      </c>
    </row>
    <row r="201" spans="1:33" x14ac:dyDescent="0.25">
      <c r="A201" s="716">
        <v>192</v>
      </c>
      <c r="B201" s="1022" t="s">
        <v>70</v>
      </c>
      <c r="C201" s="1022"/>
      <c r="D201" s="1044" t="str">
        <f>VLOOKUP($A201,'Pre-Assessment Estimator'!$A$10:$AA$226,D$2,FALSE)</f>
        <v>POL 02</v>
      </c>
      <c r="E201" s="1044">
        <f>VLOOKUP($A201,'Pre-Assessment Estimator'!$A$10:$AA$226,E$2,FALSE)</f>
        <v>1</v>
      </c>
      <c r="F201" s="1044" t="str">
        <f>VLOOKUP($A201,'Pre-Assessment Estimator'!$A$10:$AA$226,F$2,FALSE)</f>
        <v>Non-combustion heating and hot water system</v>
      </c>
      <c r="G201" s="506">
        <f>VLOOKUP($A201,'Pre-Assessment Estimator'!$A$10:$AA$226,G$2,FALSE)</f>
        <v>2</v>
      </c>
      <c r="H201" s="512" t="str">
        <f>IF(VLOOKUP($A201,'Pre-Assessment Estimator'!$A$10:$AA$226,H$2,FALSE)=0,"",VLOOKUP($A201,'Pre-Assessment Estimator'!$A$10:$AA$226,H$2,FALSE))</f>
        <v/>
      </c>
      <c r="I201" s="1012">
        <f>VLOOKUP($A201,'Pre-Assessment Estimator'!$A$10:$AA$226,I$2,FALSE)</f>
        <v>0</v>
      </c>
      <c r="J201" s="508" t="str">
        <f>VLOOKUP($A201,'Pre-Assessment Estimator'!$A$10:$AA$226,J$2,FALSE)</f>
        <v>N/A</v>
      </c>
      <c r="K201" s="509" t="str">
        <f>IF(VLOOKUP($A201,'Pre-Assessment Estimator'!$A$10:$AA$226,K$2,FALSE)=0,"",VLOOKUP($A201,'Pre-Assessment Estimator'!$A$10:$AA$226,K$2,FALSE))</f>
        <v/>
      </c>
      <c r="L201" s="509" t="str">
        <f>IF(VLOOKUP($A201,'Pre-Assessment Estimator'!$A$10:$AA$226,L$2,FALSE)=0,"",VLOOKUP($A201,'Pre-Assessment Estimator'!$A$10:$AA$226,L$2,FALSE))</f>
        <v/>
      </c>
      <c r="M201" s="510" t="str">
        <f>IF(VLOOKUP($A201,'Pre-Assessment Estimator'!$A$10:$AA$226,M$2,FALSE)=0,"",VLOOKUP($A201,'Pre-Assessment Estimator'!$A$10:$AA$226,M$2,FALSE))</f>
        <v/>
      </c>
      <c r="N201" s="511"/>
      <c r="O201" s="512" t="str">
        <f>IF(VLOOKUP($A201,'Pre-Assessment Estimator'!$A$10:$AA$226,O$2,FALSE)=0,"",VLOOKUP($A201,'Pre-Assessment Estimator'!$A$10:$AA$226,O$2,FALSE))</f>
        <v/>
      </c>
      <c r="P201" s="507">
        <f>VLOOKUP($A201,'Pre-Assessment Estimator'!$A$10:$AA$226,P$2,FALSE)</f>
        <v>0</v>
      </c>
      <c r="Q201" s="506" t="str">
        <f>VLOOKUP($A201,'Pre-Assessment Estimator'!$A$10:$AA$226,Q$2,FALSE)</f>
        <v>N/A</v>
      </c>
      <c r="R201" s="509" t="str">
        <f>IF(VLOOKUP($A201,'Pre-Assessment Estimator'!$A$10:$AA$226,R$2,FALSE)=0,"",VLOOKUP($A201,'Pre-Assessment Estimator'!$A$10:$AA$226,R$2,FALSE))</f>
        <v/>
      </c>
      <c r="S201" s="509" t="str">
        <f>IF(VLOOKUP($A201,'Pre-Assessment Estimator'!$A$10:$AA$226,S$2,FALSE)=0,"",VLOOKUP($A201,'Pre-Assessment Estimator'!$A$10:$AA$226,S$2,FALSE))</f>
        <v/>
      </c>
      <c r="T201" s="510" t="str">
        <f>IF(VLOOKUP($A201,'Pre-Assessment Estimator'!$A$10:$AA$226,T$2,FALSE)=0,"",VLOOKUP($A201,'Pre-Assessment Estimator'!$A$10:$AA$226,T$2,FALSE))</f>
        <v/>
      </c>
      <c r="U201" s="513"/>
      <c r="V201" s="512" t="str">
        <f>IF(VLOOKUP($A201,'Pre-Assessment Estimator'!$A$10:$AA$226,V$2,FALSE)=0,"",VLOOKUP($A201,'Pre-Assessment Estimator'!$A$10:$AA$226,V$2,FALSE))</f>
        <v/>
      </c>
      <c r="W201" s="507">
        <f>VLOOKUP($A201,'Pre-Assessment Estimator'!$A$10:$AA$226,W$2,FALSE)</f>
        <v>0</v>
      </c>
      <c r="X201" s="506" t="str">
        <f>VLOOKUP($A201,'Pre-Assessment Estimator'!$A$10:$AA$226,X$2,FALSE)</f>
        <v>N/A</v>
      </c>
      <c r="Y201" s="509" t="str">
        <f>IF(VLOOKUP($A201,'Pre-Assessment Estimator'!$A$10:$AA$226,Y$2,FALSE)=0,"",VLOOKUP($A201,'Pre-Assessment Estimator'!$A$10:$AA$226,Y$2,FALSE))</f>
        <v/>
      </c>
      <c r="Z201" s="509" t="str">
        <f>IF(VLOOKUP($A201,'Pre-Assessment Estimator'!$A$10:$AA$226,Z$2,FALSE)=0,"",VLOOKUP($A201,'Pre-Assessment Estimator'!$A$10:$AA$226,Z$2,FALSE))</f>
        <v/>
      </c>
      <c r="AA201" s="322" t="str">
        <f>IF(VLOOKUP($A201,'Pre-Assessment Estimator'!$A$10:$AA$226,AA$2,FALSE)=0,"",VLOOKUP($A201,'Pre-Assessment Estimator'!$A$10:$AA$226,AA$2,FALSE))</f>
        <v/>
      </c>
      <c r="AB201" s="605">
        <v>190</v>
      </c>
      <c r="AC201" s="509"/>
      <c r="AG201" s="15">
        <f t="shared" si="3"/>
        <v>1</v>
      </c>
    </row>
    <row r="202" spans="1:33" x14ac:dyDescent="0.25">
      <c r="A202" s="716">
        <v>193</v>
      </c>
      <c r="B202" s="1022" t="s">
        <v>70</v>
      </c>
      <c r="C202" s="1022"/>
      <c r="D202" s="1044" t="str">
        <f>VLOOKUP($A202,'Pre-Assessment Estimator'!$A$10:$AA$226,D$2,FALSE)</f>
        <v>POL 02</v>
      </c>
      <c r="E202" s="1044" t="str">
        <f>VLOOKUP($A202,'Pre-Assessment Estimator'!$A$10:$AA$226,E$2,FALSE)</f>
        <v>2-3</v>
      </c>
      <c r="F202" s="1044" t="str">
        <f>VLOOKUP($A202,'Pre-Assessment Estimator'!$A$10:$AA$226,F$2,FALSE)</f>
        <v>Combustion-powered heating and hot water</v>
      </c>
      <c r="G202" s="506">
        <f>VLOOKUP($A202,'Pre-Assessment Estimator'!$A$10:$AA$226,G$2,FALSE)</f>
        <v>0</v>
      </c>
      <c r="H202" s="512" t="str">
        <f>IF(VLOOKUP($A202,'Pre-Assessment Estimator'!$A$10:$AA$226,H$2,FALSE)=0,"",VLOOKUP($A202,'Pre-Assessment Estimator'!$A$10:$AA$226,H$2,FALSE))</f>
        <v/>
      </c>
      <c r="I202" s="1012">
        <f>VLOOKUP($A202,'Pre-Assessment Estimator'!$A$10:$AA$226,I$2,FALSE)</f>
        <v>0</v>
      </c>
      <c r="J202" s="508" t="str">
        <f>VLOOKUP($A202,'Pre-Assessment Estimator'!$A$10:$AA$226,J$2,FALSE)</f>
        <v>N/A</v>
      </c>
      <c r="K202" s="509" t="str">
        <f>IF(VLOOKUP($A202,'Pre-Assessment Estimator'!$A$10:$AA$226,K$2,FALSE)=0,"",VLOOKUP($A202,'Pre-Assessment Estimator'!$A$10:$AA$226,K$2,FALSE))</f>
        <v/>
      </c>
      <c r="L202" s="509" t="str">
        <f>IF(VLOOKUP($A202,'Pre-Assessment Estimator'!$A$10:$AA$226,L$2,FALSE)=0,"",VLOOKUP($A202,'Pre-Assessment Estimator'!$A$10:$AA$226,L$2,FALSE))</f>
        <v/>
      </c>
      <c r="M202" s="510" t="str">
        <f>IF(VLOOKUP($A202,'Pre-Assessment Estimator'!$A$10:$AA$226,M$2,FALSE)=0,"",VLOOKUP($A202,'Pre-Assessment Estimator'!$A$10:$AA$226,M$2,FALSE))</f>
        <v/>
      </c>
      <c r="N202" s="511"/>
      <c r="O202" s="512" t="str">
        <f>IF(VLOOKUP($A202,'Pre-Assessment Estimator'!$A$10:$AA$226,O$2,FALSE)=0,"",VLOOKUP($A202,'Pre-Assessment Estimator'!$A$10:$AA$226,O$2,FALSE))</f>
        <v/>
      </c>
      <c r="P202" s="507">
        <f>VLOOKUP($A202,'Pre-Assessment Estimator'!$A$10:$AA$226,P$2,FALSE)</f>
        <v>0</v>
      </c>
      <c r="Q202" s="506" t="str">
        <f>VLOOKUP($A202,'Pre-Assessment Estimator'!$A$10:$AA$226,Q$2,FALSE)</f>
        <v>N/A</v>
      </c>
      <c r="R202" s="509" t="str">
        <f>IF(VLOOKUP($A202,'Pre-Assessment Estimator'!$A$10:$AA$226,R$2,FALSE)=0,"",VLOOKUP($A202,'Pre-Assessment Estimator'!$A$10:$AA$226,R$2,FALSE))</f>
        <v/>
      </c>
      <c r="S202" s="509" t="str">
        <f>IF(VLOOKUP($A202,'Pre-Assessment Estimator'!$A$10:$AA$226,S$2,FALSE)=0,"",VLOOKUP($A202,'Pre-Assessment Estimator'!$A$10:$AA$226,S$2,FALSE))</f>
        <v/>
      </c>
      <c r="T202" s="510" t="str">
        <f>IF(VLOOKUP($A202,'Pre-Assessment Estimator'!$A$10:$AA$226,T$2,FALSE)=0,"",VLOOKUP($A202,'Pre-Assessment Estimator'!$A$10:$AA$226,T$2,FALSE))</f>
        <v/>
      </c>
      <c r="U202" s="513"/>
      <c r="V202" s="512" t="str">
        <f>IF(VLOOKUP($A202,'Pre-Assessment Estimator'!$A$10:$AA$226,V$2,FALSE)=0,"",VLOOKUP($A202,'Pre-Assessment Estimator'!$A$10:$AA$226,V$2,FALSE))</f>
        <v/>
      </c>
      <c r="W202" s="507">
        <f>VLOOKUP($A202,'Pre-Assessment Estimator'!$A$10:$AA$226,W$2,FALSE)</f>
        <v>0</v>
      </c>
      <c r="X202" s="506" t="str">
        <f>VLOOKUP($A202,'Pre-Assessment Estimator'!$A$10:$AA$226,X$2,FALSE)</f>
        <v>N/A</v>
      </c>
      <c r="Y202" s="509" t="str">
        <f>IF(VLOOKUP($A202,'Pre-Assessment Estimator'!$A$10:$AA$226,Y$2,FALSE)=0,"",VLOOKUP($A202,'Pre-Assessment Estimator'!$A$10:$AA$226,Y$2,FALSE))</f>
        <v/>
      </c>
      <c r="Z202" s="509" t="str">
        <f>IF(VLOOKUP($A202,'Pre-Assessment Estimator'!$A$10:$AA$226,Z$2,FALSE)=0,"",VLOOKUP($A202,'Pre-Assessment Estimator'!$A$10:$AA$226,Z$2,FALSE))</f>
        <v/>
      </c>
      <c r="AA202" s="322" t="str">
        <f>IF(VLOOKUP($A202,'Pre-Assessment Estimator'!$A$10:$AA$226,AA$2,FALSE)=0,"",VLOOKUP($A202,'Pre-Assessment Estimator'!$A$10:$AA$226,AA$2,FALSE))</f>
        <v/>
      </c>
      <c r="AB202" s="605">
        <v>191</v>
      </c>
      <c r="AC202" s="509"/>
      <c r="AG202" s="15">
        <f t="shared" si="3"/>
        <v>2</v>
      </c>
    </row>
    <row r="203" spans="1:33" x14ac:dyDescent="0.25">
      <c r="A203" s="716">
        <v>194</v>
      </c>
      <c r="B203" s="1022" t="s">
        <v>70</v>
      </c>
      <c r="C203" s="1022"/>
      <c r="D203" s="1043" t="str">
        <f>VLOOKUP($A203,'Pre-Assessment Estimator'!$A$10:$AA$226,D$2,FALSE)</f>
        <v>POL 04</v>
      </c>
      <c r="E203" s="1044"/>
      <c r="F203" s="1043" t="str">
        <f>VLOOKUP($A203,'Pre-Assessment Estimator'!$A$10:$AA$226,F$2,FALSE)</f>
        <v>POL 04 Reduction of night time light pollution</v>
      </c>
      <c r="G203" s="506">
        <f>VLOOKUP($A203,'Pre-Assessment Estimator'!$A$10:$AA$226,G$2,FALSE)</f>
        <v>1</v>
      </c>
      <c r="H203" s="512" t="str">
        <f>IF(VLOOKUP($A203,'Pre-Assessment Estimator'!$A$10:$AA$226,H$2,FALSE)=0,"",VLOOKUP($A203,'Pre-Assessment Estimator'!$A$10:$AA$226,H$2,FALSE))</f>
        <v/>
      </c>
      <c r="I203" s="1012" t="str">
        <f>VLOOKUP($A203,'Pre-Assessment Estimator'!$A$10:$AA$226,I$2,FALSE)</f>
        <v>0 c. 0 %</v>
      </c>
      <c r="J203" s="508" t="str">
        <f>VLOOKUP($A203,'Pre-Assessment Estimator'!$A$10:$AA$226,J$2,FALSE)</f>
        <v>N/A</v>
      </c>
      <c r="K203" s="509" t="str">
        <f>IF(VLOOKUP($A203,'Pre-Assessment Estimator'!$A$10:$AA$226,K$2,FALSE)=0,"",VLOOKUP($A203,'Pre-Assessment Estimator'!$A$10:$AA$226,K$2,FALSE))</f>
        <v/>
      </c>
      <c r="L203" s="509" t="str">
        <f>IF(VLOOKUP($A203,'Pre-Assessment Estimator'!$A$10:$AA$226,L$2,FALSE)=0,"",VLOOKUP($A203,'Pre-Assessment Estimator'!$A$10:$AA$226,L$2,FALSE))</f>
        <v/>
      </c>
      <c r="M203" s="510" t="str">
        <f>IF(VLOOKUP($A203,'Pre-Assessment Estimator'!$A$10:$AA$226,M$2,FALSE)=0,"",VLOOKUP($A203,'Pre-Assessment Estimator'!$A$10:$AA$226,M$2,FALSE))</f>
        <v/>
      </c>
      <c r="N203" s="511"/>
      <c r="O203" s="512" t="str">
        <f>IF(VLOOKUP($A203,'Pre-Assessment Estimator'!$A$10:$AA$226,O$2,FALSE)=0,"",VLOOKUP($A203,'Pre-Assessment Estimator'!$A$10:$AA$226,O$2,FALSE))</f>
        <v/>
      </c>
      <c r="P203" s="507" t="str">
        <f>VLOOKUP($A203,'Pre-Assessment Estimator'!$A$10:$AA$226,P$2,FALSE)</f>
        <v>0 c. 0 %</v>
      </c>
      <c r="Q203" s="506" t="str">
        <f>VLOOKUP($A203,'Pre-Assessment Estimator'!$A$10:$AA$226,Q$2,FALSE)</f>
        <v>N/A</v>
      </c>
      <c r="R203" s="509" t="str">
        <f>IF(VLOOKUP($A203,'Pre-Assessment Estimator'!$A$10:$AA$226,R$2,FALSE)=0,"",VLOOKUP($A203,'Pre-Assessment Estimator'!$A$10:$AA$226,R$2,FALSE))</f>
        <v/>
      </c>
      <c r="S203" s="509" t="str">
        <f>IF(VLOOKUP($A203,'Pre-Assessment Estimator'!$A$10:$AA$226,S$2,FALSE)=0,"",VLOOKUP($A203,'Pre-Assessment Estimator'!$A$10:$AA$226,S$2,FALSE))</f>
        <v/>
      </c>
      <c r="T203" s="510" t="str">
        <f>IF(VLOOKUP($A203,'Pre-Assessment Estimator'!$A$10:$AA$226,T$2,FALSE)=0,"",VLOOKUP($A203,'Pre-Assessment Estimator'!$A$10:$AA$226,T$2,FALSE))</f>
        <v/>
      </c>
      <c r="U203" s="513"/>
      <c r="V203" s="512" t="str">
        <f>IF(VLOOKUP($A203,'Pre-Assessment Estimator'!$A$10:$AA$226,V$2,FALSE)=0,"",VLOOKUP($A203,'Pre-Assessment Estimator'!$A$10:$AA$226,V$2,FALSE))</f>
        <v/>
      </c>
      <c r="W203" s="507" t="str">
        <f>VLOOKUP($A203,'Pre-Assessment Estimator'!$A$10:$AA$226,W$2,FALSE)</f>
        <v>0 c. 0 %</v>
      </c>
      <c r="X203" s="506" t="str">
        <f>VLOOKUP($A203,'Pre-Assessment Estimator'!$A$10:$AA$226,X$2,FALSE)</f>
        <v>N/A</v>
      </c>
      <c r="Y203" s="509" t="str">
        <f>IF(VLOOKUP($A203,'Pre-Assessment Estimator'!$A$10:$AA$226,Y$2,FALSE)=0,"",VLOOKUP($A203,'Pre-Assessment Estimator'!$A$10:$AA$226,Y$2,FALSE))</f>
        <v/>
      </c>
      <c r="Z203" s="509" t="str">
        <f>IF(VLOOKUP($A203,'Pre-Assessment Estimator'!$A$10:$AA$226,Z$2,FALSE)=0,"",VLOOKUP($A203,'Pre-Assessment Estimator'!$A$10:$AA$226,Z$2,FALSE))</f>
        <v/>
      </c>
      <c r="AA203" s="322" t="str">
        <f>IF(VLOOKUP($A203,'Pre-Assessment Estimator'!$A$10:$AA$226,AA$2,FALSE)=0,"",VLOOKUP($A203,'Pre-Assessment Estimator'!$A$10:$AA$226,AA$2,FALSE))</f>
        <v/>
      </c>
      <c r="AB203" s="605">
        <v>192</v>
      </c>
      <c r="AC203" s="509"/>
      <c r="AG203" s="15">
        <f t="shared" si="3"/>
        <v>1</v>
      </c>
    </row>
    <row r="204" spans="1:33" x14ac:dyDescent="0.25">
      <c r="A204" s="716">
        <v>195</v>
      </c>
      <c r="B204" s="1022" t="s">
        <v>70</v>
      </c>
      <c r="C204" s="1022"/>
      <c r="D204" s="1044" t="str">
        <f>VLOOKUP($A204,'Pre-Assessment Estimator'!$A$10:$AA$226,D$2,FALSE)</f>
        <v>POL 04</v>
      </c>
      <c r="E204" s="1044">
        <f>VLOOKUP($A204,'Pre-Assessment Estimator'!$A$10:$AA$226,E$2,FALSE)</f>
        <v>1</v>
      </c>
      <c r="F204" s="1044" t="str">
        <f>VLOOKUP($A204,'Pre-Assessment Estimator'!$A$10:$AA$226,F$2,FALSE)</f>
        <v xml:space="preserve">No external lighting pollution </v>
      </c>
      <c r="G204" s="506">
        <f>VLOOKUP($A204,'Pre-Assessment Estimator'!$A$10:$AA$226,G$2,FALSE)</f>
        <v>1</v>
      </c>
      <c r="H204" s="512" t="str">
        <f>IF(VLOOKUP($A204,'Pre-Assessment Estimator'!$A$10:$AA$226,H$2,FALSE)=0,"",VLOOKUP($A204,'Pre-Assessment Estimator'!$A$10:$AA$226,H$2,FALSE))</f>
        <v/>
      </c>
      <c r="I204" s="1012">
        <f>VLOOKUP($A204,'Pre-Assessment Estimator'!$A$10:$AA$226,I$2,FALSE)</f>
        <v>0</v>
      </c>
      <c r="J204" s="508" t="str">
        <f>VLOOKUP($A204,'Pre-Assessment Estimator'!$A$10:$AA$226,J$2,FALSE)</f>
        <v>N/A</v>
      </c>
      <c r="K204" s="509" t="str">
        <f>IF(VLOOKUP($A204,'Pre-Assessment Estimator'!$A$10:$AA$226,K$2,FALSE)=0,"",VLOOKUP($A204,'Pre-Assessment Estimator'!$A$10:$AA$226,K$2,FALSE))</f>
        <v/>
      </c>
      <c r="L204" s="509" t="str">
        <f>IF(VLOOKUP($A204,'Pre-Assessment Estimator'!$A$10:$AA$226,L$2,FALSE)=0,"",VLOOKUP($A204,'Pre-Assessment Estimator'!$A$10:$AA$226,L$2,FALSE))</f>
        <v/>
      </c>
      <c r="M204" s="510" t="str">
        <f>IF(VLOOKUP($A204,'Pre-Assessment Estimator'!$A$10:$AA$226,M$2,FALSE)=0,"",VLOOKUP($A204,'Pre-Assessment Estimator'!$A$10:$AA$226,M$2,FALSE))</f>
        <v/>
      </c>
      <c r="N204" s="511"/>
      <c r="O204" s="512" t="str">
        <f>IF(VLOOKUP($A204,'Pre-Assessment Estimator'!$A$10:$AA$226,O$2,FALSE)=0,"",VLOOKUP($A204,'Pre-Assessment Estimator'!$A$10:$AA$226,O$2,FALSE))</f>
        <v/>
      </c>
      <c r="P204" s="507">
        <f>VLOOKUP($A204,'Pre-Assessment Estimator'!$A$10:$AA$226,P$2,FALSE)</f>
        <v>0</v>
      </c>
      <c r="Q204" s="506" t="str">
        <f>VLOOKUP($A204,'Pre-Assessment Estimator'!$A$10:$AA$226,Q$2,FALSE)</f>
        <v>N/A</v>
      </c>
      <c r="R204" s="509" t="str">
        <f>IF(VLOOKUP($A204,'Pre-Assessment Estimator'!$A$10:$AA$226,R$2,FALSE)=0,"",VLOOKUP($A204,'Pre-Assessment Estimator'!$A$10:$AA$226,R$2,FALSE))</f>
        <v/>
      </c>
      <c r="S204" s="509" t="str">
        <f>IF(VLOOKUP($A204,'Pre-Assessment Estimator'!$A$10:$AA$226,S$2,FALSE)=0,"",VLOOKUP($A204,'Pre-Assessment Estimator'!$A$10:$AA$226,S$2,FALSE))</f>
        <v/>
      </c>
      <c r="T204" s="510" t="str">
        <f>IF(VLOOKUP($A204,'Pre-Assessment Estimator'!$A$10:$AA$226,T$2,FALSE)=0,"",VLOOKUP($A204,'Pre-Assessment Estimator'!$A$10:$AA$226,T$2,FALSE))</f>
        <v/>
      </c>
      <c r="U204" s="513"/>
      <c r="V204" s="512" t="str">
        <f>IF(VLOOKUP($A204,'Pre-Assessment Estimator'!$A$10:$AA$226,V$2,FALSE)=0,"",VLOOKUP($A204,'Pre-Assessment Estimator'!$A$10:$AA$226,V$2,FALSE))</f>
        <v/>
      </c>
      <c r="W204" s="507">
        <f>VLOOKUP($A204,'Pre-Assessment Estimator'!$A$10:$AA$226,W$2,FALSE)</f>
        <v>0</v>
      </c>
      <c r="X204" s="506" t="str">
        <f>VLOOKUP($A204,'Pre-Assessment Estimator'!$A$10:$AA$226,X$2,FALSE)</f>
        <v>N/A</v>
      </c>
      <c r="Y204" s="509" t="str">
        <f>IF(VLOOKUP($A204,'Pre-Assessment Estimator'!$A$10:$AA$226,Y$2,FALSE)=0,"",VLOOKUP($A204,'Pre-Assessment Estimator'!$A$10:$AA$226,Y$2,FALSE))</f>
        <v/>
      </c>
      <c r="Z204" s="509" t="str">
        <f>IF(VLOOKUP($A204,'Pre-Assessment Estimator'!$A$10:$AA$226,Z$2,FALSE)=0,"",VLOOKUP($A204,'Pre-Assessment Estimator'!$A$10:$AA$226,Z$2,FALSE))</f>
        <v/>
      </c>
      <c r="AA204" s="322" t="str">
        <f>IF(VLOOKUP($A204,'Pre-Assessment Estimator'!$A$10:$AA$226,AA$2,FALSE)=0,"",VLOOKUP($A204,'Pre-Assessment Estimator'!$A$10:$AA$226,AA$2,FALSE))</f>
        <v/>
      </c>
      <c r="AB204" s="605">
        <v>193</v>
      </c>
      <c r="AC204" s="509"/>
      <c r="AG204" s="15">
        <f t="shared" si="3"/>
        <v>1</v>
      </c>
    </row>
    <row r="205" spans="1:33" x14ac:dyDescent="0.25">
      <c r="A205" s="716">
        <v>196</v>
      </c>
      <c r="B205" s="1022" t="s">
        <v>70</v>
      </c>
      <c r="C205" s="1022"/>
      <c r="D205" s="1044" t="str">
        <f>VLOOKUP($A205,'Pre-Assessment Estimator'!$A$10:$AA$226,D$2,FALSE)</f>
        <v>POL 04</v>
      </c>
      <c r="E205" s="1044" t="str">
        <f>VLOOKUP($A205,'Pre-Assessment Estimator'!$A$10:$AA$226,E$2,FALSE)</f>
        <v>2-4</v>
      </c>
      <c r="F205" s="1044" t="str">
        <f>VLOOKUP($A205,'Pre-Assessment Estimator'!$A$10:$AA$226,F$2,FALSE)</f>
        <v>Minimizing external light pollution</v>
      </c>
      <c r="G205" s="506">
        <f>VLOOKUP($A205,'Pre-Assessment Estimator'!$A$10:$AA$226,G$2,FALSE)</f>
        <v>0</v>
      </c>
      <c r="H205" s="512" t="str">
        <f>IF(VLOOKUP($A205,'Pre-Assessment Estimator'!$A$10:$AA$226,H$2,FALSE)=0,"",VLOOKUP($A205,'Pre-Assessment Estimator'!$A$10:$AA$226,H$2,FALSE))</f>
        <v/>
      </c>
      <c r="I205" s="1012">
        <f>VLOOKUP($A205,'Pre-Assessment Estimator'!$A$10:$AA$226,I$2,FALSE)</f>
        <v>0</v>
      </c>
      <c r="J205" s="508" t="str">
        <f>VLOOKUP($A205,'Pre-Assessment Estimator'!$A$10:$AA$226,J$2,FALSE)</f>
        <v>N/A</v>
      </c>
      <c r="K205" s="509" t="str">
        <f>IF(VLOOKUP($A205,'Pre-Assessment Estimator'!$A$10:$AA$226,K$2,FALSE)=0,"",VLOOKUP($A205,'Pre-Assessment Estimator'!$A$10:$AA$226,K$2,FALSE))</f>
        <v/>
      </c>
      <c r="L205" s="509" t="str">
        <f>IF(VLOOKUP($A205,'Pre-Assessment Estimator'!$A$10:$AA$226,L$2,FALSE)=0,"",VLOOKUP($A205,'Pre-Assessment Estimator'!$A$10:$AA$226,L$2,FALSE))</f>
        <v/>
      </c>
      <c r="M205" s="510" t="str">
        <f>IF(VLOOKUP($A205,'Pre-Assessment Estimator'!$A$10:$AA$226,M$2,FALSE)=0,"",VLOOKUP($A205,'Pre-Assessment Estimator'!$A$10:$AA$226,M$2,FALSE))</f>
        <v/>
      </c>
      <c r="N205" s="511"/>
      <c r="O205" s="512" t="str">
        <f>IF(VLOOKUP($A205,'Pre-Assessment Estimator'!$A$10:$AA$226,O$2,FALSE)=0,"",VLOOKUP($A205,'Pre-Assessment Estimator'!$A$10:$AA$226,O$2,FALSE))</f>
        <v/>
      </c>
      <c r="P205" s="507">
        <f>VLOOKUP($A205,'Pre-Assessment Estimator'!$A$10:$AA$226,P$2,FALSE)</f>
        <v>0</v>
      </c>
      <c r="Q205" s="506" t="str">
        <f>VLOOKUP($A205,'Pre-Assessment Estimator'!$A$10:$AA$226,Q$2,FALSE)</f>
        <v>N/A</v>
      </c>
      <c r="R205" s="509" t="str">
        <f>IF(VLOOKUP($A205,'Pre-Assessment Estimator'!$A$10:$AA$226,R$2,FALSE)=0,"",VLOOKUP($A205,'Pre-Assessment Estimator'!$A$10:$AA$226,R$2,FALSE))</f>
        <v/>
      </c>
      <c r="S205" s="509" t="str">
        <f>IF(VLOOKUP($A205,'Pre-Assessment Estimator'!$A$10:$AA$226,S$2,FALSE)=0,"",VLOOKUP($A205,'Pre-Assessment Estimator'!$A$10:$AA$226,S$2,FALSE))</f>
        <v/>
      </c>
      <c r="T205" s="510" t="str">
        <f>IF(VLOOKUP($A205,'Pre-Assessment Estimator'!$A$10:$AA$226,T$2,FALSE)=0,"",VLOOKUP($A205,'Pre-Assessment Estimator'!$A$10:$AA$226,T$2,FALSE))</f>
        <v/>
      </c>
      <c r="U205" s="513"/>
      <c r="V205" s="512" t="str">
        <f>IF(VLOOKUP($A205,'Pre-Assessment Estimator'!$A$10:$AA$226,V$2,FALSE)=0,"",VLOOKUP($A205,'Pre-Assessment Estimator'!$A$10:$AA$226,V$2,FALSE))</f>
        <v/>
      </c>
      <c r="W205" s="507">
        <f>VLOOKUP($A205,'Pre-Assessment Estimator'!$A$10:$AA$226,W$2,FALSE)</f>
        <v>0</v>
      </c>
      <c r="X205" s="506" t="str">
        <f>VLOOKUP($A205,'Pre-Assessment Estimator'!$A$10:$AA$226,X$2,FALSE)</f>
        <v>N/A</v>
      </c>
      <c r="Y205" s="509" t="str">
        <f>IF(VLOOKUP($A205,'Pre-Assessment Estimator'!$A$10:$AA$226,Y$2,FALSE)=0,"",VLOOKUP($A205,'Pre-Assessment Estimator'!$A$10:$AA$226,Y$2,FALSE))</f>
        <v/>
      </c>
      <c r="Z205" s="509" t="str">
        <f>IF(VLOOKUP($A205,'Pre-Assessment Estimator'!$A$10:$AA$226,Z$2,FALSE)=0,"",VLOOKUP($A205,'Pre-Assessment Estimator'!$A$10:$AA$226,Z$2,FALSE))</f>
        <v/>
      </c>
      <c r="AA205" s="322" t="str">
        <f>IF(VLOOKUP($A205,'Pre-Assessment Estimator'!$A$10:$AA$226,AA$2,FALSE)=0,"",VLOOKUP($A205,'Pre-Assessment Estimator'!$A$10:$AA$226,AA$2,FALSE))</f>
        <v/>
      </c>
      <c r="AB205" s="605">
        <v>194</v>
      </c>
      <c r="AC205" s="509"/>
      <c r="AG205" s="15">
        <f t="shared" si="3"/>
        <v>2</v>
      </c>
    </row>
    <row r="206" spans="1:33" x14ac:dyDescent="0.25">
      <c r="A206" s="716">
        <v>197</v>
      </c>
      <c r="B206" s="1022" t="s">
        <v>70</v>
      </c>
      <c r="C206" s="1022"/>
      <c r="D206" s="1043" t="str">
        <f>VLOOKUP($A206,'Pre-Assessment Estimator'!$A$10:$AA$226,D$2,FALSE)</f>
        <v>POL 05</v>
      </c>
      <c r="E206" s="1044"/>
      <c r="F206" s="1043" t="str">
        <f>VLOOKUP($A206,'Pre-Assessment Estimator'!$A$10:$AA$226,F$2,FALSE)</f>
        <v>POL 05 Reduction of noise pollution</v>
      </c>
      <c r="G206" s="506">
        <f>VLOOKUP($A206,'Pre-Assessment Estimator'!$A$10:$AA$226,G$2,FALSE)</f>
        <v>1</v>
      </c>
      <c r="H206" s="512" t="str">
        <f>IF(VLOOKUP($A206,'Pre-Assessment Estimator'!$A$10:$AA$226,H$2,FALSE)=0,"",VLOOKUP($A206,'Pre-Assessment Estimator'!$A$10:$AA$226,H$2,FALSE))</f>
        <v/>
      </c>
      <c r="I206" s="1012" t="str">
        <f>VLOOKUP($A206,'Pre-Assessment Estimator'!$A$10:$AA$226,I$2,FALSE)</f>
        <v>0 c. 0 %</v>
      </c>
      <c r="J206" s="508" t="str">
        <f>VLOOKUP($A206,'Pre-Assessment Estimator'!$A$10:$AA$226,J$2,FALSE)</f>
        <v>N/A</v>
      </c>
      <c r="K206" s="509" t="str">
        <f>IF(VLOOKUP($A206,'Pre-Assessment Estimator'!$A$10:$AA$226,K$2,FALSE)=0,"",VLOOKUP($A206,'Pre-Assessment Estimator'!$A$10:$AA$226,K$2,FALSE))</f>
        <v/>
      </c>
      <c r="L206" s="509" t="str">
        <f>IF(VLOOKUP($A206,'Pre-Assessment Estimator'!$A$10:$AA$226,L$2,FALSE)=0,"",VLOOKUP($A206,'Pre-Assessment Estimator'!$A$10:$AA$226,L$2,FALSE))</f>
        <v/>
      </c>
      <c r="M206" s="510" t="str">
        <f>IF(VLOOKUP($A206,'Pre-Assessment Estimator'!$A$10:$AA$226,M$2,FALSE)=0,"",VLOOKUP($A206,'Pre-Assessment Estimator'!$A$10:$AA$226,M$2,FALSE))</f>
        <v/>
      </c>
      <c r="N206" s="511"/>
      <c r="O206" s="512" t="str">
        <f>IF(VLOOKUP($A206,'Pre-Assessment Estimator'!$A$10:$AA$226,O$2,FALSE)=0,"",VLOOKUP($A206,'Pre-Assessment Estimator'!$A$10:$AA$226,O$2,FALSE))</f>
        <v/>
      </c>
      <c r="P206" s="507" t="str">
        <f>VLOOKUP($A206,'Pre-Assessment Estimator'!$A$10:$AA$226,P$2,FALSE)</f>
        <v>0 c. 0 %</v>
      </c>
      <c r="Q206" s="506" t="str">
        <f>VLOOKUP($A206,'Pre-Assessment Estimator'!$A$10:$AA$226,Q$2,FALSE)</f>
        <v>N/A</v>
      </c>
      <c r="R206" s="509" t="str">
        <f>IF(VLOOKUP($A206,'Pre-Assessment Estimator'!$A$10:$AA$226,R$2,FALSE)=0,"",VLOOKUP($A206,'Pre-Assessment Estimator'!$A$10:$AA$226,R$2,FALSE))</f>
        <v/>
      </c>
      <c r="S206" s="509" t="str">
        <f>IF(VLOOKUP($A206,'Pre-Assessment Estimator'!$A$10:$AA$226,S$2,FALSE)=0,"",VLOOKUP($A206,'Pre-Assessment Estimator'!$A$10:$AA$226,S$2,FALSE))</f>
        <v/>
      </c>
      <c r="T206" s="510" t="str">
        <f>IF(VLOOKUP($A206,'Pre-Assessment Estimator'!$A$10:$AA$226,T$2,FALSE)=0,"",VLOOKUP($A206,'Pre-Assessment Estimator'!$A$10:$AA$226,T$2,FALSE))</f>
        <v/>
      </c>
      <c r="U206" s="513"/>
      <c r="V206" s="512" t="str">
        <f>IF(VLOOKUP($A206,'Pre-Assessment Estimator'!$A$10:$AA$226,V$2,FALSE)=0,"",VLOOKUP($A206,'Pre-Assessment Estimator'!$A$10:$AA$226,V$2,FALSE))</f>
        <v/>
      </c>
      <c r="W206" s="507" t="str">
        <f>VLOOKUP($A206,'Pre-Assessment Estimator'!$A$10:$AA$226,W$2,FALSE)</f>
        <v>0 c. 0 %</v>
      </c>
      <c r="X206" s="506" t="str">
        <f>VLOOKUP($A206,'Pre-Assessment Estimator'!$A$10:$AA$226,X$2,FALSE)</f>
        <v>N/A</v>
      </c>
      <c r="Y206" s="509" t="str">
        <f>IF(VLOOKUP($A206,'Pre-Assessment Estimator'!$A$10:$AA$226,Y$2,FALSE)=0,"",VLOOKUP($A206,'Pre-Assessment Estimator'!$A$10:$AA$226,Y$2,FALSE))</f>
        <v/>
      </c>
      <c r="Z206" s="509" t="str">
        <f>IF(VLOOKUP($A206,'Pre-Assessment Estimator'!$A$10:$AA$226,Z$2,FALSE)=0,"",VLOOKUP($A206,'Pre-Assessment Estimator'!$A$10:$AA$226,Z$2,FALSE))</f>
        <v/>
      </c>
      <c r="AA206" s="322" t="str">
        <f>IF(VLOOKUP($A206,'Pre-Assessment Estimator'!$A$10:$AA$226,AA$2,FALSE)=0,"",VLOOKUP($A206,'Pre-Assessment Estimator'!$A$10:$AA$226,AA$2,FALSE))</f>
        <v/>
      </c>
      <c r="AB206" s="605">
        <v>195</v>
      </c>
      <c r="AC206" s="509" t="str">
        <f>IF(VLOOKUP($A206,'Pre-Assessment Estimator'!$A$10:$AC$226,AC$2,FALSE)=0,"",VLOOKUP($A206,'Pre-Assessment Estimator'!$A$10:$AC$226,AC$2,FALSE))</f>
        <v>N/A</v>
      </c>
      <c r="AG206" s="15">
        <f t="shared" si="3"/>
        <v>1</v>
      </c>
    </row>
    <row r="207" spans="1:33" x14ac:dyDescent="0.25">
      <c r="A207" s="716">
        <v>198</v>
      </c>
      <c r="B207" s="1022" t="s">
        <v>70</v>
      </c>
      <c r="C207" s="1022"/>
      <c r="D207" s="1044" t="str">
        <f>VLOOKUP($A207,'Pre-Assessment Estimator'!$A$10:$AA$226,D$2,FALSE)</f>
        <v>POL 05</v>
      </c>
      <c r="E207" s="1044">
        <f>VLOOKUP($A207,'Pre-Assessment Estimator'!$A$10:$AA$226,E$2,FALSE)</f>
        <v>1</v>
      </c>
      <c r="F207" s="1044" t="str">
        <f>VLOOKUP($A207,'Pre-Assessment Estimator'!$A$10:$AA$226,F$2,FALSE)</f>
        <v>No noise-sensitive areas</v>
      </c>
      <c r="G207" s="506">
        <f>VLOOKUP($A207,'Pre-Assessment Estimator'!$A$10:$AA$226,G$2,FALSE)</f>
        <v>1</v>
      </c>
      <c r="H207" s="512" t="str">
        <f>IF(VLOOKUP($A207,'Pre-Assessment Estimator'!$A$10:$AA$226,H$2,FALSE)=0,"",VLOOKUP($A207,'Pre-Assessment Estimator'!$A$10:$AA$226,H$2,FALSE))</f>
        <v/>
      </c>
      <c r="I207" s="1012">
        <f>VLOOKUP($A207,'Pre-Assessment Estimator'!$A$10:$AA$226,I$2,FALSE)</f>
        <v>0</v>
      </c>
      <c r="J207" s="508" t="str">
        <f>VLOOKUP($A207,'Pre-Assessment Estimator'!$A$10:$AA$226,J$2,FALSE)</f>
        <v>N/A</v>
      </c>
      <c r="K207" s="509" t="str">
        <f>IF(VLOOKUP($A207,'Pre-Assessment Estimator'!$A$10:$AA$226,K$2,FALSE)=0,"",VLOOKUP($A207,'Pre-Assessment Estimator'!$A$10:$AA$226,K$2,FALSE))</f>
        <v/>
      </c>
      <c r="L207" s="509" t="str">
        <f>IF(VLOOKUP($A207,'Pre-Assessment Estimator'!$A$10:$AA$226,L$2,FALSE)=0,"",VLOOKUP($A207,'Pre-Assessment Estimator'!$A$10:$AA$226,L$2,FALSE))</f>
        <v/>
      </c>
      <c r="M207" s="510" t="str">
        <f>IF(VLOOKUP($A207,'Pre-Assessment Estimator'!$A$10:$AA$226,M$2,FALSE)=0,"",VLOOKUP($A207,'Pre-Assessment Estimator'!$A$10:$AA$226,M$2,FALSE))</f>
        <v/>
      </c>
      <c r="N207" s="511"/>
      <c r="O207" s="512" t="str">
        <f>IF(VLOOKUP($A207,'Pre-Assessment Estimator'!$A$10:$AA$226,O$2,FALSE)=0,"",VLOOKUP($A207,'Pre-Assessment Estimator'!$A$10:$AA$226,O$2,FALSE))</f>
        <v/>
      </c>
      <c r="P207" s="507">
        <f>VLOOKUP($A207,'Pre-Assessment Estimator'!$A$10:$AA$226,P$2,FALSE)</f>
        <v>0</v>
      </c>
      <c r="Q207" s="506" t="str">
        <f>VLOOKUP($A207,'Pre-Assessment Estimator'!$A$10:$AA$226,Q$2,FALSE)</f>
        <v>N/A</v>
      </c>
      <c r="R207" s="509" t="str">
        <f>IF(VLOOKUP($A207,'Pre-Assessment Estimator'!$A$10:$AA$226,R$2,FALSE)=0,"",VLOOKUP($A207,'Pre-Assessment Estimator'!$A$10:$AA$226,R$2,FALSE))</f>
        <v/>
      </c>
      <c r="S207" s="509" t="str">
        <f>IF(VLOOKUP($A207,'Pre-Assessment Estimator'!$A$10:$AA$226,S$2,FALSE)=0,"",VLOOKUP($A207,'Pre-Assessment Estimator'!$A$10:$AA$226,S$2,FALSE))</f>
        <v/>
      </c>
      <c r="T207" s="510" t="str">
        <f>IF(VLOOKUP($A207,'Pre-Assessment Estimator'!$A$10:$AA$226,T$2,FALSE)=0,"",VLOOKUP($A207,'Pre-Assessment Estimator'!$A$10:$AA$226,T$2,FALSE))</f>
        <v/>
      </c>
      <c r="U207" s="513"/>
      <c r="V207" s="512" t="str">
        <f>IF(VLOOKUP($A207,'Pre-Assessment Estimator'!$A$10:$AA$226,V$2,FALSE)=0,"",VLOOKUP($A207,'Pre-Assessment Estimator'!$A$10:$AA$226,V$2,FALSE))</f>
        <v/>
      </c>
      <c r="W207" s="507">
        <f>VLOOKUP($A207,'Pre-Assessment Estimator'!$A$10:$AA$226,W$2,FALSE)</f>
        <v>0</v>
      </c>
      <c r="X207" s="506" t="str">
        <f>VLOOKUP($A207,'Pre-Assessment Estimator'!$A$10:$AA$226,X$2,FALSE)</f>
        <v>N/A</v>
      </c>
      <c r="Y207" s="509" t="str">
        <f>IF(VLOOKUP($A207,'Pre-Assessment Estimator'!$A$10:$AA$226,Y$2,FALSE)=0,"",VLOOKUP($A207,'Pre-Assessment Estimator'!$A$10:$AA$226,Y$2,FALSE))</f>
        <v/>
      </c>
      <c r="Z207" s="509" t="str">
        <f>IF(VLOOKUP($A207,'Pre-Assessment Estimator'!$A$10:$AA$226,Z$2,FALSE)=0,"",VLOOKUP($A207,'Pre-Assessment Estimator'!$A$10:$AA$226,Z$2,FALSE))</f>
        <v/>
      </c>
      <c r="AA207" s="322" t="str">
        <f>IF(VLOOKUP($A207,'Pre-Assessment Estimator'!$A$10:$AA$226,AA$2,FALSE)=0,"",VLOOKUP($A207,'Pre-Assessment Estimator'!$A$10:$AA$226,AA$2,FALSE))</f>
        <v/>
      </c>
      <c r="AB207" s="605">
        <v>196</v>
      </c>
      <c r="AC207" s="517"/>
      <c r="AG207" s="15">
        <f t="shared" si="3"/>
        <v>1</v>
      </c>
    </row>
    <row r="208" spans="1:33" x14ac:dyDescent="0.25">
      <c r="A208" s="716">
        <v>199</v>
      </c>
      <c r="B208" s="1022" t="s">
        <v>216</v>
      </c>
      <c r="C208" s="1022"/>
      <c r="D208" s="1044" t="str">
        <f>VLOOKUP($A208,'Pre-Assessment Estimator'!$A$10:$AA$226,D$2,FALSE)</f>
        <v>POL 05</v>
      </c>
      <c r="E208" s="1044" t="str">
        <f>VLOOKUP($A208,'Pre-Assessment Estimator'!$A$10:$AA$226,E$2,FALSE)</f>
        <v>2-5</v>
      </c>
      <c r="F208" s="1044" t="str">
        <f>VLOOKUP($A208,'Pre-Assessment Estimator'!$A$10:$AA$226,F$2,FALSE)</f>
        <v>Minimizing noise pollution in noise-sensitive areas</v>
      </c>
      <c r="G208" s="506">
        <f>VLOOKUP($A208,'Pre-Assessment Estimator'!$A$10:$AA$226,G$2,FALSE)</f>
        <v>0</v>
      </c>
      <c r="H208" s="512" t="str">
        <f>IF(VLOOKUP($A208,'Pre-Assessment Estimator'!$A$10:$AA$226,H$2,FALSE)=0,"",VLOOKUP($A208,'Pre-Assessment Estimator'!$A$10:$AA$226,H$2,FALSE))</f>
        <v/>
      </c>
      <c r="I208" s="1012">
        <f>VLOOKUP($A208,'Pre-Assessment Estimator'!$A$10:$AA$226,I$2,FALSE)</f>
        <v>0</v>
      </c>
      <c r="J208" s="508" t="str">
        <f>VLOOKUP($A208,'Pre-Assessment Estimator'!$A$10:$AA$226,J$2,FALSE)</f>
        <v>N/A</v>
      </c>
      <c r="K208" s="509" t="str">
        <f>IF(VLOOKUP($A208,'Pre-Assessment Estimator'!$A$10:$AA$226,K$2,FALSE)=0,"",VLOOKUP($A208,'Pre-Assessment Estimator'!$A$10:$AA$226,K$2,FALSE))</f>
        <v/>
      </c>
      <c r="L208" s="509" t="str">
        <f>IF(VLOOKUP($A208,'Pre-Assessment Estimator'!$A$10:$AA$226,L$2,FALSE)=0,"",VLOOKUP($A208,'Pre-Assessment Estimator'!$A$10:$AA$226,L$2,FALSE))</f>
        <v/>
      </c>
      <c r="M208" s="510" t="str">
        <f>IF(VLOOKUP($A208,'Pre-Assessment Estimator'!$A$10:$AA$226,M$2,FALSE)=0,"",VLOOKUP($A208,'Pre-Assessment Estimator'!$A$10:$AA$226,M$2,FALSE))</f>
        <v/>
      </c>
      <c r="N208" s="511"/>
      <c r="O208" s="512" t="str">
        <f>IF(VLOOKUP($A208,'Pre-Assessment Estimator'!$A$10:$AA$226,O$2,FALSE)=0,"",VLOOKUP($A208,'Pre-Assessment Estimator'!$A$10:$AA$226,O$2,FALSE))</f>
        <v/>
      </c>
      <c r="P208" s="507">
        <f>VLOOKUP($A208,'Pre-Assessment Estimator'!$A$10:$AA$226,P$2,FALSE)</f>
        <v>0</v>
      </c>
      <c r="Q208" s="506" t="str">
        <f>VLOOKUP($A208,'Pre-Assessment Estimator'!$A$10:$AA$226,Q$2,FALSE)</f>
        <v>N/A</v>
      </c>
      <c r="R208" s="509" t="str">
        <f>IF(VLOOKUP($A208,'Pre-Assessment Estimator'!$A$10:$AA$226,R$2,FALSE)=0,"",VLOOKUP($A208,'Pre-Assessment Estimator'!$A$10:$AA$226,R$2,FALSE))</f>
        <v/>
      </c>
      <c r="S208" s="509" t="str">
        <f>IF(VLOOKUP($A208,'Pre-Assessment Estimator'!$A$10:$AA$226,S$2,FALSE)=0,"",VLOOKUP($A208,'Pre-Assessment Estimator'!$A$10:$AA$226,S$2,FALSE))</f>
        <v/>
      </c>
      <c r="T208" s="510" t="str">
        <f>IF(VLOOKUP($A208,'Pre-Assessment Estimator'!$A$10:$AA$226,T$2,FALSE)=0,"",VLOOKUP($A208,'Pre-Assessment Estimator'!$A$10:$AA$226,T$2,FALSE))</f>
        <v/>
      </c>
      <c r="U208" s="513"/>
      <c r="V208" s="512" t="str">
        <f>IF(VLOOKUP($A208,'Pre-Assessment Estimator'!$A$10:$AA$226,V$2,FALSE)=0,"",VLOOKUP($A208,'Pre-Assessment Estimator'!$A$10:$AA$226,V$2,FALSE))</f>
        <v/>
      </c>
      <c r="W208" s="507">
        <f>VLOOKUP($A208,'Pre-Assessment Estimator'!$A$10:$AA$226,W$2,FALSE)</f>
        <v>0</v>
      </c>
      <c r="X208" s="506" t="str">
        <f>VLOOKUP($A208,'Pre-Assessment Estimator'!$A$10:$AA$226,X$2,FALSE)</f>
        <v>N/A</v>
      </c>
      <c r="Y208" s="509" t="str">
        <f>IF(VLOOKUP($A208,'Pre-Assessment Estimator'!$A$10:$AA$226,Y$2,FALSE)=0,"",VLOOKUP($A208,'Pre-Assessment Estimator'!$A$10:$AA$226,Y$2,FALSE))</f>
        <v/>
      </c>
      <c r="Z208" s="509" t="str">
        <f>IF(VLOOKUP($A208,'Pre-Assessment Estimator'!$A$10:$AA$226,Z$2,FALSE)=0,"",VLOOKUP($A208,'Pre-Assessment Estimator'!$A$10:$AA$226,Z$2,FALSE))</f>
        <v/>
      </c>
      <c r="AA208" s="322" t="str">
        <f>IF(VLOOKUP($A208,'Pre-Assessment Estimator'!$A$10:$AA$226,AA$2,FALSE)=0,"",VLOOKUP($A208,'Pre-Assessment Estimator'!$A$10:$AA$226,AA$2,FALSE))</f>
        <v/>
      </c>
      <c r="AB208" s="605">
        <v>197</v>
      </c>
      <c r="AC208" s="606"/>
      <c r="AG208" s="15">
        <f t="shared" si="3"/>
        <v>2</v>
      </c>
    </row>
    <row r="209" spans="1:33" ht="30" customHeight="1" thickBot="1" x14ac:dyDescent="0.3">
      <c r="A209" s="716">
        <v>200</v>
      </c>
      <c r="B209" s="1022" t="s">
        <v>216</v>
      </c>
      <c r="C209" s="1022"/>
      <c r="D209" s="1046"/>
      <c r="E209" s="1046"/>
      <c r="F209" s="1046" t="str">
        <f>VLOOKUP($A209,'Pre-Assessment Estimator'!$A$10:$AA$226,F$2,FALSE)</f>
        <v>Total performance pollution</v>
      </c>
      <c r="G209" s="514">
        <f>VLOOKUP($A209,'Pre-Assessment Estimator'!$A$10:$AA$226,G$2,FALSE)</f>
        <v>7</v>
      </c>
      <c r="H209" s="516" t="str">
        <f>IF(VLOOKUP($A209,'Pre-Assessment Estimator'!$A$10:$AA$226,H$2,FALSE)=0,"",VLOOKUP($A209,'Pre-Assessment Estimator'!$A$10:$AA$226,H$2,FALSE))</f>
        <v/>
      </c>
      <c r="I209" s="515">
        <f>VLOOKUP($A209,'Pre-Assessment Estimator'!$A$10:$AA$226,I$2,FALSE)</f>
        <v>0</v>
      </c>
      <c r="J209" s="514" t="str">
        <f>VLOOKUP($A209,'Pre-Assessment Estimator'!$A$10:$AA$226,J$2,FALSE)</f>
        <v>Credits achieved: 0</v>
      </c>
      <c r="K209" s="994" t="str">
        <f>IF(VLOOKUP($A209,'Pre-Assessment Estimator'!$A$10:$AA$226,K$2,FALSE)=0,"",VLOOKUP($A209,'Pre-Assessment Estimator'!$A$10:$AA$226,K$2,FALSE))</f>
        <v/>
      </c>
      <c r="L209" s="994" t="str">
        <f>IF(VLOOKUP($A209,'Pre-Assessment Estimator'!$A$10:$AA$226,L$2,FALSE)=0,"",VLOOKUP($A209,'Pre-Assessment Estimator'!$A$10:$AA$226,L$2,FALSE))</f>
        <v/>
      </c>
      <c r="M209" s="1013" t="str">
        <f>IF(VLOOKUP($A209,'Pre-Assessment Estimator'!$A$10:$AA$226,M$2,FALSE)=0,"",VLOOKUP($A209,'Pre-Assessment Estimator'!$A$10:$AA$226,M$2,FALSE))</f>
        <v/>
      </c>
      <c r="N209" s="1014"/>
      <c r="O209" s="516" t="str">
        <f>IF(VLOOKUP($A209,'Pre-Assessment Estimator'!$A$10:$AA$226,O$2,FALSE)=0,"",VLOOKUP($A209,'Pre-Assessment Estimator'!$A$10:$AA$226,O$2,FALSE))</f>
        <v/>
      </c>
      <c r="P209" s="515">
        <f>VLOOKUP($A209,'Pre-Assessment Estimator'!$A$10:$AA$226,P$2,FALSE)</f>
        <v>0</v>
      </c>
      <c r="Q209" s="514" t="str">
        <f>VLOOKUP($A209,'Pre-Assessment Estimator'!$A$10:$AA$226,Q$2,FALSE)</f>
        <v>Credits achieved: 0</v>
      </c>
      <c r="R209" s="994" t="str">
        <f>IF(VLOOKUP($A209,'Pre-Assessment Estimator'!$A$10:$AA$226,R$2,FALSE)=0,"",VLOOKUP($A209,'Pre-Assessment Estimator'!$A$10:$AA$226,R$2,FALSE))</f>
        <v/>
      </c>
      <c r="S209" s="994" t="str">
        <f>IF(VLOOKUP($A209,'Pre-Assessment Estimator'!$A$10:$AA$226,S$2,FALSE)=0,"",VLOOKUP($A209,'Pre-Assessment Estimator'!$A$10:$AA$226,S$2,FALSE))</f>
        <v/>
      </c>
      <c r="T209" s="1013" t="str">
        <f>IF(VLOOKUP($A209,'Pre-Assessment Estimator'!$A$10:$AA$226,T$2,FALSE)=0,"",VLOOKUP($A209,'Pre-Assessment Estimator'!$A$10:$AA$226,T$2,FALSE))</f>
        <v/>
      </c>
      <c r="U209" s="1015"/>
      <c r="V209" s="516" t="str">
        <f>IF(VLOOKUP($A209,'Pre-Assessment Estimator'!$A$10:$AA$226,V$2,FALSE)=0,"",VLOOKUP($A209,'Pre-Assessment Estimator'!$A$10:$AA$226,V$2,FALSE))</f>
        <v/>
      </c>
      <c r="W209" s="515">
        <f>VLOOKUP($A209,'Pre-Assessment Estimator'!$A$10:$AA$226,W$2,FALSE)</f>
        <v>0</v>
      </c>
      <c r="X209" s="514" t="str">
        <f>VLOOKUP($A209,'Pre-Assessment Estimator'!$A$10:$AA$226,X$2,FALSE)</f>
        <v>Credits achieved: 0</v>
      </c>
      <c r="Y209" s="994" t="str">
        <f>IF(VLOOKUP($A209,'Pre-Assessment Estimator'!$A$10:$AA$226,Y$2,FALSE)=0,"",VLOOKUP($A209,'Pre-Assessment Estimator'!$A$10:$AA$226,Y$2,FALSE))</f>
        <v/>
      </c>
      <c r="Z209" s="994" t="str">
        <f>IF(VLOOKUP($A209,'Pre-Assessment Estimator'!$A$10:$AA$226,Z$2,FALSE)=0,"",VLOOKUP($A209,'Pre-Assessment Estimator'!$A$10:$AA$226,Z$2,FALSE))</f>
        <v/>
      </c>
      <c r="AA209" s="1016" t="str">
        <f>IF(VLOOKUP($A209,'Pre-Assessment Estimator'!$A$10:$AA$226,AA$2,FALSE)=0,"",VLOOKUP($A209,'Pre-Assessment Estimator'!$A$10:$AA$226,AA$2,FALSE))</f>
        <v/>
      </c>
      <c r="AB209" s="605">
        <v>198</v>
      </c>
      <c r="AC209" s="509" t="str">
        <f>IF(VLOOKUP($A209,'Pre-Assessment Estimator'!$A$10:$AC$226,AC$2,FALSE)=0,"",VLOOKUP($A209,'Pre-Assessment Estimator'!$A$10:$AC$226,AC$2,FALSE))</f>
        <v>Credits achieved: 0</v>
      </c>
      <c r="AG209" s="15">
        <f t="shared" si="3"/>
        <v>1</v>
      </c>
    </row>
    <row r="210" spans="1:33" x14ac:dyDescent="0.25">
      <c r="A210" s="716">
        <v>201</v>
      </c>
      <c r="B210" s="1022" t="s">
        <v>216</v>
      </c>
      <c r="C210" s="1022"/>
      <c r="D210" s="517"/>
      <c r="E210" s="517"/>
      <c r="F210" s="517"/>
      <c r="G210" s="518"/>
      <c r="H210" s="518"/>
      <c r="I210" s="518"/>
      <c r="J210" s="518"/>
      <c r="K210" s="517"/>
      <c r="L210" s="518"/>
      <c r="M210" s="517"/>
      <c r="N210" s="511"/>
      <c r="O210" s="518"/>
      <c r="P210" s="518"/>
      <c r="Q210" s="518"/>
      <c r="R210" s="517"/>
      <c r="S210" s="518"/>
      <c r="T210" s="517"/>
      <c r="U210" s="513"/>
      <c r="V210" s="518"/>
      <c r="W210" s="518"/>
      <c r="X210" s="518"/>
      <c r="Y210" s="517"/>
      <c r="Z210" s="518"/>
      <c r="AA210" s="300"/>
      <c r="AB210" s="605">
        <v>199</v>
      </c>
      <c r="AC210" s="509" t="str">
        <f>IF(VLOOKUP($A210,'Pre-Assessment Estimator'!$A$10:$AC$226,AC$2,FALSE)=0,"",VLOOKUP($A210,'Pre-Assessment Estimator'!$A$10:$AC$226,AC$2,FALSE))</f>
        <v/>
      </c>
      <c r="AG210" s="15">
        <f t="shared" si="3"/>
        <v>1</v>
      </c>
    </row>
    <row r="211" spans="1:33" ht="18.75" x14ac:dyDescent="0.25">
      <c r="A211" s="716">
        <v>202</v>
      </c>
      <c r="B211" s="1022" t="s">
        <v>216</v>
      </c>
      <c r="C211" s="1022"/>
      <c r="D211" s="519"/>
      <c r="E211" s="519"/>
      <c r="F211" s="519" t="s">
        <v>394</v>
      </c>
      <c r="G211" s="502"/>
      <c r="H211" s="502"/>
      <c r="I211" s="502"/>
      <c r="J211" s="502"/>
      <c r="K211" s="503"/>
      <c r="L211" s="502"/>
      <c r="M211" s="503"/>
      <c r="N211" s="511"/>
      <c r="O211" s="502"/>
      <c r="P211" s="502"/>
      <c r="Q211" s="502"/>
      <c r="R211" s="503"/>
      <c r="S211" s="502"/>
      <c r="T211" s="503"/>
      <c r="U211" s="513"/>
      <c r="V211" s="502"/>
      <c r="W211" s="502"/>
      <c r="X211" s="502"/>
      <c r="Y211" s="503"/>
      <c r="Z211" s="502"/>
      <c r="AA211" s="351"/>
      <c r="AB211" s="605">
        <v>200</v>
      </c>
      <c r="AC211" s="509" t="str">
        <f>IF(VLOOKUP($A211,'Pre-Assessment Estimator'!$A$10:$AC$226,AC$2,FALSE)=0,"",VLOOKUP($A211,'Pre-Assessment Estimator'!$A$10:$AC$226,AC$2,FALSE))</f>
        <v/>
      </c>
      <c r="AG211" s="15">
        <f t="shared" ref="AG211:AG223" si="5">IF(G211="",1,IF(G211=0,2,1))</f>
        <v>1</v>
      </c>
    </row>
    <row r="212" spans="1:33" x14ac:dyDescent="0.25">
      <c r="A212" s="716">
        <v>203</v>
      </c>
      <c r="B212" s="1022" t="s">
        <v>216</v>
      </c>
      <c r="C212" s="1022"/>
      <c r="D212" s="1048" t="str">
        <f>VLOOKUP($A212,'Pre-Assessment Estimator'!$A$10:$AA$226,D$2,FALSE)</f>
        <v>Man 03</v>
      </c>
      <c r="E212" s="1044">
        <f>VLOOKUP($A212,'Pre-Assessment Estimator'!$A$10:$AA$226,E$2,FALSE)</f>
        <v>14</v>
      </c>
      <c r="F212" s="1044" t="str">
        <f>VLOOKUP($A212,'Pre-Assessment Estimator'!$A$10:$AA$226,F$2,FALSE)</f>
        <v xml:space="preserve">Inn 01 - Man 03: Reduction of direct emissions from construction sites </v>
      </c>
      <c r="G212" s="506">
        <f>VLOOKUP($A212,'Pre-Assessment Estimator'!$A$10:$AA$226,G$2,FALSE)</f>
        <v>1</v>
      </c>
      <c r="H212" s="512" t="str">
        <f>IF(VLOOKUP($A212,'Pre-Assessment Estimator'!$A$10:$AA$226,H$2,FALSE)=0,"",VLOOKUP($A212,'Pre-Assessment Estimator'!$A$10:$AA$226,H$2,FALSE))</f>
        <v/>
      </c>
      <c r="I212" s="1012">
        <f>VLOOKUP($A212,'Pre-Assessment Estimator'!$A$10:$AA$226,I$2,FALSE)</f>
        <v>0</v>
      </c>
      <c r="J212" s="508" t="str">
        <f>VLOOKUP($A212,'Pre-Assessment Estimator'!$A$10:$AA$226,J$2,FALSE)</f>
        <v>N/A</v>
      </c>
      <c r="K212" s="509" t="str">
        <f>IF(VLOOKUP($A212,'Pre-Assessment Estimator'!$A$10:$AA$226,K$2,FALSE)=0,"",VLOOKUP($A212,'Pre-Assessment Estimator'!$A$10:$AA$226,K$2,FALSE))</f>
        <v/>
      </c>
      <c r="L212" s="509" t="str">
        <f>IF(VLOOKUP($A212,'Pre-Assessment Estimator'!$A$10:$AA$226,L$2,FALSE)=0,"",VLOOKUP($A212,'Pre-Assessment Estimator'!$A$10:$AA$226,L$2,FALSE))</f>
        <v/>
      </c>
      <c r="M212" s="510" t="str">
        <f>IF(VLOOKUP($A212,'Pre-Assessment Estimator'!$A$10:$AA$226,M$2,FALSE)=0,"",VLOOKUP($A212,'Pre-Assessment Estimator'!$A$10:$AA$226,M$2,FALSE))</f>
        <v/>
      </c>
      <c r="N212" s="511"/>
      <c r="O212" s="512" t="str">
        <f>IF(VLOOKUP($A212,'Pre-Assessment Estimator'!$A$10:$AA$226,O$2,FALSE)=0,"",VLOOKUP($A212,'Pre-Assessment Estimator'!$A$10:$AA$226,O$2,FALSE))</f>
        <v/>
      </c>
      <c r="P212" s="507">
        <f>VLOOKUP($A212,'Pre-Assessment Estimator'!$A$10:$AA$226,P$2,FALSE)</f>
        <v>0</v>
      </c>
      <c r="Q212" s="506" t="str">
        <f>VLOOKUP($A212,'Pre-Assessment Estimator'!$A$10:$AA$226,Q$2,FALSE)</f>
        <v>N/A</v>
      </c>
      <c r="R212" s="509" t="str">
        <f>IF(VLOOKUP($A212,'Pre-Assessment Estimator'!$A$10:$AA$226,R$2,FALSE)=0,"",VLOOKUP($A212,'Pre-Assessment Estimator'!$A$10:$AA$226,R$2,FALSE))</f>
        <v/>
      </c>
      <c r="S212" s="509" t="str">
        <f>IF(VLOOKUP($A212,'Pre-Assessment Estimator'!$A$10:$AA$226,S$2,FALSE)=0,"",VLOOKUP($A212,'Pre-Assessment Estimator'!$A$10:$AA$226,S$2,FALSE))</f>
        <v/>
      </c>
      <c r="T212" s="510" t="str">
        <f>IF(VLOOKUP($A212,'Pre-Assessment Estimator'!$A$10:$AA$226,T$2,FALSE)=0,"",VLOOKUP($A212,'Pre-Assessment Estimator'!$A$10:$AA$226,T$2,FALSE))</f>
        <v/>
      </c>
      <c r="U212" s="513"/>
      <c r="V212" s="512" t="str">
        <f>IF(VLOOKUP($A212,'Pre-Assessment Estimator'!$A$10:$AA$226,V$2,FALSE)=0,"",VLOOKUP($A212,'Pre-Assessment Estimator'!$A$10:$AA$226,V$2,FALSE))</f>
        <v/>
      </c>
      <c r="W212" s="507">
        <f>VLOOKUP($A212,'Pre-Assessment Estimator'!$A$10:$AA$226,W$2,FALSE)</f>
        <v>0</v>
      </c>
      <c r="X212" s="506" t="str">
        <f>VLOOKUP($A212,'Pre-Assessment Estimator'!$A$10:$AA$226,X$2,FALSE)</f>
        <v>N/A</v>
      </c>
      <c r="Y212" s="509" t="str">
        <f>IF(VLOOKUP($A212,'Pre-Assessment Estimator'!$A$10:$AA$226,Y$2,FALSE)=0,"",VLOOKUP($A212,'Pre-Assessment Estimator'!$A$10:$AA$226,Y$2,FALSE))</f>
        <v/>
      </c>
      <c r="Z212" s="509" t="str">
        <f>IF(VLOOKUP($A212,'Pre-Assessment Estimator'!$A$10:$AA$226,Z$2,FALSE)=0,"",VLOOKUP($A212,'Pre-Assessment Estimator'!$A$10:$AA$226,Z$2,FALSE))</f>
        <v/>
      </c>
      <c r="AA212" s="322" t="str">
        <f>IF(VLOOKUP($A212,'Pre-Assessment Estimator'!$A$10:$AA$226,AA$2,FALSE)=0,"",VLOOKUP($A212,'Pre-Assessment Estimator'!$A$10:$AA$226,AA$2,FALSE))</f>
        <v/>
      </c>
      <c r="AB212" s="605">
        <v>201</v>
      </c>
      <c r="AC212" s="509"/>
      <c r="AG212" s="15">
        <f t="shared" si="5"/>
        <v>1</v>
      </c>
    </row>
    <row r="213" spans="1:33" x14ac:dyDescent="0.25">
      <c r="A213" s="716">
        <v>204</v>
      </c>
      <c r="B213" s="1022" t="s">
        <v>216</v>
      </c>
      <c r="C213" s="1022"/>
      <c r="D213" s="1048" t="str">
        <f>VLOOKUP($A213,'Pre-Assessment Estimator'!$A$10:$AA$226,D$2,FALSE)</f>
        <v>Hea 01</v>
      </c>
      <c r="E213" s="1044" t="str">
        <f>VLOOKUP($A213,'Pre-Assessment Estimator'!$A$10:$AA$226,E$2,FALSE)</f>
        <v>21-22</v>
      </c>
      <c r="F213" s="1044" t="str">
        <f>VLOOKUP($A213,'Pre-Assessment Estimator'!$A$10:$AA$226,F$2,FALSE)</f>
        <v xml:space="preserve">Inn 02 - Hea 01: View out, high level </v>
      </c>
      <c r="G213" s="506">
        <f>VLOOKUP($A213,'Pre-Assessment Estimator'!$A$10:$AA$226,G$2,FALSE)</f>
        <v>1</v>
      </c>
      <c r="H213" s="512" t="str">
        <f>IF(VLOOKUP($A213,'Pre-Assessment Estimator'!$A$10:$AA$226,H$2,FALSE)=0,"",VLOOKUP($A213,'Pre-Assessment Estimator'!$A$10:$AA$226,H$2,FALSE))</f>
        <v/>
      </c>
      <c r="I213" s="1012">
        <f>VLOOKUP($A213,'Pre-Assessment Estimator'!$A$10:$AA$226,I$2,FALSE)</f>
        <v>0</v>
      </c>
      <c r="J213" s="508" t="str">
        <f>VLOOKUP($A213,'Pre-Assessment Estimator'!$A$10:$AA$226,J$2,FALSE)</f>
        <v>N/A</v>
      </c>
      <c r="K213" s="509" t="str">
        <f>IF(VLOOKUP($A213,'Pre-Assessment Estimator'!$A$10:$AA$226,K$2,FALSE)=0,"",VLOOKUP($A213,'Pre-Assessment Estimator'!$A$10:$AA$226,K$2,FALSE))</f>
        <v/>
      </c>
      <c r="L213" s="509" t="str">
        <f>IF(VLOOKUP($A213,'Pre-Assessment Estimator'!$A$10:$AA$226,L$2,FALSE)=0,"",VLOOKUP($A213,'Pre-Assessment Estimator'!$A$10:$AA$226,L$2,FALSE))</f>
        <v/>
      </c>
      <c r="M213" s="510" t="str">
        <f>IF(VLOOKUP($A213,'Pre-Assessment Estimator'!$A$10:$AA$226,M$2,FALSE)=0,"",VLOOKUP($A213,'Pre-Assessment Estimator'!$A$10:$AA$226,M$2,FALSE))</f>
        <v/>
      </c>
      <c r="N213" s="511"/>
      <c r="O213" s="512" t="str">
        <f>IF(VLOOKUP($A213,'Pre-Assessment Estimator'!$A$10:$AA$226,O$2,FALSE)=0,"",VLOOKUP($A213,'Pre-Assessment Estimator'!$A$10:$AA$226,O$2,FALSE))</f>
        <v/>
      </c>
      <c r="P213" s="507">
        <f>VLOOKUP($A213,'Pre-Assessment Estimator'!$A$10:$AA$226,P$2,FALSE)</f>
        <v>0</v>
      </c>
      <c r="Q213" s="506" t="str">
        <f>VLOOKUP($A213,'Pre-Assessment Estimator'!$A$10:$AA$226,Q$2,FALSE)</f>
        <v>N/A</v>
      </c>
      <c r="R213" s="509" t="str">
        <f>IF(VLOOKUP($A213,'Pre-Assessment Estimator'!$A$10:$AA$226,R$2,FALSE)=0,"",VLOOKUP($A213,'Pre-Assessment Estimator'!$A$10:$AA$226,R$2,FALSE))</f>
        <v/>
      </c>
      <c r="S213" s="509" t="str">
        <f>IF(VLOOKUP($A213,'Pre-Assessment Estimator'!$A$10:$AA$226,S$2,FALSE)=0,"",VLOOKUP($A213,'Pre-Assessment Estimator'!$A$10:$AA$226,S$2,FALSE))</f>
        <v/>
      </c>
      <c r="T213" s="510" t="str">
        <f>IF(VLOOKUP($A213,'Pre-Assessment Estimator'!$A$10:$AA$226,T$2,FALSE)=0,"",VLOOKUP($A213,'Pre-Assessment Estimator'!$A$10:$AA$226,T$2,FALSE))</f>
        <v/>
      </c>
      <c r="U213" s="513"/>
      <c r="V213" s="512" t="str">
        <f>IF(VLOOKUP($A213,'Pre-Assessment Estimator'!$A$10:$AA$226,V$2,FALSE)=0,"",VLOOKUP($A213,'Pre-Assessment Estimator'!$A$10:$AA$226,V$2,FALSE))</f>
        <v/>
      </c>
      <c r="W213" s="507">
        <f>VLOOKUP($A213,'Pre-Assessment Estimator'!$A$10:$AA$226,W$2,FALSE)</f>
        <v>0</v>
      </c>
      <c r="X213" s="506" t="str">
        <f>VLOOKUP($A213,'Pre-Assessment Estimator'!$A$10:$AA$226,X$2,FALSE)</f>
        <v>N/A</v>
      </c>
      <c r="Y213" s="509" t="str">
        <f>IF(VLOOKUP($A213,'Pre-Assessment Estimator'!$A$10:$AA$226,Y$2,FALSE)=0,"",VLOOKUP($A213,'Pre-Assessment Estimator'!$A$10:$AA$226,Y$2,FALSE))</f>
        <v/>
      </c>
      <c r="Z213" s="509" t="str">
        <f>IF(VLOOKUP($A213,'Pre-Assessment Estimator'!$A$10:$AA$226,Z$2,FALSE)=0,"",VLOOKUP($A213,'Pre-Assessment Estimator'!$A$10:$AA$226,Z$2,FALSE))</f>
        <v/>
      </c>
      <c r="AA213" s="322" t="str">
        <f>IF(VLOOKUP($A213,'Pre-Assessment Estimator'!$A$10:$AA$226,AA$2,FALSE)=0,"",VLOOKUP($A213,'Pre-Assessment Estimator'!$A$10:$AA$226,AA$2,FALSE))</f>
        <v/>
      </c>
      <c r="AB213" s="605">
        <v>202</v>
      </c>
      <c r="AC213" s="509"/>
      <c r="AG213" s="15">
        <f t="shared" si="5"/>
        <v>1</v>
      </c>
    </row>
    <row r="214" spans="1:33" x14ac:dyDescent="0.25">
      <c r="A214" s="716">
        <v>205</v>
      </c>
      <c r="B214" s="1022" t="s">
        <v>216</v>
      </c>
      <c r="C214" s="1022"/>
      <c r="D214" s="1048" t="str">
        <f>VLOOKUP($A214,'Pre-Assessment Estimator'!$A$10:$AA$226,D$2,FALSE)</f>
        <v>Hea 02</v>
      </c>
      <c r="E214" s="1044">
        <f>VLOOKUP($A214,'Pre-Assessment Estimator'!$A$10:$AA$226,E$2,FALSE)</f>
        <v>12</v>
      </c>
      <c r="F214" s="1044" t="str">
        <f>VLOOKUP($A214,'Pre-Assessment Estimator'!$A$10:$AA$226,F$2,FALSE)</f>
        <v>Inn 03 - Hea 02: Emissions from construction products</v>
      </c>
      <c r="G214" s="506">
        <f>VLOOKUP($A214,'Pre-Assessment Estimator'!$A$10:$AA$226,G$2,FALSE)</f>
        <v>1</v>
      </c>
      <c r="H214" s="512" t="str">
        <f>IF(VLOOKUP($A214,'Pre-Assessment Estimator'!$A$10:$AA$226,H$2,FALSE)=0,"",VLOOKUP($A214,'Pre-Assessment Estimator'!$A$10:$AA$226,H$2,FALSE))</f>
        <v/>
      </c>
      <c r="I214" s="1012">
        <f>VLOOKUP($A214,'Pre-Assessment Estimator'!$A$10:$AA$226,I$2,FALSE)</f>
        <v>0</v>
      </c>
      <c r="J214" s="508" t="str">
        <f>VLOOKUP($A214,'Pre-Assessment Estimator'!$A$10:$AA$226,J$2,FALSE)</f>
        <v>N/A</v>
      </c>
      <c r="K214" s="509" t="str">
        <f>IF(VLOOKUP($A214,'Pre-Assessment Estimator'!$A$10:$AA$226,K$2,FALSE)=0,"",VLOOKUP($A214,'Pre-Assessment Estimator'!$A$10:$AA$226,K$2,FALSE))</f>
        <v/>
      </c>
      <c r="L214" s="509" t="str">
        <f>IF(VLOOKUP($A214,'Pre-Assessment Estimator'!$A$10:$AA$226,L$2,FALSE)=0,"",VLOOKUP($A214,'Pre-Assessment Estimator'!$A$10:$AA$226,L$2,FALSE))</f>
        <v/>
      </c>
      <c r="M214" s="510" t="str">
        <f>IF(VLOOKUP($A214,'Pre-Assessment Estimator'!$A$10:$AA$226,M$2,FALSE)=0,"",VLOOKUP($A214,'Pre-Assessment Estimator'!$A$10:$AA$226,M$2,FALSE))</f>
        <v/>
      </c>
      <c r="N214" s="511"/>
      <c r="O214" s="512" t="str">
        <f>IF(VLOOKUP($A214,'Pre-Assessment Estimator'!$A$10:$AA$226,O$2,FALSE)=0,"",VLOOKUP($A214,'Pre-Assessment Estimator'!$A$10:$AA$226,O$2,FALSE))</f>
        <v/>
      </c>
      <c r="P214" s="507">
        <f>VLOOKUP($A214,'Pre-Assessment Estimator'!$A$10:$AA$226,P$2,FALSE)</f>
        <v>0</v>
      </c>
      <c r="Q214" s="506" t="str">
        <f>VLOOKUP($A214,'Pre-Assessment Estimator'!$A$10:$AA$226,Q$2,FALSE)</f>
        <v>N/A</v>
      </c>
      <c r="R214" s="509" t="str">
        <f>IF(VLOOKUP($A214,'Pre-Assessment Estimator'!$A$10:$AA$226,R$2,FALSE)=0,"",VLOOKUP($A214,'Pre-Assessment Estimator'!$A$10:$AA$226,R$2,FALSE))</f>
        <v/>
      </c>
      <c r="S214" s="509" t="str">
        <f>IF(VLOOKUP($A214,'Pre-Assessment Estimator'!$A$10:$AA$226,S$2,FALSE)=0,"",VLOOKUP($A214,'Pre-Assessment Estimator'!$A$10:$AA$226,S$2,FALSE))</f>
        <v/>
      </c>
      <c r="T214" s="510" t="str">
        <f>IF(VLOOKUP($A214,'Pre-Assessment Estimator'!$A$10:$AA$226,T$2,FALSE)=0,"",VLOOKUP($A214,'Pre-Assessment Estimator'!$A$10:$AA$226,T$2,FALSE))</f>
        <v/>
      </c>
      <c r="U214" s="513"/>
      <c r="V214" s="512" t="str">
        <f>IF(VLOOKUP($A214,'Pre-Assessment Estimator'!$A$10:$AA$226,V$2,FALSE)=0,"",VLOOKUP($A214,'Pre-Assessment Estimator'!$A$10:$AA$226,V$2,FALSE))</f>
        <v/>
      </c>
      <c r="W214" s="507">
        <f>VLOOKUP($A214,'Pre-Assessment Estimator'!$A$10:$AA$226,W$2,FALSE)</f>
        <v>0</v>
      </c>
      <c r="X214" s="506" t="str">
        <f>VLOOKUP($A214,'Pre-Assessment Estimator'!$A$10:$AA$226,X$2,FALSE)</f>
        <v>N/A</v>
      </c>
      <c r="Y214" s="509" t="str">
        <f>IF(VLOOKUP($A214,'Pre-Assessment Estimator'!$A$10:$AA$226,Y$2,FALSE)=0,"",VLOOKUP($A214,'Pre-Assessment Estimator'!$A$10:$AA$226,Y$2,FALSE))</f>
        <v/>
      </c>
      <c r="Z214" s="509" t="str">
        <f>IF(VLOOKUP($A214,'Pre-Assessment Estimator'!$A$10:$AA$226,Z$2,FALSE)=0,"",VLOOKUP($A214,'Pre-Assessment Estimator'!$A$10:$AA$226,Z$2,FALSE))</f>
        <v/>
      </c>
      <c r="AA214" s="322" t="str">
        <f>IF(VLOOKUP($A214,'Pre-Assessment Estimator'!$A$10:$AA$226,AA$2,FALSE)=0,"",VLOOKUP($A214,'Pre-Assessment Estimator'!$A$10:$AA$226,AA$2,FALSE))</f>
        <v/>
      </c>
      <c r="AB214" s="605">
        <v>203</v>
      </c>
      <c r="AC214" s="509"/>
      <c r="AG214" s="15">
        <f t="shared" si="5"/>
        <v>1</v>
      </c>
    </row>
    <row r="215" spans="1:33" x14ac:dyDescent="0.25">
      <c r="A215" s="716">
        <v>206</v>
      </c>
      <c r="B215" s="1022" t="s">
        <v>216</v>
      </c>
      <c r="C215" s="1022"/>
      <c r="D215" s="1048" t="str">
        <f>VLOOKUP($A215,'Pre-Assessment Estimator'!$A$10:$AA$226,D$2,FALSE)</f>
        <v>Hea 06</v>
      </c>
      <c r="E215" s="1044" t="str">
        <f>VLOOKUP($A215,'Pre-Assessment Estimator'!$A$10:$AA$226,E$2,FALSE)</f>
        <v>8-9</v>
      </c>
      <c r="F215" s="1044" t="str">
        <f>VLOOKUP($A215,'Pre-Assessment Estimator'!$A$10:$AA$226,F$2,FALSE)</f>
        <v xml:space="preserve">Inn 04 - Hea 06: Biofilik design </v>
      </c>
      <c r="G215" s="506">
        <f>VLOOKUP($A215,'Pre-Assessment Estimator'!$A$10:$AA$226,G$2,FALSE)</f>
        <v>1</v>
      </c>
      <c r="H215" s="512" t="str">
        <f>IF(VLOOKUP($A215,'Pre-Assessment Estimator'!$A$10:$AA$226,H$2,FALSE)=0,"",VLOOKUP($A215,'Pre-Assessment Estimator'!$A$10:$AA$226,H$2,FALSE))</f>
        <v/>
      </c>
      <c r="I215" s="1012">
        <f>VLOOKUP($A215,'Pre-Assessment Estimator'!$A$10:$AA$226,I$2,FALSE)</f>
        <v>0</v>
      </c>
      <c r="J215" s="508" t="str">
        <f>VLOOKUP($A215,'Pre-Assessment Estimator'!$A$10:$AA$226,J$2,FALSE)</f>
        <v>N/A</v>
      </c>
      <c r="K215" s="509" t="str">
        <f>IF(VLOOKUP($A215,'Pre-Assessment Estimator'!$A$10:$AA$226,K$2,FALSE)=0,"",VLOOKUP($A215,'Pre-Assessment Estimator'!$A$10:$AA$226,K$2,FALSE))</f>
        <v/>
      </c>
      <c r="L215" s="509" t="str">
        <f>IF(VLOOKUP($A215,'Pre-Assessment Estimator'!$A$10:$AA$226,L$2,FALSE)=0,"",VLOOKUP($A215,'Pre-Assessment Estimator'!$A$10:$AA$226,L$2,FALSE))</f>
        <v/>
      </c>
      <c r="M215" s="510" t="str">
        <f>IF(VLOOKUP($A215,'Pre-Assessment Estimator'!$A$10:$AA$226,M$2,FALSE)=0,"",VLOOKUP($A215,'Pre-Assessment Estimator'!$A$10:$AA$226,M$2,FALSE))</f>
        <v/>
      </c>
      <c r="N215" s="511"/>
      <c r="O215" s="512" t="str">
        <f>IF(VLOOKUP($A215,'Pre-Assessment Estimator'!$A$10:$AA$226,O$2,FALSE)=0,"",VLOOKUP($A215,'Pre-Assessment Estimator'!$A$10:$AA$226,O$2,FALSE))</f>
        <v/>
      </c>
      <c r="P215" s="507">
        <f>VLOOKUP($A215,'Pre-Assessment Estimator'!$A$10:$AA$226,P$2,FALSE)</f>
        <v>0</v>
      </c>
      <c r="Q215" s="506" t="str">
        <f>VLOOKUP($A215,'Pre-Assessment Estimator'!$A$10:$AA$226,Q$2,FALSE)</f>
        <v>N/A</v>
      </c>
      <c r="R215" s="509" t="str">
        <f>IF(VLOOKUP($A215,'Pre-Assessment Estimator'!$A$10:$AA$226,R$2,FALSE)=0,"",VLOOKUP($A215,'Pre-Assessment Estimator'!$A$10:$AA$226,R$2,FALSE))</f>
        <v/>
      </c>
      <c r="S215" s="509" t="str">
        <f>IF(VLOOKUP($A215,'Pre-Assessment Estimator'!$A$10:$AA$226,S$2,FALSE)=0,"",VLOOKUP($A215,'Pre-Assessment Estimator'!$A$10:$AA$226,S$2,FALSE))</f>
        <v/>
      </c>
      <c r="T215" s="510" t="str">
        <f>IF(VLOOKUP($A215,'Pre-Assessment Estimator'!$A$10:$AA$226,T$2,FALSE)=0,"",VLOOKUP($A215,'Pre-Assessment Estimator'!$A$10:$AA$226,T$2,FALSE))</f>
        <v/>
      </c>
      <c r="U215" s="513"/>
      <c r="V215" s="512" t="str">
        <f>IF(VLOOKUP($A215,'Pre-Assessment Estimator'!$A$10:$AA$226,V$2,FALSE)=0,"",VLOOKUP($A215,'Pre-Assessment Estimator'!$A$10:$AA$226,V$2,FALSE))</f>
        <v/>
      </c>
      <c r="W215" s="507">
        <f>VLOOKUP($A215,'Pre-Assessment Estimator'!$A$10:$AA$226,W$2,FALSE)</f>
        <v>0</v>
      </c>
      <c r="X215" s="506" t="str">
        <f>VLOOKUP($A215,'Pre-Assessment Estimator'!$A$10:$AA$226,X$2,FALSE)</f>
        <v>N/A</v>
      </c>
      <c r="Y215" s="509" t="str">
        <f>IF(VLOOKUP($A215,'Pre-Assessment Estimator'!$A$10:$AA$226,Y$2,FALSE)=0,"",VLOOKUP($A215,'Pre-Assessment Estimator'!$A$10:$AA$226,Y$2,FALSE))</f>
        <v/>
      </c>
      <c r="Z215" s="509" t="str">
        <f>IF(VLOOKUP($A215,'Pre-Assessment Estimator'!$A$10:$AA$226,Z$2,FALSE)=0,"",VLOOKUP($A215,'Pre-Assessment Estimator'!$A$10:$AA$226,Z$2,FALSE))</f>
        <v/>
      </c>
      <c r="AA215" s="322" t="str">
        <f>IF(VLOOKUP($A215,'Pre-Assessment Estimator'!$A$10:$AA$226,AA$2,FALSE)=0,"",VLOOKUP($A215,'Pre-Assessment Estimator'!$A$10:$AA$226,AA$2,FALSE))</f>
        <v/>
      </c>
      <c r="AB215" s="605">
        <v>204</v>
      </c>
      <c r="AC215" s="509"/>
      <c r="AG215" s="15">
        <f t="shared" si="5"/>
        <v>1</v>
      </c>
    </row>
    <row r="216" spans="1:33" x14ac:dyDescent="0.25">
      <c r="A216" s="716">
        <v>207</v>
      </c>
      <c r="B216" s="1022" t="s">
        <v>216</v>
      </c>
      <c r="C216" s="1022"/>
      <c r="D216" s="1048" t="str">
        <f>VLOOKUP($A216,'Pre-Assessment Estimator'!$A$10:$AA$226,D$2,FALSE)</f>
        <v>Ene 01</v>
      </c>
      <c r="E216" s="1044" t="str">
        <f>VLOOKUP($A216,'Pre-Assessment Estimator'!$A$10:$AA$226,E$2,FALSE)</f>
        <v>17-20</v>
      </c>
      <c r="F216" s="1044" t="str">
        <f>VLOOKUP($A216,'Pre-Assessment Estimator'!$A$10:$AA$226,F$2,FALSE)</f>
        <v xml:space="preserve">Inn 05 - Ene 01: Post-occupancy stage </v>
      </c>
      <c r="G216" s="506">
        <f>VLOOKUP($A216,'Pre-Assessment Estimator'!$A$10:$AA$226,G$2,FALSE)</f>
        <v>2</v>
      </c>
      <c r="H216" s="512" t="str">
        <f>IF(VLOOKUP($A216,'Pre-Assessment Estimator'!$A$10:$AA$226,H$2,FALSE)=0,"",VLOOKUP($A216,'Pre-Assessment Estimator'!$A$10:$AA$226,H$2,FALSE))</f>
        <v/>
      </c>
      <c r="I216" s="1012">
        <f>VLOOKUP($A216,'Pre-Assessment Estimator'!$A$10:$AA$226,I$2,FALSE)</f>
        <v>0</v>
      </c>
      <c r="J216" s="508" t="str">
        <f>VLOOKUP($A216,'Pre-Assessment Estimator'!$A$10:$AA$226,J$2,FALSE)</f>
        <v>N/A</v>
      </c>
      <c r="K216" s="509" t="str">
        <f>IF(VLOOKUP($A216,'Pre-Assessment Estimator'!$A$10:$AA$226,K$2,FALSE)=0,"",VLOOKUP($A216,'Pre-Assessment Estimator'!$A$10:$AA$226,K$2,FALSE))</f>
        <v/>
      </c>
      <c r="L216" s="509" t="str">
        <f>IF(VLOOKUP($A216,'Pre-Assessment Estimator'!$A$10:$AA$226,L$2,FALSE)=0,"",VLOOKUP($A216,'Pre-Assessment Estimator'!$A$10:$AA$226,L$2,FALSE))</f>
        <v/>
      </c>
      <c r="M216" s="510" t="str">
        <f>IF(VLOOKUP($A216,'Pre-Assessment Estimator'!$A$10:$AA$226,M$2,FALSE)=0,"",VLOOKUP($A216,'Pre-Assessment Estimator'!$A$10:$AA$226,M$2,FALSE))</f>
        <v/>
      </c>
      <c r="N216" s="511"/>
      <c r="O216" s="512" t="str">
        <f>IF(VLOOKUP($A216,'Pre-Assessment Estimator'!$A$10:$AA$226,O$2,FALSE)=0,"",VLOOKUP($A216,'Pre-Assessment Estimator'!$A$10:$AA$226,O$2,FALSE))</f>
        <v/>
      </c>
      <c r="P216" s="507">
        <f>VLOOKUP($A216,'Pre-Assessment Estimator'!$A$10:$AA$226,P$2,FALSE)</f>
        <v>0</v>
      </c>
      <c r="Q216" s="506" t="str">
        <f>VLOOKUP($A216,'Pre-Assessment Estimator'!$A$10:$AA$226,Q$2,FALSE)</f>
        <v>N/A</v>
      </c>
      <c r="R216" s="509" t="str">
        <f>IF(VLOOKUP($A216,'Pre-Assessment Estimator'!$A$10:$AA$226,R$2,FALSE)=0,"",VLOOKUP($A216,'Pre-Assessment Estimator'!$A$10:$AA$226,R$2,FALSE))</f>
        <v/>
      </c>
      <c r="S216" s="509" t="str">
        <f>IF(VLOOKUP($A216,'Pre-Assessment Estimator'!$A$10:$AA$226,S$2,FALSE)=0,"",VLOOKUP($A216,'Pre-Assessment Estimator'!$A$10:$AA$226,S$2,FALSE))</f>
        <v/>
      </c>
      <c r="T216" s="510" t="str">
        <f>IF(VLOOKUP($A216,'Pre-Assessment Estimator'!$A$10:$AA$226,T$2,FALSE)=0,"",VLOOKUP($A216,'Pre-Assessment Estimator'!$A$10:$AA$226,T$2,FALSE))</f>
        <v/>
      </c>
      <c r="U216" s="513"/>
      <c r="V216" s="512" t="str">
        <f>IF(VLOOKUP($A216,'Pre-Assessment Estimator'!$A$10:$AA$226,V$2,FALSE)=0,"",VLOOKUP($A216,'Pre-Assessment Estimator'!$A$10:$AA$226,V$2,FALSE))</f>
        <v/>
      </c>
      <c r="W216" s="507">
        <f>VLOOKUP($A216,'Pre-Assessment Estimator'!$A$10:$AA$226,W$2,FALSE)</f>
        <v>0</v>
      </c>
      <c r="X216" s="506" t="str">
        <f>VLOOKUP($A216,'Pre-Assessment Estimator'!$A$10:$AA$226,X$2,FALSE)</f>
        <v>N/A</v>
      </c>
      <c r="Y216" s="509" t="str">
        <f>IF(VLOOKUP($A216,'Pre-Assessment Estimator'!$A$10:$AA$226,Y$2,FALSE)=0,"",VLOOKUP($A216,'Pre-Assessment Estimator'!$A$10:$AA$226,Y$2,FALSE))</f>
        <v/>
      </c>
      <c r="Z216" s="509" t="str">
        <f>IF(VLOOKUP($A216,'Pre-Assessment Estimator'!$A$10:$AA$226,Z$2,FALSE)=0,"",VLOOKUP($A216,'Pre-Assessment Estimator'!$A$10:$AA$226,Z$2,FALSE))</f>
        <v/>
      </c>
      <c r="AA216" s="322" t="str">
        <f>IF(VLOOKUP($A216,'Pre-Assessment Estimator'!$A$10:$AA$226,AA$2,FALSE)=0,"",VLOOKUP($A216,'Pre-Assessment Estimator'!$A$10:$AA$226,AA$2,FALSE))</f>
        <v/>
      </c>
      <c r="AB216" s="605">
        <v>205</v>
      </c>
      <c r="AC216" s="509"/>
      <c r="AG216" s="15">
        <f t="shared" si="5"/>
        <v>1</v>
      </c>
    </row>
    <row r="217" spans="1:33" x14ac:dyDescent="0.25">
      <c r="A217" s="716">
        <v>208</v>
      </c>
      <c r="B217" s="1022" t="s">
        <v>216</v>
      </c>
      <c r="C217" s="1022"/>
      <c r="D217" s="1048" t="str">
        <f>VLOOKUP($A217,'Pre-Assessment Estimator'!$A$10:$AA$226,D$2,FALSE)</f>
        <v>Ene 01</v>
      </c>
      <c r="E217" s="1044">
        <f>VLOOKUP($A217,'Pre-Assessment Estimator'!$A$10:$AA$226,E$2,FALSE)</f>
        <v>21</v>
      </c>
      <c r="F217" s="1044" t="str">
        <f>VLOOKUP($A217,'Pre-Assessment Estimator'!$A$10:$AA$226,F$2,FALSE)</f>
        <v xml:space="preserve">Inn 06 - Ene 01: Plus house </v>
      </c>
      <c r="G217" s="506">
        <f>VLOOKUP($A217,'Pre-Assessment Estimator'!$A$10:$AA$226,G$2,FALSE)</f>
        <v>1</v>
      </c>
      <c r="H217" s="512" t="str">
        <f>IF(VLOOKUP($A217,'Pre-Assessment Estimator'!$A$10:$AA$226,H$2,FALSE)=0,"",VLOOKUP($A217,'Pre-Assessment Estimator'!$A$10:$AA$226,H$2,FALSE))</f>
        <v/>
      </c>
      <c r="I217" s="1012">
        <f>VLOOKUP($A217,'Pre-Assessment Estimator'!$A$10:$AA$226,I$2,FALSE)</f>
        <v>0</v>
      </c>
      <c r="J217" s="508" t="str">
        <f>VLOOKUP($A217,'Pre-Assessment Estimator'!$A$10:$AA$226,J$2,FALSE)</f>
        <v>N/A</v>
      </c>
      <c r="K217" s="509" t="str">
        <f>IF(VLOOKUP($A217,'Pre-Assessment Estimator'!$A$10:$AA$226,K$2,FALSE)=0,"",VLOOKUP($A217,'Pre-Assessment Estimator'!$A$10:$AA$226,K$2,FALSE))</f>
        <v/>
      </c>
      <c r="L217" s="509" t="str">
        <f>IF(VLOOKUP($A217,'Pre-Assessment Estimator'!$A$10:$AA$226,L$2,FALSE)=0,"",VLOOKUP($A217,'Pre-Assessment Estimator'!$A$10:$AA$226,L$2,FALSE))</f>
        <v/>
      </c>
      <c r="M217" s="510" t="str">
        <f>IF(VLOOKUP($A217,'Pre-Assessment Estimator'!$A$10:$AA$226,M$2,FALSE)=0,"",VLOOKUP($A217,'Pre-Assessment Estimator'!$A$10:$AA$226,M$2,FALSE))</f>
        <v/>
      </c>
      <c r="N217" s="511"/>
      <c r="O217" s="512" t="str">
        <f>IF(VLOOKUP($A217,'Pre-Assessment Estimator'!$A$10:$AA$226,O$2,FALSE)=0,"",VLOOKUP($A217,'Pre-Assessment Estimator'!$A$10:$AA$226,O$2,FALSE))</f>
        <v/>
      </c>
      <c r="P217" s="507">
        <f>VLOOKUP($A217,'Pre-Assessment Estimator'!$A$10:$AA$226,P$2,FALSE)</f>
        <v>0</v>
      </c>
      <c r="Q217" s="506" t="str">
        <f>VLOOKUP($A217,'Pre-Assessment Estimator'!$A$10:$AA$226,Q$2,FALSE)</f>
        <v>N/A</v>
      </c>
      <c r="R217" s="509" t="str">
        <f>IF(VLOOKUP($A217,'Pre-Assessment Estimator'!$A$10:$AA$226,R$2,FALSE)=0,"",VLOOKUP($A217,'Pre-Assessment Estimator'!$A$10:$AA$226,R$2,FALSE))</f>
        <v/>
      </c>
      <c r="S217" s="509" t="str">
        <f>IF(VLOOKUP($A217,'Pre-Assessment Estimator'!$A$10:$AA$226,S$2,FALSE)=0,"",VLOOKUP($A217,'Pre-Assessment Estimator'!$A$10:$AA$226,S$2,FALSE))</f>
        <v/>
      </c>
      <c r="T217" s="510" t="str">
        <f>IF(VLOOKUP($A217,'Pre-Assessment Estimator'!$A$10:$AA$226,T$2,FALSE)=0,"",VLOOKUP($A217,'Pre-Assessment Estimator'!$A$10:$AA$226,T$2,FALSE))</f>
        <v/>
      </c>
      <c r="U217" s="513"/>
      <c r="V217" s="512" t="str">
        <f>IF(VLOOKUP($A217,'Pre-Assessment Estimator'!$A$10:$AA$226,V$2,FALSE)=0,"",VLOOKUP($A217,'Pre-Assessment Estimator'!$A$10:$AA$226,V$2,FALSE))</f>
        <v/>
      </c>
      <c r="W217" s="507">
        <f>VLOOKUP($A217,'Pre-Assessment Estimator'!$A$10:$AA$226,W$2,FALSE)</f>
        <v>0</v>
      </c>
      <c r="X217" s="506" t="str">
        <f>VLOOKUP($A217,'Pre-Assessment Estimator'!$A$10:$AA$226,X$2,FALSE)</f>
        <v>N/A</v>
      </c>
      <c r="Y217" s="509" t="str">
        <f>IF(VLOOKUP($A217,'Pre-Assessment Estimator'!$A$10:$AA$226,Y$2,FALSE)=0,"",VLOOKUP($A217,'Pre-Assessment Estimator'!$A$10:$AA$226,Y$2,FALSE))</f>
        <v/>
      </c>
      <c r="Z217" s="509" t="str">
        <f>IF(VLOOKUP($A217,'Pre-Assessment Estimator'!$A$10:$AA$226,Z$2,FALSE)=0,"",VLOOKUP($A217,'Pre-Assessment Estimator'!$A$10:$AA$226,Z$2,FALSE))</f>
        <v/>
      </c>
      <c r="AA217" s="322" t="str">
        <f>IF(VLOOKUP($A217,'Pre-Assessment Estimator'!$A$10:$AA$226,AA$2,FALSE)=0,"",VLOOKUP($A217,'Pre-Assessment Estimator'!$A$10:$AA$226,AA$2,FALSE))</f>
        <v/>
      </c>
      <c r="AB217" s="605">
        <v>206</v>
      </c>
      <c r="AC217" s="509"/>
      <c r="AG217" s="15">
        <f t="shared" si="5"/>
        <v>1</v>
      </c>
    </row>
    <row r="218" spans="1:33" x14ac:dyDescent="0.25">
      <c r="A218" s="716">
        <v>209</v>
      </c>
      <c r="B218" s="1022" t="s">
        <v>216</v>
      </c>
      <c r="C218" s="1022"/>
      <c r="D218" s="1048" t="str">
        <f>VLOOKUP($A218,'Pre-Assessment Estimator'!$A$10:$AA$226,D$2,FALSE)</f>
        <v>Wat 01</v>
      </c>
      <c r="E218" s="1044">
        <f>VLOOKUP($A218,'Pre-Assessment Estimator'!$A$10:$AA$226,E$2,FALSE)</f>
        <v>8</v>
      </c>
      <c r="F218" s="1044" t="str">
        <f>VLOOKUP($A218,'Pre-Assessment Estimator'!$A$10:$AA$226,F$2,FALSE)</f>
        <v>Inn 07 - Wat 01: Highly water efficient components</v>
      </c>
      <c r="G218" s="506">
        <f>VLOOKUP($A218,'Pre-Assessment Estimator'!$A$10:$AA$226,G$2,FALSE)</f>
        <v>1</v>
      </c>
      <c r="H218" s="512" t="str">
        <f>IF(VLOOKUP($A218,'Pre-Assessment Estimator'!$A$10:$AA$226,H$2,FALSE)=0,"",VLOOKUP($A218,'Pre-Assessment Estimator'!$A$10:$AA$226,H$2,FALSE))</f>
        <v/>
      </c>
      <c r="I218" s="1012">
        <f>VLOOKUP($A218,'Pre-Assessment Estimator'!$A$10:$AA$226,I$2,FALSE)</f>
        <v>0</v>
      </c>
      <c r="J218" s="508" t="str">
        <f>VLOOKUP($A218,'Pre-Assessment Estimator'!$A$10:$AA$226,J$2,FALSE)</f>
        <v>N/A</v>
      </c>
      <c r="K218" s="509" t="str">
        <f>IF(VLOOKUP($A218,'Pre-Assessment Estimator'!$A$10:$AA$226,K$2,FALSE)=0,"",VLOOKUP($A218,'Pre-Assessment Estimator'!$A$10:$AA$226,K$2,FALSE))</f>
        <v/>
      </c>
      <c r="L218" s="509" t="str">
        <f>IF(VLOOKUP($A218,'Pre-Assessment Estimator'!$A$10:$AA$226,L$2,FALSE)=0,"",VLOOKUP($A218,'Pre-Assessment Estimator'!$A$10:$AA$226,L$2,FALSE))</f>
        <v/>
      </c>
      <c r="M218" s="510" t="str">
        <f>IF(VLOOKUP($A218,'Pre-Assessment Estimator'!$A$10:$AA$226,M$2,FALSE)=0,"",VLOOKUP($A218,'Pre-Assessment Estimator'!$A$10:$AA$226,M$2,FALSE))</f>
        <v/>
      </c>
      <c r="N218" s="511"/>
      <c r="O218" s="512" t="str">
        <f>IF(VLOOKUP($A218,'Pre-Assessment Estimator'!$A$10:$AA$226,O$2,FALSE)=0,"",VLOOKUP($A218,'Pre-Assessment Estimator'!$A$10:$AA$226,O$2,FALSE))</f>
        <v/>
      </c>
      <c r="P218" s="507">
        <f>VLOOKUP($A218,'Pre-Assessment Estimator'!$A$10:$AA$226,P$2,FALSE)</f>
        <v>0</v>
      </c>
      <c r="Q218" s="506" t="str">
        <f>VLOOKUP($A218,'Pre-Assessment Estimator'!$A$10:$AA$226,Q$2,FALSE)</f>
        <v>N/A</v>
      </c>
      <c r="R218" s="509" t="str">
        <f>IF(VLOOKUP($A218,'Pre-Assessment Estimator'!$A$10:$AA$226,R$2,FALSE)=0,"",VLOOKUP($A218,'Pre-Assessment Estimator'!$A$10:$AA$226,R$2,FALSE))</f>
        <v/>
      </c>
      <c r="S218" s="509" t="str">
        <f>IF(VLOOKUP($A218,'Pre-Assessment Estimator'!$A$10:$AA$226,S$2,FALSE)=0,"",VLOOKUP($A218,'Pre-Assessment Estimator'!$A$10:$AA$226,S$2,FALSE))</f>
        <v/>
      </c>
      <c r="T218" s="510" t="str">
        <f>IF(VLOOKUP($A218,'Pre-Assessment Estimator'!$A$10:$AA$226,T$2,FALSE)=0,"",VLOOKUP($A218,'Pre-Assessment Estimator'!$A$10:$AA$226,T$2,FALSE))</f>
        <v/>
      </c>
      <c r="U218" s="513"/>
      <c r="V218" s="512" t="str">
        <f>IF(VLOOKUP($A218,'Pre-Assessment Estimator'!$A$10:$AA$226,V$2,FALSE)=0,"",VLOOKUP($A218,'Pre-Assessment Estimator'!$A$10:$AA$226,V$2,FALSE))</f>
        <v/>
      </c>
      <c r="W218" s="507">
        <f>VLOOKUP($A218,'Pre-Assessment Estimator'!$A$10:$AA$226,W$2,FALSE)</f>
        <v>0</v>
      </c>
      <c r="X218" s="506" t="str">
        <f>VLOOKUP($A218,'Pre-Assessment Estimator'!$A$10:$AA$226,X$2,FALSE)</f>
        <v>N/A</v>
      </c>
      <c r="Y218" s="509" t="str">
        <f>IF(VLOOKUP($A218,'Pre-Assessment Estimator'!$A$10:$AA$226,Y$2,FALSE)=0,"",VLOOKUP($A218,'Pre-Assessment Estimator'!$A$10:$AA$226,Y$2,FALSE))</f>
        <v/>
      </c>
      <c r="Z218" s="509" t="str">
        <f>IF(VLOOKUP($A218,'Pre-Assessment Estimator'!$A$10:$AA$226,Z$2,FALSE)=0,"",VLOOKUP($A218,'Pre-Assessment Estimator'!$A$10:$AA$226,Z$2,FALSE))</f>
        <v/>
      </c>
      <c r="AA218" s="322" t="str">
        <f>IF(VLOOKUP($A218,'Pre-Assessment Estimator'!$A$10:$AA$226,AA$2,FALSE)=0,"",VLOOKUP($A218,'Pre-Assessment Estimator'!$A$10:$AA$226,AA$2,FALSE))</f>
        <v/>
      </c>
      <c r="AB218" s="605">
        <v>207</v>
      </c>
      <c r="AC218" s="509" t="str">
        <f>IF(VLOOKUP($A218,'Pre-Assessment Estimator'!$A$10:$AC$226,AC$2,FALSE)=0,"",VLOOKUP($A218,'Pre-Assessment Estimator'!$A$10:$AC$226,AC$2,FALSE))</f>
        <v>N/A</v>
      </c>
      <c r="AG218" s="15">
        <f t="shared" si="5"/>
        <v>1</v>
      </c>
    </row>
    <row r="219" spans="1:33" x14ac:dyDescent="0.25">
      <c r="A219" s="716">
        <v>210</v>
      </c>
      <c r="B219" s="1022" t="s">
        <v>216</v>
      </c>
      <c r="C219" s="1022"/>
      <c r="D219" s="1048" t="str">
        <f>VLOOKUP($A219,'Pre-Assessment Estimator'!$A$10:$AA$226,D$2,FALSE)</f>
        <v>Mat 01</v>
      </c>
      <c r="E219" s="1044">
        <f>VLOOKUP($A219,'Pre-Assessment Estimator'!$A$10:$AA$226,E$2,FALSE)</f>
        <v>4</v>
      </c>
      <c r="F219" s="1044" t="str">
        <f>VLOOKUP($A219,'Pre-Assessment Estimator'!$A$10:$AA$226,F$2,FALSE)</f>
        <v xml:space="preserve">Inn 08 - Mat 01: 60% reduction of greenhouse gas emission </v>
      </c>
      <c r="G219" s="506">
        <f>VLOOKUP($A219,'Pre-Assessment Estimator'!$A$10:$AA$226,G$2,FALSE)</f>
        <v>1</v>
      </c>
      <c r="H219" s="512" t="str">
        <f>IF(VLOOKUP($A219,'Pre-Assessment Estimator'!$A$10:$AA$226,H$2,FALSE)=0,"",VLOOKUP($A219,'Pre-Assessment Estimator'!$A$10:$AA$226,H$2,FALSE))</f>
        <v/>
      </c>
      <c r="I219" s="1012">
        <f>VLOOKUP($A219,'Pre-Assessment Estimator'!$A$10:$AA$226,I$2,FALSE)</f>
        <v>0</v>
      </c>
      <c r="J219" s="508" t="str">
        <f>VLOOKUP($A219,'Pre-Assessment Estimator'!$A$10:$AA$226,J$2,FALSE)</f>
        <v>N/A</v>
      </c>
      <c r="K219" s="509" t="str">
        <f>IF(VLOOKUP($A219,'Pre-Assessment Estimator'!$A$10:$AA$226,K$2,FALSE)=0,"",VLOOKUP($A219,'Pre-Assessment Estimator'!$A$10:$AA$226,K$2,FALSE))</f>
        <v/>
      </c>
      <c r="L219" s="509" t="str">
        <f>IF(VLOOKUP($A219,'Pre-Assessment Estimator'!$A$10:$AA$226,L$2,FALSE)=0,"",VLOOKUP($A219,'Pre-Assessment Estimator'!$A$10:$AA$226,L$2,FALSE))</f>
        <v/>
      </c>
      <c r="M219" s="510" t="str">
        <f>IF(VLOOKUP($A219,'Pre-Assessment Estimator'!$A$10:$AA$226,M$2,FALSE)=0,"",VLOOKUP($A219,'Pre-Assessment Estimator'!$A$10:$AA$226,M$2,FALSE))</f>
        <v/>
      </c>
      <c r="N219" s="511"/>
      <c r="O219" s="512" t="str">
        <f>IF(VLOOKUP($A219,'Pre-Assessment Estimator'!$A$10:$AA$226,O$2,FALSE)=0,"",VLOOKUP($A219,'Pre-Assessment Estimator'!$A$10:$AA$226,O$2,FALSE))</f>
        <v/>
      </c>
      <c r="P219" s="507">
        <f>VLOOKUP($A219,'Pre-Assessment Estimator'!$A$10:$AA$226,P$2,FALSE)</f>
        <v>0</v>
      </c>
      <c r="Q219" s="506" t="str">
        <f>VLOOKUP($A219,'Pre-Assessment Estimator'!$A$10:$AA$226,Q$2,FALSE)</f>
        <v>N/A</v>
      </c>
      <c r="R219" s="509" t="str">
        <f>IF(VLOOKUP($A219,'Pre-Assessment Estimator'!$A$10:$AA$226,R$2,FALSE)=0,"",VLOOKUP($A219,'Pre-Assessment Estimator'!$A$10:$AA$226,R$2,FALSE))</f>
        <v/>
      </c>
      <c r="S219" s="509" t="str">
        <f>IF(VLOOKUP($A219,'Pre-Assessment Estimator'!$A$10:$AA$226,S$2,FALSE)=0,"",VLOOKUP($A219,'Pre-Assessment Estimator'!$A$10:$AA$226,S$2,FALSE))</f>
        <v/>
      </c>
      <c r="T219" s="510" t="str">
        <f>IF(VLOOKUP($A219,'Pre-Assessment Estimator'!$A$10:$AA$226,T$2,FALSE)=0,"",VLOOKUP($A219,'Pre-Assessment Estimator'!$A$10:$AA$226,T$2,FALSE))</f>
        <v/>
      </c>
      <c r="U219" s="513"/>
      <c r="V219" s="512" t="str">
        <f>IF(VLOOKUP($A219,'Pre-Assessment Estimator'!$A$10:$AA$226,V$2,FALSE)=0,"",VLOOKUP($A219,'Pre-Assessment Estimator'!$A$10:$AA$226,V$2,FALSE))</f>
        <v/>
      </c>
      <c r="W219" s="507">
        <f>VLOOKUP($A219,'Pre-Assessment Estimator'!$A$10:$AA$226,W$2,FALSE)</f>
        <v>0</v>
      </c>
      <c r="X219" s="506" t="str">
        <f>VLOOKUP($A219,'Pre-Assessment Estimator'!$A$10:$AA$226,X$2,FALSE)</f>
        <v>N/A</v>
      </c>
      <c r="Y219" s="509" t="str">
        <f>IF(VLOOKUP($A219,'Pre-Assessment Estimator'!$A$10:$AA$226,Y$2,FALSE)=0,"",VLOOKUP($A219,'Pre-Assessment Estimator'!$A$10:$AA$226,Y$2,FALSE))</f>
        <v/>
      </c>
      <c r="Z219" s="509" t="str">
        <f>IF(VLOOKUP($A219,'Pre-Assessment Estimator'!$A$10:$AA$226,Z$2,FALSE)=0,"",VLOOKUP($A219,'Pre-Assessment Estimator'!$A$10:$AA$226,Z$2,FALSE))</f>
        <v/>
      </c>
      <c r="AA219" s="322" t="str">
        <f>IF(VLOOKUP($A219,'Pre-Assessment Estimator'!$A$10:$AA$226,AA$2,FALSE)=0,"",VLOOKUP($A219,'Pre-Assessment Estimator'!$A$10:$AA$226,AA$2,FALSE))</f>
        <v/>
      </c>
      <c r="AB219" s="605">
        <v>208</v>
      </c>
      <c r="AC219" s="509" t="str">
        <f>IF(VLOOKUP($A219,'Pre-Assessment Estimator'!$A$10:$AC$226,AC$2,FALSE)=0,"",VLOOKUP($A219,'Pre-Assessment Estimator'!$A$10:$AC$226,AC$2,FALSE))</f>
        <v>N/A</v>
      </c>
      <c r="AG219" s="15">
        <f t="shared" si="5"/>
        <v>1</v>
      </c>
    </row>
    <row r="220" spans="1:33" ht="30" x14ac:dyDescent="0.25">
      <c r="A220" s="716">
        <v>211</v>
      </c>
      <c r="B220" s="1022" t="s">
        <v>216</v>
      </c>
      <c r="C220" s="1022"/>
      <c r="D220" s="1048" t="str">
        <f>VLOOKUP($A220,'Pre-Assessment Estimator'!$A$10:$AA$226,D$2,FALSE)</f>
        <v>Mat 06</v>
      </c>
      <c r="E220" s="1044">
        <f>VLOOKUP($A220,'Pre-Assessment Estimator'!$A$10:$AA$226,E$2,FALSE)</f>
        <v>6</v>
      </c>
      <c r="F220" s="1044" t="str">
        <f>VLOOKUP($A220,'Pre-Assessment Estimator'!$A$10:$AA$226,F$2,FALSE)</f>
        <v>Inn 09 - Mat 06: FutureBuilt criteria set for circular buildings, point 2.3 reuse of building components</v>
      </c>
      <c r="G220" s="506">
        <f>VLOOKUP($A220,'Pre-Assessment Estimator'!$A$10:$AA$226,G$2,FALSE)</f>
        <v>1</v>
      </c>
      <c r="H220" s="512" t="str">
        <f>IF(VLOOKUP($A220,'Pre-Assessment Estimator'!$A$10:$AA$226,H$2,FALSE)=0,"",VLOOKUP($A220,'Pre-Assessment Estimator'!$A$10:$AA$226,H$2,FALSE))</f>
        <v/>
      </c>
      <c r="I220" s="1012">
        <f>VLOOKUP($A220,'Pre-Assessment Estimator'!$A$10:$AA$226,I$2,FALSE)</f>
        <v>0</v>
      </c>
      <c r="J220" s="508" t="str">
        <f>VLOOKUP($A220,'Pre-Assessment Estimator'!$A$10:$AA$226,J$2,FALSE)</f>
        <v>N/A</v>
      </c>
      <c r="K220" s="509" t="str">
        <f>IF(VLOOKUP($A220,'Pre-Assessment Estimator'!$A$10:$AA$226,K$2,FALSE)=0,"",VLOOKUP($A220,'Pre-Assessment Estimator'!$A$10:$AA$226,K$2,FALSE))</f>
        <v/>
      </c>
      <c r="L220" s="509" t="str">
        <f>IF(VLOOKUP($A220,'Pre-Assessment Estimator'!$A$10:$AA$226,L$2,FALSE)=0,"",VLOOKUP($A220,'Pre-Assessment Estimator'!$A$10:$AA$226,L$2,FALSE))</f>
        <v/>
      </c>
      <c r="M220" s="510" t="str">
        <f>IF(VLOOKUP($A220,'Pre-Assessment Estimator'!$A$10:$AA$226,M$2,FALSE)=0,"",VLOOKUP($A220,'Pre-Assessment Estimator'!$A$10:$AA$226,M$2,FALSE))</f>
        <v/>
      </c>
      <c r="N220" s="511"/>
      <c r="O220" s="512" t="str">
        <f>IF(VLOOKUP($A220,'Pre-Assessment Estimator'!$A$10:$AA$226,O$2,FALSE)=0,"",VLOOKUP($A220,'Pre-Assessment Estimator'!$A$10:$AA$226,O$2,FALSE))</f>
        <v/>
      </c>
      <c r="P220" s="507">
        <f>VLOOKUP($A220,'Pre-Assessment Estimator'!$A$10:$AA$226,P$2,FALSE)</f>
        <v>0</v>
      </c>
      <c r="Q220" s="506" t="str">
        <f>VLOOKUP($A220,'Pre-Assessment Estimator'!$A$10:$AA$226,Q$2,FALSE)</f>
        <v>N/A</v>
      </c>
      <c r="R220" s="509" t="str">
        <f>IF(VLOOKUP($A220,'Pre-Assessment Estimator'!$A$10:$AA$226,R$2,FALSE)=0,"",VLOOKUP($A220,'Pre-Assessment Estimator'!$A$10:$AA$226,R$2,FALSE))</f>
        <v/>
      </c>
      <c r="S220" s="509" t="str">
        <f>IF(VLOOKUP($A220,'Pre-Assessment Estimator'!$A$10:$AA$226,S$2,FALSE)=0,"",VLOOKUP($A220,'Pre-Assessment Estimator'!$A$10:$AA$226,S$2,FALSE))</f>
        <v/>
      </c>
      <c r="T220" s="510" t="str">
        <f>IF(VLOOKUP($A220,'Pre-Assessment Estimator'!$A$10:$AA$226,T$2,FALSE)=0,"",VLOOKUP($A220,'Pre-Assessment Estimator'!$A$10:$AA$226,T$2,FALSE))</f>
        <v/>
      </c>
      <c r="U220" s="513"/>
      <c r="V220" s="512" t="str">
        <f>IF(VLOOKUP($A220,'Pre-Assessment Estimator'!$A$10:$AA$226,V$2,FALSE)=0,"",VLOOKUP($A220,'Pre-Assessment Estimator'!$A$10:$AA$226,V$2,FALSE))</f>
        <v/>
      </c>
      <c r="W220" s="507">
        <f>VLOOKUP($A220,'Pre-Assessment Estimator'!$A$10:$AA$226,W$2,FALSE)</f>
        <v>0</v>
      </c>
      <c r="X220" s="506" t="str">
        <f>VLOOKUP($A220,'Pre-Assessment Estimator'!$A$10:$AA$226,X$2,FALSE)</f>
        <v>N/A</v>
      </c>
      <c r="Y220" s="509" t="str">
        <f>IF(VLOOKUP($A220,'Pre-Assessment Estimator'!$A$10:$AA$226,Y$2,FALSE)=0,"",VLOOKUP($A220,'Pre-Assessment Estimator'!$A$10:$AA$226,Y$2,FALSE))</f>
        <v/>
      </c>
      <c r="Z220" s="509" t="str">
        <f>IF(VLOOKUP($A220,'Pre-Assessment Estimator'!$A$10:$AA$226,Z$2,FALSE)=0,"",VLOOKUP($A220,'Pre-Assessment Estimator'!$A$10:$AA$226,Z$2,FALSE))</f>
        <v/>
      </c>
      <c r="AA220" s="322" t="str">
        <f>IF(VLOOKUP($A220,'Pre-Assessment Estimator'!$A$10:$AA$226,AA$2,FALSE)=0,"",VLOOKUP($A220,'Pre-Assessment Estimator'!$A$10:$AA$226,AA$2,FALSE))</f>
        <v/>
      </c>
      <c r="AB220" s="605">
        <v>209</v>
      </c>
      <c r="AC220" s="509" t="str">
        <f>IF(VLOOKUP($A220,'Pre-Assessment Estimator'!$A$10:$AC$226,AC$2,FALSE)=0,"",VLOOKUP($A220,'Pre-Assessment Estimator'!$A$10:$AC$226,AC$2,FALSE))</f>
        <v>N/A</v>
      </c>
      <c r="AG220" s="15">
        <f t="shared" si="5"/>
        <v>1</v>
      </c>
    </row>
    <row r="221" spans="1:33" x14ac:dyDescent="0.25">
      <c r="A221" s="716">
        <v>212</v>
      </c>
      <c r="B221" s="1022" t="s">
        <v>216</v>
      </c>
      <c r="C221" s="1022"/>
      <c r="D221" s="1048" t="str">
        <f>VLOOKUP($A221,'Pre-Assessment Estimator'!$A$10:$AA$226,D$2,FALSE)</f>
        <v>Wst 01</v>
      </c>
      <c r="E221" s="1044">
        <f>VLOOKUP($A221,'Pre-Assessment Estimator'!$A$10:$AA$226,E$2,FALSE)</f>
        <v>5</v>
      </c>
      <c r="F221" s="1044" t="str">
        <f>VLOOKUP($A221,'Pre-Assessment Estimator'!$A$10:$AA$226,F$2,FALSE)</f>
        <v xml:space="preserve">Inn 10 - Wst 01: Especially low amount of construction waste </v>
      </c>
      <c r="G221" s="506">
        <f>VLOOKUP($A221,'Pre-Assessment Estimator'!$A$10:$AA$226,G$2,FALSE)</f>
        <v>1</v>
      </c>
      <c r="H221" s="512" t="str">
        <f>IF(VLOOKUP($A221,'Pre-Assessment Estimator'!$A$10:$AA$226,H$2,FALSE)=0,"",VLOOKUP($A221,'Pre-Assessment Estimator'!$A$10:$AA$226,H$2,FALSE))</f>
        <v/>
      </c>
      <c r="I221" s="1012">
        <f>VLOOKUP($A221,'Pre-Assessment Estimator'!$A$10:$AA$226,I$2,FALSE)</f>
        <v>0</v>
      </c>
      <c r="J221" s="508" t="str">
        <f>VLOOKUP($A221,'Pre-Assessment Estimator'!$A$10:$AA$226,J$2,FALSE)</f>
        <v>N/A</v>
      </c>
      <c r="K221" s="509" t="str">
        <f>IF(VLOOKUP($A221,'Pre-Assessment Estimator'!$A$10:$AA$226,K$2,FALSE)=0,"",VLOOKUP($A221,'Pre-Assessment Estimator'!$A$10:$AA$226,K$2,FALSE))</f>
        <v/>
      </c>
      <c r="L221" s="509" t="str">
        <f>IF(VLOOKUP($A221,'Pre-Assessment Estimator'!$A$10:$AA$226,L$2,FALSE)=0,"",VLOOKUP($A221,'Pre-Assessment Estimator'!$A$10:$AA$226,L$2,FALSE))</f>
        <v/>
      </c>
      <c r="M221" s="510" t="str">
        <f>IF(VLOOKUP($A221,'Pre-Assessment Estimator'!$A$10:$AA$226,M$2,FALSE)=0,"",VLOOKUP($A221,'Pre-Assessment Estimator'!$A$10:$AA$226,M$2,FALSE))</f>
        <v/>
      </c>
      <c r="N221" s="511"/>
      <c r="O221" s="512" t="str">
        <f>IF(VLOOKUP($A221,'Pre-Assessment Estimator'!$A$10:$AA$226,O$2,FALSE)=0,"",VLOOKUP($A221,'Pre-Assessment Estimator'!$A$10:$AA$226,O$2,FALSE))</f>
        <v/>
      </c>
      <c r="P221" s="507">
        <f>VLOOKUP($A221,'Pre-Assessment Estimator'!$A$10:$AA$226,P$2,FALSE)</f>
        <v>0</v>
      </c>
      <c r="Q221" s="506" t="str">
        <f>VLOOKUP($A221,'Pre-Assessment Estimator'!$A$10:$AA$226,Q$2,FALSE)</f>
        <v>N/A</v>
      </c>
      <c r="R221" s="509" t="str">
        <f>IF(VLOOKUP($A221,'Pre-Assessment Estimator'!$A$10:$AA$226,R$2,FALSE)=0,"",VLOOKUP($A221,'Pre-Assessment Estimator'!$A$10:$AA$226,R$2,FALSE))</f>
        <v/>
      </c>
      <c r="S221" s="509" t="str">
        <f>IF(VLOOKUP($A221,'Pre-Assessment Estimator'!$A$10:$AA$226,S$2,FALSE)=0,"",VLOOKUP($A221,'Pre-Assessment Estimator'!$A$10:$AA$226,S$2,FALSE))</f>
        <v/>
      </c>
      <c r="T221" s="510" t="str">
        <f>IF(VLOOKUP($A221,'Pre-Assessment Estimator'!$A$10:$AA$226,T$2,FALSE)=0,"",VLOOKUP($A221,'Pre-Assessment Estimator'!$A$10:$AA$226,T$2,FALSE))</f>
        <v/>
      </c>
      <c r="U221" s="513"/>
      <c r="V221" s="512" t="str">
        <f>IF(VLOOKUP($A221,'Pre-Assessment Estimator'!$A$10:$AA$226,V$2,FALSE)=0,"",VLOOKUP($A221,'Pre-Assessment Estimator'!$A$10:$AA$226,V$2,FALSE))</f>
        <v/>
      </c>
      <c r="W221" s="507">
        <f>VLOOKUP($A221,'Pre-Assessment Estimator'!$A$10:$AA$226,W$2,FALSE)</f>
        <v>0</v>
      </c>
      <c r="X221" s="506" t="str">
        <f>VLOOKUP($A221,'Pre-Assessment Estimator'!$A$10:$AA$226,X$2,FALSE)</f>
        <v>N/A</v>
      </c>
      <c r="Y221" s="509" t="str">
        <f>IF(VLOOKUP($A221,'Pre-Assessment Estimator'!$A$10:$AA$226,Y$2,FALSE)=0,"",VLOOKUP($A221,'Pre-Assessment Estimator'!$A$10:$AA$226,Y$2,FALSE))</f>
        <v/>
      </c>
      <c r="Z221" s="509" t="str">
        <f>IF(VLOOKUP($A221,'Pre-Assessment Estimator'!$A$10:$AA$226,Z$2,FALSE)=0,"",VLOOKUP($A221,'Pre-Assessment Estimator'!$A$10:$AA$226,Z$2,FALSE))</f>
        <v/>
      </c>
      <c r="AA221" s="322" t="str">
        <f>IF(VLOOKUP($A221,'Pre-Assessment Estimator'!$A$10:$AA$226,AA$2,FALSE)=0,"",VLOOKUP($A221,'Pre-Assessment Estimator'!$A$10:$AA$226,AA$2,FALSE))</f>
        <v/>
      </c>
      <c r="AB221" s="605">
        <v>210</v>
      </c>
      <c r="AC221" s="509" t="str">
        <f>IF(VLOOKUP($A221,'Pre-Assessment Estimator'!$A$10:$AC$226,AC$2,FALSE)=0,"",VLOOKUP($A221,'Pre-Assessment Estimator'!$A$10:$AC$226,AC$2,FALSE))</f>
        <v>N/A</v>
      </c>
      <c r="AG221" s="15">
        <f t="shared" si="5"/>
        <v>1</v>
      </c>
    </row>
    <row r="222" spans="1:33" x14ac:dyDescent="0.25">
      <c r="A222" s="716">
        <v>213</v>
      </c>
      <c r="B222" s="1022" t="s">
        <v>216</v>
      </c>
      <c r="C222" s="1022"/>
      <c r="D222" s="1048" t="str">
        <f>VLOOKUP($A222,'Pre-Assessment Estimator'!$A$10:$AA$226,D$2,FALSE)</f>
        <v>LE 02</v>
      </c>
      <c r="E222" s="1044" t="str">
        <f>VLOOKUP($A222,'Pre-Assessment Estimator'!$A$10:$AA$226,E$2,FALSE)</f>
        <v>7-9</v>
      </c>
      <c r="F222" s="1044" t="str">
        <f>VLOOKUP($A222,'Pre-Assessment Estimator'!$A$10:$AA$226,F$2,FALSE)</f>
        <v>Inn 11 - LE 02: Wider sustainability for the site</v>
      </c>
      <c r="G222" s="506">
        <f>VLOOKUP($A222,'Pre-Assessment Estimator'!$A$10:$AA$226,G$2,FALSE)</f>
        <v>1</v>
      </c>
      <c r="H222" s="512" t="str">
        <f>IF(VLOOKUP($A222,'Pre-Assessment Estimator'!$A$10:$AA$226,H$2,FALSE)=0,"",VLOOKUP($A222,'Pre-Assessment Estimator'!$A$10:$AA$226,H$2,FALSE))</f>
        <v/>
      </c>
      <c r="I222" s="1012">
        <f>VLOOKUP($A222,'Pre-Assessment Estimator'!$A$10:$AA$226,I$2,FALSE)</f>
        <v>0</v>
      </c>
      <c r="J222" s="508" t="str">
        <f>VLOOKUP($A222,'Pre-Assessment Estimator'!$A$10:$AA$226,J$2,FALSE)</f>
        <v>N/A</v>
      </c>
      <c r="K222" s="509" t="str">
        <f>IF(VLOOKUP($A222,'Pre-Assessment Estimator'!$A$10:$AA$226,K$2,FALSE)=0,"",VLOOKUP($A222,'Pre-Assessment Estimator'!$A$10:$AA$226,K$2,FALSE))</f>
        <v/>
      </c>
      <c r="L222" s="509" t="str">
        <f>IF(VLOOKUP($A222,'Pre-Assessment Estimator'!$A$10:$AA$226,L$2,FALSE)=0,"",VLOOKUP($A222,'Pre-Assessment Estimator'!$A$10:$AA$226,L$2,FALSE))</f>
        <v/>
      </c>
      <c r="M222" s="510" t="str">
        <f>IF(VLOOKUP($A222,'Pre-Assessment Estimator'!$A$10:$AA$226,M$2,FALSE)=0,"",VLOOKUP($A222,'Pre-Assessment Estimator'!$A$10:$AA$226,M$2,FALSE))</f>
        <v/>
      </c>
      <c r="N222" s="511"/>
      <c r="O222" s="512" t="str">
        <f>IF(VLOOKUP($A222,'Pre-Assessment Estimator'!$A$10:$AA$226,O$2,FALSE)=0,"",VLOOKUP($A222,'Pre-Assessment Estimator'!$A$10:$AA$226,O$2,FALSE))</f>
        <v/>
      </c>
      <c r="P222" s="507">
        <f>VLOOKUP($A222,'Pre-Assessment Estimator'!$A$10:$AA$226,P$2,FALSE)</f>
        <v>0</v>
      </c>
      <c r="Q222" s="506" t="str">
        <f>VLOOKUP($A222,'Pre-Assessment Estimator'!$A$10:$AA$226,Q$2,FALSE)</f>
        <v>N/A</v>
      </c>
      <c r="R222" s="509" t="str">
        <f>IF(VLOOKUP($A222,'Pre-Assessment Estimator'!$A$10:$AA$226,R$2,FALSE)=0,"",VLOOKUP($A222,'Pre-Assessment Estimator'!$A$10:$AA$226,R$2,FALSE))</f>
        <v/>
      </c>
      <c r="S222" s="509" t="str">
        <f>IF(VLOOKUP($A222,'Pre-Assessment Estimator'!$A$10:$AA$226,S$2,FALSE)=0,"",VLOOKUP($A222,'Pre-Assessment Estimator'!$A$10:$AA$226,S$2,FALSE))</f>
        <v/>
      </c>
      <c r="T222" s="510" t="str">
        <f>IF(VLOOKUP($A222,'Pre-Assessment Estimator'!$A$10:$AA$226,T$2,FALSE)=0,"",VLOOKUP($A222,'Pre-Assessment Estimator'!$A$10:$AA$226,T$2,FALSE))</f>
        <v/>
      </c>
      <c r="U222" s="513"/>
      <c r="V222" s="512" t="str">
        <f>IF(VLOOKUP($A222,'Pre-Assessment Estimator'!$A$10:$AA$226,V$2,FALSE)=0,"",VLOOKUP($A222,'Pre-Assessment Estimator'!$A$10:$AA$226,V$2,FALSE))</f>
        <v/>
      </c>
      <c r="W222" s="507">
        <f>VLOOKUP($A222,'Pre-Assessment Estimator'!$A$10:$AA$226,W$2,FALSE)</f>
        <v>0</v>
      </c>
      <c r="X222" s="506" t="str">
        <f>VLOOKUP($A222,'Pre-Assessment Estimator'!$A$10:$AA$226,X$2,FALSE)</f>
        <v>N/A</v>
      </c>
      <c r="Y222" s="509" t="str">
        <f>IF(VLOOKUP($A222,'Pre-Assessment Estimator'!$A$10:$AA$226,Y$2,FALSE)=0,"",VLOOKUP($A222,'Pre-Assessment Estimator'!$A$10:$AA$226,Y$2,FALSE))</f>
        <v/>
      </c>
      <c r="Z222" s="509" t="str">
        <f>IF(VLOOKUP($A222,'Pre-Assessment Estimator'!$A$10:$AA$226,Z$2,FALSE)=0,"",VLOOKUP($A222,'Pre-Assessment Estimator'!$A$10:$AA$226,Z$2,FALSE))</f>
        <v/>
      </c>
      <c r="AA222" s="322" t="str">
        <f>IF(VLOOKUP($A222,'Pre-Assessment Estimator'!$A$10:$AA$226,AA$2,FALSE)=0,"",VLOOKUP($A222,'Pre-Assessment Estimator'!$A$10:$AA$226,AA$2,FALSE))</f>
        <v/>
      </c>
      <c r="AB222" s="605">
        <v>211</v>
      </c>
      <c r="AC222" s="509" t="str">
        <f>IF(VLOOKUP($A222,'Pre-Assessment Estimator'!$A$10:$AC$226,AC$2,FALSE)=0,"",VLOOKUP($A222,'Pre-Assessment Estimator'!$A$10:$AC$226,AC$2,FALSE))</f>
        <v>N/A</v>
      </c>
      <c r="AG222" s="15">
        <f t="shared" si="5"/>
        <v>1</v>
      </c>
    </row>
    <row r="223" spans="1:33" x14ac:dyDescent="0.25">
      <c r="A223" s="716">
        <v>214</v>
      </c>
      <c r="B223" s="1022" t="s">
        <v>216</v>
      </c>
      <c r="C223" s="1022"/>
      <c r="D223" s="1048" t="str">
        <f>VLOOKUP($A223,'Pre-Assessment Estimator'!$A$10:$AA$226,D$2,FALSE)</f>
        <v>LE 04</v>
      </c>
      <c r="E223" s="1044">
        <f>VLOOKUP($A223,'Pre-Assessment Estimator'!$A$10:$AA$226,E$2,FALSE)</f>
        <v>6</v>
      </c>
      <c r="F223" s="1044" t="str">
        <f>VLOOKUP($A223,'Pre-Assessment Estimator'!$A$10:$AA$226,F$2,FALSE)</f>
        <v>Inn 12 - LE 04: Significant net gain of biodiversity</v>
      </c>
      <c r="G223" s="506">
        <f>VLOOKUP($A223,'Pre-Assessment Estimator'!$A$10:$AA$226,G$2,FALSE)</f>
        <v>1</v>
      </c>
      <c r="H223" s="512" t="str">
        <f>IF(VLOOKUP($A223,'Pre-Assessment Estimator'!$A$10:$AA$226,H$2,FALSE)=0,"",VLOOKUP($A223,'Pre-Assessment Estimator'!$A$10:$AA$226,H$2,FALSE))</f>
        <v/>
      </c>
      <c r="I223" s="1012">
        <f>VLOOKUP($A223,'Pre-Assessment Estimator'!$A$10:$AA$226,I$2,FALSE)</f>
        <v>0</v>
      </c>
      <c r="J223" s="508" t="str">
        <f>VLOOKUP($A223,'Pre-Assessment Estimator'!$A$10:$AA$226,J$2,FALSE)</f>
        <v>N/A</v>
      </c>
      <c r="K223" s="509" t="str">
        <f>IF(VLOOKUP($A223,'Pre-Assessment Estimator'!$A$10:$AA$226,K$2,FALSE)=0,"",VLOOKUP($A223,'Pre-Assessment Estimator'!$A$10:$AA$226,K$2,FALSE))</f>
        <v/>
      </c>
      <c r="L223" s="509" t="str">
        <f>IF(VLOOKUP($A223,'Pre-Assessment Estimator'!$A$10:$AA$226,L$2,FALSE)=0,"",VLOOKUP($A223,'Pre-Assessment Estimator'!$A$10:$AA$226,L$2,FALSE))</f>
        <v/>
      </c>
      <c r="M223" s="510" t="str">
        <f>IF(VLOOKUP($A223,'Pre-Assessment Estimator'!$A$10:$AA$226,M$2,FALSE)=0,"",VLOOKUP($A223,'Pre-Assessment Estimator'!$A$10:$AA$226,M$2,FALSE))</f>
        <v/>
      </c>
      <c r="N223" s="511"/>
      <c r="O223" s="512" t="str">
        <f>IF(VLOOKUP($A223,'Pre-Assessment Estimator'!$A$10:$AA$226,O$2,FALSE)=0,"",VLOOKUP($A223,'Pre-Assessment Estimator'!$A$10:$AA$226,O$2,FALSE))</f>
        <v/>
      </c>
      <c r="P223" s="507">
        <f>VLOOKUP($A223,'Pre-Assessment Estimator'!$A$10:$AA$226,P$2,FALSE)</f>
        <v>0</v>
      </c>
      <c r="Q223" s="506" t="str">
        <f>VLOOKUP($A223,'Pre-Assessment Estimator'!$A$10:$AA$226,Q$2,FALSE)</f>
        <v>N/A</v>
      </c>
      <c r="R223" s="509" t="str">
        <f>IF(VLOOKUP($A223,'Pre-Assessment Estimator'!$A$10:$AA$226,R$2,FALSE)=0,"",VLOOKUP($A223,'Pre-Assessment Estimator'!$A$10:$AA$226,R$2,FALSE))</f>
        <v/>
      </c>
      <c r="S223" s="509" t="str">
        <f>IF(VLOOKUP($A223,'Pre-Assessment Estimator'!$A$10:$AA$226,S$2,FALSE)=0,"",VLOOKUP($A223,'Pre-Assessment Estimator'!$A$10:$AA$226,S$2,FALSE))</f>
        <v/>
      </c>
      <c r="T223" s="510" t="str">
        <f>IF(VLOOKUP($A223,'Pre-Assessment Estimator'!$A$10:$AA$226,T$2,FALSE)=0,"",VLOOKUP($A223,'Pre-Assessment Estimator'!$A$10:$AA$226,T$2,FALSE))</f>
        <v/>
      </c>
      <c r="U223" s="513"/>
      <c r="V223" s="512" t="str">
        <f>IF(VLOOKUP($A223,'Pre-Assessment Estimator'!$A$10:$AA$226,V$2,FALSE)=0,"",VLOOKUP($A223,'Pre-Assessment Estimator'!$A$10:$AA$226,V$2,FALSE))</f>
        <v/>
      </c>
      <c r="W223" s="507">
        <f>VLOOKUP($A223,'Pre-Assessment Estimator'!$A$10:$AA$226,W$2,FALSE)</f>
        <v>0</v>
      </c>
      <c r="X223" s="506" t="str">
        <f>VLOOKUP($A223,'Pre-Assessment Estimator'!$A$10:$AA$226,X$2,FALSE)</f>
        <v>N/A</v>
      </c>
      <c r="Y223" s="509" t="str">
        <f>IF(VLOOKUP($A223,'Pre-Assessment Estimator'!$A$10:$AA$226,Y$2,FALSE)=0,"",VLOOKUP($A223,'Pre-Assessment Estimator'!$A$10:$AA$226,Y$2,FALSE))</f>
        <v/>
      </c>
      <c r="Z223" s="509" t="str">
        <f>IF(VLOOKUP($A223,'Pre-Assessment Estimator'!$A$10:$AA$226,Z$2,FALSE)=0,"",VLOOKUP($A223,'Pre-Assessment Estimator'!$A$10:$AA$226,Z$2,FALSE))</f>
        <v/>
      </c>
      <c r="AA223" s="322" t="str">
        <f>IF(VLOOKUP($A223,'Pre-Assessment Estimator'!$A$10:$AA$226,AA$2,FALSE)=0,"",VLOOKUP($A223,'Pre-Assessment Estimator'!$A$10:$AA$226,AA$2,FALSE))</f>
        <v/>
      </c>
      <c r="AB223" s="605">
        <v>212</v>
      </c>
      <c r="AC223" s="509" t="str">
        <f>IF(VLOOKUP($A223,'Pre-Assessment Estimator'!$A$10:$AC$226,AC$2,FALSE)=0,"",VLOOKUP($A223,'Pre-Assessment Estimator'!$A$10:$AC$226,AC$2,FALSE))</f>
        <v>N/A</v>
      </c>
      <c r="AG223" s="15">
        <f t="shared" si="5"/>
        <v>1</v>
      </c>
    </row>
    <row r="224" spans="1:33" x14ac:dyDescent="0.25">
      <c r="A224" s="716">
        <v>215</v>
      </c>
      <c r="B224" s="1022" t="s">
        <v>216</v>
      </c>
      <c r="C224" s="1022"/>
      <c r="D224" s="1048" t="str">
        <f>VLOOKUP($A224,'Pre-Assessment Estimator'!$A$10:$AA$226,D$2,FALSE)</f>
        <v>LE 06</v>
      </c>
      <c r="E224" s="1044">
        <f>VLOOKUP($A224,'Pre-Assessment Estimator'!$A$10:$AA$226,E$2,FALSE)</f>
        <v>7</v>
      </c>
      <c r="F224" s="1044" t="str">
        <f>VLOOKUP($A224,'Pre-Assessment Estimator'!$A$10:$AA$226,F$2,FALSE)</f>
        <v>Inn 13 - LE 06: Responding to climate change</v>
      </c>
      <c r="G224" s="506">
        <f>VLOOKUP($A224,'Pre-Assessment Estimator'!$A$10:$AA$226,G$2,FALSE)</f>
        <v>1</v>
      </c>
      <c r="H224" s="512" t="str">
        <f>IF(VLOOKUP($A224,'Pre-Assessment Estimator'!$A$10:$AA$226,H$2,FALSE)=0,"",VLOOKUP($A224,'Pre-Assessment Estimator'!$A$10:$AA$226,H$2,FALSE))</f>
        <v/>
      </c>
      <c r="I224" s="1012">
        <f>VLOOKUP($A224,'Pre-Assessment Estimator'!$A$10:$AA$226,I$2,FALSE)</f>
        <v>0</v>
      </c>
      <c r="J224" s="508" t="str">
        <f>VLOOKUP($A224,'Pre-Assessment Estimator'!$A$10:$AA$226,J$2,FALSE)</f>
        <v>N/A</v>
      </c>
      <c r="K224" s="509" t="str">
        <f>IF(VLOOKUP($A224,'Pre-Assessment Estimator'!$A$10:$AA$226,K$2,FALSE)=0,"",VLOOKUP($A224,'Pre-Assessment Estimator'!$A$10:$AA$226,K$2,FALSE))</f>
        <v/>
      </c>
      <c r="L224" s="509" t="str">
        <f>IF(VLOOKUP($A224,'Pre-Assessment Estimator'!$A$10:$AA$226,L$2,FALSE)=0,"",VLOOKUP($A224,'Pre-Assessment Estimator'!$A$10:$AA$226,L$2,FALSE))</f>
        <v/>
      </c>
      <c r="M224" s="510" t="str">
        <f>IF(VLOOKUP($A224,'Pre-Assessment Estimator'!$A$10:$AA$226,M$2,FALSE)=0,"",VLOOKUP($A224,'Pre-Assessment Estimator'!$A$10:$AA$226,M$2,FALSE))</f>
        <v/>
      </c>
      <c r="N224" s="511"/>
      <c r="O224" s="512" t="str">
        <f>IF(VLOOKUP($A224,'Pre-Assessment Estimator'!$A$10:$AA$226,O$2,FALSE)=0,"",VLOOKUP($A224,'Pre-Assessment Estimator'!$A$10:$AA$226,O$2,FALSE))</f>
        <v/>
      </c>
      <c r="P224" s="507">
        <f>VLOOKUP($A224,'Pre-Assessment Estimator'!$A$10:$AA$226,P$2,FALSE)</f>
        <v>0</v>
      </c>
      <c r="Q224" s="506" t="str">
        <f>VLOOKUP($A224,'Pre-Assessment Estimator'!$A$10:$AA$226,Q$2,FALSE)</f>
        <v>N/A</v>
      </c>
      <c r="R224" s="509" t="str">
        <f>IF(VLOOKUP($A224,'Pre-Assessment Estimator'!$A$10:$AA$226,R$2,FALSE)=0,"",VLOOKUP($A224,'Pre-Assessment Estimator'!$A$10:$AA$226,R$2,FALSE))</f>
        <v/>
      </c>
      <c r="S224" s="509" t="str">
        <f>IF(VLOOKUP($A224,'Pre-Assessment Estimator'!$A$10:$AA$226,S$2,FALSE)=0,"",VLOOKUP($A224,'Pre-Assessment Estimator'!$A$10:$AA$226,S$2,FALSE))</f>
        <v/>
      </c>
      <c r="T224" s="510" t="str">
        <f>IF(VLOOKUP($A224,'Pre-Assessment Estimator'!$A$10:$AA$226,T$2,FALSE)=0,"",VLOOKUP($A224,'Pre-Assessment Estimator'!$A$10:$AA$226,T$2,FALSE))</f>
        <v/>
      </c>
      <c r="U224" s="513"/>
      <c r="V224" s="512" t="str">
        <f>IF(VLOOKUP($A224,'Pre-Assessment Estimator'!$A$10:$AA$226,V$2,FALSE)=0,"",VLOOKUP($A224,'Pre-Assessment Estimator'!$A$10:$AA$226,V$2,FALSE))</f>
        <v/>
      </c>
      <c r="W224" s="507">
        <f>VLOOKUP($A224,'Pre-Assessment Estimator'!$A$10:$AA$226,W$2,FALSE)</f>
        <v>0</v>
      </c>
      <c r="X224" s="506" t="str">
        <f>VLOOKUP($A224,'Pre-Assessment Estimator'!$A$10:$AA$226,X$2,FALSE)</f>
        <v>N/A</v>
      </c>
      <c r="Y224" s="509" t="str">
        <f>IF(VLOOKUP($A224,'Pre-Assessment Estimator'!$A$10:$AA$226,Y$2,FALSE)=0,"",VLOOKUP($A224,'Pre-Assessment Estimator'!$A$10:$AA$226,Y$2,FALSE))</f>
        <v/>
      </c>
      <c r="Z224" s="509" t="str">
        <f>IF(VLOOKUP($A224,'Pre-Assessment Estimator'!$A$10:$AA$226,Z$2,FALSE)=0,"",VLOOKUP($A224,'Pre-Assessment Estimator'!$A$10:$AA$226,Z$2,FALSE))</f>
        <v/>
      </c>
      <c r="AA224" s="322" t="str">
        <f>IF(VLOOKUP($A224,'Pre-Assessment Estimator'!$A$10:$AA$226,AA$2,FALSE)=0,"",VLOOKUP($A224,'Pre-Assessment Estimator'!$A$10:$AA$226,AA$2,FALSE))</f>
        <v/>
      </c>
      <c r="AB224" s="605">
        <v>213</v>
      </c>
    </row>
    <row r="225" spans="1:45" x14ac:dyDescent="0.25">
      <c r="A225" s="716">
        <v>216</v>
      </c>
      <c r="B225" s="1022" t="s">
        <v>216</v>
      </c>
      <c r="C225" s="718"/>
      <c r="D225" s="1048" t="str">
        <f>VLOOKUP($A225,'Pre-Assessment Estimator'!$A$10:$AA$226,D$2,FALSE)</f>
        <v>LE 08</v>
      </c>
      <c r="E225" s="1044" t="str">
        <f>VLOOKUP($A225,'Pre-Assessment Estimator'!$A$10:$AA$226,E$2,FALSE)</f>
        <v>10-12</v>
      </c>
      <c r="F225" s="1044" t="str">
        <f>VLOOKUP($A225,'Pre-Assessment Estimator'!$A$10:$AA$226,F$2,FALSE)</f>
        <v>Inn 14 - LE 08: Wider approach to surface water management</v>
      </c>
      <c r="G225" s="506">
        <f>VLOOKUP($A225,'Pre-Assessment Estimator'!$A$10:$AA$226,G$2,FALSE)</f>
        <v>1</v>
      </c>
      <c r="H225" s="512" t="str">
        <f>IF(VLOOKUP($A225,'Pre-Assessment Estimator'!$A$10:$AA$226,H$2,FALSE)=0,"",VLOOKUP($A225,'Pre-Assessment Estimator'!$A$10:$AA$226,H$2,FALSE))</f>
        <v/>
      </c>
      <c r="I225" s="1012">
        <f>VLOOKUP($A225,'Pre-Assessment Estimator'!$A$10:$AA$226,I$2,FALSE)</f>
        <v>0</v>
      </c>
      <c r="J225" s="508" t="str">
        <f>VLOOKUP($A225,'Pre-Assessment Estimator'!$A$10:$AA$226,J$2,FALSE)</f>
        <v>N/A</v>
      </c>
      <c r="K225" s="509" t="str">
        <f>IF(VLOOKUP($A225,'Pre-Assessment Estimator'!$A$10:$AA$226,K$2,FALSE)=0,"",VLOOKUP($A225,'Pre-Assessment Estimator'!$A$10:$AA$226,K$2,FALSE))</f>
        <v/>
      </c>
      <c r="L225" s="509" t="str">
        <f>IF(VLOOKUP($A225,'Pre-Assessment Estimator'!$A$10:$AA$226,L$2,FALSE)=0,"",VLOOKUP($A225,'Pre-Assessment Estimator'!$A$10:$AA$226,L$2,FALSE))</f>
        <v/>
      </c>
      <c r="M225" s="510" t="str">
        <f>IF(VLOOKUP($A225,'Pre-Assessment Estimator'!$A$10:$AA$226,M$2,FALSE)=0,"",VLOOKUP($A225,'Pre-Assessment Estimator'!$A$10:$AA$226,M$2,FALSE))</f>
        <v/>
      </c>
      <c r="N225" s="511"/>
      <c r="O225" s="512" t="str">
        <f>IF(VLOOKUP($A225,'Pre-Assessment Estimator'!$A$10:$AA$226,O$2,FALSE)=0,"",VLOOKUP($A225,'Pre-Assessment Estimator'!$A$10:$AA$226,O$2,FALSE))</f>
        <v/>
      </c>
      <c r="P225" s="507">
        <f>VLOOKUP($A225,'Pre-Assessment Estimator'!$A$10:$AA$226,P$2,FALSE)</f>
        <v>0</v>
      </c>
      <c r="Q225" s="506" t="str">
        <f>VLOOKUP($A225,'Pre-Assessment Estimator'!$A$10:$AA$226,Q$2,FALSE)</f>
        <v>N/A</v>
      </c>
      <c r="R225" s="509" t="str">
        <f>IF(VLOOKUP($A225,'Pre-Assessment Estimator'!$A$10:$AA$226,R$2,FALSE)=0,"",VLOOKUP($A225,'Pre-Assessment Estimator'!$A$10:$AA$226,R$2,FALSE))</f>
        <v/>
      </c>
      <c r="S225" s="509" t="str">
        <f>IF(VLOOKUP($A225,'Pre-Assessment Estimator'!$A$10:$AA$226,S$2,FALSE)=0,"",VLOOKUP($A225,'Pre-Assessment Estimator'!$A$10:$AA$226,S$2,FALSE))</f>
        <v/>
      </c>
      <c r="T225" s="510" t="str">
        <f>IF(VLOOKUP($A225,'Pre-Assessment Estimator'!$A$10:$AA$226,T$2,FALSE)=0,"",VLOOKUP($A225,'Pre-Assessment Estimator'!$A$10:$AA$226,T$2,FALSE))</f>
        <v/>
      </c>
      <c r="U225" s="513"/>
      <c r="V225" s="512" t="str">
        <f>IF(VLOOKUP($A225,'Pre-Assessment Estimator'!$A$10:$AA$226,V$2,FALSE)=0,"",VLOOKUP($A225,'Pre-Assessment Estimator'!$A$10:$AA$226,V$2,FALSE))</f>
        <v/>
      </c>
      <c r="W225" s="507">
        <f>VLOOKUP($A225,'Pre-Assessment Estimator'!$A$10:$AA$226,W$2,FALSE)</f>
        <v>0</v>
      </c>
      <c r="X225" s="506" t="str">
        <f>VLOOKUP($A225,'Pre-Assessment Estimator'!$A$10:$AA$226,X$2,FALSE)</f>
        <v>N/A</v>
      </c>
      <c r="Y225" s="509" t="str">
        <f>IF(VLOOKUP($A225,'Pre-Assessment Estimator'!$A$10:$AA$226,Y$2,FALSE)=0,"",VLOOKUP($A225,'Pre-Assessment Estimator'!$A$10:$AA$226,Y$2,FALSE))</f>
        <v/>
      </c>
      <c r="Z225" s="509" t="str">
        <f>IF(VLOOKUP($A225,'Pre-Assessment Estimator'!$A$10:$AA$226,Z$2,FALSE)=0,"",VLOOKUP($A225,'Pre-Assessment Estimator'!$A$10:$AA$226,Z$2,FALSE))</f>
        <v/>
      </c>
      <c r="AA225" s="322" t="str">
        <f>IF(VLOOKUP($A225,'Pre-Assessment Estimator'!$A$10:$AA$226,AA$2,FALSE)=0,"",VLOOKUP($A225,'Pre-Assessment Estimator'!$A$10:$AA$226,AA$2,FALSE))</f>
        <v/>
      </c>
      <c r="AB225" s="605">
        <v>214</v>
      </c>
    </row>
    <row r="226" spans="1:45" ht="30" customHeight="1" thickBot="1" x14ac:dyDescent="0.3">
      <c r="A226" s="716">
        <v>217</v>
      </c>
      <c r="B226" s="1022" t="s">
        <v>216</v>
      </c>
      <c r="C226" s="718"/>
      <c r="D226" s="1046"/>
      <c r="E226" s="1046"/>
      <c r="F226" s="1046" t="str">
        <f>VLOOKUP($A226,'Pre-Assessment Estimator'!$A$10:$AA$226,F$2,FALSE)</f>
        <v>Total indicative environmental section performance</v>
      </c>
      <c r="G226" s="514">
        <f>VLOOKUP($A226,'Pre-Assessment Estimator'!$A$10:$AA$226,G$2,FALSE)</f>
        <v>10</v>
      </c>
      <c r="H226" s="516" t="str">
        <f>IF(VLOOKUP($A226,'Pre-Assessment Estimator'!$A$10:$AA$226,H$2,FALSE)=0,"",VLOOKUP($A226,'Pre-Assessment Estimator'!$A$10:$AA$226,H$2,FALSE))</f>
        <v/>
      </c>
      <c r="I226" s="515">
        <f>VLOOKUP($A226,'Pre-Assessment Estimator'!$A$10:$AA$226,I$2,FALSE)</f>
        <v>0</v>
      </c>
      <c r="J226" s="514" t="str">
        <f>VLOOKUP($A226,'Pre-Assessment Estimator'!$A$10:$AA$226,J$2,FALSE)</f>
        <v>Credits achieved: 0</v>
      </c>
      <c r="K226" s="994" t="str">
        <f>IF(VLOOKUP($A226,'Pre-Assessment Estimator'!$A$10:$AA$226,K$2,FALSE)=0,"",VLOOKUP($A226,'Pre-Assessment Estimator'!$A$10:$AA$226,K$2,FALSE))</f>
        <v/>
      </c>
      <c r="L226" s="994" t="str">
        <f>IF(VLOOKUP($A226,'Pre-Assessment Estimator'!$A$10:$AA$226,L$2,FALSE)=0,"",VLOOKUP($A226,'Pre-Assessment Estimator'!$A$10:$AA$226,L$2,FALSE))</f>
        <v/>
      </c>
      <c r="M226" s="1013" t="str">
        <f>IF(VLOOKUP($A226,'Pre-Assessment Estimator'!$A$10:$AA$226,M$2,FALSE)=0,"",VLOOKUP($A226,'Pre-Assessment Estimator'!$A$10:$AA$226,M$2,FALSE))</f>
        <v/>
      </c>
      <c r="N226" s="1014"/>
      <c r="O226" s="516" t="str">
        <f>IF(VLOOKUP($A226,'Pre-Assessment Estimator'!$A$10:$AA$226,O$2,FALSE)=0,"",VLOOKUP($A226,'Pre-Assessment Estimator'!$A$10:$AA$226,O$2,FALSE))</f>
        <v/>
      </c>
      <c r="P226" s="515">
        <f>VLOOKUP($A226,'Pre-Assessment Estimator'!$A$10:$AA$226,P$2,FALSE)</f>
        <v>0</v>
      </c>
      <c r="Q226" s="514" t="str">
        <f>VLOOKUP($A226,'Pre-Assessment Estimator'!$A$10:$AA$226,Q$2,FALSE)</f>
        <v>Credits achieved: 0</v>
      </c>
      <c r="R226" s="994" t="str">
        <f>IF(VLOOKUP($A226,'Pre-Assessment Estimator'!$A$10:$AA$226,R$2,FALSE)=0,"",VLOOKUP($A226,'Pre-Assessment Estimator'!$A$10:$AA$226,R$2,FALSE))</f>
        <v/>
      </c>
      <c r="S226" s="994" t="str">
        <f>IF(VLOOKUP($A226,'Pre-Assessment Estimator'!$A$10:$AA$226,S$2,FALSE)=0,"",VLOOKUP($A226,'Pre-Assessment Estimator'!$A$10:$AA$226,S$2,FALSE))</f>
        <v/>
      </c>
      <c r="T226" s="1013" t="str">
        <f>IF(VLOOKUP($A226,'Pre-Assessment Estimator'!$A$10:$AA$226,T$2,FALSE)=0,"",VLOOKUP($A226,'Pre-Assessment Estimator'!$A$10:$AA$226,T$2,FALSE))</f>
        <v/>
      </c>
      <c r="U226" s="1015"/>
      <c r="V226" s="516" t="str">
        <f>IF(VLOOKUP($A226,'Pre-Assessment Estimator'!$A$10:$AA$226,V$2,FALSE)=0,"",VLOOKUP($A226,'Pre-Assessment Estimator'!$A$10:$AA$226,V$2,FALSE))</f>
        <v/>
      </c>
      <c r="W226" s="515">
        <f>VLOOKUP($A226,'Pre-Assessment Estimator'!$A$10:$AA$226,W$2,FALSE)</f>
        <v>0</v>
      </c>
      <c r="X226" s="514" t="str">
        <f>VLOOKUP($A226,'Pre-Assessment Estimator'!$A$10:$AA$226,X$2,FALSE)</f>
        <v>Credits achieved: 0</v>
      </c>
      <c r="Y226" s="994" t="str">
        <f>IF(VLOOKUP($A226,'Pre-Assessment Estimator'!$A$10:$AA$226,Y$2,FALSE)=0,"",VLOOKUP($A226,'Pre-Assessment Estimator'!$A$10:$AA$226,Y$2,FALSE))</f>
        <v/>
      </c>
      <c r="Z226" s="994" t="str">
        <f>IF(VLOOKUP($A226,'Pre-Assessment Estimator'!$A$10:$AA$226,Z$2,FALSE)=0,"",VLOOKUP($A226,'Pre-Assessment Estimator'!$A$10:$AA$226,Z$2,FALSE))</f>
        <v/>
      </c>
      <c r="AA226" s="1016" t="str">
        <f>IF(VLOOKUP($A226,'Pre-Assessment Estimator'!$A$10:$AA$226,AA$2,FALSE)=0,"",VLOOKUP($A226,'Pre-Assessment Estimator'!$A$10:$AA$226,AA$2,FALSE))</f>
        <v/>
      </c>
      <c r="AB226" s="605">
        <v>215</v>
      </c>
    </row>
    <row r="227" spans="1:45" x14ac:dyDescent="0.25">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c r="AA227" s="58"/>
      <c r="AB227" s="58"/>
      <c r="AC227" s="58"/>
      <c r="AD227" s="58"/>
      <c r="AE227" s="58"/>
      <c r="AF227" s="58"/>
      <c r="AG227" s="58"/>
      <c r="AH227" s="58"/>
      <c r="AI227" s="58"/>
      <c r="AJ227" s="58"/>
    </row>
    <row r="228" spans="1:45" x14ac:dyDescent="0.25">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c r="AA228" s="58"/>
      <c r="AB228" s="58"/>
      <c r="AC228" s="58"/>
      <c r="AD228" s="58"/>
      <c r="AE228" s="58"/>
      <c r="AF228" s="58"/>
      <c r="AG228" s="58"/>
      <c r="AH228" s="58"/>
      <c r="AI228" s="58"/>
      <c r="AJ228" s="58"/>
    </row>
    <row r="229" spans="1:45" x14ac:dyDescent="0.25">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c r="AA229" s="58"/>
      <c r="AB229" s="58"/>
      <c r="AC229" s="58"/>
      <c r="AD229" s="58"/>
      <c r="AE229" s="58"/>
      <c r="AF229" s="58"/>
      <c r="AG229" s="58"/>
      <c r="AH229" s="58"/>
      <c r="AI229" s="58"/>
      <c r="AJ229" s="58"/>
      <c r="AK229" s="353"/>
      <c r="AL229" s="353"/>
      <c r="AM229" s="353"/>
      <c r="AN229" s="353"/>
      <c r="AO229" s="353"/>
      <c r="AP229" s="353"/>
      <c r="AQ229" s="353"/>
      <c r="AR229" s="353"/>
      <c r="AS229" s="353"/>
    </row>
    <row r="230" spans="1:45" x14ac:dyDescent="0.25">
      <c r="F230" s="1"/>
      <c r="N230" s="1"/>
      <c r="U230" s="1"/>
      <c r="AC230" s="1"/>
      <c r="AD230" s="1"/>
      <c r="AE230" s="1"/>
      <c r="AF230" s="1"/>
      <c r="AG230" s="1"/>
    </row>
    <row r="231" spans="1:45" x14ac:dyDescent="0.25">
      <c r="F231" s="1"/>
      <c r="N231" s="1"/>
      <c r="U231" s="1"/>
      <c r="AC231" s="1"/>
      <c r="AD231" s="1"/>
      <c r="AE231" s="1"/>
      <c r="AF231" s="1"/>
      <c r="AG231" s="1"/>
    </row>
    <row r="232" spans="1:45" x14ac:dyDescent="0.25">
      <c r="F232" s="1"/>
      <c r="N232" s="1"/>
      <c r="U232" s="1"/>
      <c r="AC232" s="1"/>
      <c r="AD232" s="1"/>
      <c r="AE232" s="1"/>
      <c r="AF232" s="1"/>
      <c r="AG232" s="1"/>
    </row>
    <row r="382" spans="6:28" s="15" customFormat="1" ht="15.75" x14ac:dyDescent="0.25">
      <c r="F382" s="4"/>
      <c r="G382" s="355"/>
      <c r="H382" s="355"/>
      <c r="I382" s="355"/>
      <c r="J382" s="355"/>
      <c r="K382" s="355"/>
      <c r="L382" s="355"/>
      <c r="M382" s="356"/>
      <c r="O382" s="355"/>
      <c r="P382" s="355"/>
      <c r="Q382" s="355"/>
      <c r="R382" s="355"/>
      <c r="S382" s="355"/>
      <c r="T382" s="355"/>
      <c r="V382" s="355"/>
      <c r="W382" s="355"/>
      <c r="X382" s="355"/>
      <c r="Y382" s="355"/>
      <c r="Z382" s="355"/>
      <c r="AA382" s="355"/>
      <c r="AB382" s="355"/>
    </row>
  </sheetData>
  <sheetProtection algorithmName="SHA-512" hashValue="VXH6nYqm8k0xddZvKk3WmcSCDMgXuQkjb3GDDxYZgT9prWrk5evqFoFrJCMFW0Yb+hH2TwSgphwV1zdzk2vCVQ==" saltValue="7yx5aGpJNz93tGWKDl5+ig==" spinCount="100000" sheet="1" formatRows="0" sort="0" autoFilter="0"/>
  <autoFilter ref="A9:AG226" xr:uid="{00000000-0001-0000-0600-000000000000}"/>
  <conditionalFormatting sqref="D116:M116">
    <cfRule type="expression" dxfId="167" priority="139">
      <formula>$AG116=2</formula>
    </cfRule>
  </conditionalFormatting>
  <conditionalFormatting sqref="D146:M146">
    <cfRule type="expression" dxfId="166" priority="138">
      <formula>$AG146=2</formula>
    </cfRule>
  </conditionalFormatting>
  <conditionalFormatting sqref="D161:M161">
    <cfRule type="expression" dxfId="165" priority="137">
      <formula>$AG161=2</formula>
    </cfRule>
  </conditionalFormatting>
  <conditionalFormatting sqref="D193:M193">
    <cfRule type="expression" dxfId="164" priority="136">
      <formula>$AG193=2</formula>
    </cfRule>
  </conditionalFormatting>
  <conditionalFormatting sqref="D210:M210">
    <cfRule type="expression" dxfId="163" priority="135">
      <formula>$AG210=2</formula>
    </cfRule>
  </conditionalFormatting>
  <conditionalFormatting sqref="G11:M35">
    <cfRule type="expression" dxfId="162" priority="1630">
      <formula>$AG11=2</formula>
    </cfRule>
  </conditionalFormatting>
  <conditionalFormatting sqref="G38:M63">
    <cfRule type="expression" dxfId="161" priority="114">
      <formula>$AG38=2</formula>
    </cfRule>
  </conditionalFormatting>
  <conditionalFormatting sqref="G66:M92">
    <cfRule type="expression" dxfId="160" priority="161">
      <formula>$AG66=2</formula>
    </cfRule>
  </conditionalFormatting>
  <conditionalFormatting sqref="G95:M101">
    <cfRule type="expression" dxfId="159" priority="833">
      <formula>$AG95=2</formula>
    </cfRule>
  </conditionalFormatting>
  <conditionalFormatting sqref="G104:M115">
    <cfRule type="expression" dxfId="158" priority="554">
      <formula>$AG104=2</formula>
    </cfRule>
  </conditionalFormatting>
  <conditionalFormatting sqref="G118:M145">
    <cfRule type="expression" dxfId="157" priority="480">
      <formula>$AG118=2</formula>
    </cfRule>
  </conditionalFormatting>
  <conditionalFormatting sqref="G148:M160">
    <cfRule type="expression" dxfId="156" priority="321">
      <formula>$AG148=2</formula>
    </cfRule>
  </conditionalFormatting>
  <conditionalFormatting sqref="G195:M209">
    <cfRule type="expression" dxfId="155" priority="207">
      <formula>$AG195=2</formula>
    </cfRule>
  </conditionalFormatting>
  <conditionalFormatting sqref="G212:M226">
    <cfRule type="expression" dxfId="154" priority="184">
      <formula>$AG212=2</formula>
    </cfRule>
  </conditionalFormatting>
  <conditionalFormatting sqref="K10:L171 R11:S11 Y11:Z11 R38:S62 Y38:Z62 R66:S91 Y66:Z91 R95:S100 Y95:Z100 R104:S114 Y104:Z114 R118:S144 Y118:Z144 R148:S159 Y148:Z159 R163:S171 Y163:Z171 Y173:Z191 K173:L226 R195:S208 Y195:Z208 R212:S225 Y212:Z225">
    <cfRule type="expression" dxfId="133" priority="7023">
      <formula>#REF!=1</formula>
    </cfRule>
    <cfRule type="expression" dxfId="132" priority="7021">
      <formula>#REF!=3</formula>
    </cfRule>
    <cfRule type="expression" dxfId="131" priority="7022">
      <formula>#REF!=2</formula>
    </cfRule>
  </conditionalFormatting>
  <conditionalFormatting sqref="K10:L171 Y11:Z11 Y38:Z62 Y148:Z159 Y163:Z171 Y173:Z191 Y195:Z208 Y212:Z225 K173:L226 R11:S11 R38:S62 R66:S91 Y66:Z91 R95:S100 Y95:Z100 R104:S114 Y104:Z114 R118:S144 Y118:Z144 R148:S159 R163:S171 R195:S208 R212:S225">
    <cfRule type="expression" dxfId="130" priority="7020">
      <formula>#REF!=4</formula>
    </cfRule>
  </conditionalFormatting>
  <conditionalFormatting sqref="K172:L172 R172:S172 Y172:Z172">
    <cfRule type="expression" dxfId="129" priority="73">
      <formula>#REF!=1</formula>
    </cfRule>
    <cfRule type="expression" dxfId="128" priority="72">
      <formula>#REF!=2</formula>
    </cfRule>
    <cfRule type="expression" dxfId="127" priority="71">
      <formula>#REF!=3</formula>
    </cfRule>
  </conditionalFormatting>
  <conditionalFormatting sqref="K117:M117">
    <cfRule type="expression" dxfId="126" priority="600">
      <formula>$AG117=2</formula>
    </cfRule>
  </conditionalFormatting>
  <conditionalFormatting sqref="K147:M147">
    <cfRule type="expression" dxfId="125" priority="543">
      <formula>$AG147=2</formula>
    </cfRule>
  </conditionalFormatting>
  <conditionalFormatting sqref="K162:M162">
    <cfRule type="expression" dxfId="124" priority="469">
      <formula>$AG162=2</formula>
    </cfRule>
  </conditionalFormatting>
  <conditionalFormatting sqref="K194:M194">
    <cfRule type="expression" dxfId="123" priority="401">
      <formula>$AG194=2</formula>
    </cfRule>
  </conditionalFormatting>
  <conditionalFormatting sqref="K211:M211">
    <cfRule type="expression" dxfId="122" priority="287">
      <formula>$AG211=2</formula>
    </cfRule>
  </conditionalFormatting>
  <conditionalFormatting sqref="L11:L226">
    <cfRule type="expression" dxfId="121" priority="48">
      <formula>L11=$AI$10</formula>
    </cfRule>
    <cfRule type="expression" dxfId="120" priority="44">
      <formula>L11=$AI$11</formula>
    </cfRule>
    <cfRule type="expression" dxfId="119" priority="43">
      <formula>L11=$AI$12</formula>
    </cfRule>
  </conditionalFormatting>
  <conditionalFormatting sqref="O2:AB2">
    <cfRule type="expression" dxfId="99" priority="1596">
      <formula>$AG10=2</formula>
    </cfRule>
  </conditionalFormatting>
  <conditionalFormatting sqref="R10:S171 R173:S226">
    <cfRule type="expression" dxfId="98" priority="7036">
      <formula>#REF!=4</formula>
    </cfRule>
    <cfRule type="expression" dxfId="97" priority="7037">
      <formula>#REF!=3</formula>
    </cfRule>
    <cfRule type="expression" dxfId="96" priority="7038">
      <formula>#REF!=2</formula>
    </cfRule>
    <cfRule type="expression" dxfId="95" priority="7039">
      <formula>#REF!=1</formula>
    </cfRule>
  </conditionalFormatting>
  <conditionalFormatting sqref="R172:S191">
    <cfRule type="expression" dxfId="94" priority="77">
      <formula>#REF!=1</formula>
    </cfRule>
    <cfRule type="expression" dxfId="93" priority="74">
      <formula>#REF!=4</formula>
    </cfRule>
    <cfRule type="expression" dxfId="92" priority="75">
      <formula>#REF!=3</formula>
    </cfRule>
    <cfRule type="expression" dxfId="91" priority="76">
      <formula>#REF!=2</formula>
    </cfRule>
  </conditionalFormatting>
  <conditionalFormatting sqref="S11:S226">
    <cfRule type="expression" dxfId="90" priority="46">
      <formula>S11=$AI$11</formula>
    </cfRule>
    <cfRule type="expression" dxfId="89" priority="45">
      <formula>S11=$AI$12</formula>
    </cfRule>
    <cfRule type="expression" dxfId="88" priority="47">
      <formula>S11=$AI$10</formula>
    </cfRule>
  </conditionalFormatting>
  <conditionalFormatting sqref="V148:AA171">
    <cfRule type="expression" dxfId="62" priority="693">
      <formula>$AG148=2</formula>
    </cfRule>
  </conditionalFormatting>
  <conditionalFormatting sqref="V172:AA172">
    <cfRule type="expression" dxfId="58" priority="61">
      <formula>$AG172=2</formula>
    </cfRule>
  </conditionalFormatting>
  <conditionalFormatting sqref="V41:AB71 V72:AA147 O10:T226 G163:M192 D36:M36 K37:M37 D64:M64 K65:M65 D93:M93 K94:M94 D102:M102 K103:M103 K10:M10 AB72:AB171">
    <cfRule type="expression" dxfId="51" priority="140">
      <formula>$AG10=2</formula>
    </cfRule>
  </conditionalFormatting>
  <conditionalFormatting sqref="V173:AB226">
    <cfRule type="expression" dxfId="50" priority="623">
      <formula>$AG173=2</formula>
    </cfRule>
  </conditionalFormatting>
  <conditionalFormatting sqref="V10:AC39">
    <cfRule type="expression" dxfId="49" priority="1201">
      <formula>$AG10=2</formula>
    </cfRule>
  </conditionalFormatting>
  <conditionalFormatting sqref="V40:AC40">
    <cfRule type="expression" dxfId="48" priority="132">
      <formula>$AG40=2</formula>
    </cfRule>
  </conditionalFormatting>
  <conditionalFormatting sqref="Y10:Z171 Y173:Z226">
    <cfRule type="expression" dxfId="27" priority="7045">
      <formula>#REF!=3</formula>
    </cfRule>
    <cfRule type="expression" dxfId="26" priority="7047">
      <formula>#REF!=1</formula>
    </cfRule>
    <cfRule type="expression" dxfId="25" priority="7046">
      <formula>#REF!=2</formula>
    </cfRule>
    <cfRule type="expression" dxfId="24" priority="7044">
      <formula>#REF!=4</formula>
    </cfRule>
  </conditionalFormatting>
  <conditionalFormatting sqref="Y172:Z172 K172:L172 R172:S172">
    <cfRule type="expression" dxfId="23" priority="70">
      <formula>#REF!=4</formula>
    </cfRule>
  </conditionalFormatting>
  <conditionalFormatting sqref="Y172:Z172">
    <cfRule type="expression" dxfId="22" priority="78">
      <formula>#REF!=4</formula>
    </cfRule>
    <cfRule type="expression" dxfId="21" priority="79">
      <formula>#REF!=3</formula>
    </cfRule>
    <cfRule type="expression" dxfId="20" priority="80">
      <formula>#REF!=2</formula>
    </cfRule>
    <cfRule type="expression" dxfId="19" priority="81">
      <formula>#REF!=1</formula>
    </cfRule>
  </conditionalFormatting>
  <conditionalFormatting sqref="Z11:Z171">
    <cfRule type="expression" dxfId="18" priority="7096">
      <formula>Z1048374=$AI$12</formula>
    </cfRule>
    <cfRule type="expression" dxfId="17" priority="7097">
      <formula>Z1048374=$AI$11</formula>
    </cfRule>
    <cfRule type="expression" dxfId="16" priority="7098">
      <formula>Z1048374=$AI$10</formula>
    </cfRule>
  </conditionalFormatting>
  <conditionalFormatting sqref="Z172">
    <cfRule type="expression" dxfId="15" priority="83">
      <formula>Z1048535=$AI$11</formula>
    </cfRule>
    <cfRule type="expression" dxfId="14" priority="84">
      <formula>Z1048535=$AI$10</formula>
    </cfRule>
    <cfRule type="expression" dxfId="13" priority="82">
      <formula>Z1048535=$AI$12</formula>
    </cfRule>
  </conditionalFormatting>
  <conditionalFormatting sqref="Z173:Z226">
    <cfRule type="expression" dxfId="12" priority="89">
      <formula>Z1048535=$AI$10</formula>
    </cfRule>
    <cfRule type="expression" dxfId="11" priority="87">
      <formula>Z1048535=$AI$12</formula>
    </cfRule>
    <cfRule type="expression" dxfId="10" priority="88">
      <formula>Z1048535=$AI$11</formula>
    </cfRule>
  </conditionalFormatting>
  <conditionalFormatting sqref="AB172:AC172">
    <cfRule type="expression" dxfId="5" priority="67">
      <formula>$AG172=2</formula>
    </cfRule>
  </conditionalFormatting>
  <conditionalFormatting sqref="AC41:AC171">
    <cfRule type="expression" dxfId="1" priority="1183">
      <formula>$AG41=2</formula>
    </cfRule>
  </conditionalFormatting>
  <conditionalFormatting sqref="AC173:AC223">
    <cfRule type="expression" dxfId="0" priority="1177">
      <formula>$AG173=2</formula>
    </cfRule>
  </conditionalFormatting>
  <dataValidations count="2">
    <dataValidation allowBlank="1" showInputMessage="1" showErrorMessage="1" promptTitle="Sorting" prompt="Sort from smallest to largest to get original sorting" sqref="A9" xr:uid="{00000000-0002-0000-0600-000001000000}"/>
    <dataValidation type="decimal" operator="lessThanOrEqual" allowBlank="1" errorTitle="Invalid entry" error="Cannot award more credits than available" sqref="F11:AA226" xr:uid="{00000000-0002-0000-0600-000000000000}">
      <formula1>$G11</formula1>
    </dataValidation>
  </dataValidations>
  <pageMargins left="0.43307086614173229" right="0.19685039370078741" top="0.6692913385826772" bottom="0.59055118110236227" header="0.31496062992125984" footer="0.31496062992125984"/>
  <pageSetup paperSize="9" scale="39" fitToHeight="0" orientation="landscape" r:id="rId1"/>
  <headerFooter>
    <oddFooter xml:space="preserve">&amp;L&amp;F&amp;C&amp;D&amp;RPage &amp;P of &amp;N  </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164" id="{25BB7F43-1C6E-4013-94FE-A8FA867514C0}">
            <xm:f>$T$8='Assessment Details'!$Q$23</xm:f>
            <x14:dxf>
              <border>
                <left style="thin">
                  <color theme="0"/>
                </left>
                <right style="thin">
                  <color theme="0"/>
                </right>
                <top style="thin">
                  <color theme="0"/>
                </top>
                <bottom style="thin">
                  <color theme="0"/>
                </bottom>
                <vertical/>
                <horizontal/>
              </border>
            </x14:dxf>
          </x14:cfRule>
          <x14:cfRule type="expression" priority="1165" id="{91A40F5D-EE13-49A1-A431-4C7B3D2E9120}">
            <xm:f>$T$8='Assessment Details'!$Q$23</xm:f>
            <x14:dxf>
              <font>
                <color theme="0"/>
              </font>
              <fill>
                <patternFill>
                  <bgColor theme="0"/>
                </patternFill>
              </fill>
              <border>
                <vertical/>
                <horizontal/>
              </border>
            </x14:dxf>
          </x14:cfRule>
          <xm:sqref>H11:H35</xm:sqref>
        </x14:conditionalFormatting>
        <x14:conditionalFormatting xmlns:xm="http://schemas.microsoft.com/office/excel/2006/main">
          <x14:cfRule type="expression" priority="110" id="{AE843E95-EC7F-48D1-A962-E7BD7FF814A7}">
            <xm:f>$T$8='Assessment Details'!$Q$23</xm:f>
            <x14:dxf>
              <border>
                <left style="thin">
                  <color theme="0"/>
                </left>
                <right style="thin">
                  <color theme="0"/>
                </right>
                <top style="thin">
                  <color theme="0"/>
                </top>
                <bottom style="thin">
                  <color theme="0"/>
                </bottom>
                <vertical/>
                <horizontal/>
              </border>
            </x14:dxf>
          </x14:cfRule>
          <x14:cfRule type="expression" priority="111" id="{54818CE5-9AE7-42E4-84CF-C5EBE921D49C}">
            <xm:f>$T$8='Assessment Details'!$Q$23</xm:f>
            <x14:dxf>
              <font>
                <color theme="0"/>
              </font>
              <fill>
                <patternFill>
                  <bgColor theme="0"/>
                </patternFill>
              </fill>
              <border>
                <vertical/>
                <horizontal/>
              </border>
            </x14:dxf>
          </x14:cfRule>
          <xm:sqref>H38:H63</xm:sqref>
        </x14:conditionalFormatting>
        <x14:conditionalFormatting xmlns:xm="http://schemas.microsoft.com/office/excel/2006/main">
          <x14:cfRule type="expression" priority="157" id="{C1694F0A-0CC1-4742-8E15-EEE575936C27}">
            <xm:f>$T$8='Assessment Details'!$Q$23</xm:f>
            <x14:dxf>
              <border>
                <left style="thin">
                  <color theme="0"/>
                </left>
                <right style="thin">
                  <color theme="0"/>
                </right>
                <top style="thin">
                  <color theme="0"/>
                </top>
                <bottom style="thin">
                  <color theme="0"/>
                </bottom>
                <vertical/>
                <horizontal/>
              </border>
            </x14:dxf>
          </x14:cfRule>
          <x14:cfRule type="expression" priority="158" id="{5B0F2C05-53AF-48BB-9D2E-E6F641488715}">
            <xm:f>$T$8='Assessment Details'!$Q$23</xm:f>
            <x14:dxf>
              <font>
                <color theme="0"/>
              </font>
              <fill>
                <patternFill>
                  <bgColor theme="0"/>
                </patternFill>
              </fill>
              <border>
                <vertical/>
                <horizontal/>
              </border>
            </x14:dxf>
          </x14:cfRule>
          <xm:sqref>H66:H92</xm:sqref>
        </x14:conditionalFormatting>
        <x14:conditionalFormatting xmlns:xm="http://schemas.microsoft.com/office/excel/2006/main">
          <x14:cfRule type="expression" priority="830" id="{E06107F4-0797-42C3-AF12-3E69A082790E}">
            <xm:f>$T$8='Assessment Details'!$Q$23</xm:f>
            <x14:dxf>
              <font>
                <color theme="0"/>
              </font>
              <fill>
                <patternFill>
                  <bgColor theme="0"/>
                </patternFill>
              </fill>
              <border>
                <vertical/>
                <horizontal/>
              </border>
            </x14:dxf>
          </x14:cfRule>
          <x14:cfRule type="expression" priority="829" id="{00C83373-3E86-4A05-A623-37C5B664E25B}">
            <xm:f>$T$8='Assessment Details'!$Q$23</xm:f>
            <x14:dxf>
              <border>
                <left style="thin">
                  <color theme="0"/>
                </left>
                <right style="thin">
                  <color theme="0"/>
                </right>
                <top style="thin">
                  <color theme="0"/>
                </top>
                <bottom style="thin">
                  <color theme="0"/>
                </bottom>
                <vertical/>
                <horizontal/>
              </border>
            </x14:dxf>
          </x14:cfRule>
          <xm:sqref>H95:H101</xm:sqref>
        </x14:conditionalFormatting>
        <x14:conditionalFormatting xmlns:xm="http://schemas.microsoft.com/office/excel/2006/main">
          <x14:cfRule type="expression" priority="551" id="{C347AA3C-D0B8-4F09-B4D1-36DB18DE78EF}">
            <xm:f>$T$8='Assessment Details'!$Q$23</xm:f>
            <x14:dxf>
              <font>
                <color theme="0"/>
              </font>
              <fill>
                <patternFill>
                  <bgColor theme="0"/>
                </patternFill>
              </fill>
              <border>
                <vertical/>
                <horizontal/>
              </border>
            </x14:dxf>
          </x14:cfRule>
          <x14:cfRule type="expression" priority="550" id="{8968B4EF-1BC8-4A39-B0EC-CDE08651E6BB}">
            <xm:f>$T$8='Assessment Details'!$Q$23</xm:f>
            <x14:dxf>
              <border>
                <left style="thin">
                  <color theme="0"/>
                </left>
                <right style="thin">
                  <color theme="0"/>
                </right>
                <top style="thin">
                  <color theme="0"/>
                </top>
                <bottom style="thin">
                  <color theme="0"/>
                </bottom>
                <vertical/>
                <horizontal/>
              </border>
            </x14:dxf>
          </x14:cfRule>
          <xm:sqref>H104:H115</xm:sqref>
        </x14:conditionalFormatting>
        <x14:conditionalFormatting xmlns:xm="http://schemas.microsoft.com/office/excel/2006/main">
          <x14:cfRule type="expression" priority="476" id="{17D3BFAC-3ED5-46B7-8A87-FDE46A9FE42C}">
            <xm:f>$T$8='Assessment Details'!$Q$23</xm:f>
            <x14:dxf>
              <border>
                <left style="thin">
                  <color theme="0"/>
                </left>
                <right style="thin">
                  <color theme="0"/>
                </right>
                <top style="thin">
                  <color theme="0"/>
                </top>
                <bottom style="thin">
                  <color theme="0"/>
                </bottom>
                <vertical/>
                <horizontal/>
              </border>
            </x14:dxf>
          </x14:cfRule>
          <x14:cfRule type="expression" priority="477" id="{71344784-8930-41DD-9068-F1A27456F2FB}">
            <xm:f>$T$8='Assessment Details'!$Q$23</xm:f>
            <x14:dxf>
              <font>
                <color theme="0"/>
              </font>
              <fill>
                <patternFill>
                  <bgColor theme="0"/>
                </patternFill>
              </fill>
              <border>
                <vertical/>
                <horizontal/>
              </border>
            </x14:dxf>
          </x14:cfRule>
          <xm:sqref>H118:H145</xm:sqref>
        </x14:conditionalFormatting>
        <x14:conditionalFormatting xmlns:xm="http://schemas.microsoft.com/office/excel/2006/main">
          <x14:cfRule type="expression" priority="317" id="{59A148E8-E2E2-4C13-9BA7-4917EEFC9810}">
            <xm:f>$T$8='Assessment Details'!$Q$23</xm:f>
            <x14:dxf>
              <border>
                <left style="thin">
                  <color theme="0"/>
                </left>
                <right style="thin">
                  <color theme="0"/>
                </right>
                <top style="thin">
                  <color theme="0"/>
                </top>
                <bottom style="thin">
                  <color theme="0"/>
                </bottom>
                <vertical/>
                <horizontal/>
              </border>
            </x14:dxf>
          </x14:cfRule>
          <x14:cfRule type="expression" priority="318" id="{78FAA767-EF37-463D-829F-0B1AF2BEDA83}">
            <xm:f>$T$8='Assessment Details'!$Q$23</xm:f>
            <x14:dxf>
              <font>
                <color theme="0"/>
              </font>
              <fill>
                <patternFill>
                  <bgColor theme="0"/>
                </patternFill>
              </fill>
              <border>
                <vertical/>
                <horizontal/>
              </border>
            </x14:dxf>
          </x14:cfRule>
          <xm:sqref>H148:H160</xm:sqref>
        </x14:conditionalFormatting>
        <x14:conditionalFormatting xmlns:xm="http://schemas.microsoft.com/office/excel/2006/main">
          <x14:cfRule type="expression" priority="58" id="{55253052-C297-4F8C-A3EC-9B943F5F6B38}">
            <xm:f>$T$8='Assessment Details'!$Q$23</xm:f>
            <x14:dxf>
              <font>
                <color theme="0"/>
              </font>
              <fill>
                <patternFill>
                  <bgColor theme="0"/>
                </patternFill>
              </fill>
              <border>
                <vertical/>
                <horizontal/>
              </border>
            </x14:dxf>
          </x14:cfRule>
          <x14:cfRule type="expression" priority="57" id="{BD96B0C5-25AF-424F-A1BA-4CE9F3FCCC31}">
            <xm:f>$T$8='Assessment Details'!$Q$23</xm:f>
            <x14:dxf>
              <border>
                <left style="thin">
                  <color theme="0"/>
                </left>
                <right style="thin">
                  <color theme="0"/>
                </right>
                <top style="thin">
                  <color theme="0"/>
                </top>
                <bottom style="thin">
                  <color theme="0"/>
                </bottom>
                <vertical/>
                <horizontal/>
              </border>
            </x14:dxf>
          </x14:cfRule>
          <xm:sqref>H163:H192</xm:sqref>
        </x14:conditionalFormatting>
        <x14:conditionalFormatting xmlns:xm="http://schemas.microsoft.com/office/excel/2006/main">
          <x14:cfRule type="expression" priority="203" id="{9FCDED50-49C0-4E16-9FA5-DE4D7BFDAA9E}">
            <xm:f>$T$8='Assessment Details'!$Q$23</xm:f>
            <x14:dxf>
              <border>
                <left style="thin">
                  <color theme="0"/>
                </left>
                <right style="thin">
                  <color theme="0"/>
                </right>
                <top style="thin">
                  <color theme="0"/>
                </top>
                <bottom style="thin">
                  <color theme="0"/>
                </bottom>
                <vertical/>
                <horizontal/>
              </border>
            </x14:dxf>
          </x14:cfRule>
          <x14:cfRule type="expression" priority="204" id="{3EEB2744-C09A-4B21-942E-2E8AFADE296C}">
            <xm:f>$T$8='Assessment Details'!$Q$23</xm:f>
            <x14:dxf>
              <font>
                <color theme="0"/>
              </font>
              <fill>
                <patternFill>
                  <bgColor theme="0"/>
                </patternFill>
              </fill>
              <border>
                <vertical/>
                <horizontal/>
              </border>
            </x14:dxf>
          </x14:cfRule>
          <xm:sqref>H195:H209</xm:sqref>
        </x14:conditionalFormatting>
        <x14:conditionalFormatting xmlns:xm="http://schemas.microsoft.com/office/excel/2006/main">
          <x14:cfRule type="expression" priority="181" id="{E345E5F1-5990-47E9-9094-B1CBC3834D9D}">
            <xm:f>$T$8='Assessment Details'!$Q$23</xm:f>
            <x14:dxf>
              <font>
                <color theme="0"/>
              </font>
              <fill>
                <patternFill>
                  <bgColor theme="0"/>
                </patternFill>
              </fill>
              <border>
                <vertical/>
                <horizontal/>
              </border>
            </x14:dxf>
          </x14:cfRule>
          <x14:cfRule type="expression" priority="180" id="{C0C8BA82-EC28-421A-8056-5C2BF2356772}">
            <xm:f>$T$8='Assessment Details'!$Q$23</xm:f>
            <x14:dxf>
              <border>
                <left style="thin">
                  <color theme="0"/>
                </left>
                <right style="thin">
                  <color theme="0"/>
                </right>
                <top style="thin">
                  <color theme="0"/>
                </top>
                <bottom style="thin">
                  <color theme="0"/>
                </bottom>
                <vertical/>
                <horizontal/>
              </border>
            </x14:dxf>
          </x14:cfRule>
          <xm:sqref>H212:H226</xm:sqref>
        </x14:conditionalFormatting>
        <x14:conditionalFormatting xmlns:xm="http://schemas.microsoft.com/office/excel/2006/main">
          <x14:cfRule type="expression" priority="1156" id="{D2619090-6BDB-4792-A8E2-73C3E3F709E0}">
            <xm:f>$T$8='Assessment Details'!$Q$23</xm:f>
            <x14:dxf>
              <border>
                <left style="thin">
                  <color theme="0"/>
                </left>
                <right style="thin">
                  <color theme="0"/>
                </right>
                <top style="thin">
                  <color theme="0"/>
                </top>
                <bottom style="thin">
                  <color theme="0"/>
                </bottom>
                <vertical/>
                <horizontal/>
              </border>
            </x14:dxf>
          </x14:cfRule>
          <x14:cfRule type="expression" priority="1157" id="{1BC73C47-1758-4EB7-86BE-2E2AD60FD100}">
            <xm:f>$T$8='Assessment Details'!$Q$23</xm:f>
            <x14:dxf>
              <font>
                <color theme="0"/>
              </font>
              <fill>
                <patternFill>
                  <bgColor theme="0"/>
                </patternFill>
              </fill>
              <border>
                <vertical/>
                <horizontal/>
              </border>
            </x14:dxf>
          </x14:cfRule>
          <xm:sqref>O11</xm:sqref>
        </x14:conditionalFormatting>
        <x14:conditionalFormatting xmlns:xm="http://schemas.microsoft.com/office/excel/2006/main">
          <x14:cfRule type="expression" priority="103" id="{B4E0B131-4A0F-467D-84FC-AFE2986E1AD7}">
            <xm:f>$T$8='Assessment Details'!$Q$23</xm:f>
            <x14:dxf>
              <font>
                <color theme="0"/>
              </font>
              <fill>
                <patternFill>
                  <bgColor theme="0"/>
                </patternFill>
              </fill>
              <border>
                <vertical/>
                <horizontal/>
              </border>
            </x14:dxf>
          </x14:cfRule>
          <x14:cfRule type="expression" priority="102" id="{D2A937F4-6AD8-4A61-BA35-A3C401979D0C}">
            <xm:f>$T$8='Assessment Details'!$Q$23</xm:f>
            <x14:dxf>
              <border>
                <left style="thin">
                  <color theme="0"/>
                </left>
                <right style="thin">
                  <color theme="0"/>
                </right>
                <top style="thin">
                  <color theme="0"/>
                </top>
                <bottom style="thin">
                  <color theme="0"/>
                </bottom>
                <vertical/>
                <horizontal/>
              </border>
            </x14:dxf>
          </x14:cfRule>
          <xm:sqref>O38:O62</xm:sqref>
        </x14:conditionalFormatting>
        <x14:conditionalFormatting xmlns:xm="http://schemas.microsoft.com/office/excel/2006/main">
          <x14:cfRule type="expression" priority="150" id="{D93F5BD6-5BC2-4F57-9A8A-0E7FA7B1454F}">
            <xm:f>$T$8='Assessment Details'!$Q$23</xm:f>
            <x14:dxf>
              <font>
                <color theme="0"/>
              </font>
              <fill>
                <patternFill>
                  <bgColor theme="0"/>
                </patternFill>
              </fill>
              <border>
                <vertical/>
                <horizontal/>
              </border>
            </x14:dxf>
          </x14:cfRule>
          <x14:cfRule type="expression" priority="149" id="{98AFAECC-EFCA-441C-BBD5-D37816746FD2}">
            <xm:f>$T$8='Assessment Details'!$Q$23</xm:f>
            <x14:dxf>
              <border>
                <left style="thin">
                  <color theme="0"/>
                </left>
                <right style="thin">
                  <color theme="0"/>
                </right>
                <top style="thin">
                  <color theme="0"/>
                </top>
                <bottom style="thin">
                  <color theme="0"/>
                </bottom>
                <vertical/>
                <horizontal/>
              </border>
            </x14:dxf>
          </x14:cfRule>
          <xm:sqref>O66:O71</xm:sqref>
        </x14:conditionalFormatting>
        <x14:conditionalFormatting xmlns:xm="http://schemas.microsoft.com/office/excel/2006/main">
          <x14:cfRule type="expression" priority="821" id="{DB63DD7B-A191-4D5E-A766-8ED092A8AD25}">
            <xm:f>$T$8='Assessment Details'!$Q$23</xm:f>
            <x14:dxf>
              <border>
                <left style="thin">
                  <color theme="0"/>
                </left>
                <right style="thin">
                  <color theme="0"/>
                </right>
                <top style="thin">
                  <color theme="0"/>
                </top>
                <bottom style="thin">
                  <color theme="0"/>
                </bottom>
                <vertical/>
                <horizontal/>
              </border>
            </x14:dxf>
          </x14:cfRule>
          <x14:cfRule type="expression" priority="822" id="{E6B6E013-951B-4DFA-97E6-BCEE0A6E2E5A}">
            <xm:f>$T$8='Assessment Details'!$Q$23</xm:f>
            <x14:dxf>
              <font>
                <color theme="0"/>
              </font>
              <fill>
                <patternFill>
                  <bgColor theme="0"/>
                </patternFill>
              </fill>
              <border>
                <vertical/>
                <horizontal/>
              </border>
            </x14:dxf>
          </x14:cfRule>
          <xm:sqref>O95:O100</xm:sqref>
        </x14:conditionalFormatting>
        <x14:conditionalFormatting xmlns:xm="http://schemas.microsoft.com/office/excel/2006/main">
          <x14:cfRule type="expression" priority="787" id="{96519392-41EB-42E7-94C2-5B2168E527EE}">
            <xm:f>$T$8='Assessment Details'!$Q$23</xm:f>
            <x14:dxf>
              <font>
                <color theme="0"/>
              </font>
              <fill>
                <patternFill>
                  <bgColor theme="0"/>
                </patternFill>
              </fill>
              <border>
                <vertical/>
                <horizontal/>
              </border>
            </x14:dxf>
          </x14:cfRule>
          <x14:cfRule type="expression" priority="786" id="{750009DF-3B7E-4232-9FC0-8318C8C849AC}">
            <xm:f>$T$8='Assessment Details'!$Q$23</xm:f>
            <x14:dxf>
              <border>
                <left style="thin">
                  <color theme="0"/>
                </left>
                <right style="thin">
                  <color theme="0"/>
                </right>
                <top style="thin">
                  <color theme="0"/>
                </top>
                <bottom style="thin">
                  <color theme="0"/>
                </bottom>
                <vertical/>
                <horizontal/>
              </border>
            </x14:dxf>
          </x14:cfRule>
          <xm:sqref>O104:O114</xm:sqref>
        </x14:conditionalFormatting>
        <x14:conditionalFormatting xmlns:xm="http://schemas.microsoft.com/office/excel/2006/main">
          <x14:cfRule type="expression" priority="751" id="{F6844507-E947-4893-B9ED-E004BF7954D4}">
            <xm:f>$T$8='Assessment Details'!$Q$23</xm:f>
            <x14:dxf>
              <border>
                <left style="thin">
                  <color theme="0"/>
                </left>
                <right style="thin">
                  <color theme="0"/>
                </right>
                <top style="thin">
                  <color theme="0"/>
                </top>
                <bottom style="thin">
                  <color theme="0"/>
                </bottom>
                <vertical/>
                <horizontal/>
              </border>
            </x14:dxf>
          </x14:cfRule>
          <xm:sqref>O118:O144</xm:sqref>
        </x14:conditionalFormatting>
        <x14:conditionalFormatting xmlns:xm="http://schemas.microsoft.com/office/excel/2006/main">
          <x14:cfRule type="expression" priority="716" id="{8621AEF3-0C3F-4972-80CC-714D754035A7}">
            <xm:f>$T$8='Assessment Details'!$Q$23</xm:f>
            <x14:dxf>
              <border>
                <left style="thin">
                  <color theme="0"/>
                </left>
                <right style="thin">
                  <color theme="0"/>
                </right>
                <top style="thin">
                  <color theme="0"/>
                </top>
                <bottom style="thin">
                  <color theme="0"/>
                </bottom>
                <vertical/>
                <horizontal/>
              </border>
            </x14:dxf>
          </x14:cfRule>
          <xm:sqref>O148:O159</xm:sqref>
        </x14:conditionalFormatting>
        <x14:conditionalFormatting xmlns:xm="http://schemas.microsoft.com/office/excel/2006/main">
          <x14:cfRule type="expression" priority="53" id="{8A169D88-CC9C-4464-ADEA-16DC9C366B8E}">
            <xm:f>$T$8='Assessment Details'!$Q$23</xm:f>
            <x14:dxf>
              <border>
                <left style="thin">
                  <color theme="0"/>
                </left>
                <right style="thin">
                  <color theme="0"/>
                </right>
                <top style="thin">
                  <color theme="0"/>
                </top>
                <bottom style="thin">
                  <color theme="0"/>
                </bottom>
                <vertical/>
                <horizontal/>
              </border>
            </x14:dxf>
          </x14:cfRule>
          <xm:sqref>O163:O191</xm:sqref>
        </x14:conditionalFormatting>
        <x14:conditionalFormatting xmlns:xm="http://schemas.microsoft.com/office/excel/2006/main">
          <x14:cfRule type="expression" priority="646" id="{D470C32E-9F2E-4ECC-A7D9-0D38145C9893}">
            <xm:f>$T$8='Assessment Details'!$Q$23</xm:f>
            <x14:dxf>
              <border>
                <left style="thin">
                  <color theme="0"/>
                </left>
                <right style="thin">
                  <color theme="0"/>
                </right>
                <top style="thin">
                  <color theme="0"/>
                </top>
                <bottom style="thin">
                  <color theme="0"/>
                </bottom>
                <vertical/>
                <horizontal/>
              </border>
            </x14:dxf>
          </x14:cfRule>
          <xm:sqref>O195:O208</xm:sqref>
        </x14:conditionalFormatting>
        <x14:conditionalFormatting xmlns:xm="http://schemas.microsoft.com/office/excel/2006/main">
          <x14:cfRule type="expression" priority="611" id="{0B813027-90C8-4BFC-A25A-05CF56010166}">
            <xm:f>$T$8='Assessment Details'!$Q$23</xm:f>
            <x14:dxf>
              <border>
                <left style="thin">
                  <color theme="0"/>
                </left>
                <right style="thin">
                  <color theme="0"/>
                </right>
                <top style="thin">
                  <color theme="0"/>
                </top>
                <bottom style="thin">
                  <color theme="0"/>
                </bottom>
                <vertical/>
                <horizontal/>
              </border>
            </x14:dxf>
          </x14:cfRule>
          <xm:sqref>O212:O225</xm:sqref>
        </x14:conditionalFormatting>
        <x14:conditionalFormatting xmlns:xm="http://schemas.microsoft.com/office/excel/2006/main">
          <x14:cfRule type="expression" priority="59" id="{CBBBCB6E-020B-4A1E-AECA-0E5E004EA2C6}">
            <xm:f>$T$8='Assessment Details'!$Q$23</xm:f>
            <x14:dxf>
              <border>
                <left style="thin">
                  <color theme="0"/>
                </left>
                <right style="thin">
                  <color theme="0"/>
                </right>
                <top style="thin">
                  <color theme="0"/>
                </top>
                <bottom style="thin">
                  <color theme="0"/>
                </bottom>
                <vertical/>
                <horizontal/>
              </border>
            </x14:dxf>
          </x14:cfRule>
          <x14:cfRule type="expression" priority="54" id="{5E6EE673-8DF7-44AB-91D5-694F4E5BF908}">
            <xm:f>$T$8='Assessment Details'!$Q$23</xm:f>
            <x14:dxf>
              <font>
                <color theme="0"/>
              </font>
              <fill>
                <patternFill>
                  <bgColor theme="0"/>
                </patternFill>
              </fill>
              <border>
                <vertical/>
                <horizontal/>
              </border>
            </x14:dxf>
          </x14:cfRule>
          <xm:sqref>O10:T226</xm:sqref>
        </x14:conditionalFormatting>
        <x14:conditionalFormatting xmlns:xm="http://schemas.microsoft.com/office/excel/2006/main">
          <x14:cfRule type="expression" priority="1626" id="{D6CE8378-0295-43A4-B4D2-FF97977D5B54}">
            <xm:f>$T$8='Assessment Details'!$Q$23</xm:f>
            <x14:dxf>
              <border>
                <left style="thin">
                  <color theme="0"/>
                </left>
                <right style="thin">
                  <color theme="0"/>
                </right>
                <top style="thin">
                  <color theme="0"/>
                </top>
                <bottom style="thin">
                  <color theme="0"/>
                </bottom>
                <vertical/>
                <horizontal/>
              </border>
            </x14:dxf>
          </x14:cfRule>
          <x14:cfRule type="expression" priority="1627" id="{B963291B-988D-4012-8C32-6BE515380621}">
            <xm:f>$T$8='Assessment Details'!$Q$23</xm:f>
            <x14:dxf>
              <font>
                <color theme="0"/>
              </font>
              <fill>
                <patternFill>
                  <bgColor theme="0"/>
                </patternFill>
              </fill>
              <border>
                <vertical/>
                <horizontal/>
              </border>
            </x14:dxf>
          </x14:cfRule>
          <xm:sqref>O2:AA2</xm:sqref>
        </x14:conditionalFormatting>
        <x14:conditionalFormatting xmlns:xm="http://schemas.microsoft.com/office/excel/2006/main">
          <x14:cfRule type="expression" priority="1150" id="{786DA6F1-B0B2-44B0-ABD6-7C02B98EB7B2}">
            <xm:f>$T$8='Assessment Details'!$Q$23</xm:f>
            <x14:dxf>
              <border>
                <left style="thin">
                  <color theme="0"/>
                </left>
                <right style="thin">
                  <color theme="0"/>
                </right>
                <top style="thin">
                  <color theme="0"/>
                </top>
                <bottom style="thin">
                  <color theme="0"/>
                </bottom>
                <vertical/>
                <horizontal/>
              </border>
            </x14:dxf>
          </x14:cfRule>
          <x14:cfRule type="expression" priority="1151" id="{66255529-4F29-43F6-BFD1-3ADCBB7A00F0}">
            <xm:f>$T$8='Assessment Details'!$Q$23</xm:f>
            <x14:dxf>
              <font>
                <color theme="0"/>
              </font>
              <fill>
                <patternFill>
                  <bgColor theme="0"/>
                </patternFill>
              </fill>
              <border>
                <vertical/>
                <horizontal/>
              </border>
            </x14:dxf>
          </x14:cfRule>
          <xm:sqref>V11:V35</xm:sqref>
        </x14:conditionalFormatting>
        <x14:conditionalFormatting xmlns:xm="http://schemas.microsoft.com/office/excel/2006/main">
          <x14:cfRule type="expression" priority="97" id="{EAD5FDD4-AB6C-47B5-B37A-19F24BF3D229}">
            <xm:f>$T$8='Assessment Details'!$Q$23</xm:f>
            <x14:dxf>
              <font>
                <color theme="0"/>
              </font>
              <fill>
                <patternFill>
                  <bgColor theme="0"/>
                </patternFill>
              </fill>
              <border>
                <vertical/>
                <horizontal/>
              </border>
            </x14:dxf>
          </x14:cfRule>
          <x14:cfRule type="expression" priority="96" id="{1B1C70F0-1B2A-47E8-B0B9-500FC7BDA48B}">
            <xm:f>$T$8='Assessment Details'!$Q$23</xm:f>
            <x14:dxf>
              <border>
                <left style="thin">
                  <color theme="0"/>
                </left>
                <right style="thin">
                  <color theme="0"/>
                </right>
                <top style="thin">
                  <color theme="0"/>
                </top>
                <bottom style="thin">
                  <color theme="0"/>
                </bottom>
                <vertical/>
                <horizontal/>
              </border>
            </x14:dxf>
          </x14:cfRule>
          <xm:sqref>V38:V63</xm:sqref>
        </x14:conditionalFormatting>
        <x14:conditionalFormatting xmlns:xm="http://schemas.microsoft.com/office/excel/2006/main">
          <x14:cfRule type="expression" priority="144" id="{868D452A-ED94-400D-A800-C21137A74F90}">
            <xm:f>$T$8='Assessment Details'!$Q$23</xm:f>
            <x14:dxf>
              <font>
                <color theme="0"/>
              </font>
              <fill>
                <patternFill>
                  <bgColor theme="0"/>
                </patternFill>
              </fill>
              <border>
                <vertical/>
                <horizontal/>
              </border>
            </x14:dxf>
          </x14:cfRule>
          <x14:cfRule type="expression" priority="143" id="{8809E55D-95BE-49EB-AA0B-AB6AD3A6F62A}">
            <xm:f>$T$8='Assessment Details'!$Q$23</xm:f>
            <x14:dxf>
              <border>
                <left style="thin">
                  <color theme="0"/>
                </left>
                <right style="thin">
                  <color theme="0"/>
                </right>
                <top style="thin">
                  <color theme="0"/>
                </top>
                <bottom style="thin">
                  <color theme="0"/>
                </bottom>
                <vertical/>
                <horizontal/>
              </border>
            </x14:dxf>
          </x14:cfRule>
          <xm:sqref>V66:V92</xm:sqref>
        </x14:conditionalFormatting>
        <x14:conditionalFormatting xmlns:xm="http://schemas.microsoft.com/office/excel/2006/main">
          <x14:cfRule type="expression" priority="816" id="{F7F980A3-F13E-48B5-8235-DF2D2320CBA3}">
            <xm:f>$T$8='Assessment Details'!$Q$23</xm:f>
            <x14:dxf>
              <font>
                <color theme="0"/>
              </font>
              <fill>
                <patternFill>
                  <bgColor theme="0"/>
                </patternFill>
              </fill>
              <border>
                <vertical/>
                <horizontal/>
              </border>
            </x14:dxf>
          </x14:cfRule>
          <x14:cfRule type="expression" priority="815" id="{EDE00C90-27FD-4C1B-8983-B51F2271A337}">
            <xm:f>$T$8='Assessment Details'!$Q$23</xm:f>
            <x14:dxf>
              <border>
                <left style="thin">
                  <color theme="0"/>
                </left>
                <right style="thin">
                  <color theme="0"/>
                </right>
                <top style="thin">
                  <color theme="0"/>
                </top>
                <bottom style="thin">
                  <color theme="0"/>
                </bottom>
                <vertical/>
                <horizontal/>
              </border>
            </x14:dxf>
          </x14:cfRule>
          <xm:sqref>V95:V101</xm:sqref>
        </x14:conditionalFormatting>
        <x14:conditionalFormatting xmlns:xm="http://schemas.microsoft.com/office/excel/2006/main">
          <x14:cfRule type="expression" priority="548" id="{5C0A885D-4C5B-45DD-92FD-4D0E01D2BDDC}">
            <xm:f>$T$8='Assessment Details'!$Q$23</xm:f>
            <x14:dxf>
              <border>
                <left style="thin">
                  <color theme="0"/>
                </left>
                <right style="thin">
                  <color theme="0"/>
                </right>
                <top style="thin">
                  <color theme="0"/>
                </top>
                <bottom style="thin">
                  <color theme="0"/>
                </bottom>
                <vertical/>
                <horizontal/>
              </border>
            </x14:dxf>
          </x14:cfRule>
          <x14:cfRule type="expression" priority="549" id="{69D85CA4-253D-4379-BE5F-2600F332D9AE}">
            <xm:f>$T$8='Assessment Details'!$Q$23</xm:f>
            <x14:dxf>
              <font>
                <color theme="0"/>
              </font>
              <fill>
                <patternFill>
                  <bgColor theme="0"/>
                </patternFill>
              </fill>
              <border>
                <vertical/>
                <horizontal/>
              </border>
            </x14:dxf>
          </x14:cfRule>
          <xm:sqref>V104:V115</xm:sqref>
        </x14:conditionalFormatting>
        <x14:conditionalFormatting xmlns:xm="http://schemas.microsoft.com/office/excel/2006/main">
          <x14:cfRule type="expression" priority="474" id="{6D8C878D-D96F-446E-96C6-477ED50893A3}">
            <xm:f>$T$8='Assessment Details'!$Q$23</xm:f>
            <x14:dxf>
              <border>
                <left style="thin">
                  <color theme="0"/>
                </left>
                <right style="thin">
                  <color theme="0"/>
                </right>
                <top style="thin">
                  <color theme="0"/>
                </top>
                <bottom style="thin">
                  <color theme="0"/>
                </bottom>
                <vertical/>
                <horizontal/>
              </border>
            </x14:dxf>
          </x14:cfRule>
          <x14:cfRule type="expression" priority="475" id="{4D33337E-30D9-4C34-AEC2-F855097553FE}">
            <xm:f>$T$8='Assessment Details'!$Q$23</xm:f>
            <x14:dxf>
              <font>
                <color theme="0"/>
              </font>
              <fill>
                <patternFill>
                  <bgColor theme="0"/>
                </patternFill>
              </fill>
              <border>
                <vertical/>
                <horizontal/>
              </border>
            </x14:dxf>
          </x14:cfRule>
          <xm:sqref>V118:V145</xm:sqref>
        </x14:conditionalFormatting>
        <x14:conditionalFormatting xmlns:xm="http://schemas.microsoft.com/office/excel/2006/main">
          <x14:cfRule type="expression" priority="315" id="{F2C142DA-9146-48ED-8F06-FFE18D63DF4B}">
            <xm:f>$T$8='Assessment Details'!$Q$23</xm:f>
            <x14:dxf>
              <border>
                <left style="thin">
                  <color theme="0"/>
                </left>
                <right style="thin">
                  <color theme="0"/>
                </right>
                <top style="thin">
                  <color theme="0"/>
                </top>
                <bottom style="thin">
                  <color theme="0"/>
                </bottom>
                <vertical/>
                <horizontal/>
              </border>
            </x14:dxf>
          </x14:cfRule>
          <x14:cfRule type="expression" priority="316" id="{86C6382E-6A5F-4F5E-AC04-32CFAFDEB67A}">
            <xm:f>$T$8='Assessment Details'!$Q$23</xm:f>
            <x14:dxf>
              <font>
                <color theme="0"/>
              </font>
              <fill>
                <patternFill>
                  <bgColor theme="0"/>
                </patternFill>
              </fill>
              <border>
                <vertical/>
                <horizontal/>
              </border>
            </x14:dxf>
          </x14:cfRule>
          <xm:sqref>V148:V160</xm:sqref>
        </x14:conditionalFormatting>
        <x14:conditionalFormatting xmlns:xm="http://schemas.microsoft.com/office/excel/2006/main">
          <x14:cfRule type="expression" priority="52" id="{E3AD6EBD-57C0-491E-ABCC-FAAE19F3C737}">
            <xm:f>$T$8='Assessment Details'!$Q$23</xm:f>
            <x14:dxf>
              <font>
                <color theme="0"/>
              </font>
              <fill>
                <patternFill>
                  <bgColor theme="0"/>
                </patternFill>
              </fill>
              <border>
                <vertical/>
                <horizontal/>
              </border>
            </x14:dxf>
          </x14:cfRule>
          <x14:cfRule type="expression" priority="51" id="{B93FB5AD-8BD2-4291-BA51-0FD5CF79E3A6}">
            <xm:f>$T$8='Assessment Details'!$Q$23</xm:f>
            <x14:dxf>
              <border>
                <left style="thin">
                  <color theme="0"/>
                </left>
                <right style="thin">
                  <color theme="0"/>
                </right>
                <top style="thin">
                  <color theme="0"/>
                </top>
                <bottom style="thin">
                  <color theme="0"/>
                </bottom>
                <vertical/>
                <horizontal/>
              </border>
            </x14:dxf>
          </x14:cfRule>
          <xm:sqref>V163:V192</xm:sqref>
        </x14:conditionalFormatting>
        <x14:conditionalFormatting xmlns:xm="http://schemas.microsoft.com/office/excel/2006/main">
          <x14:cfRule type="expression" priority="201" id="{2C1A8F4E-C427-4F32-B439-0096900E19B2}">
            <xm:f>$T$8='Assessment Details'!$Q$23</xm:f>
            <x14:dxf>
              <border>
                <left style="thin">
                  <color theme="0"/>
                </left>
                <right style="thin">
                  <color theme="0"/>
                </right>
                <top style="thin">
                  <color theme="0"/>
                </top>
                <bottom style="thin">
                  <color theme="0"/>
                </bottom>
                <vertical/>
                <horizontal/>
              </border>
            </x14:dxf>
          </x14:cfRule>
          <x14:cfRule type="expression" priority="202" id="{C76EDFE4-027C-4B51-AA40-A98000EFB61A}">
            <xm:f>$T$8='Assessment Details'!$Q$23</xm:f>
            <x14:dxf>
              <font>
                <color theme="0"/>
              </font>
              <fill>
                <patternFill>
                  <bgColor theme="0"/>
                </patternFill>
              </fill>
              <border>
                <vertical/>
                <horizontal/>
              </border>
            </x14:dxf>
          </x14:cfRule>
          <xm:sqref>V195:V209</xm:sqref>
        </x14:conditionalFormatting>
        <x14:conditionalFormatting xmlns:xm="http://schemas.microsoft.com/office/excel/2006/main">
          <x14:cfRule type="expression" priority="178" id="{C647A0D1-E5B7-4612-B088-B17331BD2DDA}">
            <xm:f>$T$8='Assessment Details'!$Q$23</xm:f>
            <x14:dxf>
              <border>
                <left style="thin">
                  <color theme="0"/>
                </left>
                <right style="thin">
                  <color theme="0"/>
                </right>
                <top style="thin">
                  <color theme="0"/>
                </top>
                <bottom style="thin">
                  <color theme="0"/>
                </bottom>
                <vertical/>
                <horizontal/>
              </border>
            </x14:dxf>
          </x14:cfRule>
          <x14:cfRule type="expression" priority="179" id="{F56C039B-D71B-4643-8343-CFB7E58C594E}">
            <xm:f>$T$8='Assessment Details'!$Q$23</xm:f>
            <x14:dxf>
              <font>
                <color theme="0"/>
              </font>
              <fill>
                <patternFill>
                  <bgColor theme="0"/>
                </patternFill>
              </fill>
              <border>
                <vertical/>
                <horizontal/>
              </border>
            </x14:dxf>
          </x14:cfRule>
          <xm:sqref>V212:V226</xm:sqref>
        </x14:conditionalFormatting>
        <x14:conditionalFormatting xmlns:xm="http://schemas.microsoft.com/office/excel/2006/main">
          <x14:cfRule type="expression" priority="174" id="{68BA5C6D-93A4-482B-B2DC-A71E804CCA45}">
            <xm:f>$AA$8='Assessment Details'!$Q$23</xm:f>
            <x14:dxf>
              <font>
                <color theme="0"/>
              </font>
              <fill>
                <patternFill>
                  <bgColor theme="0"/>
                </patternFill>
              </fill>
            </x14:dxf>
          </x14:cfRule>
          <xm:sqref>V66:AA71</xm:sqref>
        </x14:conditionalFormatting>
        <x14:conditionalFormatting xmlns:xm="http://schemas.microsoft.com/office/excel/2006/main">
          <x14:cfRule type="expression" priority="1123" id="{ED122FC8-685A-4CD0-B196-3B87E709F630}">
            <xm:f>$AA$8='Assessment Details'!$Q$23</xm:f>
            <x14:dxf>
              <font>
                <color theme="0"/>
              </font>
              <fill>
                <patternFill>
                  <bgColor theme="0"/>
                </patternFill>
              </fill>
            </x14:dxf>
          </x14:cfRule>
          <xm:sqref>V92:AA92</xm:sqref>
        </x14:conditionalFormatting>
        <x14:conditionalFormatting xmlns:xm="http://schemas.microsoft.com/office/excel/2006/main">
          <x14:cfRule type="expression" priority="846" id="{523FC504-EDF4-4B28-90CA-F81484708F8D}">
            <xm:f>$AA$8='Assessment Details'!$Q$23</xm:f>
            <x14:dxf>
              <font>
                <color theme="0"/>
              </font>
              <fill>
                <patternFill>
                  <bgColor theme="0"/>
                </patternFill>
              </fill>
            </x14:dxf>
          </x14:cfRule>
          <xm:sqref>V95:AA101</xm:sqref>
        </x14:conditionalFormatting>
        <x14:conditionalFormatting xmlns:xm="http://schemas.microsoft.com/office/excel/2006/main">
          <x14:cfRule type="expression" priority="493" id="{03FF957A-6047-4E35-9C1E-8D0487FCDA7B}">
            <xm:f>$AA$8='Assessment Details'!$Q$23</xm:f>
            <x14:dxf>
              <font>
                <color theme="0"/>
              </font>
              <fill>
                <patternFill>
                  <bgColor theme="0"/>
                </patternFill>
              </fill>
            </x14:dxf>
          </x14:cfRule>
          <xm:sqref>V104:AA147</xm:sqref>
        </x14:conditionalFormatting>
        <x14:conditionalFormatting xmlns:xm="http://schemas.microsoft.com/office/excel/2006/main">
          <x14:cfRule type="expression" priority="741" id="{89AC23ED-6015-47FA-BEAF-9A6AA375A18E}">
            <xm:f>$AA$8='Assessment Details'!$Q$23</xm:f>
            <x14:dxf>
              <font>
                <color theme="0"/>
              </font>
              <fill>
                <patternFill>
                  <bgColor theme="0"/>
                </patternFill>
              </fill>
            </x14:dxf>
          </x14:cfRule>
          <xm:sqref>V148:AA159</xm:sqref>
        </x14:conditionalFormatting>
        <x14:conditionalFormatting xmlns:xm="http://schemas.microsoft.com/office/excel/2006/main">
          <x14:cfRule type="expression" priority="334" id="{4FFB8211-36DB-4191-95CE-5B1D4C18C8BD}">
            <xm:f>$AA$8='Assessment Details'!$Q$23</xm:f>
            <x14:dxf>
              <font>
                <color theme="0"/>
              </font>
              <fill>
                <patternFill>
                  <bgColor theme="0"/>
                </patternFill>
              </fill>
            </x14:dxf>
          </x14:cfRule>
          <xm:sqref>V160:AA162</xm:sqref>
        </x14:conditionalFormatting>
        <x14:conditionalFormatting xmlns:xm="http://schemas.microsoft.com/office/excel/2006/main">
          <x14:cfRule type="expression" priority="706" id="{FEB2857A-BA6E-44AA-90FC-C961C6499428}">
            <xm:f>$AA$8='Assessment Details'!$Q$23</xm:f>
            <x14:dxf>
              <font>
                <color theme="0"/>
              </font>
              <fill>
                <patternFill>
                  <bgColor theme="0"/>
                </patternFill>
              </fill>
            </x14:dxf>
          </x14:cfRule>
          <xm:sqref>V163:AA171</xm:sqref>
        </x14:conditionalFormatting>
        <x14:conditionalFormatting xmlns:xm="http://schemas.microsoft.com/office/excel/2006/main">
          <x14:cfRule type="expression" priority="62" id="{B14ACEF7-A871-4650-94A7-2E9FBD4C38BD}">
            <xm:f>$AA$8='Assessment Details'!$Q$23</xm:f>
            <x14:dxf>
              <font>
                <color theme="0"/>
              </font>
              <fill>
                <patternFill>
                  <bgColor theme="0"/>
                </patternFill>
              </fill>
            </x14:dxf>
          </x14:cfRule>
          <xm:sqref>V172:AA172</xm:sqref>
        </x14:conditionalFormatting>
        <x14:conditionalFormatting xmlns:xm="http://schemas.microsoft.com/office/excel/2006/main">
          <x14:cfRule type="expression" priority="127" id="{00CF1547-2DD6-479C-8D3D-CD630F796C9A}">
            <xm:f>$AA$8='Assessment Details'!$Q$23</xm:f>
            <x14:dxf>
              <font>
                <color theme="0"/>
              </font>
              <fill>
                <patternFill>
                  <bgColor theme="0"/>
                </patternFill>
              </fill>
            </x14:dxf>
          </x14:cfRule>
          <xm:sqref>V173:AA194 AB2 V10:AB10 AB11:AB39 V11:AA65 V72:AA91 V93:AA94 V102:AA103</xm:sqref>
        </x14:conditionalFormatting>
        <x14:conditionalFormatting xmlns:xm="http://schemas.microsoft.com/office/excel/2006/main">
          <x14:cfRule type="expression" priority="671" id="{E528BB73-543D-4A5F-96B3-784CF6DDEB34}">
            <xm:f>$AA$8='Assessment Details'!$Q$23</xm:f>
            <x14:dxf>
              <font>
                <color theme="0"/>
              </font>
              <fill>
                <patternFill>
                  <bgColor theme="0"/>
                </patternFill>
              </fill>
            </x14:dxf>
          </x14:cfRule>
          <xm:sqref>V195:AA208</xm:sqref>
        </x14:conditionalFormatting>
        <x14:conditionalFormatting xmlns:xm="http://schemas.microsoft.com/office/excel/2006/main">
          <x14:cfRule type="expression" priority="220" id="{6AE94490-DB72-4C1A-BDB5-1F85B59CCE8C}">
            <xm:f>$AA$8='Assessment Details'!$Q$23</xm:f>
            <x14:dxf>
              <font>
                <color theme="0"/>
              </font>
              <fill>
                <patternFill>
                  <bgColor theme="0"/>
                </patternFill>
              </fill>
            </x14:dxf>
          </x14:cfRule>
          <xm:sqref>V209:AA211</xm:sqref>
        </x14:conditionalFormatting>
        <x14:conditionalFormatting xmlns:xm="http://schemas.microsoft.com/office/excel/2006/main">
          <x14:cfRule type="expression" priority="636" id="{7C88334D-52CD-4F47-88C6-30AD86C01FC2}">
            <xm:f>$AA$8='Assessment Details'!$Q$23</xm:f>
            <x14:dxf>
              <font>
                <color theme="0"/>
              </font>
              <fill>
                <patternFill>
                  <bgColor theme="0"/>
                </patternFill>
              </fill>
            </x14:dxf>
          </x14:cfRule>
          <xm:sqref>V212:AA225</xm:sqref>
        </x14:conditionalFormatting>
        <x14:conditionalFormatting xmlns:xm="http://schemas.microsoft.com/office/excel/2006/main">
          <x14:cfRule type="expression" priority="197" id="{88E3CCDA-6851-41A4-A36B-FA6D410CC159}">
            <xm:f>$AA$8='Assessment Details'!$Q$23</xm:f>
            <x14:dxf>
              <font>
                <color theme="0"/>
              </font>
              <fill>
                <patternFill>
                  <bgColor theme="0"/>
                </patternFill>
              </fill>
            </x14:dxf>
          </x14:cfRule>
          <xm:sqref>V226:AA226</xm:sqref>
        </x14:conditionalFormatting>
        <x14:conditionalFormatting xmlns:xm="http://schemas.microsoft.com/office/excel/2006/main">
          <x14:cfRule type="expression" priority="63" id="{8A8C983C-F00C-4BE0-A652-7F04FDF50CD5}">
            <xm:f>$AA$8='Assessment Details'!$Q$23</xm:f>
            <x14:dxf>
              <border>
                <left style="thin">
                  <color theme="0"/>
                </left>
                <right style="thin">
                  <color theme="0"/>
                </right>
                <top style="thin">
                  <color theme="0"/>
                </top>
                <bottom style="thin">
                  <color theme="0"/>
                </bottom>
                <vertical/>
                <horizontal/>
              </border>
            </x14:dxf>
          </x14:cfRule>
          <xm:sqref>V10:AB226</xm:sqref>
        </x14:conditionalFormatting>
        <x14:conditionalFormatting xmlns:xm="http://schemas.microsoft.com/office/excel/2006/main">
          <x14:cfRule type="expression" priority="1148" id="{8FA22E55-62A0-4B65-BF55-2B7B3F01900D}">
            <xm:f>$T$8='Assessment Details'!$Q$23</xm:f>
            <x14:dxf>
              <border>
                <left style="thin">
                  <color theme="0"/>
                </left>
                <right style="thin">
                  <color theme="0"/>
                </right>
                <top style="thin">
                  <color theme="0"/>
                </top>
                <bottom style="thin">
                  <color theme="0"/>
                </bottom>
                <vertical/>
                <horizontal/>
              </border>
            </x14:dxf>
          </x14:cfRule>
          <x14:cfRule type="expression" priority="1149" id="{E8E0CC8E-C1ED-4FB6-B617-50244357E13B}">
            <xm:f>$T$8='Assessment Details'!$Q$23</xm:f>
            <x14:dxf>
              <font>
                <color theme="0"/>
              </font>
              <fill>
                <patternFill>
                  <bgColor theme="0"/>
                </patternFill>
              </fill>
              <border>
                <vertical/>
                <horizontal/>
              </border>
            </x14:dxf>
          </x14:cfRule>
          <xm:sqref>X11:X35</xm:sqref>
        </x14:conditionalFormatting>
        <x14:conditionalFormatting xmlns:xm="http://schemas.microsoft.com/office/excel/2006/main">
          <x14:cfRule type="expression" priority="95" id="{AAEA2C86-2AF2-4AFF-B26D-4E71C44468DB}">
            <xm:f>$T$8='Assessment Details'!$Q$23</xm:f>
            <x14:dxf>
              <font>
                <color theme="0"/>
              </font>
              <fill>
                <patternFill>
                  <bgColor theme="0"/>
                </patternFill>
              </fill>
              <border>
                <vertical/>
                <horizontal/>
              </border>
            </x14:dxf>
          </x14:cfRule>
          <x14:cfRule type="expression" priority="94" id="{F8A63127-C0F7-442D-948A-6A52989DF2C2}">
            <xm:f>$T$8='Assessment Details'!$Q$23</xm:f>
            <x14:dxf>
              <border>
                <left style="thin">
                  <color theme="0"/>
                </left>
                <right style="thin">
                  <color theme="0"/>
                </right>
                <top style="thin">
                  <color theme="0"/>
                </top>
                <bottom style="thin">
                  <color theme="0"/>
                </bottom>
                <vertical/>
                <horizontal/>
              </border>
            </x14:dxf>
          </x14:cfRule>
          <xm:sqref>X38:X63</xm:sqref>
        </x14:conditionalFormatting>
        <x14:conditionalFormatting xmlns:xm="http://schemas.microsoft.com/office/excel/2006/main">
          <x14:cfRule type="expression" priority="141" id="{9FEFE862-D675-46E4-A129-73376942EEBA}">
            <xm:f>$T$8='Assessment Details'!$Q$23</xm:f>
            <x14:dxf>
              <border>
                <left style="thin">
                  <color theme="0"/>
                </left>
                <right style="thin">
                  <color theme="0"/>
                </right>
                <top style="thin">
                  <color theme="0"/>
                </top>
                <bottom style="thin">
                  <color theme="0"/>
                </bottom>
                <vertical/>
                <horizontal/>
              </border>
            </x14:dxf>
          </x14:cfRule>
          <x14:cfRule type="expression" priority="142" id="{B5218ADE-A98F-4552-9954-EA67E83613FD}">
            <xm:f>$T$8='Assessment Details'!$Q$23</xm:f>
            <x14:dxf>
              <font>
                <color theme="0"/>
              </font>
              <fill>
                <patternFill>
                  <bgColor theme="0"/>
                </patternFill>
              </fill>
              <border>
                <vertical/>
                <horizontal/>
              </border>
            </x14:dxf>
          </x14:cfRule>
          <xm:sqref>X66:X92</xm:sqref>
        </x14:conditionalFormatting>
        <x14:conditionalFormatting xmlns:xm="http://schemas.microsoft.com/office/excel/2006/main">
          <x14:cfRule type="expression" priority="814" id="{45013F25-A8CD-4875-A8F3-EDB96D31D8DB}">
            <xm:f>$T$8='Assessment Details'!$Q$23</xm:f>
            <x14:dxf>
              <font>
                <color theme="0"/>
              </font>
              <fill>
                <patternFill>
                  <bgColor theme="0"/>
                </patternFill>
              </fill>
              <border>
                <vertical/>
                <horizontal/>
              </border>
            </x14:dxf>
          </x14:cfRule>
          <x14:cfRule type="expression" priority="813" id="{38486A5C-B729-4422-8536-52FE6D7F340B}">
            <xm:f>$T$8='Assessment Details'!$Q$23</xm:f>
            <x14:dxf>
              <border>
                <left style="thin">
                  <color theme="0"/>
                </left>
                <right style="thin">
                  <color theme="0"/>
                </right>
                <top style="thin">
                  <color theme="0"/>
                </top>
                <bottom style="thin">
                  <color theme="0"/>
                </bottom>
                <vertical/>
                <horizontal/>
              </border>
            </x14:dxf>
          </x14:cfRule>
          <xm:sqref>X95:X101</xm:sqref>
        </x14:conditionalFormatting>
        <x14:conditionalFormatting xmlns:xm="http://schemas.microsoft.com/office/excel/2006/main">
          <x14:cfRule type="expression" priority="546" id="{16FB1F49-1E96-4739-AC5F-3FECD1E2F8D7}">
            <xm:f>$T$8='Assessment Details'!$Q$23</xm:f>
            <x14:dxf>
              <border>
                <left style="thin">
                  <color theme="0"/>
                </left>
                <right style="thin">
                  <color theme="0"/>
                </right>
                <top style="thin">
                  <color theme="0"/>
                </top>
                <bottom style="thin">
                  <color theme="0"/>
                </bottom>
                <vertical/>
                <horizontal/>
              </border>
            </x14:dxf>
          </x14:cfRule>
          <x14:cfRule type="expression" priority="547" id="{D376F328-03D9-4CEE-8BAC-7288D8179742}">
            <xm:f>$T$8='Assessment Details'!$Q$23</xm:f>
            <x14:dxf>
              <font>
                <color theme="0"/>
              </font>
              <fill>
                <patternFill>
                  <bgColor theme="0"/>
                </patternFill>
              </fill>
              <border>
                <vertical/>
                <horizontal/>
              </border>
            </x14:dxf>
          </x14:cfRule>
          <xm:sqref>X104:X115</xm:sqref>
        </x14:conditionalFormatting>
        <x14:conditionalFormatting xmlns:xm="http://schemas.microsoft.com/office/excel/2006/main">
          <x14:cfRule type="expression" priority="473" id="{15294CC7-DCC1-4D84-827F-CB285653FCF0}">
            <xm:f>$T$8='Assessment Details'!$Q$23</xm:f>
            <x14:dxf>
              <font>
                <color theme="0"/>
              </font>
              <fill>
                <patternFill>
                  <bgColor theme="0"/>
                </patternFill>
              </fill>
              <border>
                <vertical/>
                <horizontal/>
              </border>
            </x14:dxf>
          </x14:cfRule>
          <x14:cfRule type="expression" priority="472" id="{E7CDA425-F81B-49E1-93FB-886D21F2B0CF}">
            <xm:f>$T$8='Assessment Details'!$Q$23</xm:f>
            <x14:dxf>
              <border>
                <left style="thin">
                  <color theme="0"/>
                </left>
                <right style="thin">
                  <color theme="0"/>
                </right>
                <top style="thin">
                  <color theme="0"/>
                </top>
                <bottom style="thin">
                  <color theme="0"/>
                </bottom>
                <vertical/>
                <horizontal/>
              </border>
            </x14:dxf>
          </x14:cfRule>
          <xm:sqref>X118:X145</xm:sqref>
        </x14:conditionalFormatting>
        <x14:conditionalFormatting xmlns:xm="http://schemas.microsoft.com/office/excel/2006/main">
          <x14:cfRule type="expression" priority="314" id="{7764DF05-321F-47B2-B72A-C2A9A1A2FECF}">
            <xm:f>$T$8='Assessment Details'!$Q$23</xm:f>
            <x14:dxf>
              <font>
                <color theme="0"/>
              </font>
              <fill>
                <patternFill>
                  <bgColor theme="0"/>
                </patternFill>
              </fill>
              <border>
                <vertical/>
                <horizontal/>
              </border>
            </x14:dxf>
          </x14:cfRule>
          <x14:cfRule type="expression" priority="313" id="{B82C095B-4C92-4313-875D-746BDAEB18CC}">
            <xm:f>$T$8='Assessment Details'!$Q$23</xm:f>
            <x14:dxf>
              <border>
                <left style="thin">
                  <color theme="0"/>
                </left>
                <right style="thin">
                  <color theme="0"/>
                </right>
                <top style="thin">
                  <color theme="0"/>
                </top>
                <bottom style="thin">
                  <color theme="0"/>
                </bottom>
                <vertical/>
                <horizontal/>
              </border>
            </x14:dxf>
          </x14:cfRule>
          <xm:sqref>X148:X160</xm:sqref>
        </x14:conditionalFormatting>
        <x14:conditionalFormatting xmlns:xm="http://schemas.microsoft.com/office/excel/2006/main">
          <x14:cfRule type="expression" priority="49" id="{0D6D41C6-C6D2-4F78-BF78-943B95B5B892}">
            <xm:f>$T$8='Assessment Details'!$Q$23</xm:f>
            <x14:dxf>
              <border>
                <left style="thin">
                  <color theme="0"/>
                </left>
                <right style="thin">
                  <color theme="0"/>
                </right>
                <top style="thin">
                  <color theme="0"/>
                </top>
                <bottom style="thin">
                  <color theme="0"/>
                </bottom>
                <vertical/>
                <horizontal/>
              </border>
            </x14:dxf>
          </x14:cfRule>
          <x14:cfRule type="expression" priority="50" id="{414AA169-FC08-41A6-8F04-5D093969C332}">
            <xm:f>$T$8='Assessment Details'!$Q$23</xm:f>
            <x14:dxf>
              <font>
                <color theme="0"/>
              </font>
              <fill>
                <patternFill>
                  <bgColor theme="0"/>
                </patternFill>
              </fill>
              <border>
                <vertical/>
                <horizontal/>
              </border>
            </x14:dxf>
          </x14:cfRule>
          <xm:sqref>X163:X192</xm:sqref>
        </x14:conditionalFormatting>
        <x14:conditionalFormatting xmlns:xm="http://schemas.microsoft.com/office/excel/2006/main">
          <x14:cfRule type="expression" priority="199" id="{A19F9CE4-E873-4015-AF18-A26C21D39185}">
            <xm:f>$T$8='Assessment Details'!$Q$23</xm:f>
            <x14:dxf>
              <border>
                <left style="thin">
                  <color theme="0"/>
                </left>
                <right style="thin">
                  <color theme="0"/>
                </right>
                <top style="thin">
                  <color theme="0"/>
                </top>
                <bottom style="thin">
                  <color theme="0"/>
                </bottom>
                <vertical/>
                <horizontal/>
              </border>
            </x14:dxf>
          </x14:cfRule>
          <x14:cfRule type="expression" priority="200" id="{9821B401-6F4E-41BC-9E66-6179692703F1}">
            <xm:f>$T$8='Assessment Details'!$Q$23</xm:f>
            <x14:dxf>
              <font>
                <color theme="0"/>
              </font>
              <fill>
                <patternFill>
                  <bgColor theme="0"/>
                </patternFill>
              </fill>
              <border>
                <vertical/>
                <horizontal/>
              </border>
            </x14:dxf>
          </x14:cfRule>
          <xm:sqref>X195:X209</xm:sqref>
        </x14:conditionalFormatting>
        <x14:conditionalFormatting xmlns:xm="http://schemas.microsoft.com/office/excel/2006/main">
          <x14:cfRule type="expression" priority="176" id="{61E96BA4-C5A4-4BD5-9314-CBA069311D17}">
            <xm:f>$T$8='Assessment Details'!$Q$23</xm:f>
            <x14:dxf>
              <border>
                <left style="thin">
                  <color theme="0"/>
                </left>
                <right style="thin">
                  <color theme="0"/>
                </right>
                <top style="thin">
                  <color theme="0"/>
                </top>
                <bottom style="thin">
                  <color theme="0"/>
                </bottom>
                <vertical/>
                <horizontal/>
              </border>
            </x14:dxf>
          </x14:cfRule>
          <x14:cfRule type="expression" priority="177" id="{532D191F-20C9-4562-84C9-B215C7AAC46D}">
            <xm:f>$T$8='Assessment Details'!$Q$23</xm:f>
            <x14:dxf>
              <font>
                <color theme="0"/>
              </font>
              <fill>
                <patternFill>
                  <bgColor theme="0"/>
                </patternFill>
              </fill>
              <border>
                <vertical/>
                <horizontal/>
              </border>
            </x14:dxf>
          </x14:cfRule>
          <xm:sqref>X212:X226</xm:sqref>
        </x14:conditionalFormatting>
        <x14:conditionalFormatting xmlns:xm="http://schemas.microsoft.com/office/excel/2006/main">
          <x14:cfRule type="expression" priority="7019" id="{6470B74F-A8AF-495C-B6F5-853222BCD4E5}">
            <xm:f>$AA$8='Assessment Details'!$Q$23</xm:f>
            <x14:dxf>
              <border>
                <left style="thin">
                  <color theme="0"/>
                </left>
                <right style="thin">
                  <color theme="0"/>
                </right>
                <top style="thin">
                  <color theme="0"/>
                </top>
                <bottom style="thin">
                  <color theme="0"/>
                </bottom>
                <vertical/>
                <horizontal/>
              </border>
            </x14:dxf>
          </x14:cfRule>
          <xm:sqref>AB2</xm:sqref>
        </x14:conditionalFormatting>
        <x14:conditionalFormatting xmlns:xm="http://schemas.microsoft.com/office/excel/2006/main">
          <x14:cfRule type="expression" priority="133" id="{2CE3F685-768F-48E9-BCE1-5113391D8698}">
            <xm:f>$AA$8='Assessment Details'!$Q$23</xm:f>
            <x14:dxf>
              <font>
                <color theme="0"/>
              </font>
              <fill>
                <patternFill>
                  <bgColor theme="0"/>
                </patternFill>
              </fill>
            </x14:dxf>
          </x14:cfRule>
          <xm:sqref>AB40</xm:sqref>
        </x14:conditionalFormatting>
        <x14:conditionalFormatting xmlns:xm="http://schemas.microsoft.com/office/excel/2006/main">
          <x14:cfRule type="expression" priority="7015" id="{DB805B39-675F-4529-AAA9-84C1652FC9E0}">
            <xm:f>$AA$8='Assessment Details'!$Q$23</xm:f>
            <x14:dxf>
              <font>
                <color theme="0"/>
              </font>
              <fill>
                <patternFill>
                  <bgColor theme="0"/>
                </patternFill>
              </fill>
            </x14:dxf>
          </x14:cfRule>
          <xm:sqref>AB41:AB171</xm:sqref>
        </x14:conditionalFormatting>
        <x14:conditionalFormatting xmlns:xm="http://schemas.microsoft.com/office/excel/2006/main">
          <x14:cfRule type="expression" priority="68" id="{29C7582A-8C87-428C-A681-BD0D44554119}">
            <xm:f>$AA$8='Assessment Details'!$Q$23</xm:f>
            <x14:dxf>
              <font>
                <color theme="0"/>
              </font>
              <fill>
                <patternFill>
                  <bgColor theme="0"/>
                </patternFill>
              </fill>
            </x14:dxf>
          </x14:cfRule>
          <xm:sqref>AB172:AB226</xm:sqref>
        </x14:conditionalFormatting>
        <x14:conditionalFormatting xmlns:xm="http://schemas.microsoft.com/office/excel/2006/main">
          <x14:cfRule type="expression" priority="65" id="{FAF30279-D158-43F7-8037-D07C714ABA67}">
            <xm:f>$T$8='Assessment Details'!$Q$23</xm:f>
            <x14:dxf>
              <border>
                <left style="thin">
                  <color theme="0"/>
                </left>
                <right style="thin">
                  <color theme="0"/>
                </right>
                <top style="thin">
                  <color theme="0"/>
                </top>
                <bottom style="thin">
                  <color theme="0"/>
                </bottom>
                <vertical/>
                <horizontal/>
              </border>
            </x14:dxf>
          </x14:cfRule>
          <x14:cfRule type="expression" priority="64" id="{A2748B9E-4FE0-487B-B23D-B01C0BEC469F}">
            <xm:f>'Pre-Assessment Estimator'!$AK$4=ais_nei</xm:f>
            <x14:dxf>
              <font>
                <color theme="0"/>
              </font>
              <fill>
                <patternFill>
                  <bgColor theme="0"/>
                </patternFill>
              </fill>
              <border>
                <left/>
                <right/>
                <top/>
                <bottom/>
                <vertical/>
                <horizontal/>
              </border>
            </x14:dxf>
          </x14:cfRule>
          <x14:cfRule type="expression" priority="66" id="{0A4A4FFA-B6E7-4655-B23C-D4BC795B58AE}">
            <xm:f>$T$8='Assessment Details'!$Q$23</xm:f>
            <x14:dxf>
              <font>
                <color theme="0"/>
              </font>
              <fill>
                <patternFill>
                  <bgColor theme="0"/>
                </patternFill>
              </fill>
              <border>
                <vertical/>
                <horizontal/>
              </border>
            </x14:dxf>
          </x14:cfRule>
          <xm:sqref>AC10:AC223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1:P23"/>
  <sheetViews>
    <sheetView tabSelected="1" zoomScaleNormal="100" workbookViewId="0">
      <selection activeCell="C26" sqref="C26"/>
    </sheetView>
  </sheetViews>
  <sheetFormatPr baseColWidth="10" defaultColWidth="9.140625" defaultRowHeight="15" x14ac:dyDescent="0.25"/>
  <cols>
    <col min="1" max="1" width="2.7109375" style="1" customWidth="1"/>
    <col min="2" max="2" width="17" style="1" bestFit="1" customWidth="1"/>
    <col min="3" max="3" width="15.85546875" style="1" customWidth="1"/>
    <col min="4" max="16" width="9.140625" style="1"/>
    <col min="17" max="17" width="3.140625" style="1" customWidth="1"/>
    <col min="18" max="16384" width="9.140625" style="1"/>
  </cols>
  <sheetData>
    <row r="1" spans="2:16" ht="15" customHeight="1" thickBot="1" x14ac:dyDescent="0.3">
      <c r="B1" s="1194"/>
      <c r="C1" s="1195"/>
      <c r="D1" s="1195"/>
      <c r="E1" s="1195"/>
      <c r="F1" s="1195"/>
      <c r="G1" s="1195"/>
      <c r="H1" s="1195"/>
      <c r="I1" s="1195"/>
      <c r="J1" s="1195"/>
      <c r="K1" s="1195"/>
      <c r="L1" s="1195"/>
    </row>
    <row r="2" spans="2:16" ht="42" customHeight="1" x14ac:dyDescent="0.35">
      <c r="B2" s="1200" t="s">
        <v>1159</v>
      </c>
      <c r="C2" s="1201"/>
      <c r="D2" s="1201"/>
      <c r="E2" s="1201"/>
      <c r="F2" s="1201"/>
      <c r="G2" s="1201"/>
      <c r="H2" s="1201"/>
      <c r="I2" s="1201"/>
      <c r="J2" s="1201"/>
      <c r="K2" s="1201"/>
      <c r="L2" s="1201"/>
      <c r="M2" s="520"/>
      <c r="N2" s="521"/>
      <c r="O2" s="521"/>
      <c r="P2" s="550" t="str">
        <f>IF('Manuell filtrering og justering'!I2='Manuell filtrering og justering'!J2,"Bespoke","")</f>
        <v/>
      </c>
    </row>
    <row r="3" spans="2:16" ht="15" customHeight="1" x14ac:dyDescent="0.25">
      <c r="B3" s="522"/>
      <c r="C3" s="523"/>
      <c r="D3" s="523"/>
      <c r="E3" s="523"/>
      <c r="F3" s="523"/>
      <c r="G3" s="523"/>
      <c r="H3" s="523"/>
      <c r="I3" s="523"/>
      <c r="J3" s="523"/>
      <c r="K3" s="523"/>
      <c r="L3" s="523"/>
      <c r="P3" s="345"/>
    </row>
    <row r="4" spans="2:16" ht="15" customHeight="1" x14ac:dyDescent="0.25">
      <c r="B4" s="524" t="s">
        <v>2</v>
      </c>
      <c r="C4" s="524" t="s">
        <v>5</v>
      </c>
      <c r="D4" s="1202" t="s">
        <v>1028</v>
      </c>
      <c r="E4" s="1203"/>
      <c r="F4" s="1203"/>
      <c r="G4" s="1203"/>
      <c r="H4" s="1203"/>
      <c r="I4" s="1203"/>
      <c r="J4" s="1203"/>
      <c r="K4" s="1203"/>
      <c r="L4" s="1203"/>
      <c r="M4" s="1203"/>
      <c r="N4" s="1203"/>
      <c r="O4" s="1203"/>
      <c r="P4" s="1204"/>
    </row>
    <row r="5" spans="2:16" ht="97.5" customHeight="1" x14ac:dyDescent="0.25">
      <c r="B5" s="528" t="s">
        <v>1210</v>
      </c>
      <c r="C5" s="525">
        <v>45832</v>
      </c>
      <c r="D5" s="1198" t="s">
        <v>1211</v>
      </c>
      <c r="E5" s="1199"/>
      <c r="F5" s="1199"/>
      <c r="G5" s="1199"/>
      <c r="H5" s="1199"/>
      <c r="I5" s="1199"/>
      <c r="J5" s="1199"/>
      <c r="K5" s="1199"/>
      <c r="L5" s="1199"/>
      <c r="M5" s="1199"/>
      <c r="N5" s="1199"/>
      <c r="O5" s="1199"/>
      <c r="P5" s="1199"/>
    </row>
    <row r="6" spans="2:16" ht="18.75" customHeight="1" x14ac:dyDescent="0.25">
      <c r="B6" s="1102"/>
      <c r="C6" s="1103"/>
      <c r="D6" s="1101"/>
      <c r="E6" s="1100"/>
      <c r="F6" s="1100"/>
      <c r="G6" s="1100"/>
      <c r="H6" s="1100"/>
      <c r="I6" s="1100"/>
      <c r="J6" s="1100"/>
      <c r="K6" s="1100"/>
      <c r="L6" s="1100"/>
      <c r="M6" s="1100"/>
      <c r="N6" s="1100"/>
      <c r="O6" s="1100"/>
      <c r="P6" s="1100"/>
    </row>
    <row r="7" spans="2:16" ht="18.75" customHeight="1" x14ac:dyDescent="0.25">
      <c r="B7" s="524" t="s">
        <v>1209</v>
      </c>
      <c r="C7" s="524" t="s">
        <v>5</v>
      </c>
      <c r="D7" s="1202" t="s">
        <v>1028</v>
      </c>
      <c r="E7" s="1203"/>
      <c r="F7" s="1203"/>
      <c r="G7" s="1203"/>
      <c r="H7" s="1203"/>
      <c r="I7" s="1203"/>
      <c r="J7" s="1203"/>
      <c r="K7" s="1203"/>
      <c r="L7" s="1203"/>
      <c r="M7" s="1203"/>
      <c r="N7" s="1203"/>
      <c r="O7" s="1203"/>
      <c r="P7" s="1204"/>
    </row>
    <row r="8" spans="2:16" ht="18.75" customHeight="1" x14ac:dyDescent="0.25">
      <c r="B8" s="528" t="s">
        <v>1206</v>
      </c>
      <c r="C8" s="525">
        <v>45659</v>
      </c>
      <c r="D8" s="1198" t="s">
        <v>1207</v>
      </c>
      <c r="E8" s="1199"/>
      <c r="F8" s="1199"/>
      <c r="G8" s="1199"/>
      <c r="H8" s="1199"/>
      <c r="I8" s="1199"/>
      <c r="J8" s="1199"/>
      <c r="K8" s="1199"/>
      <c r="L8" s="1199"/>
      <c r="M8" s="1199"/>
      <c r="N8" s="1199"/>
      <c r="O8" s="1199"/>
      <c r="P8" s="1199"/>
    </row>
    <row r="9" spans="2:16" ht="18.75" customHeight="1" x14ac:dyDescent="0.25">
      <c r="B9" s="528" t="s">
        <v>1011</v>
      </c>
      <c r="C9" s="525">
        <v>45636</v>
      </c>
      <c r="D9" s="1198" t="s">
        <v>1205</v>
      </c>
      <c r="E9" s="1199"/>
      <c r="F9" s="1199"/>
      <c r="G9" s="1199"/>
      <c r="H9" s="1199"/>
      <c r="I9" s="1199"/>
      <c r="J9" s="1199"/>
      <c r="K9" s="1199"/>
      <c r="L9" s="1199"/>
      <c r="M9" s="1199"/>
      <c r="N9" s="1199"/>
      <c r="O9" s="1199"/>
      <c r="P9" s="1199"/>
    </row>
    <row r="12" spans="2:16" hidden="1" x14ac:dyDescent="0.25">
      <c r="B12" s="528"/>
      <c r="C12" s="525"/>
      <c r="D12" s="1211"/>
      <c r="E12" s="1199"/>
      <c r="F12" s="1199"/>
      <c r="G12" s="1199"/>
      <c r="H12" s="1199"/>
      <c r="I12" s="1199"/>
      <c r="J12" s="1199"/>
      <c r="K12" s="1199"/>
      <c r="L12" s="1199"/>
      <c r="M12" s="1199"/>
      <c r="N12" s="1199"/>
      <c r="O12" s="1199"/>
      <c r="P12" s="1199"/>
    </row>
    <row r="13" spans="2:16" hidden="1" x14ac:dyDescent="0.25">
      <c r="B13" s="528"/>
      <c r="C13" s="525"/>
      <c r="D13" s="1208"/>
      <c r="E13" s="1209"/>
      <c r="F13" s="1209"/>
      <c r="G13" s="1209"/>
      <c r="H13" s="1209"/>
      <c r="I13" s="1209"/>
      <c r="J13" s="1209"/>
      <c r="K13" s="1209"/>
      <c r="L13" s="1209"/>
      <c r="M13" s="1209"/>
      <c r="N13" s="1209"/>
      <c r="O13" s="1209"/>
      <c r="P13" s="1210"/>
    </row>
    <row r="14" spans="2:16" hidden="1" x14ac:dyDescent="0.25">
      <c r="B14" s="528"/>
      <c r="C14" s="525"/>
      <c r="D14" s="1208"/>
      <c r="E14" s="1209"/>
      <c r="F14" s="1209"/>
      <c r="G14" s="1209"/>
      <c r="H14" s="1209"/>
      <c r="I14" s="1209"/>
      <c r="J14" s="1209"/>
      <c r="K14" s="1209"/>
      <c r="L14" s="1209"/>
      <c r="M14" s="1209"/>
      <c r="N14" s="1209"/>
      <c r="O14" s="1209"/>
      <c r="P14" s="1210"/>
    </row>
    <row r="15" spans="2:16" hidden="1" x14ac:dyDescent="0.25">
      <c r="B15" s="528"/>
      <c r="C15" s="525"/>
      <c r="D15" s="1205"/>
      <c r="E15" s="1206"/>
      <c r="F15" s="1206"/>
      <c r="G15" s="1206"/>
      <c r="H15" s="1206"/>
      <c r="I15" s="1206"/>
      <c r="J15" s="1206"/>
      <c r="K15" s="1206"/>
      <c r="L15" s="1206"/>
      <c r="M15" s="1206"/>
      <c r="N15" s="1206"/>
      <c r="O15" s="1206"/>
      <c r="P15" s="1207"/>
    </row>
    <row r="16" spans="2:16" hidden="1" x14ac:dyDescent="0.25">
      <c r="B16" s="528"/>
      <c r="C16" s="525"/>
      <c r="D16" s="1205"/>
      <c r="E16" s="1206"/>
      <c r="F16" s="1206"/>
      <c r="G16" s="1206"/>
      <c r="H16" s="1206"/>
      <c r="I16" s="1206"/>
      <c r="J16" s="1206"/>
      <c r="K16" s="1206"/>
      <c r="L16" s="1206"/>
      <c r="M16" s="1206"/>
      <c r="N16" s="1206"/>
      <c r="O16" s="1206"/>
      <c r="P16" s="1207"/>
    </row>
    <row r="17" spans="2:16" hidden="1" x14ac:dyDescent="0.25">
      <c r="B17" s="528"/>
      <c r="C17" s="525"/>
      <c r="D17" s="1196"/>
      <c r="E17" s="1197"/>
      <c r="F17" s="1197"/>
      <c r="G17" s="1197"/>
      <c r="H17" s="1197"/>
      <c r="I17" s="1197"/>
      <c r="J17" s="1197"/>
      <c r="K17" s="1197"/>
      <c r="L17" s="1197"/>
      <c r="M17" s="1197"/>
      <c r="N17" s="1197"/>
      <c r="O17" s="1197"/>
      <c r="P17" s="1197"/>
    </row>
    <row r="18" spans="2:16" hidden="1" x14ac:dyDescent="0.25">
      <c r="B18" s="526"/>
      <c r="C18" s="527"/>
      <c r="D18" s="1214"/>
      <c r="E18" s="1213"/>
      <c r="F18" s="1213"/>
      <c r="G18" s="1213"/>
      <c r="H18" s="1213"/>
      <c r="I18" s="1213"/>
      <c r="J18" s="1213"/>
      <c r="K18" s="1213"/>
      <c r="L18" s="1213"/>
      <c r="M18" s="1213"/>
      <c r="N18" s="1213"/>
      <c r="O18" s="1213"/>
      <c r="P18" s="1213"/>
    </row>
    <row r="19" spans="2:16" hidden="1" x14ac:dyDescent="0.25">
      <c r="B19" s="526"/>
      <c r="C19" s="527"/>
      <c r="D19" s="1214"/>
      <c r="E19" s="1213"/>
      <c r="F19" s="1213"/>
      <c r="G19" s="1213"/>
      <c r="H19" s="1213"/>
      <c r="I19" s="1213"/>
      <c r="J19" s="1213"/>
      <c r="K19" s="1213"/>
      <c r="L19" s="1213"/>
      <c r="M19" s="1213"/>
      <c r="N19" s="1213"/>
      <c r="O19" s="1213"/>
      <c r="P19" s="1213"/>
    </row>
    <row r="20" spans="2:16" hidden="1" x14ac:dyDescent="0.25">
      <c r="B20" s="526"/>
      <c r="C20" s="527"/>
      <c r="D20" s="1212"/>
      <c r="E20" s="1213"/>
      <c r="F20" s="1213"/>
      <c r="G20" s="1213"/>
      <c r="H20" s="1213"/>
      <c r="I20" s="1213"/>
      <c r="J20" s="1213"/>
      <c r="K20" s="1213"/>
      <c r="L20" s="1213"/>
      <c r="M20" s="1213"/>
      <c r="N20" s="1213"/>
      <c r="O20" s="1213"/>
      <c r="P20" s="1213"/>
    </row>
    <row r="21" spans="2:16" ht="13.5" hidden="1" customHeight="1" x14ac:dyDescent="0.25">
      <c r="B21" s="526"/>
      <c r="C21" s="527"/>
      <c r="D21" s="1212"/>
      <c r="E21" s="1213"/>
      <c r="F21" s="1213"/>
      <c r="G21" s="1213"/>
      <c r="H21" s="1213"/>
      <c r="I21" s="1213"/>
      <c r="J21" s="1213"/>
      <c r="K21" s="1213"/>
      <c r="L21" s="1213"/>
      <c r="M21" s="1213"/>
      <c r="N21" s="1213"/>
      <c r="O21" s="1213"/>
      <c r="P21" s="1213"/>
    </row>
    <row r="22" spans="2:16" hidden="1" x14ac:dyDescent="0.25">
      <c r="B22" s="526"/>
      <c r="C22" s="527"/>
      <c r="D22" s="1212"/>
      <c r="E22" s="1213"/>
      <c r="F22" s="1213"/>
      <c r="G22" s="1213"/>
      <c r="H22" s="1213"/>
      <c r="I22" s="1213"/>
      <c r="J22" s="1213"/>
      <c r="K22" s="1213"/>
      <c r="L22" s="1213"/>
      <c r="M22" s="1213"/>
      <c r="N22" s="1213"/>
      <c r="O22" s="1213"/>
      <c r="P22" s="1213"/>
    </row>
    <row r="23" spans="2:16" hidden="1" x14ac:dyDescent="0.25"/>
  </sheetData>
  <sheetProtection algorithmName="SHA-512" hashValue="OTBDbnXbunrHytOUEG/bK+0N6fhok5HRDYsHI0X5L/zSxFDYFxFvCNU78yleSOJzVoGL2TaItyX8wxjGguT2ZA==" saltValue="N566EzpYGlT1As84XoOgQQ==" spinCount="100000" sheet="1" objects="1" scenarios="1"/>
  <mergeCells count="18">
    <mergeCell ref="D20:P20"/>
    <mergeCell ref="D21:P21"/>
    <mergeCell ref="D22:P22"/>
    <mergeCell ref="D16:P16"/>
    <mergeCell ref="D19:P19"/>
    <mergeCell ref="D18:P18"/>
    <mergeCell ref="B1:L1"/>
    <mergeCell ref="D17:P17"/>
    <mergeCell ref="D5:P5"/>
    <mergeCell ref="B2:L2"/>
    <mergeCell ref="D4:P4"/>
    <mergeCell ref="D15:P15"/>
    <mergeCell ref="D14:P14"/>
    <mergeCell ref="D13:P13"/>
    <mergeCell ref="D12:P12"/>
    <mergeCell ref="D7:P7"/>
    <mergeCell ref="D8:P8"/>
    <mergeCell ref="D9:P9"/>
  </mergeCells>
  <phoneticPr fontId="22" type="noConversion"/>
  <pageMargins left="0.70866141732283472" right="0.70866141732283472" top="0.74803149606299213" bottom="0.74803149606299213" header="0.31496062992125984" footer="0.31496062992125984"/>
  <pageSetup paperSize="9" scale="8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b4544e-f422-44aa-81f9-749896716129">
      <Terms xmlns="http://schemas.microsoft.com/office/infopath/2007/PartnerControls"/>
    </lcf76f155ced4ddcb4097134ff3c332f>
    <TaxCatchAll xmlns="28fa0c18-4bee-4ff6-b4b8-e979b0b1042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A51CFC1B849048839A67F419B4D06A" ma:contentTypeVersion="12" ma:contentTypeDescription="Create a new document." ma:contentTypeScope="" ma:versionID="6aeb2611520bd1ebff66d235e0e04fdd">
  <xsd:schema xmlns:xsd="http://www.w3.org/2001/XMLSchema" xmlns:xs="http://www.w3.org/2001/XMLSchema" xmlns:p="http://schemas.microsoft.com/office/2006/metadata/properties" xmlns:ns2="87b4544e-f422-44aa-81f9-749896716129" xmlns:ns3="28fa0c18-4bee-4ff6-b4b8-e979b0b10422" targetNamespace="http://schemas.microsoft.com/office/2006/metadata/properties" ma:root="true" ma:fieldsID="3c24e38d992044402a71574d8da2b987" ns2:_="" ns3:_="">
    <xsd:import namespace="87b4544e-f422-44aa-81f9-749896716129"/>
    <xsd:import namespace="28fa0c18-4bee-4ff6-b4b8-e979b0b104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4544e-f422-44aa-81f9-7498967161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1f38259-2803-424e-b20f-60f96a94715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fa0c18-4bee-4ff6-b4b8-e979b0b1042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223c639-4dfe-4d7b-9deb-7766fd6642b3}" ma:internalName="TaxCatchAll" ma:showField="CatchAllData" ma:web="28fa0c18-4bee-4ff6-b4b8-e979b0b104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F68772-2ABF-4F37-8594-F905212249AD}">
  <ds:schemaRefs>
    <ds:schemaRef ds:uri="8f686a36-9368-4dda-9e9f-a86bde0d326a"/>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94fc5000-3977-4bb9-85fe-95b8458bb4bf"/>
    <ds:schemaRef ds:uri="http://schemas.microsoft.com/office/2006/metadata/properties"/>
    <ds:schemaRef ds:uri="87b4544e-f422-44aa-81f9-749896716129"/>
    <ds:schemaRef ds:uri="28fa0c18-4bee-4ff6-b4b8-e979b0b10422"/>
  </ds:schemaRefs>
</ds:datastoreItem>
</file>

<file path=customXml/itemProps2.xml><?xml version="1.0" encoding="utf-8"?>
<ds:datastoreItem xmlns:ds="http://schemas.openxmlformats.org/officeDocument/2006/customXml" ds:itemID="{99D2125B-24D9-472D-B56D-38274035C0C9}">
  <ds:schemaRefs>
    <ds:schemaRef ds:uri="http://schemas.microsoft.com/sharepoint/v3/contenttype/forms"/>
  </ds:schemaRefs>
</ds:datastoreItem>
</file>

<file path=customXml/itemProps3.xml><?xml version="1.0" encoding="utf-8"?>
<ds:datastoreItem xmlns:ds="http://schemas.openxmlformats.org/officeDocument/2006/customXml" ds:itemID="{9340A277-50C0-429F-9D68-AC58CAE25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4544e-f422-44aa-81f9-749896716129"/>
    <ds:schemaRef ds:uri="28fa0c18-4bee-4ff6-b4b8-e979b0b104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761</vt:i4>
      </vt:variant>
    </vt:vector>
  </HeadingPairs>
  <TitlesOfParts>
    <vt:vector size="774" baseType="lpstr">
      <vt:lpstr>Instructions</vt:lpstr>
      <vt:lpstr>Assessment Details</vt:lpstr>
      <vt:lpstr>Pre-Assessment Estimator</vt:lpstr>
      <vt:lpstr>Credit list</vt:lpstr>
      <vt:lpstr>Manuell filtrering og justering</vt:lpstr>
      <vt:lpstr>Poeng</vt:lpstr>
      <vt:lpstr>Summary of Building Performance</vt:lpstr>
      <vt:lpstr>PAE available for copy</vt:lpstr>
      <vt:lpstr>Version Control</vt:lpstr>
      <vt:lpstr>Sheet1</vt:lpstr>
      <vt:lpstr>Sheet2</vt:lpstr>
      <vt:lpstr>Sheet3</vt:lpstr>
      <vt:lpstr>Logg</vt:lpstr>
      <vt:lpstr>_PSc1</vt:lpstr>
      <vt:lpstr>Achieved_const</vt:lpstr>
      <vt:lpstr>Achieved_design</vt:lpstr>
      <vt:lpstr>Achieved_initial</vt:lpstr>
      <vt:lpstr>AD_Add01</vt:lpstr>
      <vt:lpstr>AD_Add02</vt:lpstr>
      <vt:lpstr>AD_Add04</vt:lpstr>
      <vt:lpstr>AD_Architect</vt:lpstr>
      <vt:lpstr>AD_assessor</vt:lpstr>
      <vt:lpstr>AD_Assessor_org</vt:lpstr>
      <vt:lpstr>AD_Banner</vt:lpstr>
      <vt:lpstr>AD_BREEAM_stage</vt:lpstr>
      <vt:lpstr>AD_BREEAM_version</vt:lpstr>
      <vt:lpstr>AD_BREEAMAP</vt:lpstr>
      <vt:lpstr>AD_Buildserve</vt:lpstr>
      <vt:lpstr>AD_Builduser</vt:lpstr>
      <vt:lpstr>AD_catlevel01</vt:lpstr>
      <vt:lpstr>AD_catlevel02</vt:lpstr>
      <vt:lpstr>AD_catlevel03</vt:lpstr>
      <vt:lpstr>AD_client</vt:lpstr>
      <vt:lpstr>AD_Contractor</vt:lpstr>
      <vt:lpstr>AD_Developer</vt:lpstr>
      <vt:lpstr>AD_Energyload</vt:lpstr>
      <vt:lpstr>AD_GIA</vt:lpstr>
      <vt:lpstr>AD_heat</vt:lpstr>
      <vt:lpstr>AD_labcat_list</vt:lpstr>
      <vt:lpstr>AD_Labsize</vt:lpstr>
      <vt:lpstr>AD_Labsize_list</vt:lpstr>
      <vt:lpstr>AD_Labsize01</vt:lpstr>
      <vt:lpstr>AD_Labsize02</vt:lpstr>
      <vt:lpstr>AD_Labsize03</vt:lpstr>
      <vt:lpstr>AD_labsize04</vt:lpstr>
      <vt:lpstr>AD_MultiRes_option01a</vt:lpstr>
      <vt:lpstr>AD_MultiRes_option01b</vt:lpstr>
      <vt:lpstr>AD_Multitenant</vt:lpstr>
      <vt:lpstr>AD_NIFA</vt:lpstr>
      <vt:lpstr>AD_no</vt:lpstr>
      <vt:lpstr>AD_option_na</vt:lpstr>
      <vt:lpstr>AD_Other01</vt:lpstr>
      <vt:lpstr>AD_Other02</vt:lpstr>
      <vt:lpstr>AD_other03</vt:lpstr>
      <vt:lpstr>AD_Other04</vt:lpstr>
      <vt:lpstr>AD_Ozoneleg</vt:lpstr>
      <vt:lpstr>AD_p_zone0</vt:lpstr>
      <vt:lpstr>AD_p_zone1</vt:lpstr>
      <vt:lpstr>AD_P_zone2</vt:lpstr>
      <vt:lpstr>AD_P_Zone3</vt:lpstr>
      <vt:lpstr>AD_Projman</vt:lpstr>
      <vt:lpstr>AD_ref</vt:lpstr>
      <vt:lpstr>AD_refrig</vt:lpstr>
      <vt:lpstr>AD_stage_list</vt:lpstr>
      <vt:lpstr>AD_Statement04</vt:lpstr>
      <vt:lpstr>AD_statement05</vt:lpstr>
      <vt:lpstr>AD_statement06</vt:lpstr>
      <vt:lpstr>AD_tra01type</vt:lpstr>
      <vt:lpstr>AD_Trans</vt:lpstr>
      <vt:lpstr>AD_type_list</vt:lpstr>
      <vt:lpstr>AD_version</vt:lpstr>
      <vt:lpstr>AD_Yes</vt:lpstr>
      <vt:lpstr>AD_YesNo</vt:lpstr>
      <vt:lpstr>AD_YesNo_list</vt:lpstr>
      <vt:lpstr>ADAS0</vt:lpstr>
      <vt:lpstr>ADAS01</vt:lpstr>
      <vt:lpstr>ADAS02</vt:lpstr>
      <vt:lpstr>ADBN</vt:lpstr>
      <vt:lpstr>ADBT_sub02</vt:lpstr>
      <vt:lpstr>ADBT_sub03</vt:lpstr>
      <vt:lpstr>ADBT_sub04</vt:lpstr>
      <vt:lpstr>ADBT_sub05</vt:lpstr>
      <vt:lpstr>ADBT_sub06</vt:lpstr>
      <vt:lpstr>ADBT_sub07</vt:lpstr>
      <vt:lpstr>ADBT_sub08</vt:lpstr>
      <vt:lpstr>ADBT_sub09</vt:lpstr>
      <vt:lpstr>ADBT_sub10</vt:lpstr>
      <vt:lpstr>ADBT_sub11</vt:lpstr>
      <vt:lpstr>ADBT_sub12</vt:lpstr>
      <vt:lpstr>ADBT_sub13</vt:lpstr>
      <vt:lpstr>ADBT_sub14</vt:lpstr>
      <vt:lpstr>ADBT_sub15</vt:lpstr>
      <vt:lpstr>ADBT_sub16</vt:lpstr>
      <vt:lpstr>ADBT_sub17</vt:lpstr>
      <vt:lpstr>ADBT0</vt:lpstr>
      <vt:lpstr>ADBT1</vt:lpstr>
      <vt:lpstr>ADBT12</vt:lpstr>
      <vt:lpstr>ADBT13</vt:lpstr>
      <vt:lpstr>ADBT14</vt:lpstr>
      <vt:lpstr>ADBT15</vt:lpstr>
      <vt:lpstr>ADBT16</vt:lpstr>
      <vt:lpstr>ADBT17</vt:lpstr>
      <vt:lpstr>ADBT18</vt:lpstr>
      <vt:lpstr>ADBT19</vt:lpstr>
      <vt:lpstr>ADBT2</vt:lpstr>
      <vt:lpstr>ADBT20</vt:lpstr>
      <vt:lpstr>ADBT3</vt:lpstr>
      <vt:lpstr>ADBT8</vt:lpstr>
      <vt:lpstr>ADBT9</vt:lpstr>
      <vt:lpstr>ADFume_option01</vt:lpstr>
      <vt:lpstr>ADIND_option02</vt:lpstr>
      <vt:lpstr>ADIND_option02n</vt:lpstr>
      <vt:lpstr>ADIND_option03</vt:lpstr>
      <vt:lpstr>ADPT</vt:lpstr>
      <vt:lpstr>ADPT01</vt:lpstr>
      <vt:lpstr>ADPT02</vt:lpstr>
      <vt:lpstr>ADPT03</vt:lpstr>
      <vt:lpstr>ADPT04</vt:lpstr>
      <vt:lpstr>ais_ja</vt:lpstr>
      <vt:lpstr>AIS_NA</vt:lpstr>
      <vt:lpstr>ais_nei</vt:lpstr>
      <vt:lpstr>AIS_statement29</vt:lpstr>
      <vt:lpstr>BP_01</vt:lpstr>
      <vt:lpstr>BP_02</vt:lpstr>
      <vt:lpstr>BP_03</vt:lpstr>
      <vt:lpstr>BP_04</vt:lpstr>
      <vt:lpstr>BP_05</vt:lpstr>
      <vt:lpstr>BP_06</vt:lpstr>
      <vt:lpstr>BP_07</vt:lpstr>
      <vt:lpstr>BP_08</vt:lpstr>
      <vt:lpstr>BP_09</vt:lpstr>
      <vt:lpstr>BP_10</vt:lpstr>
      <vt:lpstr>BP_11</vt:lpstr>
      <vt:lpstr>BP_12</vt:lpstr>
      <vt:lpstr>BP_13</vt:lpstr>
      <vt:lpstr>BP_14</vt:lpstr>
      <vt:lpstr>BP_15</vt:lpstr>
      <vt:lpstr>BP_16</vt:lpstr>
      <vt:lpstr>BP_18</vt:lpstr>
      <vt:lpstr>BP_19</vt:lpstr>
      <vt:lpstr>BP_20</vt:lpstr>
      <vt:lpstr>BP_21</vt:lpstr>
      <vt:lpstr>BP_22</vt:lpstr>
      <vt:lpstr>BP_23</vt:lpstr>
      <vt:lpstr>BP_24</vt:lpstr>
      <vt:lpstr>BP_25</vt:lpstr>
      <vt:lpstr>BP_26</vt:lpstr>
      <vt:lpstr>BP_27</vt:lpstr>
      <vt:lpstr>BP_28</vt:lpstr>
      <vt:lpstr>BP_29</vt:lpstr>
      <vt:lpstr>BP_30</vt:lpstr>
      <vt:lpstr>BP_31</vt:lpstr>
      <vt:lpstr>BP_BREEAMRating</vt:lpstr>
      <vt:lpstr>BP_Energy_score</vt:lpstr>
      <vt:lpstr>BP_Innovation_score</vt:lpstr>
      <vt:lpstr>BP_LUE_score</vt:lpstr>
      <vt:lpstr>BP_Man_score</vt:lpstr>
      <vt:lpstr>BP_Materials_score</vt:lpstr>
      <vt:lpstr>BP_MinStandards</vt:lpstr>
      <vt:lpstr>BP_MinStandards_const</vt:lpstr>
      <vt:lpstr>BP_MinStandards_design</vt:lpstr>
      <vt:lpstr>BP_Trans_score</vt:lpstr>
      <vt:lpstr>BP_Waste_Score</vt:lpstr>
      <vt:lpstr>BP_Water_score</vt:lpstr>
      <vt:lpstr>'PAE available for copy'!BRK_Banner</vt:lpstr>
      <vt:lpstr>BRK_Banner</vt:lpstr>
      <vt:lpstr>Ene_01</vt:lpstr>
      <vt:lpstr>Ene_02</vt:lpstr>
      <vt:lpstr>Ene_03</vt:lpstr>
      <vt:lpstr>Ene_04</vt:lpstr>
      <vt:lpstr>Ene_05</vt:lpstr>
      <vt:lpstr>Ene_06</vt:lpstr>
      <vt:lpstr>Ene_07</vt:lpstr>
      <vt:lpstr>Ene_08</vt:lpstr>
      <vt:lpstr>Ene_09</vt:lpstr>
      <vt:lpstr>Ene_23</vt:lpstr>
      <vt:lpstr>Ene_c_user</vt:lpstr>
      <vt:lpstr>Ene_cont_tot</vt:lpstr>
      <vt:lpstr>Ene_Credits</vt:lpstr>
      <vt:lpstr>Ene_d_user</vt:lpstr>
      <vt:lpstr>Ene_tot_user</vt:lpstr>
      <vt:lpstr>Ene_Weight</vt:lpstr>
      <vt:lpstr>Ene01_27</vt:lpstr>
      <vt:lpstr>Ene01_28</vt:lpstr>
      <vt:lpstr>Ene01_41</vt:lpstr>
      <vt:lpstr>Ene01_42</vt:lpstr>
      <vt:lpstr>Ene01_credits</vt:lpstr>
      <vt:lpstr>Ene01_Crit1</vt:lpstr>
      <vt:lpstr>Ene01_Crit1_credits</vt:lpstr>
      <vt:lpstr>Ene01_minstd</vt:lpstr>
      <vt:lpstr>Ene01_tot</vt:lpstr>
      <vt:lpstr>Ene01_user</vt:lpstr>
      <vt:lpstr>Ene02_10</vt:lpstr>
      <vt:lpstr>Ene02_11</vt:lpstr>
      <vt:lpstr>Ene02_12</vt:lpstr>
      <vt:lpstr>Ene02_13</vt:lpstr>
      <vt:lpstr>Ene02_credits</vt:lpstr>
      <vt:lpstr>Ene02_tot</vt:lpstr>
      <vt:lpstr>Ene02_user</vt:lpstr>
      <vt:lpstr>Ene03_05</vt:lpstr>
      <vt:lpstr>Ene03_06</vt:lpstr>
      <vt:lpstr>Ene03_credits</vt:lpstr>
      <vt:lpstr>Ene03_minstd</vt:lpstr>
      <vt:lpstr>Ene03_user</vt:lpstr>
      <vt:lpstr>Ene04_15</vt:lpstr>
      <vt:lpstr>Ene04_16</vt:lpstr>
      <vt:lpstr>Ene04_19</vt:lpstr>
      <vt:lpstr>Ene04_20</vt:lpstr>
      <vt:lpstr>Ene04_credits</vt:lpstr>
      <vt:lpstr>Ene04_tot</vt:lpstr>
      <vt:lpstr>Ene04_user</vt:lpstr>
      <vt:lpstr>Ene05_14</vt:lpstr>
      <vt:lpstr>Ene05_15</vt:lpstr>
      <vt:lpstr>Ene05_20</vt:lpstr>
      <vt:lpstr>Ene05_21</vt:lpstr>
      <vt:lpstr>Ene05_credits</vt:lpstr>
      <vt:lpstr>Ene05_tot</vt:lpstr>
      <vt:lpstr>Ene05_user</vt:lpstr>
      <vt:lpstr>Ene06_11</vt:lpstr>
      <vt:lpstr>Ene06_12</vt:lpstr>
      <vt:lpstr>Ene06_credits</vt:lpstr>
      <vt:lpstr>Ene06_minstd</vt:lpstr>
      <vt:lpstr>Ene06_tot</vt:lpstr>
      <vt:lpstr>Ene06_user</vt:lpstr>
      <vt:lpstr>Ene07_24</vt:lpstr>
      <vt:lpstr>Ene07_25</vt:lpstr>
      <vt:lpstr>Ene07_credits</vt:lpstr>
      <vt:lpstr>Ene07_minstd</vt:lpstr>
      <vt:lpstr>Ene07_tot</vt:lpstr>
      <vt:lpstr>Ene07_user</vt:lpstr>
      <vt:lpstr>Ene08_27</vt:lpstr>
      <vt:lpstr>Ene08_29</vt:lpstr>
      <vt:lpstr>Ene08_credits</vt:lpstr>
      <vt:lpstr>Ene08_minstd</vt:lpstr>
      <vt:lpstr>Ene08_tot</vt:lpstr>
      <vt:lpstr>Ene08_user</vt:lpstr>
      <vt:lpstr>Ene09_07</vt:lpstr>
      <vt:lpstr>Ene09_10</vt:lpstr>
      <vt:lpstr>Ene09_credits</vt:lpstr>
      <vt:lpstr>Ene09_minstd</vt:lpstr>
      <vt:lpstr>Ene09_tot</vt:lpstr>
      <vt:lpstr>Ene09_user</vt:lpstr>
      <vt:lpstr>Ene23_cont</vt:lpstr>
      <vt:lpstr>Ene23_credits</vt:lpstr>
      <vt:lpstr>Ene23_minstd</vt:lpstr>
      <vt:lpstr>Ene23_user</vt:lpstr>
      <vt:lpstr>Hea_01</vt:lpstr>
      <vt:lpstr>Hea_02</vt:lpstr>
      <vt:lpstr>Hea_03</vt:lpstr>
      <vt:lpstr>Hea_04</vt:lpstr>
      <vt:lpstr>Hea_05</vt:lpstr>
      <vt:lpstr>Hea_06</vt:lpstr>
      <vt:lpstr>Hea_07</vt:lpstr>
      <vt:lpstr>Hea_08</vt:lpstr>
      <vt:lpstr>Hea_09</vt:lpstr>
      <vt:lpstr>Hea_cont_tot</vt:lpstr>
      <vt:lpstr>Hea_Credits</vt:lpstr>
      <vt:lpstr>Hea_Weight</vt:lpstr>
      <vt:lpstr>Hea01_26</vt:lpstr>
      <vt:lpstr>Hea01_27</vt:lpstr>
      <vt:lpstr>Hea01_credits</vt:lpstr>
      <vt:lpstr>Hea01_minstd</vt:lpstr>
      <vt:lpstr>Hea01_user</vt:lpstr>
      <vt:lpstr>Hea02_25</vt:lpstr>
      <vt:lpstr>Hea02_26</vt:lpstr>
      <vt:lpstr>Hea02_credits</vt:lpstr>
      <vt:lpstr>Hea02_Crit1</vt:lpstr>
      <vt:lpstr>Hea02_Crit1_cont</vt:lpstr>
      <vt:lpstr>Hea02_Crit1_credits</vt:lpstr>
      <vt:lpstr>Hea02_minst_crit</vt:lpstr>
      <vt:lpstr>Hea02_minstd</vt:lpstr>
      <vt:lpstr>Hea02_tot</vt:lpstr>
      <vt:lpstr>Hea02_user</vt:lpstr>
      <vt:lpstr>Hea03_09</vt:lpstr>
      <vt:lpstr>Hea03_10</vt:lpstr>
      <vt:lpstr>Hea03_11</vt:lpstr>
      <vt:lpstr>Hea03_contr</vt:lpstr>
      <vt:lpstr>Hea03_credits</vt:lpstr>
      <vt:lpstr>Hea03_tot</vt:lpstr>
      <vt:lpstr>Hea03_user</vt:lpstr>
      <vt:lpstr>Hea04_10</vt:lpstr>
      <vt:lpstr>Hea04_11</vt:lpstr>
      <vt:lpstr>Hea04_12</vt:lpstr>
      <vt:lpstr>Hea04_13</vt:lpstr>
      <vt:lpstr>Hea04_credits</vt:lpstr>
      <vt:lpstr>Hea04_tot</vt:lpstr>
      <vt:lpstr>Hea04_user</vt:lpstr>
      <vt:lpstr>Hea05_07</vt:lpstr>
      <vt:lpstr>Hea05_08</vt:lpstr>
      <vt:lpstr>Hea05_credits</vt:lpstr>
      <vt:lpstr>Hea05_minstd</vt:lpstr>
      <vt:lpstr>Hea05_tot</vt:lpstr>
      <vt:lpstr>Hea05_user</vt:lpstr>
      <vt:lpstr>Hea06_07</vt:lpstr>
      <vt:lpstr>Hea06_contr</vt:lpstr>
      <vt:lpstr>Hea06_credits</vt:lpstr>
      <vt:lpstr>Hea06_minstd</vt:lpstr>
      <vt:lpstr>Hea06_tot</vt:lpstr>
      <vt:lpstr>Hea06_user</vt:lpstr>
      <vt:lpstr>Hea07_07</vt:lpstr>
      <vt:lpstr>Hea07_contr</vt:lpstr>
      <vt:lpstr>Hea07_Credits</vt:lpstr>
      <vt:lpstr>Hea07_minstd</vt:lpstr>
      <vt:lpstr>Hea07_Tot</vt:lpstr>
      <vt:lpstr>Hea07_user</vt:lpstr>
      <vt:lpstr>Hea08_07</vt:lpstr>
      <vt:lpstr>Hea08_contr</vt:lpstr>
      <vt:lpstr>Hea08_Credits</vt:lpstr>
      <vt:lpstr>Hea08_minstd</vt:lpstr>
      <vt:lpstr>Hea08_tot</vt:lpstr>
      <vt:lpstr>Hea08_user</vt:lpstr>
      <vt:lpstr>Hea09_cont</vt:lpstr>
      <vt:lpstr>Hea09_Credits</vt:lpstr>
      <vt:lpstr>Hea09_minstd</vt:lpstr>
      <vt:lpstr>Hea09_user</vt:lpstr>
      <vt:lpstr>'PAE available for copy'!HUG</vt:lpstr>
      <vt:lpstr>HUG</vt:lpstr>
      <vt:lpstr>HW_c_user</vt:lpstr>
      <vt:lpstr>HW_d_user</vt:lpstr>
      <vt:lpstr>HW_tot_user</vt:lpstr>
      <vt:lpstr>Inn_01</vt:lpstr>
      <vt:lpstr>Inn_02</vt:lpstr>
      <vt:lpstr>Inn_03</vt:lpstr>
      <vt:lpstr>Inn_04</vt:lpstr>
      <vt:lpstr>Inn_05</vt:lpstr>
      <vt:lpstr>Inn_06</vt:lpstr>
      <vt:lpstr>Inn_07</vt:lpstr>
      <vt:lpstr>Inn_08</vt:lpstr>
      <vt:lpstr>Inn_09</vt:lpstr>
      <vt:lpstr>Inn_10</vt:lpstr>
      <vt:lpstr>Inn_11</vt:lpstr>
      <vt:lpstr>Inn_12</vt:lpstr>
      <vt:lpstr>Inn_13</vt:lpstr>
      <vt:lpstr>Inn_c_user</vt:lpstr>
      <vt:lpstr>Inn_cont_tot</vt:lpstr>
      <vt:lpstr>Inn_Credits</vt:lpstr>
      <vt:lpstr>Inn_d_user</vt:lpstr>
      <vt:lpstr>Inn_tot_user</vt:lpstr>
      <vt:lpstr>Inn_Weight</vt:lpstr>
      <vt:lpstr>Inn01_cont</vt:lpstr>
      <vt:lpstr>Inn01_credits</vt:lpstr>
      <vt:lpstr>Inn01_minstd</vt:lpstr>
      <vt:lpstr>Inn01_user</vt:lpstr>
      <vt:lpstr>Inn02_cont</vt:lpstr>
      <vt:lpstr>Inn02_credits</vt:lpstr>
      <vt:lpstr>Inn02_minstd</vt:lpstr>
      <vt:lpstr>Inn02_user</vt:lpstr>
      <vt:lpstr>Inn03_cont</vt:lpstr>
      <vt:lpstr>Inn03_credits</vt:lpstr>
      <vt:lpstr>Inn03_minstd</vt:lpstr>
      <vt:lpstr>Inn03_user</vt:lpstr>
      <vt:lpstr>Inn04_cont</vt:lpstr>
      <vt:lpstr>Inn04_credits</vt:lpstr>
      <vt:lpstr>Inn04_minstd</vt:lpstr>
      <vt:lpstr>Inn04_user</vt:lpstr>
      <vt:lpstr>Inn05_cont</vt:lpstr>
      <vt:lpstr>Inn05_credits</vt:lpstr>
      <vt:lpstr>Inn05_minstd</vt:lpstr>
      <vt:lpstr>Inn05_user</vt:lpstr>
      <vt:lpstr>Inn06_cont</vt:lpstr>
      <vt:lpstr>Inn06_credits</vt:lpstr>
      <vt:lpstr>Inn06_minstd</vt:lpstr>
      <vt:lpstr>Inn06_user</vt:lpstr>
      <vt:lpstr>Inn07_cont</vt:lpstr>
      <vt:lpstr>Inn07_credits</vt:lpstr>
      <vt:lpstr>Inn07_minstd</vt:lpstr>
      <vt:lpstr>Inn07_user</vt:lpstr>
      <vt:lpstr>Inn08_cont</vt:lpstr>
      <vt:lpstr>Inn08_credits</vt:lpstr>
      <vt:lpstr>Inn08_minstd</vt:lpstr>
      <vt:lpstr>Inn08_user</vt:lpstr>
      <vt:lpstr>Inn09_cont</vt:lpstr>
      <vt:lpstr>Inn09_credits</vt:lpstr>
      <vt:lpstr>Inn09_minstd</vt:lpstr>
      <vt:lpstr>Inn09_user</vt:lpstr>
      <vt:lpstr>Inn10_cont</vt:lpstr>
      <vt:lpstr>Inn10_credits</vt:lpstr>
      <vt:lpstr>Inn10_minstd</vt:lpstr>
      <vt:lpstr>Inn10_user</vt:lpstr>
      <vt:lpstr>Inn11_cont</vt:lpstr>
      <vt:lpstr>Inn11_credits</vt:lpstr>
      <vt:lpstr>Inn11_minstd</vt:lpstr>
      <vt:lpstr>Inn11_user</vt:lpstr>
      <vt:lpstr>Inn12_cont</vt:lpstr>
      <vt:lpstr>Inn12_credits</vt:lpstr>
      <vt:lpstr>Inn12_minstd</vt:lpstr>
      <vt:lpstr>Inn12_user</vt:lpstr>
      <vt:lpstr>Inn13_cont</vt:lpstr>
      <vt:lpstr>Inn13_credits</vt:lpstr>
      <vt:lpstr>Inn13_minstd</vt:lpstr>
      <vt:lpstr>Inn13_user</vt:lpstr>
      <vt:lpstr>janei</vt:lpstr>
      <vt:lpstr>LE_01</vt:lpstr>
      <vt:lpstr>LE_02</vt:lpstr>
      <vt:lpstr>LE_03</vt:lpstr>
      <vt:lpstr>LE_04</vt:lpstr>
      <vt:lpstr>LE_05</vt:lpstr>
      <vt:lpstr>LE_06</vt:lpstr>
      <vt:lpstr>LE_07</vt:lpstr>
      <vt:lpstr>LE_08</vt:lpstr>
      <vt:lpstr>LE_cont_tot</vt:lpstr>
      <vt:lpstr>LE_Credits</vt:lpstr>
      <vt:lpstr>LE_Weight</vt:lpstr>
      <vt:lpstr>LE01_07</vt:lpstr>
      <vt:lpstr>LE01_08</vt:lpstr>
      <vt:lpstr>LE01_credits</vt:lpstr>
      <vt:lpstr>LE01_minstd</vt:lpstr>
      <vt:lpstr>LE01_tot</vt:lpstr>
      <vt:lpstr>LE01_user</vt:lpstr>
      <vt:lpstr>LE02_07</vt:lpstr>
      <vt:lpstr>LE02_08</vt:lpstr>
      <vt:lpstr>LE02_credits</vt:lpstr>
      <vt:lpstr>LE02_minstd</vt:lpstr>
      <vt:lpstr>LE02_tot</vt:lpstr>
      <vt:lpstr>LE02_user</vt:lpstr>
      <vt:lpstr>LE03_07</vt:lpstr>
      <vt:lpstr>LE03_cont</vt:lpstr>
      <vt:lpstr>LE03_credits</vt:lpstr>
      <vt:lpstr>LE03_minstd</vt:lpstr>
      <vt:lpstr>LE03_user</vt:lpstr>
      <vt:lpstr>LE04_13</vt:lpstr>
      <vt:lpstr>LE04_14</vt:lpstr>
      <vt:lpstr>LE04_credits</vt:lpstr>
      <vt:lpstr>LE04_minstd</vt:lpstr>
      <vt:lpstr>LE04_tot</vt:lpstr>
      <vt:lpstr>LE04_user</vt:lpstr>
      <vt:lpstr>LE05_14</vt:lpstr>
      <vt:lpstr>LE05_15</vt:lpstr>
      <vt:lpstr>LE05_credits</vt:lpstr>
      <vt:lpstr>LE05_minstd</vt:lpstr>
      <vt:lpstr>LE05_minstdach</vt:lpstr>
      <vt:lpstr>LE05_tot</vt:lpstr>
      <vt:lpstr>LE05_user</vt:lpstr>
      <vt:lpstr>LE06_07</vt:lpstr>
      <vt:lpstr>LE06_contr</vt:lpstr>
      <vt:lpstr>LE06_credits</vt:lpstr>
      <vt:lpstr>LE06_minstd</vt:lpstr>
      <vt:lpstr>LE06_tot</vt:lpstr>
      <vt:lpstr>LE06_user</vt:lpstr>
      <vt:lpstr>LE07_07</vt:lpstr>
      <vt:lpstr>LE07_cont</vt:lpstr>
      <vt:lpstr>LE07_credits</vt:lpstr>
      <vt:lpstr>LE07_minstd</vt:lpstr>
      <vt:lpstr>LE07_user</vt:lpstr>
      <vt:lpstr>LE08_07</vt:lpstr>
      <vt:lpstr>LE08_cont</vt:lpstr>
      <vt:lpstr>LE08_credits</vt:lpstr>
      <vt:lpstr>LE08_minstd</vt:lpstr>
      <vt:lpstr>LE08_user</vt:lpstr>
      <vt:lpstr>Lue_c_user</vt:lpstr>
      <vt:lpstr>Lue_d_user</vt:lpstr>
      <vt:lpstr>Lue_tot_user</vt:lpstr>
      <vt:lpstr>Man_01</vt:lpstr>
      <vt:lpstr>Man_02</vt:lpstr>
      <vt:lpstr>Man_03</vt:lpstr>
      <vt:lpstr>Man_04</vt:lpstr>
      <vt:lpstr>Man_05</vt:lpstr>
      <vt:lpstr>Man_06</vt:lpstr>
      <vt:lpstr>Man_07</vt:lpstr>
      <vt:lpstr>Man_c_user</vt:lpstr>
      <vt:lpstr>Man_cont_tot</vt:lpstr>
      <vt:lpstr>Man_Credits</vt:lpstr>
      <vt:lpstr>Man_d_user</vt:lpstr>
      <vt:lpstr>Man_tot_user</vt:lpstr>
      <vt:lpstr>Man_Weight</vt:lpstr>
      <vt:lpstr>Man01_37</vt:lpstr>
      <vt:lpstr>Man01_38</vt:lpstr>
      <vt:lpstr>Man01_39</vt:lpstr>
      <vt:lpstr>Man01_credits</vt:lpstr>
      <vt:lpstr>Man01_Crit1</vt:lpstr>
      <vt:lpstr>Man01_Crit1_cont</vt:lpstr>
      <vt:lpstr>Man01_Crit1_credits</vt:lpstr>
      <vt:lpstr>Man01_Exemp</vt:lpstr>
      <vt:lpstr>Man01_minstd</vt:lpstr>
      <vt:lpstr>Man01_Tot</vt:lpstr>
      <vt:lpstr>Man01_user</vt:lpstr>
      <vt:lpstr>Man02_11</vt:lpstr>
      <vt:lpstr>Man02_12</vt:lpstr>
      <vt:lpstr>Man02_credits</vt:lpstr>
      <vt:lpstr>Man02_Exempl</vt:lpstr>
      <vt:lpstr>Man02_minstd</vt:lpstr>
      <vt:lpstr>Man02_Tot</vt:lpstr>
      <vt:lpstr>Man02_user</vt:lpstr>
      <vt:lpstr>Man03_12</vt:lpstr>
      <vt:lpstr>Man03_18</vt:lpstr>
      <vt:lpstr>Man03_credits</vt:lpstr>
      <vt:lpstr>Man03_Crit1</vt:lpstr>
      <vt:lpstr>Man03_Crit1_credits</vt:lpstr>
      <vt:lpstr>Man03_minstd</vt:lpstr>
      <vt:lpstr>Man03_minstd_cri</vt:lpstr>
      <vt:lpstr>Man03_Tot</vt:lpstr>
      <vt:lpstr>Man03_user</vt:lpstr>
      <vt:lpstr>Man04_17</vt:lpstr>
      <vt:lpstr>Man04_cont</vt:lpstr>
      <vt:lpstr>Man04_credits</vt:lpstr>
      <vt:lpstr>Man04_Crit1</vt:lpstr>
      <vt:lpstr>Man04_Crit1_credits</vt:lpstr>
      <vt:lpstr>Man04_minstd</vt:lpstr>
      <vt:lpstr>Man04_minstd_cri</vt:lpstr>
      <vt:lpstr>Man04_tot</vt:lpstr>
      <vt:lpstr>Man04_user</vt:lpstr>
      <vt:lpstr>Man05_10</vt:lpstr>
      <vt:lpstr>Man05_cont</vt:lpstr>
      <vt:lpstr>Man05_credits</vt:lpstr>
      <vt:lpstr>Man05_Crit1</vt:lpstr>
      <vt:lpstr>Man05_Crit1_credits</vt:lpstr>
      <vt:lpstr>Man05_minstd</vt:lpstr>
      <vt:lpstr>Man05_minstd_cri</vt:lpstr>
      <vt:lpstr>Man05_tot</vt:lpstr>
      <vt:lpstr>Man05_user</vt:lpstr>
      <vt:lpstr>Man06_cont</vt:lpstr>
      <vt:lpstr>Man06_credits</vt:lpstr>
      <vt:lpstr>Man06_minstd</vt:lpstr>
      <vt:lpstr>Man06_user</vt:lpstr>
      <vt:lpstr>Man07_cont</vt:lpstr>
      <vt:lpstr>Man07_credits</vt:lpstr>
      <vt:lpstr>Man07_minstd</vt:lpstr>
      <vt:lpstr>Man07_user</vt:lpstr>
      <vt:lpstr>Mat_01</vt:lpstr>
      <vt:lpstr>Mat_02</vt:lpstr>
      <vt:lpstr>Mat_03</vt:lpstr>
      <vt:lpstr>Mat_05</vt:lpstr>
      <vt:lpstr>Mat_06</vt:lpstr>
      <vt:lpstr>Mat_07</vt:lpstr>
      <vt:lpstr>Mat_c_user</vt:lpstr>
      <vt:lpstr>Mat_cont_tot</vt:lpstr>
      <vt:lpstr>Mat_Credits</vt:lpstr>
      <vt:lpstr>Mat_d_user</vt:lpstr>
      <vt:lpstr>Mat_tot_user</vt:lpstr>
      <vt:lpstr>Mat_Weight</vt:lpstr>
      <vt:lpstr>Mat01_08</vt:lpstr>
      <vt:lpstr>Mat01_27</vt:lpstr>
      <vt:lpstr>Mat01_28</vt:lpstr>
      <vt:lpstr>Mat01_credits</vt:lpstr>
      <vt:lpstr>Mat01_Crit1</vt:lpstr>
      <vt:lpstr>Mat01_Crit1_credits</vt:lpstr>
      <vt:lpstr>Mat01_minstd</vt:lpstr>
      <vt:lpstr>Mat01_minstd2</vt:lpstr>
      <vt:lpstr>Mat01_tot</vt:lpstr>
      <vt:lpstr>Mat01_user</vt:lpstr>
      <vt:lpstr>Mat02_37</vt:lpstr>
      <vt:lpstr>Mat02_cont</vt:lpstr>
      <vt:lpstr>Mat02_credits</vt:lpstr>
      <vt:lpstr>Mat02_Crit1</vt:lpstr>
      <vt:lpstr>Mat02_Crit1_cont</vt:lpstr>
      <vt:lpstr>Mat02_Crit1_credits</vt:lpstr>
      <vt:lpstr>Mat02_minstd</vt:lpstr>
      <vt:lpstr>Mat02_minstd2</vt:lpstr>
      <vt:lpstr>Mat02_user</vt:lpstr>
      <vt:lpstr>Mat03_35</vt:lpstr>
      <vt:lpstr>Mat03_36</vt:lpstr>
      <vt:lpstr>Mat03_37</vt:lpstr>
      <vt:lpstr>Mat03_38</vt:lpstr>
      <vt:lpstr>Mat03_credits</vt:lpstr>
      <vt:lpstr>Mat03_Crit1</vt:lpstr>
      <vt:lpstr>Mat03_Crit1_cont</vt:lpstr>
      <vt:lpstr>Mat03_Crit1_credits</vt:lpstr>
      <vt:lpstr>Mat03_minstd</vt:lpstr>
      <vt:lpstr>Mat03_tot</vt:lpstr>
      <vt:lpstr>Mat03_user</vt:lpstr>
      <vt:lpstr>Mat05_05</vt:lpstr>
      <vt:lpstr>Mat05_06</vt:lpstr>
      <vt:lpstr>Mat05_credits</vt:lpstr>
      <vt:lpstr>Mat05_minstd</vt:lpstr>
      <vt:lpstr>Mat05_tot</vt:lpstr>
      <vt:lpstr>Mat05_user</vt:lpstr>
      <vt:lpstr>Mat06_05</vt:lpstr>
      <vt:lpstr>Mat06_cont</vt:lpstr>
      <vt:lpstr>Mat06_credits</vt:lpstr>
      <vt:lpstr>Mat06_Crit1</vt:lpstr>
      <vt:lpstr>Mat06_Crit1_credits</vt:lpstr>
      <vt:lpstr>Mat06_minstd</vt:lpstr>
      <vt:lpstr>Mat06_minstd_cred</vt:lpstr>
      <vt:lpstr>Mat06_user</vt:lpstr>
      <vt:lpstr>Mat07_05</vt:lpstr>
      <vt:lpstr>Mat07_cont</vt:lpstr>
      <vt:lpstr>Mat07_credits</vt:lpstr>
      <vt:lpstr>Mat07_Crit1</vt:lpstr>
      <vt:lpstr>Mat07_Crit1_credits</vt:lpstr>
      <vt:lpstr>Mat07_minstd</vt:lpstr>
      <vt:lpstr>Mat07_minstd_cred</vt:lpstr>
      <vt:lpstr>Mat07_user</vt:lpstr>
      <vt:lpstr>Note_minstand</vt:lpstr>
      <vt:lpstr>Note_minstand_const</vt:lpstr>
      <vt:lpstr>Note_minstand_design</vt:lpstr>
      <vt:lpstr>Poeng_bort</vt:lpstr>
      <vt:lpstr>Poeng_tilgj</vt:lpstr>
      <vt:lpstr>Poeng_tot</vt:lpstr>
      <vt:lpstr>Pol_01</vt:lpstr>
      <vt:lpstr>Pol_02</vt:lpstr>
      <vt:lpstr>Pol_03</vt:lpstr>
      <vt:lpstr>Pol_04</vt:lpstr>
      <vt:lpstr>Pol_05</vt:lpstr>
      <vt:lpstr>Pol_c_user</vt:lpstr>
      <vt:lpstr>Pol_cont_tot</vt:lpstr>
      <vt:lpstr>Pol_Credits</vt:lpstr>
      <vt:lpstr>Pol_d_user</vt:lpstr>
      <vt:lpstr>Pol_tot_user</vt:lpstr>
      <vt:lpstr>Pol_Weight</vt:lpstr>
      <vt:lpstr>Pol01_19</vt:lpstr>
      <vt:lpstr>Pol01_20</vt:lpstr>
      <vt:lpstr>Pol01_credits</vt:lpstr>
      <vt:lpstr>Pol01_minstd</vt:lpstr>
      <vt:lpstr>Pol01_tot</vt:lpstr>
      <vt:lpstr>Pol01_user</vt:lpstr>
      <vt:lpstr>Pol02_26</vt:lpstr>
      <vt:lpstr>Pol02_27</vt:lpstr>
      <vt:lpstr>Pol02_credits</vt:lpstr>
      <vt:lpstr>Pol02_minstd</vt:lpstr>
      <vt:lpstr>Pol02_tot</vt:lpstr>
      <vt:lpstr>Pol02_user</vt:lpstr>
      <vt:lpstr>Pol03_14</vt:lpstr>
      <vt:lpstr>Pol03_15</vt:lpstr>
      <vt:lpstr>Pol03_credits</vt:lpstr>
      <vt:lpstr>Pol03_minstd</vt:lpstr>
      <vt:lpstr>Pol03_tot</vt:lpstr>
      <vt:lpstr>Pol03_user</vt:lpstr>
      <vt:lpstr>Pol04_05</vt:lpstr>
      <vt:lpstr>Pol04_06</vt:lpstr>
      <vt:lpstr>Pol04_credits</vt:lpstr>
      <vt:lpstr>Pol04_minstd</vt:lpstr>
      <vt:lpstr>Pol04_tot</vt:lpstr>
      <vt:lpstr>Pol04_user</vt:lpstr>
      <vt:lpstr>Pol05_10</vt:lpstr>
      <vt:lpstr>Pol05_11</vt:lpstr>
      <vt:lpstr>Pol05_credits</vt:lpstr>
      <vt:lpstr>Pol05_minstd</vt:lpstr>
      <vt:lpstr>Pol05_tot</vt:lpstr>
      <vt:lpstr>Pol05_user</vt:lpstr>
      <vt:lpstr>projecttype</vt:lpstr>
      <vt:lpstr>Score_const</vt:lpstr>
      <vt:lpstr>Score_design</vt:lpstr>
      <vt:lpstr>Score_Initial</vt:lpstr>
      <vt:lpstr>status</vt:lpstr>
      <vt:lpstr>Tra_01</vt:lpstr>
      <vt:lpstr>Tra_02</vt:lpstr>
      <vt:lpstr>Tra_03</vt:lpstr>
      <vt:lpstr>Tra_04</vt:lpstr>
      <vt:lpstr>Tra_05</vt:lpstr>
      <vt:lpstr>Tra_06</vt:lpstr>
      <vt:lpstr>Tra_c_user</vt:lpstr>
      <vt:lpstr>Tra_cont_tot</vt:lpstr>
      <vt:lpstr>Tra_Credits</vt:lpstr>
      <vt:lpstr>Tra_d_user</vt:lpstr>
      <vt:lpstr>Tra_tot_user</vt:lpstr>
      <vt:lpstr>Tra_Weight</vt:lpstr>
      <vt:lpstr>Tra01_07</vt:lpstr>
      <vt:lpstr>TRa01_08</vt:lpstr>
      <vt:lpstr>TRA01_BuildType</vt:lpstr>
      <vt:lpstr>Tra01_credits</vt:lpstr>
      <vt:lpstr>Tra01_Crit1</vt:lpstr>
      <vt:lpstr>Tra01_Crit1_credits</vt:lpstr>
      <vt:lpstr>Tra01_minstd</vt:lpstr>
      <vt:lpstr>Tra01_tot</vt:lpstr>
      <vt:lpstr>Tra01_type7</vt:lpstr>
      <vt:lpstr>Tra01_user</vt:lpstr>
      <vt:lpstr>Tra02_06</vt:lpstr>
      <vt:lpstr>Tra02_07</vt:lpstr>
      <vt:lpstr>Tra02_credits</vt:lpstr>
      <vt:lpstr>Tra02_minstd</vt:lpstr>
      <vt:lpstr>Tra02_tot</vt:lpstr>
      <vt:lpstr>Tra02_user</vt:lpstr>
      <vt:lpstr>Tra03_02</vt:lpstr>
      <vt:lpstr>Tra03_13</vt:lpstr>
      <vt:lpstr>Tra03_14</vt:lpstr>
      <vt:lpstr>Tra03_credits</vt:lpstr>
      <vt:lpstr>Tra03_minstd</vt:lpstr>
      <vt:lpstr>Tra03_tot</vt:lpstr>
      <vt:lpstr>Tra03_user</vt:lpstr>
      <vt:lpstr>Tra04_09</vt:lpstr>
      <vt:lpstr>Tra04_10</vt:lpstr>
      <vt:lpstr>Tra04_credits</vt:lpstr>
      <vt:lpstr>Tra04_minstd</vt:lpstr>
      <vt:lpstr>Tra04_tot</vt:lpstr>
      <vt:lpstr>Tra04_user</vt:lpstr>
      <vt:lpstr>Tra05_04</vt:lpstr>
      <vt:lpstr>Tra05_05</vt:lpstr>
      <vt:lpstr>Tra05_credits</vt:lpstr>
      <vt:lpstr>Tra05_minstd</vt:lpstr>
      <vt:lpstr>Tra05_tot</vt:lpstr>
      <vt:lpstr>Tra05_user</vt:lpstr>
      <vt:lpstr>Tra06_04</vt:lpstr>
      <vt:lpstr>Tra06_05</vt:lpstr>
      <vt:lpstr>Tra06_credits</vt:lpstr>
      <vt:lpstr>Tra06_minstd</vt:lpstr>
      <vt:lpstr>Tra06_user</vt:lpstr>
      <vt:lpstr>TVC_current_date</vt:lpstr>
      <vt:lpstr>TVC_current_version</vt:lpstr>
      <vt:lpstr>'Assessment Details'!Utskriftsområde</vt:lpstr>
      <vt:lpstr>Instructions!Utskriftsområde</vt:lpstr>
      <vt:lpstr>'PAE available for copy'!Utskriftsområde</vt:lpstr>
      <vt:lpstr>'Pre-Assessment Estimator'!Utskriftsområde</vt:lpstr>
      <vt:lpstr>'Summary of Building Performance'!Utskriftsområde</vt:lpstr>
      <vt:lpstr>'Version Control'!Utskriftsområde</vt:lpstr>
      <vt:lpstr>'PAE available for copy'!Utskriftstitler</vt:lpstr>
      <vt:lpstr>'Pre-Assessment Estimator'!Utskriftstitler</vt:lpstr>
      <vt:lpstr>Wat__Credits</vt:lpstr>
      <vt:lpstr>Wat_01</vt:lpstr>
      <vt:lpstr>Wat_02</vt:lpstr>
      <vt:lpstr>Wat_03</vt:lpstr>
      <vt:lpstr>Wat_04</vt:lpstr>
      <vt:lpstr>Wat_c_user</vt:lpstr>
      <vt:lpstr>Wat_cont_tot</vt:lpstr>
      <vt:lpstr>Wat_Credits</vt:lpstr>
      <vt:lpstr>Wat_d_user</vt:lpstr>
      <vt:lpstr>Wat_tot_user</vt:lpstr>
      <vt:lpstr>Wat_Weight</vt:lpstr>
      <vt:lpstr>Wat01_08</vt:lpstr>
      <vt:lpstr>Wat01_09</vt:lpstr>
      <vt:lpstr>Wat01_14</vt:lpstr>
      <vt:lpstr>Wat01_15</vt:lpstr>
      <vt:lpstr>Wat01_credits</vt:lpstr>
      <vt:lpstr>Wat01_minstd</vt:lpstr>
      <vt:lpstr>Wat01_tot</vt:lpstr>
      <vt:lpstr>Wat01_user</vt:lpstr>
      <vt:lpstr>Wat02_10</vt:lpstr>
      <vt:lpstr>Wat02_11</vt:lpstr>
      <vt:lpstr>Wat02_12</vt:lpstr>
      <vt:lpstr>Wat02_13</vt:lpstr>
      <vt:lpstr>Wat02_credits</vt:lpstr>
      <vt:lpstr>Wat02_tot</vt:lpstr>
      <vt:lpstr>Wat02_user</vt:lpstr>
      <vt:lpstr>Wat03_09</vt:lpstr>
      <vt:lpstr>Wat03_10</vt:lpstr>
      <vt:lpstr>Wat03_credits</vt:lpstr>
      <vt:lpstr>Wat03_minstd</vt:lpstr>
      <vt:lpstr>Wat03_tot</vt:lpstr>
      <vt:lpstr>Wat03_user</vt:lpstr>
      <vt:lpstr>Wat04_05</vt:lpstr>
      <vt:lpstr>Wat04_06</vt:lpstr>
      <vt:lpstr>Wat04_credits</vt:lpstr>
      <vt:lpstr>Wat04_minstd</vt:lpstr>
      <vt:lpstr>Wat04_tot</vt:lpstr>
      <vt:lpstr>Wat04_user</vt:lpstr>
      <vt:lpstr>Wst_01</vt:lpstr>
      <vt:lpstr>Wst_02</vt:lpstr>
      <vt:lpstr>Wst_03</vt:lpstr>
      <vt:lpstr>Wst_04</vt:lpstr>
      <vt:lpstr>Wst_c_user</vt:lpstr>
      <vt:lpstr>Wst_cont_tot</vt:lpstr>
      <vt:lpstr>Wst_Credits</vt:lpstr>
      <vt:lpstr>Wst_d_user</vt:lpstr>
      <vt:lpstr>Wst_tot_user</vt:lpstr>
      <vt:lpstr>Wst_Weight</vt:lpstr>
      <vt:lpstr>Wst01_17</vt:lpstr>
      <vt:lpstr>Wst01_18</vt:lpstr>
      <vt:lpstr>Wst01_27</vt:lpstr>
      <vt:lpstr>Wst01_28</vt:lpstr>
      <vt:lpstr>Wst01_credits</vt:lpstr>
      <vt:lpstr>Wst01_Crit1</vt:lpstr>
      <vt:lpstr>Wst01_Crit1_credits</vt:lpstr>
      <vt:lpstr>Wst01_minstd</vt:lpstr>
      <vt:lpstr>Wst01_tot</vt:lpstr>
      <vt:lpstr>Wst01_user</vt:lpstr>
      <vt:lpstr>Wst02_11</vt:lpstr>
      <vt:lpstr>Wst02_14</vt:lpstr>
      <vt:lpstr>Wst02_15</vt:lpstr>
      <vt:lpstr>Wst02_credits</vt:lpstr>
      <vt:lpstr>Wst02_minstd</vt:lpstr>
      <vt:lpstr>Wst02_tot</vt:lpstr>
      <vt:lpstr>Wst02_user</vt:lpstr>
      <vt:lpstr>Wst03_09</vt:lpstr>
      <vt:lpstr>Wst03_10</vt:lpstr>
      <vt:lpstr>Wst03_12</vt:lpstr>
      <vt:lpstr>Wst03_13</vt:lpstr>
      <vt:lpstr>Wst03_credits</vt:lpstr>
      <vt:lpstr>Wst03_tot</vt:lpstr>
      <vt:lpstr>Wst03_user</vt:lpstr>
      <vt:lpstr>Wst04_08</vt:lpstr>
      <vt:lpstr>Wst04_09</vt:lpstr>
      <vt:lpstr>Wst04_credits</vt:lpstr>
      <vt:lpstr>Wst04_minstd</vt:lpstr>
      <vt:lpstr>Wst04_tot</vt:lpstr>
      <vt:lpstr>Wst04_user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 Global Ltd</dc:creator>
  <cp:lastModifiedBy>Jenny Maria Hammarlund Ribe</cp:lastModifiedBy>
  <cp:lastPrinted>2022-06-24T10:54:47Z</cp:lastPrinted>
  <dcterms:created xsi:type="dcterms:W3CDTF">2011-03-28T14:05:06Z</dcterms:created>
  <dcterms:modified xsi:type="dcterms:W3CDTF">2025-06-24T07:31:37Z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1a1313e7-f814-4958-ad03-b536a5c5c290</vt:lpwstr>
  </property>
  <property fmtid="{D5CDD505-2E9C-101B-9397-08002B2CF9AE}" pid="3" name="ContentTypeId">
    <vt:lpwstr>0x010100F4A51CFC1B849048839A67F419B4D06A</vt:lpwstr>
  </property>
</Properties>
</file>