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https://gronnbyggallianse-my.sharepoint.com/personal/jennymaria_ribe_byggalliansen_no/Documents/Documents/Kalkulator og verktøy - redigering/Oktober 2025 Pre analyse/"/>
    </mc:Choice>
  </mc:AlternateContent>
  <xr:revisionPtr revIDLastSave="210" documentId="8_{16E70A1A-43F7-4153-B08E-1194B4136E3C}" xr6:coauthVersionLast="47" xr6:coauthVersionMax="47" xr10:uidLastSave="{8FDBDF21-53CD-45B3-BD17-3B67F695C056}"/>
  <workbookProtection workbookAlgorithmName="SHA-512" workbookHashValue="cmK4MbrPGcz7kKNW/rdv9ETSaB3xT3PfEOwvMt3luUCpfGtxpCqy5KSN9R4h+T/2fBsSnTNO9zU1U8j2gIHvsg==" workbookSaltValue="JpCUAYIzHM6pPONLfB6qSw==" workbookSpinCount="100000" lockStructure="1"/>
  <bookViews>
    <workbookView xWindow="-120" yWindow="-120" windowWidth="29040" windowHeight="15720" tabRatio="778" activeTab="2" xr2:uid="{00000000-000D-0000-FFFF-FFFF00000000}"/>
  </bookViews>
  <sheets>
    <sheet name="Instruksjoner" sheetId="12" r:id="rId1"/>
    <sheet name="Prosjektdetaljer" sheetId="3" r:id="rId2"/>
    <sheet name="Pre-analyseverktøy" sheetId="5" r:id="rId3"/>
    <sheet name="Credit list" sheetId="22" state="hidden" r:id="rId4"/>
    <sheet name="Manuell filtrering og justering" sheetId="16" state="hidden" r:id="rId5"/>
    <sheet name="Poeng" sheetId="13" state="hidden" r:id="rId6"/>
    <sheet name="Sammendrag av byggets ytelse" sheetId="11" r:id="rId7"/>
    <sheet name="PAE available for copy" sheetId="24" r:id="rId8"/>
    <sheet name="Versjonskontroll" sheetId="8" r:id="rId9"/>
    <sheet name="Sheet1" sheetId="17" state="hidden" r:id="rId10"/>
    <sheet name="Sheet2" sheetId="18" state="hidden" r:id="rId11"/>
    <sheet name="Sheet3" sheetId="19" state="hidden" r:id="rId12"/>
    <sheet name="Logg" sheetId="23" state="hidden" r:id="rId13"/>
  </sheets>
  <definedNames>
    <definedName name="_xlnm._FilterDatabase" localSheetId="7" hidden="1">'PAE available for copy'!$A$9:$AA$226</definedName>
    <definedName name="_xlnm._FilterDatabase" localSheetId="5" hidden="1">Poeng!$A$8:$CL$278</definedName>
    <definedName name="_xlnm._FilterDatabase" localSheetId="2" hidden="1">'Pre-analyseverktøy'!$A$9:$AG$227</definedName>
    <definedName name="_PSc1">Prosjektdetaljer!$P$70</definedName>
    <definedName name="_PSc2">Prosjektdetaljer!#REF!</definedName>
    <definedName name="Achieved_const">'Sammendrag av byggets ytelse'!$H$46</definedName>
    <definedName name="Achieved_design">'Sammendrag av byggets ytelse'!$F$46</definedName>
    <definedName name="Achieved_initial">'Sammendrag av byggets ytelse'!$D$46</definedName>
    <definedName name="AD_Add01">Prosjektdetaljer!$C$14</definedName>
    <definedName name="AD_Add02">Prosjektdetaljer!$C$15</definedName>
    <definedName name="AD_Add04">Prosjektdetaljer!$C$17</definedName>
    <definedName name="AD_Architect">Prosjektdetaljer!$C$25</definedName>
    <definedName name="AD_assessor">Prosjektdetaljer!$C$8</definedName>
    <definedName name="AD_Assessor_org">Prosjektdetaljer!$C$9</definedName>
    <definedName name="AD_Banner">Prosjektdetaljer!$B$2</definedName>
    <definedName name="AD_BREEAM_stage">Prosjektdetaljer!$Q$5</definedName>
    <definedName name="AD_BREEAM_version">Prosjektdetaljer!$Q$8</definedName>
    <definedName name="AD_BREEAMAP">Prosjektdetaljer!$C$28</definedName>
    <definedName name="AD_Buildserve">Prosjektdetaljer!$C$27</definedName>
    <definedName name="AD_Builduser">Prosjektdetaljer!$C$7</definedName>
    <definedName name="AD_catlevel">Prosjektdetaljer!#REF!</definedName>
    <definedName name="AD_catlevel01">Prosjektdetaljer!$Q$31</definedName>
    <definedName name="AD_catlevel02">Prosjektdetaljer!$Q$32</definedName>
    <definedName name="AD_catlevel03">Prosjektdetaljer!$Q$33</definedName>
    <definedName name="AD_client">Prosjektdetaljer!$C$6</definedName>
    <definedName name="AD_Contractor">Prosjektdetaljer!$C$24</definedName>
    <definedName name="AD_Developer">Prosjektdetaljer!$C$23</definedName>
    <definedName name="AD_Energyload">Prosjektdetaljer!$F$22</definedName>
    <definedName name="AD_GIA">Prosjektdetaljer!$F$11</definedName>
    <definedName name="AD_heat">Prosjektdetaljer!$F$15</definedName>
    <definedName name="AD_labcat_list">Prosjektdetaljer!$Q$31:$Q$34</definedName>
    <definedName name="AD_Labsize">Prosjektdetaljer!$F$21</definedName>
    <definedName name="AD_Labsize_list">Prosjektdetaljer!$Q$26:$Q$29</definedName>
    <definedName name="AD_Labsize01">Prosjektdetaljer!$Q$27</definedName>
    <definedName name="AD_Labsize02">Prosjektdetaljer!$Q$28</definedName>
    <definedName name="AD_Labsize03">Prosjektdetaljer!$Q$29</definedName>
    <definedName name="AD_labsize04">Prosjektdetaljer!$Q$26</definedName>
    <definedName name="AD_MultiRes_option01a">Prosjektdetaljer!$P$92</definedName>
    <definedName name="AD_MultiRes_option01b">Prosjektdetaljer!$P$93</definedName>
    <definedName name="AD_Multitenant">Prosjektdetaljer!$Q$42</definedName>
    <definedName name="AD_NIFA">Prosjektdetaljer!$F$12</definedName>
    <definedName name="AD_no">Prosjektdetaljer!$Q$23</definedName>
    <definedName name="AD_nolab" localSheetId="7">Prosjektdetaljer!#REF!</definedName>
    <definedName name="AD_nolab">Prosjektdetaljer!#REF!</definedName>
    <definedName name="AD_option_na">Prosjektdetaljer!$Q$24</definedName>
    <definedName name="AD_Other01">Prosjektdetaljer!$C$29</definedName>
    <definedName name="AD_Other02">Prosjektdetaljer!$C$30</definedName>
    <definedName name="AD_other03">Prosjektdetaljer!$C$31</definedName>
    <definedName name="AD_Other04">Prosjektdetaljer!$C$32</definedName>
    <definedName name="AD_Ozoneleg">Prosjektdetaljer!$P$69</definedName>
    <definedName name="AD_p_zone0">Prosjektdetaljer!$T$87</definedName>
    <definedName name="AD_p_zone1">Prosjektdetaljer!$T$88</definedName>
    <definedName name="AD_P_zone2">Prosjektdetaljer!$T$89</definedName>
    <definedName name="AD_P_Zone3">Prosjektdetaljer!$T$90</definedName>
    <definedName name="AD_Projman">Prosjektdetaljer!$C$26</definedName>
    <definedName name="AD_ref">Prosjektdetaljer!$C$5</definedName>
    <definedName name="AD_refrig">Prosjektdetaljer!$F$19</definedName>
    <definedName name="AD_stage_list">Prosjektdetaljer!$Q$18:$Q$19</definedName>
    <definedName name="AD_statement03" localSheetId="7">Prosjektdetaljer!#REF!</definedName>
    <definedName name="AD_statement03">Prosjektdetaljer!#REF!</definedName>
    <definedName name="AD_Statement04">Prosjektdetaljer!$Q$44</definedName>
    <definedName name="AD_statement05">Prosjektdetaljer!$Q$45</definedName>
    <definedName name="AD_statement06">Prosjektdetaljer!$Q$46</definedName>
    <definedName name="AD_tra01type">Prosjektdetaljer!$P$64</definedName>
    <definedName name="AD_Trans">Prosjektdetaljer!$F$20</definedName>
    <definedName name="AD_type_list">Prosjektdetaljer!$L$5:$L$8</definedName>
    <definedName name="AD_version">Prosjektdetaljer!$R$82</definedName>
    <definedName name="AD_Yes">Prosjektdetaljer!$Q$22</definedName>
    <definedName name="AD_YesNo">Prosjektdetaljer!$Q$22:$Q$23</definedName>
    <definedName name="AD_YesNo_list">Prosjektdetaljer!$Q$22:$Q$24</definedName>
    <definedName name="ADAS0">Prosjektdetaljer!$R$80</definedName>
    <definedName name="ADAS01">Prosjektdetaljer!$Q$18</definedName>
    <definedName name="ADAS02">Prosjektdetaljer!$Q$19</definedName>
    <definedName name="ADBN">Prosjektdetaljer!$C$13</definedName>
    <definedName name="ADBT_sub02">Prosjektdetaljer!$O$5</definedName>
    <definedName name="ADBT_sub03">Prosjektdetaljer!$O$6</definedName>
    <definedName name="ADBT_sub04">Prosjektdetaljer!$O$7</definedName>
    <definedName name="ADBT_sub05">Prosjektdetaljer!$O$8</definedName>
    <definedName name="ADBT_sub06">Prosjektdetaljer!$O$9</definedName>
    <definedName name="ADBT_sub07">Prosjektdetaljer!$O$10</definedName>
    <definedName name="ADBT_sub08">Prosjektdetaljer!$O$11</definedName>
    <definedName name="ADBT_sub09">Prosjektdetaljer!$O$12</definedName>
    <definedName name="ADBT_sub10">Prosjektdetaljer!$O$13</definedName>
    <definedName name="ADBT_sub11">Prosjektdetaljer!$O$14</definedName>
    <definedName name="ADBT_sub12">Prosjektdetaljer!$O$15</definedName>
    <definedName name="ADBT_sub13">Prosjektdetaljer!$O$16</definedName>
    <definedName name="ADBT_sub14">Prosjektdetaljer!$O$17</definedName>
    <definedName name="ADBT_sub15">Prosjektdetaljer!$O$18</definedName>
    <definedName name="ADBT_sub16">Prosjektdetaljer!$O$19</definedName>
    <definedName name="ADBT_sub17">Prosjektdetaljer!$O$20</definedName>
    <definedName name="ADBT0">Prosjektdetaljer!$F$5</definedName>
    <definedName name="ADBT1">Prosjektdetaljer!$L$5</definedName>
    <definedName name="ADBT12">Prosjektdetaljer!$L$9</definedName>
    <definedName name="ADBT13">Prosjektdetaljer!$L$10</definedName>
    <definedName name="ADBT14">Prosjektdetaljer!$L$11</definedName>
    <definedName name="ADBT15">Prosjektdetaljer!$L$12</definedName>
    <definedName name="ADBT16">Prosjektdetaljer!$L$13</definedName>
    <definedName name="ADBT17">Prosjektdetaljer!$L$14</definedName>
    <definedName name="ADBT18">Prosjektdetaljer!$L$15</definedName>
    <definedName name="ADBT19">Prosjektdetaljer!$L$16</definedName>
    <definedName name="ADBT2">Prosjektdetaljer!$L$6</definedName>
    <definedName name="ADBT20">Prosjektdetaljer!$L$17</definedName>
    <definedName name="ADBT3">Prosjektdetaljer!$L$7</definedName>
    <definedName name="ADBT8">Prosjektdetaljer!$L$8</definedName>
    <definedName name="ADBT9">Prosjektdetaljer!$L$5</definedName>
    <definedName name="ADFume_option01">Prosjektdetaljer!$P$43</definedName>
    <definedName name="ADIND_option02">Prosjektdetaljer!$F$16</definedName>
    <definedName name="ADIND_option02n">Prosjektdetaljer!$H$16</definedName>
    <definedName name="ADIND_option03">Prosjektdetaljer!$F$17</definedName>
    <definedName name="ADPT">Prosjektdetaljer!$Q$17</definedName>
    <definedName name="ADPT01">Prosjektdetaljer!$Q$11</definedName>
    <definedName name="ADPT02">Prosjektdetaljer!$Q$13</definedName>
    <definedName name="ADPT03">Prosjektdetaljer!$Q$14</definedName>
    <definedName name="ADPT04">Prosjektdetaljer!$Q$15</definedName>
    <definedName name="ais_ja">Poeng!$G$4</definedName>
    <definedName name="AIS_NA">Poeng!$G$6</definedName>
    <definedName name="ais_nei">Poeng!$G$5</definedName>
    <definedName name="AIS_statement09" localSheetId="7">Prosjektdetaljer!#REF!</definedName>
    <definedName name="AIS_statement09">Prosjektdetaljer!#REF!</definedName>
    <definedName name="AIS_statement29">Prosjektdetaljer!$B$37</definedName>
    <definedName name="BP_01">'Sammendrag av byggets ytelse'!$C$36</definedName>
    <definedName name="BP_02">'Sammendrag av byggets ytelse'!$C$37</definedName>
    <definedName name="BP_03">'Sammendrag av byggets ytelse'!$C$38</definedName>
    <definedName name="BP_04">'Sammendrag av byggets ytelse'!$C$39</definedName>
    <definedName name="BP_05">'Sammendrag av byggets ytelse'!$C$40</definedName>
    <definedName name="BP_06">'Sammendrag av byggets ytelse'!$C$41</definedName>
    <definedName name="BP_07">'Sammendrag av byggets ytelse'!$C$42</definedName>
    <definedName name="BP_08">'Sammendrag av byggets ytelse'!$C$43</definedName>
    <definedName name="BP_09">'Sammendrag av byggets ytelse'!$C$44</definedName>
    <definedName name="BP_10">'Sammendrag av byggets ytelse'!$C$45</definedName>
    <definedName name="BP_11">'Sammendrag av byggets ytelse'!$D$36</definedName>
    <definedName name="BP_12">'Sammendrag av byggets ytelse'!$D$37</definedName>
    <definedName name="BP_13">'Sammendrag av byggets ytelse'!$D$38</definedName>
    <definedName name="BP_14">'Sammendrag av byggets ytelse'!$D$39</definedName>
    <definedName name="BP_15">'Sammendrag av byggets ytelse'!$D$40</definedName>
    <definedName name="BP_16">'Sammendrag av byggets ytelse'!$D$41</definedName>
    <definedName name="BP_18">'Sammendrag av byggets ytelse'!$D$42</definedName>
    <definedName name="BP_19">'Sammendrag av byggets ytelse'!$D$43</definedName>
    <definedName name="BP_20">'Sammendrag av byggets ytelse'!$D$44</definedName>
    <definedName name="BP_21">'Sammendrag av byggets ytelse'!$D$45</definedName>
    <definedName name="BP_22">'Sammendrag av byggets ytelse'!$E$36</definedName>
    <definedName name="BP_23">'Sammendrag av byggets ytelse'!$E$37</definedName>
    <definedName name="BP_24">'Sammendrag av byggets ytelse'!$E$38</definedName>
    <definedName name="BP_25">'Sammendrag av byggets ytelse'!$E$39</definedName>
    <definedName name="BP_26">'Sammendrag av byggets ytelse'!$E$40</definedName>
    <definedName name="BP_27">'Sammendrag av byggets ytelse'!$E$41</definedName>
    <definedName name="BP_28">'Sammendrag av byggets ytelse'!$E$42</definedName>
    <definedName name="BP_29">'Sammendrag av byggets ytelse'!$E$43</definedName>
    <definedName name="BP_30">'Sammendrag av byggets ytelse'!$E$44</definedName>
    <definedName name="BP_31">'Sammendrag av byggets ytelse'!$E$45</definedName>
    <definedName name="BP_BREEAMRating">Poeng!$BE$264</definedName>
    <definedName name="BP_Energy_score">'Sammendrag av byggets ytelse'!$K$38</definedName>
    <definedName name="BP_Innovation_score">'Sammendrag av byggets ytelse'!$K$45</definedName>
    <definedName name="BP_LUE_score">'Sammendrag av byggets ytelse'!$K$43</definedName>
    <definedName name="BP_Man_score">'Sammendrag av byggets ytelse'!$K$36</definedName>
    <definedName name="BP_Materials_score">'Sammendrag av byggets ytelse'!$K$41</definedName>
    <definedName name="BP_MinStandards">Poeng!$BE$259</definedName>
    <definedName name="BP_MinStandards_const">Poeng!$BK$259</definedName>
    <definedName name="BP_MinStandards_design">Poeng!$BH$259</definedName>
    <definedName name="BP_Trans_score">'Sammendrag av byggets ytelse'!$K$39</definedName>
    <definedName name="BP_Waste_Score">'Sammendrag av byggets ytelse'!$K$42</definedName>
    <definedName name="BP_Water_score">'Sammendrag av byggets ytelse'!$K$40</definedName>
    <definedName name="BRK_Banner" localSheetId="7">'PAE available for copy'!$F$1</definedName>
    <definedName name="BRK_Banner">'Pre-analyseverktøy'!$F$1</definedName>
    <definedName name="Ene_01">Poeng!$E$69</definedName>
    <definedName name="Ene_02">Poeng!$E$75</definedName>
    <definedName name="Ene_03">Poeng!$E$79</definedName>
    <definedName name="Ene_04">Poeng!$E$82</definedName>
    <definedName name="Ene_05">Poeng!$E$83</definedName>
    <definedName name="Ene_06">Poeng!$E$86</definedName>
    <definedName name="Ene_07">Poeng!$E$90</definedName>
    <definedName name="Ene_08">Poeng!$E$93</definedName>
    <definedName name="Ene_09">Poeng!$E$95</definedName>
    <definedName name="Ene_23">Poeng!$E$96</definedName>
    <definedName name="Ene_c_user">Poeng!$AK$97</definedName>
    <definedName name="Ene_cont_tot">Poeng!$AE$97</definedName>
    <definedName name="Ene_Credits">Poeng!$AB$97</definedName>
    <definedName name="Ene_d_user">Poeng!$AJ$97</definedName>
    <definedName name="Ene_tot_user">Poeng!$AI$97</definedName>
    <definedName name="Ene_Weight">'Sammendrag av byggets ytelse'!$J$38</definedName>
    <definedName name="Ene01_27">Poeng!$BT$311</definedName>
    <definedName name="Ene01_28">Poeng!$BE$69</definedName>
    <definedName name="Ene01_41">Poeng!$AD$69</definedName>
    <definedName name="Ene01_42">Poeng!$AE$69</definedName>
    <definedName name="Ene01_credits">Poeng!$AB$69</definedName>
    <definedName name="Ene01_Crit1">Poeng!$E$239</definedName>
    <definedName name="Ene01_Crit1_credits">Poeng!$AB$239</definedName>
    <definedName name="Ene01_minstd">Poeng!$BE$239</definedName>
    <definedName name="Ene01_tot">Poeng!$BS$311</definedName>
    <definedName name="Ene01_user">Poeng!$AI$69</definedName>
    <definedName name="Ene02_10">Poeng!$AD$75</definedName>
    <definedName name="Ene02_11">Poeng!$BT$312</definedName>
    <definedName name="Ene02_12">Poeng!$BE$75</definedName>
    <definedName name="Ene02_13">Poeng!$AE$75</definedName>
    <definedName name="Ene02_credits">Poeng!$AB$75</definedName>
    <definedName name="Ene02_tot">Poeng!$BS$312</definedName>
    <definedName name="Ene02_user">Poeng!$AI$75</definedName>
    <definedName name="Ene03_05">Poeng!$AD$79</definedName>
    <definedName name="Ene03_06">Poeng!$AE$79</definedName>
    <definedName name="Ene03_credits">Poeng!$AB$79</definedName>
    <definedName name="Ene03_minstd">Poeng!$BE$79</definedName>
    <definedName name="Ene03_tot" localSheetId="7">Poeng!#REF!</definedName>
    <definedName name="Ene03_tot">Poeng!#REF!</definedName>
    <definedName name="Ene03_user">Poeng!$AI$79</definedName>
    <definedName name="Ene04_15">Poeng!$BS$316</definedName>
    <definedName name="Ene04_16">Poeng!$BE$82</definedName>
    <definedName name="Ene04_19">Poeng!$AD$82</definedName>
    <definedName name="Ene04_20">Poeng!$AE$82</definedName>
    <definedName name="Ene04_credits">Poeng!$AB$82</definedName>
    <definedName name="Ene04_tot">Poeng!$BR$316</definedName>
    <definedName name="Ene04_user">Poeng!$AI$82</definedName>
    <definedName name="Ene05_14">Poeng!$BS$83</definedName>
    <definedName name="Ene05_15">Poeng!$BE$83</definedName>
    <definedName name="Ene05_20">Poeng!$AD$83</definedName>
    <definedName name="Ene05_21">Poeng!$AE$83</definedName>
    <definedName name="Ene05_credits">Poeng!$AB$83</definedName>
    <definedName name="Ene05_tot">Poeng!$BR$83</definedName>
    <definedName name="Ene05_user">Poeng!$AI$83</definedName>
    <definedName name="Ene06_11">Poeng!$AD$86</definedName>
    <definedName name="Ene06_12">Poeng!$AE$86</definedName>
    <definedName name="Ene06_credits">Poeng!$AB$86</definedName>
    <definedName name="Ene06_minstd">Poeng!$BE$86</definedName>
    <definedName name="Ene06_tot">Poeng!$BR$86</definedName>
    <definedName name="Ene06_user">Poeng!$AI$86</definedName>
    <definedName name="Ene07_24">Poeng!$AD$90</definedName>
    <definedName name="Ene07_25">Poeng!$AE$90</definedName>
    <definedName name="Ene07_credits">Poeng!$AB$90</definedName>
    <definedName name="Ene07_minstd">Poeng!$BE$90</definedName>
    <definedName name="Ene07_tot">Poeng!$BR$90</definedName>
    <definedName name="Ene07_user">Poeng!$AI$90</definedName>
    <definedName name="Ene08_27">Poeng!$AD$93</definedName>
    <definedName name="Ene08_29">Poeng!$AE$93</definedName>
    <definedName name="Ene08_credits">Poeng!$AB$93</definedName>
    <definedName name="Ene08_minstd">Poeng!$BE$93</definedName>
    <definedName name="Ene08_tot">Poeng!$BR$93</definedName>
    <definedName name="Ene08_user">Poeng!$AI$93</definedName>
    <definedName name="Ene09_07">Poeng!$AD$95</definedName>
    <definedName name="Ene09_10">Poeng!$AE$95</definedName>
    <definedName name="Ene09_credits">Poeng!$AB$95</definedName>
    <definedName name="Ene09_minstd">Poeng!$BE$95</definedName>
    <definedName name="Ene09_tot">Poeng!$BR$95</definedName>
    <definedName name="Ene09_user">Poeng!$AI$95</definedName>
    <definedName name="Ene23_cont">Poeng!$AE$96</definedName>
    <definedName name="Ene23_credits">Poeng!$AB$96</definedName>
    <definedName name="Ene23_minstd">Poeng!$BE$96</definedName>
    <definedName name="Ene23_user">Poeng!$AI$96</definedName>
    <definedName name="Hea_01">Poeng!$E$39</definedName>
    <definedName name="Hea_02">Poeng!$E$46</definedName>
    <definedName name="Hea_03">Poeng!$E$51</definedName>
    <definedName name="Hea_04">Poeng!$E$55</definedName>
    <definedName name="Hea_05">Poeng!$E$56</definedName>
    <definedName name="Hea_06">Poeng!$E$59</definedName>
    <definedName name="Hea_07">Poeng!$E$62</definedName>
    <definedName name="Hea_08">Poeng!$E$63</definedName>
    <definedName name="Hea_09">Poeng!$E$65</definedName>
    <definedName name="Hea_cont_tot">Poeng!$AE$66</definedName>
    <definedName name="Hea_Credits">Poeng!$AB$66</definedName>
    <definedName name="Hea_Weight">'Sammendrag av byggets ytelse'!$J$37</definedName>
    <definedName name="Hea01_06" localSheetId="7">Poeng!#REF!</definedName>
    <definedName name="Hea01_06">Poeng!#REF!</definedName>
    <definedName name="Hea01_25" localSheetId="7">Poeng!#REF!</definedName>
    <definedName name="Hea01_25">Poeng!#REF!</definedName>
    <definedName name="Hea01_26">Poeng!$AD$39</definedName>
    <definedName name="Hea01_27">Poeng!$AE$39</definedName>
    <definedName name="Hea01_credits">Poeng!$AB$39</definedName>
    <definedName name="Hea01_minstd">Poeng!$BE$39</definedName>
    <definedName name="Hea01_tot" localSheetId="7">Poeng!#REF!</definedName>
    <definedName name="Hea01_tot">Poeng!#REF!</definedName>
    <definedName name="Hea01_user">Poeng!$AI$39</definedName>
    <definedName name="Hea02_25">Poeng!$AD$46</definedName>
    <definedName name="Hea02_26">Poeng!$AE$46</definedName>
    <definedName name="Hea02_credits">Poeng!$AB$46</definedName>
    <definedName name="Hea02_Crit1">Poeng!$E$236</definedName>
    <definedName name="Hea02_Crit1_cont">Poeng!$AE$236</definedName>
    <definedName name="Hea02_Crit1_credits">Poeng!$AB$236</definedName>
    <definedName name="Hea02_minst_crit">Poeng!$BE$236</definedName>
    <definedName name="Hea02_minstd">Poeng!$BE$46</definedName>
    <definedName name="Hea02_tot">Poeng!$BS$296</definedName>
    <definedName name="Hea02_user">Poeng!$AI$46</definedName>
    <definedName name="Hea03_09">Poeng!$AD$51</definedName>
    <definedName name="Hea03_10">Poeng!$BT$297</definedName>
    <definedName name="Hea03_11">Poeng!$BE$51</definedName>
    <definedName name="Hea03_contr">Poeng!$AE$51</definedName>
    <definedName name="Hea03_credits">Poeng!$AB$51</definedName>
    <definedName name="Hea03_tot">Poeng!$BS$297</definedName>
    <definedName name="Hea03_user">Poeng!$AI$51</definedName>
    <definedName name="Hea04_10">Poeng!$BT$298</definedName>
    <definedName name="Hea04_11">Poeng!$BE$55</definedName>
    <definedName name="Hea04_12">Poeng!$AD$55</definedName>
    <definedName name="Hea04_13">Poeng!$AE$55</definedName>
    <definedName name="Hea04_credits">Poeng!$AB$55</definedName>
    <definedName name="Hea04_tot">Poeng!$BS$298</definedName>
    <definedName name="Hea04_user">Poeng!$AI$55</definedName>
    <definedName name="Hea05_07">Poeng!$AD$56</definedName>
    <definedName name="Hea05_08">Poeng!$AE$56</definedName>
    <definedName name="Hea05_credits">Poeng!$AB$56</definedName>
    <definedName name="Hea05_minstd">Poeng!$BE$56</definedName>
    <definedName name="Hea05_tot">Poeng!$BS$300</definedName>
    <definedName name="Hea05_user">Poeng!$AI$56</definedName>
    <definedName name="Hea06_07">Poeng!$AD$59</definedName>
    <definedName name="Hea06_contr">Poeng!$AE$59</definedName>
    <definedName name="Hea06_credits">Poeng!$AB$59</definedName>
    <definedName name="Hea06_minstd">Poeng!$BE$59</definedName>
    <definedName name="Hea06_tot">Poeng!$BS$301</definedName>
    <definedName name="Hea06_user">Poeng!$AI$59</definedName>
    <definedName name="Hea07_07">Poeng!$AD$62</definedName>
    <definedName name="Hea07_contr">Poeng!$AE$62</definedName>
    <definedName name="Hea07_Credits">Poeng!$AB$62</definedName>
    <definedName name="Hea07_minstd">Poeng!$BE$62</definedName>
    <definedName name="Hea07_Tot">Poeng!$BS$303</definedName>
    <definedName name="Hea07_user">Poeng!$AI$62</definedName>
    <definedName name="Hea08_07">Poeng!$AD$63</definedName>
    <definedName name="Hea08_contr">Poeng!$AE$63</definedName>
    <definedName name="Hea08_Credits">Poeng!$AB$63</definedName>
    <definedName name="Hea08_minstd">Poeng!$BE$63</definedName>
    <definedName name="Hea08_tot">Poeng!$BS$304</definedName>
    <definedName name="Hea08_user">Poeng!$AI$63</definedName>
    <definedName name="Hea09_cont">Poeng!$AE$65</definedName>
    <definedName name="Hea09_Credits">Poeng!$AB$65</definedName>
    <definedName name="Hea09_minstd">Poeng!$BE$65</definedName>
    <definedName name="Hea09_user">Poeng!$AI$65</definedName>
    <definedName name="HUG" localSheetId="7">'PAE available for copy'!$AG$15</definedName>
    <definedName name="HUG">'Pre-analyseverktøy'!$AU$35</definedName>
    <definedName name="HW_c_user">Poeng!$AK$66</definedName>
    <definedName name="HW_d_user">Poeng!$AJ$66</definedName>
    <definedName name="HW_tot_user">Poeng!$AI$66</definedName>
    <definedName name="Inn_01">Poeng!$E$217</definedName>
    <definedName name="Inn_02">Poeng!$E$218</definedName>
    <definedName name="Inn_03">Poeng!$E$219</definedName>
    <definedName name="Inn_04">Poeng!$E$220</definedName>
    <definedName name="Inn_05">Poeng!$E$221</definedName>
    <definedName name="Inn_06">Poeng!$E$222</definedName>
    <definedName name="Inn_07">Poeng!$E$223</definedName>
    <definedName name="Inn_08">Poeng!$E$224</definedName>
    <definedName name="Inn_09">Poeng!$E$225</definedName>
    <definedName name="Inn_10">Poeng!$E$226</definedName>
    <definedName name="Inn_11">Poeng!$E$227</definedName>
    <definedName name="Inn_12">Poeng!$E$228</definedName>
    <definedName name="Inn_13">Poeng!$E$229</definedName>
    <definedName name="Inn_c_user">Poeng!$AK$231</definedName>
    <definedName name="Inn_cont_tot">Poeng!$AE$231</definedName>
    <definedName name="Inn_Credits">Poeng!$AB$231</definedName>
    <definedName name="Inn_d_user">Poeng!$AJ$231</definedName>
    <definedName name="Inn_tot_user">Poeng!$AI$231</definedName>
    <definedName name="Inn_Weight">'Sammendrag av byggets ytelse'!$J$45</definedName>
    <definedName name="Inn01_cont">Poeng!$AE$217</definedName>
    <definedName name="Inn01_credits">Poeng!$AB$217</definedName>
    <definedName name="Inn01_minstd">Poeng!$BE$217</definedName>
    <definedName name="Inn01_user">Poeng!$AI$217</definedName>
    <definedName name="Inn02_cont">Poeng!$AE$218</definedName>
    <definedName name="Inn02_credits">Poeng!$AB$218</definedName>
    <definedName name="Inn02_minstd">Poeng!$BE$218</definedName>
    <definedName name="Inn02_user">Poeng!$AI$218</definedName>
    <definedName name="Inn03_cont">Poeng!$AE$219</definedName>
    <definedName name="Inn03_credits">Poeng!$AB$219</definedName>
    <definedName name="Inn03_minstd">Poeng!$BE$219</definedName>
    <definedName name="Inn03_user">Poeng!$AI$219</definedName>
    <definedName name="Inn04_cont">Poeng!$AE$220</definedName>
    <definedName name="Inn04_credits">Poeng!$AB$220</definedName>
    <definedName name="Inn04_minstd">Poeng!$BE$220</definedName>
    <definedName name="Inn04_user">Poeng!$AI$220</definedName>
    <definedName name="Inn05_cont">Poeng!$AE$221</definedName>
    <definedName name="Inn05_credits">Poeng!$AB$221</definedName>
    <definedName name="Inn05_minstd">Poeng!$BE$221</definedName>
    <definedName name="Inn05_user">Poeng!$AI$221</definedName>
    <definedName name="Inn06_cont">Poeng!$AE$222</definedName>
    <definedName name="Inn06_credits">Poeng!$AB$222</definedName>
    <definedName name="Inn06_minstd">Poeng!$BE$222</definedName>
    <definedName name="Inn06_user">Poeng!$AI$222</definedName>
    <definedName name="Inn07_cont">Poeng!$AE$223</definedName>
    <definedName name="Inn07_credits">Poeng!$AB$223</definedName>
    <definedName name="Inn07_minstd">Poeng!$BE$223</definedName>
    <definedName name="Inn07_user">Poeng!$AI$223</definedName>
    <definedName name="Inn08_cont">Poeng!$AE$224</definedName>
    <definedName name="Inn08_credits">Poeng!$AB$224</definedName>
    <definedName name="Inn08_minstd">Poeng!$BE$224</definedName>
    <definedName name="Inn08_user">Poeng!$AI$224</definedName>
    <definedName name="Inn09_cont">Poeng!$AE$225</definedName>
    <definedName name="Inn09_credits">Poeng!$AB$225</definedName>
    <definedName name="Inn09_minstd">Poeng!$BE$225</definedName>
    <definedName name="Inn09_user">Poeng!$AI$225</definedName>
    <definedName name="Inn10_cont">Poeng!$AE$226</definedName>
    <definedName name="Inn10_credits">Poeng!$AB$226</definedName>
    <definedName name="Inn10_minstd">Poeng!$BE$226</definedName>
    <definedName name="Inn10_user">Poeng!$AI$226</definedName>
    <definedName name="Inn11_cont">Poeng!$AE$227</definedName>
    <definedName name="Inn11_credits">Poeng!$AB$227</definedName>
    <definedName name="Inn11_minstd">Poeng!$BE$227</definedName>
    <definedName name="Inn11_user">Poeng!$AI$227</definedName>
    <definedName name="Inn12_cont">Poeng!$AE$228</definedName>
    <definedName name="Inn12_credits">Poeng!$AB$228</definedName>
    <definedName name="Inn12_minstd">Poeng!$BE$228</definedName>
    <definedName name="Inn12_user">Poeng!$AI$228</definedName>
    <definedName name="Inn13_cont">Poeng!$AE$229</definedName>
    <definedName name="Inn13_credits">Poeng!$AB$229</definedName>
    <definedName name="Inn13_minstd">Poeng!$BE$229</definedName>
    <definedName name="Inn13_user">Poeng!$AI$229</definedName>
    <definedName name="janei">Prosjektdetaljer!$O$51:$O$52</definedName>
    <definedName name="LE_01">Poeng!$E$169</definedName>
    <definedName name="LE_02">Poeng!$E$171</definedName>
    <definedName name="LE_03">Poeng!$E$175</definedName>
    <definedName name="LE_04">Poeng!$E$179</definedName>
    <definedName name="LE_05">Poeng!$E$183</definedName>
    <definedName name="LE_06">Poeng!$E$187</definedName>
    <definedName name="LE_07">Poeng!$E$189</definedName>
    <definedName name="LE_08">Poeng!$E$192</definedName>
    <definedName name="LE_cont_tot">Poeng!$AE$197</definedName>
    <definedName name="LE_Credits">Poeng!$AB$197</definedName>
    <definedName name="LE_Weight">'Sammendrag av byggets ytelse'!$J$43</definedName>
    <definedName name="LE01_07">Poeng!$AD$169</definedName>
    <definedName name="LE01_08">Poeng!$AE$169</definedName>
    <definedName name="LE01_credits">Poeng!$AB$169</definedName>
    <definedName name="LE01_minstd">Poeng!$BE$169</definedName>
    <definedName name="LE01_tot">Poeng!$BR$169</definedName>
    <definedName name="LE01_user">Poeng!$AI$169</definedName>
    <definedName name="LE02_07">Poeng!$AD$171</definedName>
    <definedName name="LE02_08">Poeng!$AE$171</definedName>
    <definedName name="LE02_credits">Poeng!$AB$171</definedName>
    <definedName name="LE02_minstd">Poeng!$BE$171</definedName>
    <definedName name="LE02_tot">Poeng!$BR$171</definedName>
    <definedName name="LE02_user">Poeng!$AI$171</definedName>
    <definedName name="LE03_07">Poeng!$AD$175</definedName>
    <definedName name="LE03_cont">Poeng!$AE$175</definedName>
    <definedName name="LE03_credits">Poeng!$AB$175</definedName>
    <definedName name="LE03_minstd">Poeng!$BE$175</definedName>
    <definedName name="LE03_user">Poeng!$AI$175</definedName>
    <definedName name="LE04_13">Poeng!$AD$179</definedName>
    <definedName name="LE04_14">Poeng!$AE$179</definedName>
    <definedName name="LE04_credits">Poeng!$AB$179</definedName>
    <definedName name="LE04_minstd">Poeng!$BE$179</definedName>
    <definedName name="LE04_tot">Poeng!$BR$179</definedName>
    <definedName name="LE04_user">Poeng!$AI$179</definedName>
    <definedName name="LE05_14">Poeng!$AD$183</definedName>
    <definedName name="LE05_15">Poeng!$AE$183</definedName>
    <definedName name="LE05_credits">Poeng!$AB$183</definedName>
    <definedName name="LE05_minstd">Poeng!$BE$183</definedName>
    <definedName name="LE05_minstdach">Poeng!$BE$183</definedName>
    <definedName name="LE05_tot">Poeng!$BR$183</definedName>
    <definedName name="LE05_user">Poeng!$AI$183</definedName>
    <definedName name="LE06_07">Poeng!$AD$187</definedName>
    <definedName name="LE06_contr">Poeng!$AE$187</definedName>
    <definedName name="LE06_credits">Poeng!$AB$187</definedName>
    <definedName name="LE06_minstd">Poeng!$BE$187</definedName>
    <definedName name="LE06_tot">Poeng!$BR$187</definedName>
    <definedName name="LE06_user">Poeng!$AI$187</definedName>
    <definedName name="LE07_07">Poeng!$AD$189</definedName>
    <definedName name="LE07_cont">Poeng!$AE$189</definedName>
    <definedName name="LE07_credits">Poeng!$AB$189</definedName>
    <definedName name="LE07_minstd">Poeng!$BE$189</definedName>
    <definedName name="LE07_user">Poeng!$AI$189</definedName>
    <definedName name="LE08_07">Poeng!$AD$192</definedName>
    <definedName name="LE08_cont">Poeng!$AE$192</definedName>
    <definedName name="LE08_credits">Poeng!$AB$192</definedName>
    <definedName name="LE08_minstd">Poeng!$BE$192</definedName>
    <definedName name="LE08_user">Poeng!$AI$192</definedName>
    <definedName name="Lue_c_user">Poeng!$AK$197</definedName>
    <definedName name="Lue_d_user">Poeng!$AJ$197</definedName>
    <definedName name="Lue_tot_user">Poeng!$AI$197</definedName>
    <definedName name="Man_01">Poeng!$E$10</definedName>
    <definedName name="Man_02">Poeng!$E$16</definedName>
    <definedName name="Man_03">Poeng!$E$19</definedName>
    <definedName name="Man_04">Poeng!$E$26</definedName>
    <definedName name="Man_05">Poeng!$E$30</definedName>
    <definedName name="Man_06">Poeng!$E$34</definedName>
    <definedName name="Man_07">Poeng!$E$35</definedName>
    <definedName name="Man_c_user">Poeng!$AK$36</definedName>
    <definedName name="Man_cont_tot">Poeng!$AE$36</definedName>
    <definedName name="Man_Credits">Poeng!$AB$36</definedName>
    <definedName name="Man_d_user">Poeng!$AJ$36</definedName>
    <definedName name="Man_tot_user">Poeng!$AI$36</definedName>
    <definedName name="Man_Weight">'Sammendrag av byggets ytelse'!$J$36</definedName>
    <definedName name="Man01_37">Poeng!$BE$10</definedName>
    <definedName name="Man01_38">Poeng!$AD$10</definedName>
    <definedName name="Man01_39">Poeng!$AE$10</definedName>
    <definedName name="Man01_credits">Poeng!$AB$10</definedName>
    <definedName name="Man01_Crit1">Poeng!$E$238</definedName>
    <definedName name="Man01_Crit1_cont">Poeng!$AE$238</definedName>
    <definedName name="Man01_Crit1_credits">Poeng!$AB$238</definedName>
    <definedName name="Man01_Exemp">Poeng!$BS$10</definedName>
    <definedName name="Man01_minstd">Poeng!$BE$238</definedName>
    <definedName name="Man01_Tot">Poeng!$BR$10</definedName>
    <definedName name="Man01_user">Poeng!$AI$10</definedName>
    <definedName name="Man02_11">Poeng!$AD$16</definedName>
    <definedName name="Man02_12">Poeng!$AE$16</definedName>
    <definedName name="Man02_credits">Poeng!$AB$16</definedName>
    <definedName name="Man02_Exempl">Poeng!$BS$16</definedName>
    <definedName name="Man02_minstd">Poeng!$BE$16</definedName>
    <definedName name="Man02_Tot">Poeng!$BR$16</definedName>
    <definedName name="Man02_user">Poeng!$AI$16</definedName>
    <definedName name="Man03_12">Poeng!$AD$19</definedName>
    <definedName name="Man03_18">Poeng!$AE$19</definedName>
    <definedName name="Man03_credits">Poeng!$AB$19</definedName>
    <definedName name="Man03_Crit1">Poeng!$E$240</definedName>
    <definedName name="Man03_Crit1_credits">Poeng!$AB$240</definedName>
    <definedName name="Man03_minstd">Poeng!$BE$19</definedName>
    <definedName name="Man03_minstd_cri">Poeng!$BE$240</definedName>
    <definedName name="Man03_Tot">Poeng!$BR$19</definedName>
    <definedName name="Man03_user">Poeng!$AI$19</definedName>
    <definedName name="Man04_17">Poeng!$AD$26</definedName>
    <definedName name="Man04_cont">Poeng!$AE$26</definedName>
    <definedName name="Man04_credits">Poeng!$AB$26</definedName>
    <definedName name="Man04_Crit1">Poeng!$E$241</definedName>
    <definedName name="Man04_Crit1_credits">Poeng!$AB$241</definedName>
    <definedName name="Man04_minstd">Poeng!$BE$26</definedName>
    <definedName name="Man04_minstd_cri">Poeng!$BE$241</definedName>
    <definedName name="Man04_tot">Poeng!$BR$26</definedName>
    <definedName name="Man04_user">Poeng!$AI$26</definedName>
    <definedName name="Man05_10">Poeng!$AD$30</definedName>
    <definedName name="Man05_cont">Poeng!$AE$30</definedName>
    <definedName name="Man05_credits">Poeng!$AB$30</definedName>
    <definedName name="Man05_Crit1">Poeng!$E$242</definedName>
    <definedName name="Man05_Crit1_credits">Poeng!$AB$242</definedName>
    <definedName name="Man05_minstd">Poeng!$BE$30</definedName>
    <definedName name="Man05_minstd_cri">Poeng!$BE$242</definedName>
    <definedName name="Man05_tot">Poeng!$BR$30</definedName>
    <definedName name="Man05_user">Poeng!$AI$30</definedName>
    <definedName name="Man06_cont">Poeng!$AE$34</definedName>
    <definedName name="Man06_credits">Poeng!$AB$34</definedName>
    <definedName name="Man06_minstd">Poeng!$BE$34</definedName>
    <definedName name="Man06_user">Poeng!$AI$34</definedName>
    <definedName name="Man07_cont">Poeng!$AE$35</definedName>
    <definedName name="Man07_credits">Poeng!$AB$35</definedName>
    <definedName name="Man07_minstd">Poeng!$BE$35</definedName>
    <definedName name="Man07_user">Poeng!$AI$35</definedName>
    <definedName name="Mat_01">Poeng!$E$126</definedName>
    <definedName name="Mat_02">Poeng!$E$130</definedName>
    <definedName name="Mat_03">Poeng!$E$134</definedName>
    <definedName name="Mat_05">Poeng!$E$138</definedName>
    <definedName name="Mat_06">Poeng!$E$144</definedName>
    <definedName name="Mat_07">Poeng!$E$148</definedName>
    <definedName name="Mat_c_user">Poeng!$AK$152</definedName>
    <definedName name="Mat_cont_tot">Poeng!$AE$152</definedName>
    <definedName name="Mat_Credits">Poeng!$AB$152</definedName>
    <definedName name="Mat_d_user">Poeng!$AJ$152</definedName>
    <definedName name="Mat_tot_user">Poeng!$AI$152</definedName>
    <definedName name="Mat_Weight">'Sammendrag av byggets ytelse'!$J$41</definedName>
    <definedName name="Mat01_08">Poeng!$BS$126</definedName>
    <definedName name="Mat01_27">Poeng!$AD$126</definedName>
    <definedName name="Mat01_28">Poeng!$AE$126</definedName>
    <definedName name="Mat01_credits">Poeng!$AB$126</definedName>
    <definedName name="Mat01_Crit1">Poeng!$E$244</definedName>
    <definedName name="Mat01_Crit1_credits">Poeng!$AB$244</definedName>
    <definedName name="Mat01_minstd">Poeng!$BE$244</definedName>
    <definedName name="Mat01_minstd2">Poeng!$BE$126</definedName>
    <definedName name="Mat01_tot">Poeng!$BR$126</definedName>
    <definedName name="Mat01_user">Poeng!$AI$126</definedName>
    <definedName name="Mat02_37">Poeng!$AD$130</definedName>
    <definedName name="Mat02_cont">Poeng!$AE$130</definedName>
    <definedName name="Mat02_credits">Poeng!$AB$130</definedName>
    <definedName name="Mat02_Crit1">Poeng!$E$237</definedName>
    <definedName name="Mat02_Crit1_cont">Poeng!$AE$237</definedName>
    <definedName name="Mat02_Crit1_credits">Poeng!$AB$237</definedName>
    <definedName name="Mat02_minstd">Poeng!$BE$237</definedName>
    <definedName name="Mat02_minstd2">Poeng!$BE$130</definedName>
    <definedName name="Mat02_user">Poeng!$AI$130</definedName>
    <definedName name="Mat03_35">Poeng!$BS$134</definedName>
    <definedName name="Mat03_36">Poeng!$BE$134</definedName>
    <definedName name="Mat03_37">Poeng!$AD$134</definedName>
    <definedName name="Mat03_38">Poeng!$AE$134</definedName>
    <definedName name="Mat03_credits">Poeng!$AB$134</definedName>
    <definedName name="Mat03_Crit1">Poeng!$E$252</definedName>
    <definedName name="Mat03_Crit1_cont">Poeng!$AE$252</definedName>
    <definedName name="Mat03_Crit1_credits">Poeng!$AB$252</definedName>
    <definedName name="Mat03_minstd">Poeng!$BE$252</definedName>
    <definedName name="Mat03_tot">Poeng!$BR$134</definedName>
    <definedName name="Mat03_user">Poeng!$AI$134</definedName>
    <definedName name="Mat05_05">Poeng!$AD$138</definedName>
    <definedName name="Mat05_06">Poeng!$AE$138</definedName>
    <definedName name="Mat05_credits">Poeng!$AB$138</definedName>
    <definedName name="Mat05_minstd">Poeng!$BE$138</definedName>
    <definedName name="Mat05_tot">Poeng!$BR$138</definedName>
    <definedName name="Mat05_user">Poeng!$AI$138</definedName>
    <definedName name="Mat06_05">Poeng!$AD$144</definedName>
    <definedName name="Mat06_cont">Poeng!$AE$144</definedName>
    <definedName name="Mat06_credits">Poeng!$AB$144</definedName>
    <definedName name="Mat06_Crit1">Poeng!$E$245</definedName>
    <definedName name="Mat06_Crit1_credits">Poeng!$AB$245</definedName>
    <definedName name="Mat06_minstd">Poeng!$BE$144</definedName>
    <definedName name="Mat06_minstd_cred">Poeng!$BE$245</definedName>
    <definedName name="Mat06_user">Poeng!$AI$144</definedName>
    <definedName name="Mat07_05">Poeng!$AD$148</definedName>
    <definedName name="Mat07_cont">Poeng!$AE$148</definedName>
    <definedName name="Mat07_credits">Poeng!$AB$148</definedName>
    <definedName name="Mat07_Crit1">Poeng!$E$247</definedName>
    <definedName name="Mat07_Crit1_credits">Poeng!$AB$247</definedName>
    <definedName name="Mat07_minstd">Poeng!$BE$148</definedName>
    <definedName name="Mat07_minstd_cred">Poeng!$BE$247</definedName>
    <definedName name="Mat07_user">Poeng!$AI$148</definedName>
    <definedName name="Note_minstand">Poeng!$BE$267</definedName>
    <definedName name="Note_minstand_const">Poeng!$BK$267</definedName>
    <definedName name="Note_minstand_design">Poeng!$BH$267</definedName>
    <definedName name="Poeng_bort">Poeng!$AA$258</definedName>
    <definedName name="Poeng_tilgj">Poeng!$AB$258</definedName>
    <definedName name="Poeng_tot">Poeng!$T$258</definedName>
    <definedName name="Pol_01">Poeng!$E$200</definedName>
    <definedName name="Pol_02">Poeng!$E$204</definedName>
    <definedName name="Pol_03">Poeng!$E$207</definedName>
    <definedName name="Pol_04">Poeng!$E$208</definedName>
    <definedName name="Pol_05">Poeng!$E$211</definedName>
    <definedName name="Pol_c_user">Poeng!$AK$214</definedName>
    <definedName name="Pol_cont_tot">Poeng!$AE$214</definedName>
    <definedName name="Pol_Credits">Poeng!$AB$214</definedName>
    <definedName name="Pol_d_user">Poeng!$AJ$214</definedName>
    <definedName name="Pol_tot_user">Poeng!$AI$214</definedName>
    <definedName name="Pol_Weight">'Sammendrag av byggets ytelse'!$J$44</definedName>
    <definedName name="Pol01_19">Poeng!$AD$200</definedName>
    <definedName name="Pol01_20">Poeng!$AE$200</definedName>
    <definedName name="Pol01_credits">Poeng!$AB$200</definedName>
    <definedName name="Pol01_minstd">Poeng!$BE$200</definedName>
    <definedName name="Pol01_tot">Poeng!$BR$200</definedName>
    <definedName name="Pol01_user">Poeng!$AI$200</definedName>
    <definedName name="Pol02_26">Poeng!$AD$204</definedName>
    <definedName name="Pol02_27">Poeng!$AE$204</definedName>
    <definedName name="Pol02_credits">Poeng!$AB$204</definedName>
    <definedName name="Pol02_minstd">Poeng!$BE$204</definedName>
    <definedName name="Pol02_tot">Poeng!$BR$204</definedName>
    <definedName name="Pol02_user">Poeng!$AI$204</definedName>
    <definedName name="Pol03_14">Poeng!$AD$207</definedName>
    <definedName name="Pol03_15">Poeng!$AE$207</definedName>
    <definedName name="Pol03_credits">Poeng!$AB$207</definedName>
    <definedName name="Pol03_minstd">Poeng!$BE$207</definedName>
    <definedName name="Pol03_tot">Poeng!$BR$207</definedName>
    <definedName name="Pol03_user">Poeng!$AI$207</definedName>
    <definedName name="Pol04_05">Poeng!$AD$208</definedName>
    <definedName name="Pol04_06">Poeng!$AE$208</definedName>
    <definedName name="Pol04_credits">Poeng!$AB$208</definedName>
    <definedName name="Pol04_minstd">Poeng!$BE$208</definedName>
    <definedName name="Pol04_tot">Poeng!$BR$208</definedName>
    <definedName name="Pol04_user">Poeng!$AI$208</definedName>
    <definedName name="Pol05_10">Poeng!$AD$211</definedName>
    <definedName name="Pol05_11">Poeng!$AE$211</definedName>
    <definedName name="Pol05_credits">Poeng!$AB$211</definedName>
    <definedName name="Pol05_minstd">Poeng!$BE$211</definedName>
    <definedName name="Pol05_tot">Poeng!$BR$211</definedName>
    <definedName name="Pol05_user">Poeng!$AI$211</definedName>
    <definedName name="projecttype">Prosjektdetaljer!$P$98</definedName>
    <definedName name="Score_const">'Sammendrag av byggets ytelse'!$M$46</definedName>
    <definedName name="Score_design">'Sammendrag av byggets ytelse'!$L$46</definedName>
    <definedName name="Score_Initial">'Sammendrag av byggets ytelse'!$K$46</definedName>
    <definedName name="status">Prosjektdetaljer!$O$45:$O$48</definedName>
    <definedName name="Tra_01">Poeng!$E$100</definedName>
    <definedName name="Tra_02">Poeng!$E$103</definedName>
    <definedName name="Tra_03">Poeng!$E$106</definedName>
    <definedName name="Tra_04">Poeng!$E$107</definedName>
    <definedName name="Tra_05">Poeng!$E$108</definedName>
    <definedName name="Tra_06">Poeng!$E$109</definedName>
    <definedName name="Tra_c_user">Poeng!$AK$110</definedName>
    <definedName name="Tra_cont_tot">Poeng!$AE$110</definedName>
    <definedName name="Tra_Credits">Poeng!$AB$110</definedName>
    <definedName name="Tra_d_user">Poeng!$AJ$110</definedName>
    <definedName name="Tra_tot_user">Poeng!$AI$110</definedName>
    <definedName name="Tra_Weight">'Sammendrag av byggets ytelse'!$J$39</definedName>
    <definedName name="Tra01_07">Poeng!$AD$100</definedName>
    <definedName name="TRa01_08">Poeng!$AE$100</definedName>
    <definedName name="TRA01_BuildType">Prosjektdetaljer!$O$24:$O$30</definedName>
    <definedName name="Tra01_credits">Poeng!$AB$100</definedName>
    <definedName name="Tra01_Crit1">Poeng!$E$243</definedName>
    <definedName name="Tra01_Crit1_credits">Poeng!$AB$243</definedName>
    <definedName name="Tra01_minstd">Poeng!$BE$243</definedName>
    <definedName name="Tra01_tot">Poeng!$BR$100</definedName>
    <definedName name="Tra01_type7">Prosjektdetaljer!$O$30</definedName>
    <definedName name="Tra01_user">Poeng!$AI$100</definedName>
    <definedName name="Tra02_06">Poeng!$AD$103</definedName>
    <definedName name="Tra02_07">Poeng!$AE$103</definedName>
    <definedName name="Tra02_credits">Poeng!$AB$103</definedName>
    <definedName name="Tra02_minstd">Poeng!$BE$103</definedName>
    <definedName name="Tra02_tot">Poeng!$BR$103</definedName>
    <definedName name="Tra02_user">Poeng!$AI$103</definedName>
    <definedName name="Tra03_02">Prosjektdetaljer!$P$64:$P$64</definedName>
    <definedName name="Tra03_13">Poeng!$AD$106</definedName>
    <definedName name="Tra03_14">Poeng!$AE$106</definedName>
    <definedName name="Tra03_credits">Poeng!$AB$106</definedName>
    <definedName name="Tra03_minstd">Poeng!$BE$106</definedName>
    <definedName name="Tra03_tot">Poeng!$BR$106</definedName>
    <definedName name="Tra03_user">Poeng!$AI$106</definedName>
    <definedName name="Tra04_09">Poeng!$AD$107</definedName>
    <definedName name="Tra04_10">Poeng!$AE$107</definedName>
    <definedName name="Tra04_credits">Poeng!$AB$107</definedName>
    <definedName name="Tra04_minstd">Poeng!$BE$107</definedName>
    <definedName name="Tra04_tot">Poeng!$BR$107</definedName>
    <definedName name="Tra04_user">Poeng!$AI$107</definedName>
    <definedName name="Tra05_04">Poeng!$AD$108</definedName>
    <definedName name="Tra05_05">Poeng!$AE$108</definedName>
    <definedName name="Tra05_credits">Poeng!$AB$108</definedName>
    <definedName name="Tra05_minstd">Poeng!$BE$108</definedName>
    <definedName name="Tra05_tot">Poeng!$BR$108</definedName>
    <definedName name="Tra05_user">Poeng!$AI$108</definedName>
    <definedName name="Tra06_04">Poeng!$AD$109</definedName>
    <definedName name="Tra06_05">Poeng!$AE$109</definedName>
    <definedName name="Tra06_credits">Poeng!$AB$109</definedName>
    <definedName name="Tra06_minstd">Poeng!$BE$109</definedName>
    <definedName name="Tra06_user">Poeng!$AI$109</definedName>
    <definedName name="TVC_current_date">Versjonskontroll!$C$5</definedName>
    <definedName name="TVC_current_version">Versjonskontroll!$B$5</definedName>
    <definedName name="_xlnm.Print_Area" localSheetId="0">Instruksjoner!$B$2:$P$19</definedName>
    <definedName name="_xlnm.Print_Area" localSheetId="7">'PAE available for copy'!$D$1:$AA$226</definedName>
    <definedName name="_xlnm.Print_Area" localSheetId="2">'Pre-analyseverktøy'!$F$1:$AC$226</definedName>
    <definedName name="_xlnm.Print_Area" localSheetId="1">Prosjektdetaljer!$B$2:$F$54</definedName>
    <definedName name="_xlnm.Print_Area" localSheetId="6">'Sammendrag av byggets ytelse'!$B$2:$P$111</definedName>
    <definedName name="_xlnm.Print_Area" localSheetId="8">Versjonskontroll!$B$2:$P$27</definedName>
    <definedName name="_xlnm.Print_Titles" localSheetId="7">'PAE available for copy'!$9:$9</definedName>
    <definedName name="_xlnm.Print_Titles" localSheetId="2">'Pre-analyseverktøy'!$9:$9</definedName>
    <definedName name="Wat__Credits">Poeng!$AB$123</definedName>
    <definedName name="Wat_01">Poeng!$E$113</definedName>
    <definedName name="Wat_02">Poeng!$E$115</definedName>
    <definedName name="Wat_03">Poeng!$E$117</definedName>
    <definedName name="Wat_04">Poeng!$E$121</definedName>
    <definedName name="Wat_c_user">Poeng!$AK$123</definedName>
    <definedName name="Wat_cont_tot">Poeng!$AE$123</definedName>
    <definedName name="Wat_Credits">Poeng!$AB$123</definedName>
    <definedName name="Wat_d_user">Poeng!$AJ$123</definedName>
    <definedName name="Wat_tot_user">Poeng!$AI$123</definedName>
    <definedName name="Wat_Weight">'Sammendrag av byggets ytelse'!$J$40</definedName>
    <definedName name="Wat01_08">Poeng!$BS$113</definedName>
    <definedName name="Wat01_09">Poeng!$BE$113</definedName>
    <definedName name="Wat01_14">Poeng!$AD$113</definedName>
    <definedName name="Wat01_15">Poeng!$AE$113</definedName>
    <definedName name="Wat01_credits">Poeng!$AB$113</definedName>
    <definedName name="Wat01_minstd">Poeng!$BE$113</definedName>
    <definedName name="Wat01_tot">Poeng!$BR$113</definedName>
    <definedName name="Wat01_user">Poeng!$AI$113</definedName>
    <definedName name="Wat02_10">Poeng!$BS$115</definedName>
    <definedName name="Wat02_11">Poeng!$BE$115</definedName>
    <definedName name="Wat02_12">Poeng!$AD$115</definedName>
    <definedName name="Wat02_13">Poeng!$AE$115</definedName>
    <definedName name="Wat02_credits">Poeng!$AB$115</definedName>
    <definedName name="Wat02_tot">Poeng!$BR$115</definedName>
    <definedName name="Wat02_user">Poeng!$AI$115</definedName>
    <definedName name="Wat03_09">Poeng!$AD$117</definedName>
    <definedName name="Wat03_10">Poeng!$AE$117</definedName>
    <definedName name="Wat03_credits">Poeng!$AB$117</definedName>
    <definedName name="Wat03_minstd">Poeng!$BE$117</definedName>
    <definedName name="Wat03_tot">Poeng!$BR$117</definedName>
    <definedName name="Wat03_user">Poeng!$AI$117</definedName>
    <definedName name="Wat04_05">Poeng!$AD$121</definedName>
    <definedName name="Wat04_06">Poeng!$AE$121</definedName>
    <definedName name="Wat04_credits">Poeng!$AB$121</definedName>
    <definedName name="Wat04_minstd">Poeng!$BE$121</definedName>
    <definedName name="Wat04_tot">Poeng!$BR$121</definedName>
    <definedName name="Wat04_user">Poeng!$AI$121</definedName>
    <definedName name="Wst_01">Poeng!$E$155</definedName>
    <definedName name="Wst_02">Poeng!$E$159</definedName>
    <definedName name="Wst_03">Poeng!$E$160</definedName>
    <definedName name="Wst_04">Poeng!$E$164</definedName>
    <definedName name="Wst_c_user">Poeng!$AK$166</definedName>
    <definedName name="Wst_cont_tot">Poeng!$AE$166</definedName>
    <definedName name="Wst_Credits">Poeng!$AB$166</definedName>
    <definedName name="Wst_d_user">Poeng!$AJ$166</definedName>
    <definedName name="Wst_tot_user">Poeng!$AI$166</definedName>
    <definedName name="Wst_Weight">'Sammendrag av byggets ytelse'!$J$42</definedName>
    <definedName name="Wst01_17">Poeng!$BS$155</definedName>
    <definedName name="Wst01_18">Poeng!$BE$155</definedName>
    <definedName name="Wst01_27">Poeng!$AD$155</definedName>
    <definedName name="Wst01_28">Poeng!$AE$155</definedName>
    <definedName name="Wst01_credits">Poeng!$AB$155</definedName>
    <definedName name="Wst01_Crit1">Poeng!$E$248</definedName>
    <definedName name="Wst01_Crit1_credits">Poeng!$AB$248</definedName>
    <definedName name="Wst01_minstd">Poeng!$BE$248</definedName>
    <definedName name="Wst01_tot">Poeng!$BR$155</definedName>
    <definedName name="Wst01_user">Poeng!$AI$155</definedName>
    <definedName name="Wst02_11">Poeng!$BS$159</definedName>
    <definedName name="Wst02_14">Poeng!$AD$159</definedName>
    <definedName name="Wst02_15">Poeng!$AE$159</definedName>
    <definedName name="Wst02_credits">Poeng!$AB$159</definedName>
    <definedName name="Wst02_minstd">Poeng!$BE$159</definedName>
    <definedName name="Wst02_tot">Poeng!$BR$159</definedName>
    <definedName name="Wst02_user">Poeng!$AI$159</definedName>
    <definedName name="Wst03_09">Poeng!$BS$160</definedName>
    <definedName name="Wst03_10">Poeng!$BE$160</definedName>
    <definedName name="Wst03_12">Poeng!$AD$160</definedName>
    <definedName name="Wst03_13">Poeng!$AE$160</definedName>
    <definedName name="Wst03_credits">Poeng!$AB$160</definedName>
    <definedName name="Wst03_tot">Poeng!$BR$160</definedName>
    <definedName name="Wst03_user">Poeng!$AI$160</definedName>
    <definedName name="Wst04_08">Poeng!$AD$164</definedName>
    <definedName name="Wst04_09">Poeng!$AE$164</definedName>
    <definedName name="Wst04_credits">Poeng!$AB$164</definedName>
    <definedName name="Wst04_minstd">Poeng!$BE$164</definedName>
    <definedName name="Wst04_tot">Poeng!$BR$164</definedName>
    <definedName name="Wst04_user">Poeng!$AI$164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226" i="5" l="1"/>
  <c r="BM209" i="5"/>
  <c r="BM197" i="5"/>
  <c r="Q197" i="5" s="1"/>
  <c r="Q197" i="24" s="1"/>
  <c r="BM192" i="5"/>
  <c r="BM188" i="5"/>
  <c r="BM185" i="5"/>
  <c r="Q185" i="5" s="1"/>
  <c r="Q185" i="24" s="1"/>
  <c r="BM179" i="5"/>
  <c r="Q179" i="5" s="1"/>
  <c r="Q179" i="24" s="1"/>
  <c r="BM171" i="5"/>
  <c r="Q171" i="5" s="1"/>
  <c r="Q171" i="24" s="1"/>
  <c r="BM167" i="5"/>
  <c r="Q167" i="5" s="1"/>
  <c r="Q167" i="24" s="1"/>
  <c r="BM160" i="5"/>
  <c r="BM150" i="5"/>
  <c r="Q150" i="5" s="1"/>
  <c r="Q150" i="24" s="1"/>
  <c r="BM145" i="5"/>
  <c r="BM131" i="5"/>
  <c r="BM115" i="5"/>
  <c r="BM106" i="5"/>
  <c r="Q106" i="5" s="1"/>
  <c r="Q106" i="24" s="1"/>
  <c r="BM101" i="5"/>
  <c r="BM99" i="5"/>
  <c r="Q99" i="5" s="1"/>
  <c r="Q99" i="24" s="1"/>
  <c r="BM92" i="5"/>
  <c r="BM70" i="5"/>
  <c r="Q70" i="5" s="1"/>
  <c r="Q70" i="24" s="1"/>
  <c r="BM63" i="5"/>
  <c r="BM56" i="5"/>
  <c r="Q56" i="5" s="1"/>
  <c r="Q56" i="24" s="1"/>
  <c r="BM35" i="5"/>
  <c r="AA1" i="24"/>
  <c r="BI209" i="5"/>
  <c r="F206" i="5"/>
  <c r="F203" i="5"/>
  <c r="BI197" i="5"/>
  <c r="F195" i="5"/>
  <c r="BI192" i="5"/>
  <c r="F189" i="5"/>
  <c r="Q188" i="5"/>
  <c r="Q188" i="24" s="1"/>
  <c r="BI188" i="5"/>
  <c r="F186" i="5"/>
  <c r="BI185" i="5"/>
  <c r="J185" i="5" s="1"/>
  <c r="J185" i="24" s="1"/>
  <c r="F184" i="5"/>
  <c r="BI179" i="5"/>
  <c r="BI171" i="5"/>
  <c r="BI167" i="5"/>
  <c r="F167" i="5"/>
  <c r="F165" i="5"/>
  <c r="BI160" i="5"/>
  <c r="F157" i="5"/>
  <c r="F153" i="5"/>
  <c r="BI150" i="5"/>
  <c r="J150" i="5" s="1"/>
  <c r="J150" i="24" s="1"/>
  <c r="BI145" i="5"/>
  <c r="F144" i="5"/>
  <c r="BI131" i="5"/>
  <c r="F121" i="5"/>
  <c r="BI115" i="5"/>
  <c r="F108" i="5"/>
  <c r="F107" i="5"/>
  <c r="BI106" i="5"/>
  <c r="J106" i="5" s="1"/>
  <c r="J106" i="24" s="1"/>
  <c r="BI101" i="5"/>
  <c r="BI99" i="5"/>
  <c r="J99" i="5" s="1"/>
  <c r="J99" i="24" s="1"/>
  <c r="F99" i="5"/>
  <c r="BI92" i="5"/>
  <c r="BI70" i="5"/>
  <c r="J70" i="5" s="1"/>
  <c r="J70" i="24" s="1"/>
  <c r="F69" i="5"/>
  <c r="BI63" i="5"/>
  <c r="F59" i="5"/>
  <c r="BI56" i="5"/>
  <c r="J56" i="5" s="1"/>
  <c r="J56" i="24" s="1"/>
  <c r="F56" i="5"/>
  <c r="F53" i="5"/>
  <c r="F49" i="5"/>
  <c r="F46" i="5"/>
  <c r="F45" i="5"/>
  <c r="F21" i="5"/>
  <c r="F16" i="5"/>
  <c r="F12" i="5"/>
  <c r="F11" i="5"/>
  <c r="AA1" i="5"/>
  <c r="F2" i="3"/>
  <c r="P2" i="12"/>
  <c r="BI35" i="5"/>
  <c r="F34" i="5"/>
  <c r="BI226" i="5"/>
  <c r="O2" i="11"/>
  <c r="N2" i="11"/>
  <c r="P2" i="8"/>
  <c r="M17" i="3"/>
  <c r="M16" i="3"/>
  <c r="L9" i="3" s="1"/>
  <c r="M15" i="3"/>
  <c r="M14" i="3"/>
  <c r="M13" i="3"/>
  <c r="M12" i="3"/>
  <c r="M11" i="3"/>
  <c r="M10" i="3"/>
  <c r="M9" i="3"/>
  <c r="M8" i="3"/>
  <c r="M7" i="3"/>
  <c r="L7" i="3" s="1"/>
  <c r="G9" i="13" s="1"/>
  <c r="G233" i="13" s="1"/>
  <c r="M6" i="3"/>
  <c r="L5" i="3" s="1"/>
  <c r="M5" i="3"/>
  <c r="O5" i="3"/>
  <c r="T63" i="11"/>
  <c r="T69" i="11"/>
  <c r="T70" i="11"/>
  <c r="T76" i="11"/>
  <c r="T79" i="11"/>
  <c r="AO81" i="11"/>
  <c r="T81" i="11" s="1"/>
  <c r="AO80" i="11"/>
  <c r="T80" i="11" s="1"/>
  <c r="AO79" i="11"/>
  <c r="AO76" i="11"/>
  <c r="AO75" i="11"/>
  <c r="T75" i="11" s="1"/>
  <c r="AO72" i="11"/>
  <c r="T72" i="11" s="1"/>
  <c r="AO71" i="11"/>
  <c r="T71" i="11" s="1"/>
  <c r="AO70" i="11"/>
  <c r="AO69" i="11"/>
  <c r="AO66" i="11"/>
  <c r="T66" i="11" s="1"/>
  <c r="AO63" i="11"/>
  <c r="AO62" i="11"/>
  <c r="T62" i="11" s="1"/>
  <c r="AO59" i="11"/>
  <c r="T59" i="11" s="1"/>
  <c r="AO56" i="11"/>
  <c r="T56" i="11" s="1"/>
  <c r="AO55" i="11"/>
  <c r="T55" i="11" s="1"/>
  <c r="AO54" i="11"/>
  <c r="T54" i="11" s="1"/>
  <c r="J75" i="11"/>
  <c r="J72" i="11"/>
  <c r="J70" i="11"/>
  <c r="J69" i="11"/>
  <c r="J66" i="11"/>
  <c r="J63" i="11"/>
  <c r="AQ237" i="11"/>
  <c r="AR237" i="11"/>
  <c r="AQ238" i="11"/>
  <c r="AR238" i="11"/>
  <c r="AQ239" i="11"/>
  <c r="AR239" i="11"/>
  <c r="AQ240" i="11"/>
  <c r="AR240" i="11"/>
  <c r="AQ241" i="11"/>
  <c r="AR241" i="11"/>
  <c r="AQ242" i="11"/>
  <c r="AR242" i="11"/>
  <c r="AS242" i="11"/>
  <c r="AT242" i="11"/>
  <c r="AU242" i="11"/>
  <c r="AQ243" i="11"/>
  <c r="AR243" i="11"/>
  <c r="AS243" i="11"/>
  <c r="AT243" i="11"/>
  <c r="AU243" i="11"/>
  <c r="AQ244" i="11"/>
  <c r="AR244" i="11"/>
  <c r="AQ245" i="11"/>
  <c r="AR245" i="11"/>
  <c r="AQ246" i="11"/>
  <c r="AR246" i="11"/>
  <c r="AQ247" i="11"/>
  <c r="AR247" i="11"/>
  <c r="AQ248" i="11"/>
  <c r="AR248" i="11"/>
  <c r="AQ69" i="11"/>
  <c r="AP69" i="11" s="1"/>
  <c r="AR69" i="11"/>
  <c r="AQ250" i="11"/>
  <c r="AR250" i="11"/>
  <c r="AQ251" i="11"/>
  <c r="AR251" i="11"/>
  <c r="AQ252" i="11"/>
  <c r="AR252" i="11"/>
  <c r="AQ253" i="11"/>
  <c r="AR253" i="11"/>
  <c r="AQ254" i="11"/>
  <c r="AR254" i="11"/>
  <c r="AQ255" i="11"/>
  <c r="AR255" i="11"/>
  <c r="AQ256" i="11"/>
  <c r="AR256" i="11"/>
  <c r="AQ257" i="11"/>
  <c r="AR257" i="11"/>
  <c r="AQ258" i="11"/>
  <c r="AR258" i="11"/>
  <c r="AQ259" i="11"/>
  <c r="AR259" i="11"/>
  <c r="AQ70" i="11"/>
  <c r="AP70" i="11" s="1"/>
  <c r="AR70" i="11"/>
  <c r="AQ76" i="11"/>
  <c r="AP76" i="11" s="1"/>
  <c r="AR76" i="11"/>
  <c r="J76" i="11" s="1"/>
  <c r="AQ79" i="11"/>
  <c r="AP79" i="11" s="1"/>
  <c r="AR79" i="11"/>
  <c r="J79" i="11" s="1"/>
  <c r="AQ62" i="11"/>
  <c r="AP62" i="11" s="1"/>
  <c r="AR62" i="11"/>
  <c r="J62" i="11" s="1"/>
  <c r="AQ66" i="11"/>
  <c r="AP66" i="11" s="1"/>
  <c r="AR66" i="11"/>
  <c r="AQ75" i="11"/>
  <c r="AP75" i="11" s="1"/>
  <c r="AR75" i="11"/>
  <c r="AQ166" i="11"/>
  <c r="AR166" i="11"/>
  <c r="AQ167" i="11"/>
  <c r="AR167" i="11"/>
  <c r="AQ168" i="11"/>
  <c r="AR168" i="11"/>
  <c r="AQ169" i="11"/>
  <c r="AR169" i="11"/>
  <c r="AS169" i="11"/>
  <c r="AT169" i="11"/>
  <c r="AU169" i="11"/>
  <c r="AQ170" i="11"/>
  <c r="AR170" i="11"/>
  <c r="AQ171" i="11"/>
  <c r="AR171" i="11"/>
  <c r="AQ172" i="11"/>
  <c r="AR172" i="11"/>
  <c r="AQ173" i="11"/>
  <c r="AR173" i="11"/>
  <c r="AQ174" i="11"/>
  <c r="AR174" i="11"/>
  <c r="AQ175" i="11"/>
  <c r="AR175" i="11"/>
  <c r="AQ176" i="11"/>
  <c r="AR176" i="11"/>
  <c r="AQ177" i="11"/>
  <c r="AR177" i="11"/>
  <c r="AS177" i="11"/>
  <c r="AT177" i="11"/>
  <c r="AU177" i="11"/>
  <c r="AQ178" i="11"/>
  <c r="AR178" i="11"/>
  <c r="AS178" i="11"/>
  <c r="AT178" i="11"/>
  <c r="AU178" i="11"/>
  <c r="AQ179" i="11"/>
  <c r="AR179" i="11"/>
  <c r="AQ180" i="11"/>
  <c r="AR180" i="11"/>
  <c r="AQ181" i="11"/>
  <c r="AR181" i="11"/>
  <c r="AQ182" i="11"/>
  <c r="AR182" i="11"/>
  <c r="AQ80" i="11"/>
  <c r="AP80" i="11" s="1"/>
  <c r="AR80" i="11"/>
  <c r="J80" i="11" s="1"/>
  <c r="AQ184" i="11"/>
  <c r="AR184" i="11"/>
  <c r="AQ185" i="11"/>
  <c r="AR185" i="11"/>
  <c r="AQ186" i="11"/>
  <c r="AR186" i="11"/>
  <c r="AS186" i="11"/>
  <c r="AT186" i="11"/>
  <c r="AU186" i="11"/>
  <c r="AQ187" i="11"/>
  <c r="AR187" i="11"/>
  <c r="AQ188" i="11"/>
  <c r="AR188" i="11"/>
  <c r="AQ189" i="11"/>
  <c r="AR189" i="11"/>
  <c r="AQ190" i="11"/>
  <c r="AR190" i="11"/>
  <c r="AQ191" i="11"/>
  <c r="AR191" i="11"/>
  <c r="AQ192" i="11"/>
  <c r="AR192" i="11"/>
  <c r="AQ193" i="11"/>
  <c r="AR193" i="11"/>
  <c r="AQ194" i="11"/>
  <c r="AR194" i="11"/>
  <c r="AQ195" i="11"/>
  <c r="AR195" i="11"/>
  <c r="AQ196" i="11"/>
  <c r="AR196" i="11"/>
  <c r="AQ197" i="11"/>
  <c r="AR197" i="11"/>
  <c r="AQ81" i="11"/>
  <c r="AP81" i="11" s="1"/>
  <c r="AR81" i="11"/>
  <c r="J81" i="11" s="1"/>
  <c r="AQ199" i="11"/>
  <c r="AR199" i="11"/>
  <c r="AQ200" i="11"/>
  <c r="AR200" i="11"/>
  <c r="AQ201" i="11"/>
  <c r="AR201" i="11"/>
  <c r="AQ202" i="11"/>
  <c r="AR202" i="11"/>
  <c r="AQ203" i="11"/>
  <c r="AR203" i="11"/>
  <c r="AQ204" i="11"/>
  <c r="AR204" i="11"/>
  <c r="AQ205" i="11"/>
  <c r="AR205" i="11"/>
  <c r="AQ206" i="11"/>
  <c r="AR206" i="11"/>
  <c r="AQ207" i="11"/>
  <c r="AR207" i="11"/>
  <c r="AQ208" i="11"/>
  <c r="AR208" i="11"/>
  <c r="AS208" i="11"/>
  <c r="AT208" i="11"/>
  <c r="AU208" i="11"/>
  <c r="AQ209" i="11"/>
  <c r="AR209" i="11"/>
  <c r="AS209" i="11"/>
  <c r="AT209" i="11"/>
  <c r="AU209" i="11"/>
  <c r="AQ210" i="11"/>
  <c r="AR210" i="11"/>
  <c r="AQ211" i="11"/>
  <c r="AR211" i="11"/>
  <c r="AQ212" i="11"/>
  <c r="AR212" i="11"/>
  <c r="AQ213" i="11"/>
  <c r="AR213" i="11"/>
  <c r="AQ214" i="11"/>
  <c r="AR214" i="11"/>
  <c r="AQ215" i="11"/>
  <c r="AR215" i="11"/>
  <c r="AQ216" i="11"/>
  <c r="AR216" i="11"/>
  <c r="AQ217" i="11"/>
  <c r="AR217" i="11"/>
  <c r="AS217" i="11"/>
  <c r="AT217" i="11"/>
  <c r="AU217" i="11"/>
  <c r="AQ218" i="11"/>
  <c r="AR218" i="11"/>
  <c r="AQ219" i="11"/>
  <c r="AR219" i="11"/>
  <c r="AQ220" i="11"/>
  <c r="AR220" i="11"/>
  <c r="AQ221" i="11"/>
  <c r="AR221" i="11"/>
  <c r="AQ222" i="11"/>
  <c r="AR222" i="11"/>
  <c r="AQ223" i="11"/>
  <c r="AR223" i="11"/>
  <c r="AQ224" i="11"/>
  <c r="AR224" i="11"/>
  <c r="AQ225" i="11"/>
  <c r="AR225" i="11"/>
  <c r="AS225" i="11"/>
  <c r="AT225" i="11"/>
  <c r="AU225" i="11"/>
  <c r="AQ226" i="11"/>
  <c r="AR226" i="11"/>
  <c r="AS226" i="11"/>
  <c r="AT226" i="11"/>
  <c r="AU226" i="11"/>
  <c r="AQ227" i="11"/>
  <c r="AR227" i="11"/>
  <c r="AQ228" i="11"/>
  <c r="AR228" i="11"/>
  <c r="AQ229" i="11"/>
  <c r="AR229" i="11"/>
  <c r="AQ230" i="11"/>
  <c r="AR230" i="11"/>
  <c r="AQ231" i="11"/>
  <c r="AR231" i="11"/>
  <c r="AQ232" i="11"/>
  <c r="AR232" i="11"/>
  <c r="AQ233" i="11"/>
  <c r="AR233" i="11"/>
  <c r="AQ234" i="11"/>
  <c r="AR234" i="11"/>
  <c r="AQ235" i="11"/>
  <c r="AR235" i="11"/>
  <c r="AQ236" i="11"/>
  <c r="AR236" i="11"/>
  <c r="AQ63" i="11"/>
  <c r="AP63" i="11" s="1"/>
  <c r="AR63" i="11"/>
  <c r="AQ71" i="11"/>
  <c r="AP71" i="11" s="1"/>
  <c r="AR71" i="11"/>
  <c r="J71" i="11" s="1"/>
  <c r="AQ72" i="11"/>
  <c r="AP72" i="11" s="1"/>
  <c r="AR72" i="11"/>
  <c r="AQ162" i="11"/>
  <c r="AR162" i="11"/>
  <c r="AQ163" i="11"/>
  <c r="AR163" i="11"/>
  <c r="AS163" i="11"/>
  <c r="AT163" i="11"/>
  <c r="AU163" i="11"/>
  <c r="AQ164" i="11"/>
  <c r="AR164" i="11"/>
  <c r="AS164" i="11"/>
  <c r="AT164" i="11"/>
  <c r="AU164" i="11"/>
  <c r="AQ165" i="11"/>
  <c r="AR165" i="11"/>
  <c r="AQ59" i="11"/>
  <c r="AP59" i="11" s="1"/>
  <c r="AR59" i="11"/>
  <c r="J59" i="11" s="1"/>
  <c r="AP56" i="11"/>
  <c r="AQ55" i="11"/>
  <c r="AP55" i="11" s="1"/>
  <c r="AR55" i="11"/>
  <c r="J55" i="11" s="1"/>
  <c r="AQ56" i="11"/>
  <c r="AR56" i="11"/>
  <c r="J56" i="11" s="1"/>
  <c r="AV55" i="11"/>
  <c r="AV56" i="11"/>
  <c r="AV59" i="11"/>
  <c r="AV62" i="11"/>
  <c r="AV63" i="11"/>
  <c r="AV66" i="11"/>
  <c r="AV69" i="11"/>
  <c r="AV70" i="11"/>
  <c r="AV71" i="11"/>
  <c r="AV72" i="11"/>
  <c r="AV75" i="11"/>
  <c r="AV76" i="11"/>
  <c r="AV79" i="11"/>
  <c r="AV80" i="11"/>
  <c r="AV81" i="11"/>
  <c r="AV54" i="11"/>
  <c r="AR54" i="11"/>
  <c r="J54" i="11" s="1"/>
  <c r="AQ54" i="11"/>
  <c r="AP54" i="11" s="1"/>
  <c r="CQ11" i="13"/>
  <c r="CO11" i="13"/>
  <c r="CQ255" i="13"/>
  <c r="CQ254" i="13"/>
  <c r="CQ253" i="13"/>
  <c r="CQ252" i="13"/>
  <c r="CQ251" i="13"/>
  <c r="CQ250" i="13"/>
  <c r="CQ249" i="13"/>
  <c r="CQ248" i="13"/>
  <c r="CQ247" i="13"/>
  <c r="CQ246" i="13"/>
  <c r="CQ245" i="13"/>
  <c r="CQ244" i="13"/>
  <c r="CQ243" i="13"/>
  <c r="CQ242" i="13"/>
  <c r="CQ241" i="13"/>
  <c r="CQ240" i="13"/>
  <c r="CQ239" i="13"/>
  <c r="CQ238" i="13"/>
  <c r="CQ237" i="13"/>
  <c r="CQ236" i="13"/>
  <c r="CQ235" i="13"/>
  <c r="CQ234" i="13"/>
  <c r="CP255" i="13"/>
  <c r="CP254" i="13"/>
  <c r="CP253" i="13"/>
  <c r="CP252" i="13"/>
  <c r="CP251" i="13"/>
  <c r="CP250" i="13"/>
  <c r="CP249" i="13"/>
  <c r="CP248" i="13"/>
  <c r="CP247" i="13"/>
  <c r="CP246" i="13"/>
  <c r="CP245" i="13"/>
  <c r="CP244" i="13"/>
  <c r="CP243" i="13"/>
  <c r="CP242" i="13"/>
  <c r="CP241" i="13"/>
  <c r="CP240" i="13"/>
  <c r="CP239" i="13"/>
  <c r="CP238" i="13"/>
  <c r="CP237" i="13"/>
  <c r="CP236" i="13"/>
  <c r="CP235" i="13"/>
  <c r="CP234" i="13"/>
  <c r="CO255" i="13"/>
  <c r="CO254" i="13"/>
  <c r="CO253" i="13"/>
  <c r="CO252" i="13"/>
  <c r="CO251" i="13"/>
  <c r="CO250" i="13"/>
  <c r="CO249" i="13"/>
  <c r="CO248" i="13"/>
  <c r="CO247" i="13"/>
  <c r="CO246" i="13"/>
  <c r="CO245" i="13"/>
  <c r="CO244" i="13"/>
  <c r="CO243" i="13"/>
  <c r="CO242" i="13"/>
  <c r="CO241" i="13"/>
  <c r="CO240" i="13"/>
  <c r="CO239" i="13"/>
  <c r="CO238" i="13"/>
  <c r="CO237" i="13"/>
  <c r="CO236" i="13"/>
  <c r="CO235" i="13"/>
  <c r="CO234" i="13"/>
  <c r="CO226" i="13"/>
  <c r="CP226" i="13"/>
  <c r="CQ226" i="13"/>
  <c r="CO227" i="13"/>
  <c r="CP227" i="13"/>
  <c r="CQ227" i="13"/>
  <c r="CO228" i="13"/>
  <c r="CP228" i="13"/>
  <c r="CQ228" i="13"/>
  <c r="CO229" i="13"/>
  <c r="CP229" i="13"/>
  <c r="CQ229" i="13"/>
  <c r="CO230" i="13"/>
  <c r="CP230" i="13"/>
  <c r="CQ230" i="13"/>
  <c r="CO210" i="13"/>
  <c r="CP210" i="13"/>
  <c r="CQ210" i="13"/>
  <c r="CO212" i="13"/>
  <c r="CP212" i="13"/>
  <c r="CQ212" i="13"/>
  <c r="CO213" i="13"/>
  <c r="CP213" i="13"/>
  <c r="CQ213" i="13"/>
  <c r="CO217" i="13"/>
  <c r="CP217" i="13"/>
  <c r="CQ217" i="13"/>
  <c r="CO218" i="13"/>
  <c r="CP218" i="13"/>
  <c r="CQ218" i="13"/>
  <c r="CO219" i="13"/>
  <c r="CP219" i="13"/>
  <c r="CQ219" i="13"/>
  <c r="CO220" i="13"/>
  <c r="CP220" i="13"/>
  <c r="CQ220" i="13"/>
  <c r="CO221" i="13"/>
  <c r="CP221" i="13"/>
  <c r="CQ221" i="13"/>
  <c r="CO222" i="13"/>
  <c r="CP222" i="13"/>
  <c r="CQ222" i="13"/>
  <c r="CO223" i="13"/>
  <c r="CP223" i="13"/>
  <c r="CQ223" i="13"/>
  <c r="CO224" i="13"/>
  <c r="CP224" i="13"/>
  <c r="CQ224" i="13"/>
  <c r="CO225" i="13"/>
  <c r="CP225" i="13"/>
  <c r="CQ225" i="13"/>
  <c r="CO203" i="13"/>
  <c r="CP203" i="13"/>
  <c r="CQ203" i="13"/>
  <c r="CO205" i="13"/>
  <c r="CP205" i="13"/>
  <c r="CQ205" i="13"/>
  <c r="CO206" i="13"/>
  <c r="CP206" i="13"/>
  <c r="CQ206" i="13"/>
  <c r="CO209" i="13"/>
  <c r="CP209" i="13"/>
  <c r="CQ209" i="13"/>
  <c r="CO202" i="13"/>
  <c r="CP202" i="13"/>
  <c r="CQ202" i="13"/>
  <c r="CO193" i="13"/>
  <c r="CP193" i="13"/>
  <c r="CQ193" i="13"/>
  <c r="CO194" i="13"/>
  <c r="CP194" i="13"/>
  <c r="CQ194" i="13"/>
  <c r="CO195" i="13"/>
  <c r="CP195" i="13"/>
  <c r="CQ195" i="13"/>
  <c r="CO196" i="13"/>
  <c r="CP196" i="13"/>
  <c r="CQ196" i="13"/>
  <c r="CO201" i="13"/>
  <c r="CP201" i="13"/>
  <c r="CQ201" i="13"/>
  <c r="CO173" i="13"/>
  <c r="CP173" i="13"/>
  <c r="CQ173" i="13"/>
  <c r="CO174" i="13"/>
  <c r="CP174" i="13"/>
  <c r="CQ174" i="13"/>
  <c r="CO176" i="13"/>
  <c r="CP176" i="13"/>
  <c r="CQ176" i="13"/>
  <c r="CO177" i="13"/>
  <c r="CP177" i="13"/>
  <c r="CQ177" i="13"/>
  <c r="CO178" i="13"/>
  <c r="CP178" i="13"/>
  <c r="CQ178" i="13"/>
  <c r="CO180" i="13"/>
  <c r="CP180" i="13"/>
  <c r="CQ180" i="13"/>
  <c r="CO181" i="13"/>
  <c r="CP181" i="13"/>
  <c r="CQ181" i="13"/>
  <c r="CO182" i="13"/>
  <c r="CP182" i="13"/>
  <c r="CQ182" i="13"/>
  <c r="CO184" i="13"/>
  <c r="CP184" i="13"/>
  <c r="CQ184" i="13"/>
  <c r="CO185" i="13"/>
  <c r="CP185" i="13"/>
  <c r="CQ185" i="13"/>
  <c r="CO186" i="13"/>
  <c r="CP186" i="13"/>
  <c r="CQ186" i="13"/>
  <c r="CO188" i="13"/>
  <c r="CP188" i="13"/>
  <c r="CQ188" i="13"/>
  <c r="CO189" i="13"/>
  <c r="CP189" i="13"/>
  <c r="CQ189" i="13"/>
  <c r="CO190" i="13"/>
  <c r="CP190" i="13"/>
  <c r="CQ190" i="13"/>
  <c r="CO191" i="13"/>
  <c r="CP191" i="13"/>
  <c r="CQ191" i="13"/>
  <c r="CO158" i="13"/>
  <c r="CP158" i="13"/>
  <c r="CQ158" i="13"/>
  <c r="CO161" i="13"/>
  <c r="CP161" i="13"/>
  <c r="CQ161" i="13"/>
  <c r="CO163" i="13"/>
  <c r="CP163" i="13"/>
  <c r="CQ163" i="13"/>
  <c r="CO165" i="13"/>
  <c r="CP165" i="13"/>
  <c r="CQ165" i="13"/>
  <c r="CO170" i="13"/>
  <c r="CP170" i="13"/>
  <c r="CQ170" i="13"/>
  <c r="CO172" i="13"/>
  <c r="CP172" i="13"/>
  <c r="CQ172" i="13"/>
  <c r="CO157" i="13"/>
  <c r="CP157" i="13"/>
  <c r="CQ157" i="13"/>
  <c r="CO146" i="13"/>
  <c r="CP146" i="13"/>
  <c r="CQ146" i="13"/>
  <c r="CO147" i="13"/>
  <c r="CP147" i="13"/>
  <c r="CQ147" i="13"/>
  <c r="CO149" i="13"/>
  <c r="CP149" i="13"/>
  <c r="CQ149" i="13"/>
  <c r="CO150" i="13"/>
  <c r="CP150" i="13"/>
  <c r="CQ150" i="13"/>
  <c r="CO151" i="13"/>
  <c r="CP151" i="13"/>
  <c r="CQ151" i="13"/>
  <c r="CO156" i="13"/>
  <c r="CP156" i="13"/>
  <c r="CQ156" i="13"/>
  <c r="CO127" i="13"/>
  <c r="CP127" i="13"/>
  <c r="CQ127" i="13"/>
  <c r="CO128" i="13"/>
  <c r="CP128" i="13"/>
  <c r="CQ128" i="13"/>
  <c r="CO129" i="13"/>
  <c r="CP129" i="13"/>
  <c r="CQ129" i="13"/>
  <c r="CO131" i="13"/>
  <c r="CP131" i="13"/>
  <c r="CQ131" i="13"/>
  <c r="CO132" i="13"/>
  <c r="CP132" i="13"/>
  <c r="CQ132" i="13"/>
  <c r="CO133" i="13"/>
  <c r="CP133" i="13"/>
  <c r="CQ133" i="13"/>
  <c r="CO135" i="13"/>
  <c r="CP135" i="13"/>
  <c r="CQ135" i="13"/>
  <c r="CO136" i="13"/>
  <c r="CP136" i="13"/>
  <c r="CQ136" i="13"/>
  <c r="CO137" i="13"/>
  <c r="CP137" i="13"/>
  <c r="CQ137" i="13"/>
  <c r="CO139" i="13"/>
  <c r="CP139" i="13"/>
  <c r="CQ139" i="13"/>
  <c r="CO140" i="13"/>
  <c r="CP140" i="13"/>
  <c r="CQ140" i="13"/>
  <c r="CO141" i="13"/>
  <c r="CP141" i="13"/>
  <c r="CQ141" i="13"/>
  <c r="CO142" i="13"/>
  <c r="CP142" i="13"/>
  <c r="CQ142" i="13"/>
  <c r="CO143" i="13"/>
  <c r="CP143" i="13"/>
  <c r="CQ143" i="13"/>
  <c r="CO145" i="13"/>
  <c r="CP145" i="13"/>
  <c r="CQ145" i="13"/>
  <c r="CO118" i="13"/>
  <c r="CP118" i="13"/>
  <c r="CQ118" i="13"/>
  <c r="CO119" i="13"/>
  <c r="CP119" i="13"/>
  <c r="CQ119" i="13"/>
  <c r="CO120" i="13"/>
  <c r="CP120" i="13"/>
  <c r="CQ120" i="13"/>
  <c r="CO122" i="13"/>
  <c r="CP122" i="13"/>
  <c r="CQ122" i="13"/>
  <c r="CO114" i="13"/>
  <c r="CP114" i="13"/>
  <c r="CQ114" i="13"/>
  <c r="CO105" i="13"/>
  <c r="CP105" i="13"/>
  <c r="CQ105" i="13"/>
  <c r="CO116" i="13"/>
  <c r="CP116" i="13"/>
  <c r="CQ116" i="13"/>
  <c r="CO104" i="13"/>
  <c r="AI104" i="13" s="1"/>
  <c r="CP104" i="13"/>
  <c r="AJ104" i="13" s="1"/>
  <c r="CQ104" i="13"/>
  <c r="AK104" i="13" s="1"/>
  <c r="CO101" i="13"/>
  <c r="CP101" i="13"/>
  <c r="CQ101" i="13"/>
  <c r="CO88" i="13"/>
  <c r="CP88" i="13"/>
  <c r="CQ88" i="13"/>
  <c r="CO89" i="13"/>
  <c r="CP89" i="13"/>
  <c r="CQ89" i="13"/>
  <c r="CO91" i="13"/>
  <c r="CP91" i="13"/>
  <c r="CQ91" i="13"/>
  <c r="CO92" i="13"/>
  <c r="CP92" i="13"/>
  <c r="CQ92" i="13"/>
  <c r="CO94" i="13"/>
  <c r="CP94" i="13"/>
  <c r="CQ94" i="13"/>
  <c r="CO102" i="13"/>
  <c r="CP102" i="13"/>
  <c r="CQ102" i="13"/>
  <c r="CO87" i="13"/>
  <c r="CP87" i="13"/>
  <c r="CQ87" i="13"/>
  <c r="CO85" i="13"/>
  <c r="CP85" i="13"/>
  <c r="CQ85" i="13"/>
  <c r="CO76" i="13"/>
  <c r="CP76" i="13"/>
  <c r="CQ76" i="13"/>
  <c r="CO77" i="13"/>
  <c r="CP77" i="13"/>
  <c r="CQ77" i="13"/>
  <c r="CO78" i="13"/>
  <c r="CP78" i="13"/>
  <c r="CQ78" i="13"/>
  <c r="CO80" i="13"/>
  <c r="CP80" i="13"/>
  <c r="CQ80" i="13"/>
  <c r="CO81" i="13"/>
  <c r="CP81" i="13"/>
  <c r="CQ81" i="13"/>
  <c r="CO84" i="13"/>
  <c r="CP84" i="13"/>
  <c r="CQ84" i="13"/>
  <c r="CO72" i="13"/>
  <c r="CP72" i="13"/>
  <c r="CQ72" i="13"/>
  <c r="CO71" i="13"/>
  <c r="CP71" i="13"/>
  <c r="CQ71" i="13"/>
  <c r="CO70" i="13"/>
  <c r="CP70" i="13"/>
  <c r="CQ70" i="13"/>
  <c r="CO73" i="13"/>
  <c r="CP73" i="13"/>
  <c r="CQ73" i="13"/>
  <c r="CO74" i="13"/>
  <c r="CP74" i="13"/>
  <c r="CQ74" i="13"/>
  <c r="CO60" i="13"/>
  <c r="CP60" i="13"/>
  <c r="CQ60" i="13"/>
  <c r="CO61" i="13"/>
  <c r="CP61" i="13"/>
  <c r="CQ61" i="13"/>
  <c r="CO64" i="13"/>
  <c r="CP64" i="13"/>
  <c r="CQ64" i="13"/>
  <c r="CO42" i="13"/>
  <c r="CP42" i="13"/>
  <c r="CQ42" i="13"/>
  <c r="CO43" i="13"/>
  <c r="CP43" i="13"/>
  <c r="CQ43" i="13"/>
  <c r="CO44" i="13"/>
  <c r="CP44" i="13"/>
  <c r="CQ44" i="13"/>
  <c r="CO45" i="13"/>
  <c r="CP45" i="13"/>
  <c r="CQ45" i="13"/>
  <c r="CO47" i="13"/>
  <c r="CP47" i="13"/>
  <c r="CQ47" i="13"/>
  <c r="CO48" i="13"/>
  <c r="CP48" i="13"/>
  <c r="CQ48" i="13"/>
  <c r="CO49" i="13"/>
  <c r="CP49" i="13"/>
  <c r="CQ49" i="13"/>
  <c r="CO50" i="13"/>
  <c r="CP50" i="13"/>
  <c r="CQ50" i="13"/>
  <c r="CO52" i="13"/>
  <c r="CP52" i="13"/>
  <c r="CQ52" i="13"/>
  <c r="CO53" i="13"/>
  <c r="CP53" i="13"/>
  <c r="CQ53" i="13"/>
  <c r="CO54" i="13"/>
  <c r="CP54" i="13"/>
  <c r="CQ54" i="13"/>
  <c r="CO58" i="13"/>
  <c r="CP58" i="13"/>
  <c r="CQ58" i="13"/>
  <c r="CO12" i="13"/>
  <c r="CP12" i="13"/>
  <c r="CQ12" i="13"/>
  <c r="CO13" i="13"/>
  <c r="CP13" i="13"/>
  <c r="CQ13" i="13"/>
  <c r="CO14" i="13"/>
  <c r="CP14" i="13"/>
  <c r="CQ14" i="13"/>
  <c r="CO15" i="13"/>
  <c r="CP15" i="13"/>
  <c r="CQ15" i="13"/>
  <c r="CO17" i="13"/>
  <c r="CP17" i="13"/>
  <c r="CQ17" i="13"/>
  <c r="CO18" i="13"/>
  <c r="CP18" i="13"/>
  <c r="CQ18" i="13"/>
  <c r="CO20" i="13"/>
  <c r="CP20" i="13"/>
  <c r="CQ20" i="13"/>
  <c r="CO21" i="13"/>
  <c r="CP21" i="13"/>
  <c r="CQ21" i="13"/>
  <c r="CO22" i="13"/>
  <c r="CP22" i="13"/>
  <c r="CQ22" i="13"/>
  <c r="CO23" i="13"/>
  <c r="CP23" i="13"/>
  <c r="CQ23" i="13"/>
  <c r="CO24" i="13"/>
  <c r="CP24" i="13"/>
  <c r="CQ24" i="13"/>
  <c r="CO25" i="13"/>
  <c r="CP25" i="13"/>
  <c r="CQ25" i="13"/>
  <c r="CO27" i="13"/>
  <c r="CP27" i="13"/>
  <c r="CQ27" i="13"/>
  <c r="CO28" i="13"/>
  <c r="CP28" i="13"/>
  <c r="CQ28" i="13"/>
  <c r="CO29" i="13"/>
  <c r="CP29" i="13"/>
  <c r="CQ29" i="13"/>
  <c r="CO31" i="13"/>
  <c r="CP31" i="13"/>
  <c r="CQ31" i="13"/>
  <c r="CO32" i="13"/>
  <c r="CP32" i="13"/>
  <c r="CQ32" i="13"/>
  <c r="CO33" i="13"/>
  <c r="CP33" i="13"/>
  <c r="CQ33" i="13"/>
  <c r="CO41" i="13"/>
  <c r="CP41" i="13"/>
  <c r="CQ41" i="13"/>
  <c r="CP11" i="13"/>
  <c r="BK249" i="13"/>
  <c r="BK248" i="13"/>
  <c r="BK247" i="13"/>
  <c r="BK246" i="13"/>
  <c r="BQ99" i="5" s="1"/>
  <c r="X99" i="5" s="1"/>
  <c r="BK245" i="13"/>
  <c r="BK243" i="13"/>
  <c r="BK242" i="13"/>
  <c r="BQ167" i="5" s="1"/>
  <c r="X167" i="5" s="1"/>
  <c r="X167" i="24" s="1"/>
  <c r="BK241" i="13"/>
  <c r="BK237" i="13"/>
  <c r="BH249" i="13"/>
  <c r="BH248" i="13"/>
  <c r="BH247" i="13"/>
  <c r="BH246" i="13"/>
  <c r="BH245" i="13"/>
  <c r="BH243" i="13"/>
  <c r="BH242" i="13"/>
  <c r="BH241" i="13"/>
  <c r="BH237" i="13"/>
  <c r="BE249" i="13"/>
  <c r="BE248" i="13"/>
  <c r="BE247" i="13"/>
  <c r="BE246" i="13"/>
  <c r="BE245" i="13"/>
  <c r="BE243" i="13"/>
  <c r="J252" i="5" s="1"/>
  <c r="BE242" i="13"/>
  <c r="BE241" i="13"/>
  <c r="BE237" i="13"/>
  <c r="J255" i="5" s="1"/>
  <c r="BK176" i="13"/>
  <c r="BH176" i="13"/>
  <c r="BE176" i="13"/>
  <c r="BK159" i="13"/>
  <c r="BH159" i="13"/>
  <c r="BE159" i="13"/>
  <c r="BK109" i="13"/>
  <c r="BK108" i="13"/>
  <c r="BK107" i="13"/>
  <c r="BK106" i="13"/>
  <c r="BH109" i="13"/>
  <c r="BH108" i="13"/>
  <c r="BH107" i="13"/>
  <c r="BH106" i="13"/>
  <c r="BE109" i="13"/>
  <c r="BE108" i="13"/>
  <c r="BE107" i="13"/>
  <c r="BE106" i="13"/>
  <c r="BK96" i="13"/>
  <c r="BK82" i="13"/>
  <c r="BH96" i="13"/>
  <c r="BH82" i="13"/>
  <c r="BE96" i="13"/>
  <c r="BE82" i="13"/>
  <c r="BK65" i="13"/>
  <c r="BK62" i="13"/>
  <c r="BK40" i="13"/>
  <c r="BH65" i="13"/>
  <c r="BH62" i="13"/>
  <c r="BH40" i="13"/>
  <c r="BE65" i="13"/>
  <c r="BE62" i="13"/>
  <c r="BE40" i="13"/>
  <c r="BK35" i="13"/>
  <c r="BK34" i="13"/>
  <c r="BH35" i="13"/>
  <c r="BH34" i="13"/>
  <c r="BE34" i="13"/>
  <c r="BE35" i="13"/>
  <c r="BD10" i="13"/>
  <c r="BE10" i="13" s="1"/>
  <c r="BI11" i="5" s="1"/>
  <c r="AA226" i="24"/>
  <c r="Z226" i="24"/>
  <c r="Y226" i="24"/>
  <c r="V226" i="24"/>
  <c r="T226" i="24"/>
  <c r="S226" i="24"/>
  <c r="R226" i="24"/>
  <c r="O226" i="24"/>
  <c r="N226" i="24"/>
  <c r="M226" i="24"/>
  <c r="L226" i="24"/>
  <c r="K226" i="24"/>
  <c r="H226" i="24"/>
  <c r="F226" i="24"/>
  <c r="AA225" i="24"/>
  <c r="Z225" i="24"/>
  <c r="Y225" i="24"/>
  <c r="V225" i="24"/>
  <c r="T225" i="24"/>
  <c r="S225" i="24"/>
  <c r="R225" i="24"/>
  <c r="O225" i="24"/>
  <c r="N225" i="24"/>
  <c r="M225" i="24"/>
  <c r="L225" i="24"/>
  <c r="K225" i="24"/>
  <c r="H225" i="24"/>
  <c r="E225" i="24"/>
  <c r="D225" i="24"/>
  <c r="AA224" i="24"/>
  <c r="Z224" i="24"/>
  <c r="Y224" i="24"/>
  <c r="V224" i="24"/>
  <c r="T224" i="24"/>
  <c r="S224" i="24"/>
  <c r="R224" i="24"/>
  <c r="O224" i="24"/>
  <c r="N224" i="24"/>
  <c r="M224" i="24"/>
  <c r="L224" i="24"/>
  <c r="K224" i="24"/>
  <c r="H224" i="24"/>
  <c r="E224" i="24"/>
  <c r="D224" i="24"/>
  <c r="AA223" i="24"/>
  <c r="Z223" i="24"/>
  <c r="Y223" i="24"/>
  <c r="V223" i="24"/>
  <c r="T223" i="24"/>
  <c r="S223" i="24"/>
  <c r="R223" i="24"/>
  <c r="O223" i="24"/>
  <c r="N223" i="24"/>
  <c r="M223" i="24"/>
  <c r="L223" i="24"/>
  <c r="K223" i="24"/>
  <c r="H223" i="24"/>
  <c r="E223" i="24"/>
  <c r="D223" i="24"/>
  <c r="AA222" i="24"/>
  <c r="Z222" i="24"/>
  <c r="Y222" i="24"/>
  <c r="V222" i="24"/>
  <c r="T222" i="24"/>
  <c r="S222" i="24"/>
  <c r="R222" i="24"/>
  <c r="O222" i="24"/>
  <c r="N222" i="24"/>
  <c r="M222" i="24"/>
  <c r="L222" i="24"/>
  <c r="K222" i="24"/>
  <c r="H222" i="24"/>
  <c r="E222" i="24"/>
  <c r="D222" i="24"/>
  <c r="AA221" i="24"/>
  <c r="Z221" i="24"/>
  <c r="Y221" i="24"/>
  <c r="V221" i="24"/>
  <c r="T221" i="24"/>
  <c r="S221" i="24"/>
  <c r="R221" i="24"/>
  <c r="O221" i="24"/>
  <c r="N221" i="24"/>
  <c r="M221" i="24"/>
  <c r="L221" i="24"/>
  <c r="K221" i="24"/>
  <c r="H221" i="24"/>
  <c r="E221" i="24"/>
  <c r="D221" i="24"/>
  <c r="AA220" i="24"/>
  <c r="Z220" i="24"/>
  <c r="Y220" i="24"/>
  <c r="V220" i="24"/>
  <c r="T220" i="24"/>
  <c r="S220" i="24"/>
  <c r="R220" i="24"/>
  <c r="O220" i="24"/>
  <c r="N220" i="24"/>
  <c r="M220" i="24"/>
  <c r="L220" i="24"/>
  <c r="K220" i="24"/>
  <c r="H220" i="24"/>
  <c r="E220" i="24"/>
  <c r="D220" i="24"/>
  <c r="AA219" i="24"/>
  <c r="Z219" i="24"/>
  <c r="Y219" i="24"/>
  <c r="V219" i="24"/>
  <c r="T219" i="24"/>
  <c r="S219" i="24"/>
  <c r="R219" i="24"/>
  <c r="O219" i="24"/>
  <c r="N219" i="24"/>
  <c r="M219" i="24"/>
  <c r="L219" i="24"/>
  <c r="K219" i="24"/>
  <c r="H219" i="24"/>
  <c r="E219" i="24"/>
  <c r="D219" i="24"/>
  <c r="AA218" i="24"/>
  <c r="Z218" i="24"/>
  <c r="Y218" i="24"/>
  <c r="V218" i="24"/>
  <c r="T218" i="24"/>
  <c r="S218" i="24"/>
  <c r="R218" i="24"/>
  <c r="O218" i="24"/>
  <c r="N218" i="24"/>
  <c r="M218" i="24"/>
  <c r="L218" i="24"/>
  <c r="K218" i="24"/>
  <c r="H218" i="24"/>
  <c r="E218" i="24"/>
  <c r="D218" i="24"/>
  <c r="AA217" i="24"/>
  <c r="Z217" i="24"/>
  <c r="Y217" i="24"/>
  <c r="V217" i="24"/>
  <c r="T217" i="24"/>
  <c r="S217" i="24"/>
  <c r="R217" i="24"/>
  <c r="O217" i="24"/>
  <c r="N217" i="24"/>
  <c r="M217" i="24"/>
  <c r="L217" i="24"/>
  <c r="K217" i="24"/>
  <c r="H217" i="24"/>
  <c r="E217" i="24"/>
  <c r="D217" i="24"/>
  <c r="AA216" i="24"/>
  <c r="Z216" i="24"/>
  <c r="Y216" i="24"/>
  <c r="V216" i="24"/>
  <c r="T216" i="24"/>
  <c r="S216" i="24"/>
  <c r="R216" i="24"/>
  <c r="O216" i="24"/>
  <c r="N216" i="24"/>
  <c r="M216" i="24"/>
  <c r="L216" i="24"/>
  <c r="K216" i="24"/>
  <c r="H216" i="24"/>
  <c r="E216" i="24"/>
  <c r="D216" i="24"/>
  <c r="AA215" i="24"/>
  <c r="Z215" i="24"/>
  <c r="Y215" i="24"/>
  <c r="V215" i="24"/>
  <c r="T215" i="24"/>
  <c r="S215" i="24"/>
  <c r="R215" i="24"/>
  <c r="O215" i="24"/>
  <c r="N215" i="24"/>
  <c r="M215" i="24"/>
  <c r="L215" i="24"/>
  <c r="K215" i="24"/>
  <c r="H215" i="24"/>
  <c r="E215" i="24"/>
  <c r="D215" i="24"/>
  <c r="AA214" i="24"/>
  <c r="Z214" i="24"/>
  <c r="Y214" i="24"/>
  <c r="V214" i="24"/>
  <c r="T214" i="24"/>
  <c r="S214" i="24"/>
  <c r="R214" i="24"/>
  <c r="O214" i="24"/>
  <c r="N214" i="24"/>
  <c r="M214" i="24"/>
  <c r="L214" i="24"/>
  <c r="K214" i="24"/>
  <c r="H214" i="24"/>
  <c r="E214" i="24"/>
  <c r="D214" i="24"/>
  <c r="AA213" i="24"/>
  <c r="Z213" i="24"/>
  <c r="Y213" i="24"/>
  <c r="V213" i="24"/>
  <c r="T213" i="24"/>
  <c r="S213" i="24"/>
  <c r="R213" i="24"/>
  <c r="O213" i="24"/>
  <c r="N213" i="24"/>
  <c r="M213" i="24"/>
  <c r="L213" i="24"/>
  <c r="K213" i="24"/>
  <c r="H213" i="24"/>
  <c r="E213" i="24"/>
  <c r="D213" i="24"/>
  <c r="AA212" i="24"/>
  <c r="Z212" i="24"/>
  <c r="Y212" i="24"/>
  <c r="V212" i="24"/>
  <c r="T212" i="24"/>
  <c r="S212" i="24"/>
  <c r="R212" i="24"/>
  <c r="O212" i="24"/>
  <c r="N212" i="24"/>
  <c r="M212" i="24"/>
  <c r="L212" i="24"/>
  <c r="K212" i="24"/>
  <c r="H212" i="24"/>
  <c r="E212" i="24"/>
  <c r="D212" i="24"/>
  <c r="AA211" i="24"/>
  <c r="Z211" i="24"/>
  <c r="Y211" i="24"/>
  <c r="T211" i="24"/>
  <c r="S211" i="24"/>
  <c r="R211" i="24"/>
  <c r="M211" i="24"/>
  <c r="L211" i="24"/>
  <c r="K211" i="24"/>
  <c r="AA210" i="24"/>
  <c r="Z210" i="24"/>
  <c r="Y210" i="24"/>
  <c r="T210" i="24"/>
  <c r="S210" i="24"/>
  <c r="R210" i="24"/>
  <c r="M210" i="24"/>
  <c r="L210" i="24"/>
  <c r="K210" i="24"/>
  <c r="AA209" i="24"/>
  <c r="Z209" i="24"/>
  <c r="Y209" i="24"/>
  <c r="V209" i="24"/>
  <c r="T209" i="24"/>
  <c r="S209" i="24"/>
  <c r="R209" i="24"/>
  <c r="O209" i="24"/>
  <c r="N209" i="24"/>
  <c r="M209" i="24"/>
  <c r="L209" i="24"/>
  <c r="K209" i="24"/>
  <c r="H209" i="24"/>
  <c r="F209" i="24"/>
  <c r="AA208" i="24"/>
  <c r="Z208" i="24"/>
  <c r="Y208" i="24"/>
  <c r="V208" i="24"/>
  <c r="T208" i="24"/>
  <c r="S208" i="24"/>
  <c r="R208" i="24"/>
  <c r="O208" i="24"/>
  <c r="N208" i="24"/>
  <c r="M208" i="24"/>
  <c r="L208" i="24"/>
  <c r="K208" i="24"/>
  <c r="H208" i="24"/>
  <c r="E208" i="24"/>
  <c r="D208" i="24"/>
  <c r="AA207" i="24"/>
  <c r="Z207" i="24"/>
  <c r="Y207" i="24"/>
  <c r="V207" i="24"/>
  <c r="T207" i="24"/>
  <c r="S207" i="24"/>
  <c r="R207" i="24"/>
  <c r="O207" i="24"/>
  <c r="N207" i="24"/>
  <c r="M207" i="24"/>
  <c r="L207" i="24"/>
  <c r="K207" i="24"/>
  <c r="H207" i="24"/>
  <c r="E207" i="24"/>
  <c r="D207" i="24"/>
  <c r="AA206" i="24"/>
  <c r="Z206" i="24"/>
  <c r="Y206" i="24"/>
  <c r="V206" i="24"/>
  <c r="T206" i="24"/>
  <c r="S206" i="24"/>
  <c r="R206" i="24"/>
  <c r="O206" i="24"/>
  <c r="N206" i="24"/>
  <c r="M206" i="24"/>
  <c r="L206" i="24"/>
  <c r="K206" i="24"/>
  <c r="H206" i="24"/>
  <c r="D206" i="24"/>
  <c r="AA205" i="24"/>
  <c r="Z205" i="24"/>
  <c r="Y205" i="24"/>
  <c r="V205" i="24"/>
  <c r="T205" i="24"/>
  <c r="S205" i="24"/>
  <c r="R205" i="24"/>
  <c r="O205" i="24"/>
  <c r="N205" i="24"/>
  <c r="M205" i="24"/>
  <c r="L205" i="24"/>
  <c r="K205" i="24"/>
  <c r="H205" i="24"/>
  <c r="E205" i="24"/>
  <c r="D205" i="24"/>
  <c r="AA204" i="24"/>
  <c r="Z204" i="24"/>
  <c r="Y204" i="24"/>
  <c r="V204" i="24"/>
  <c r="T204" i="24"/>
  <c r="S204" i="24"/>
  <c r="R204" i="24"/>
  <c r="O204" i="24"/>
  <c r="N204" i="24"/>
  <c r="M204" i="24"/>
  <c r="L204" i="24"/>
  <c r="K204" i="24"/>
  <c r="H204" i="24"/>
  <c r="E204" i="24"/>
  <c r="D204" i="24"/>
  <c r="AA203" i="24"/>
  <c r="Z203" i="24"/>
  <c r="Y203" i="24"/>
  <c r="V203" i="24"/>
  <c r="T203" i="24"/>
  <c r="S203" i="24"/>
  <c r="R203" i="24"/>
  <c r="O203" i="24"/>
  <c r="N203" i="24"/>
  <c r="M203" i="24"/>
  <c r="L203" i="24"/>
  <c r="K203" i="24"/>
  <c r="H203" i="24"/>
  <c r="D203" i="24"/>
  <c r="AA202" i="24"/>
  <c r="Z202" i="24"/>
  <c r="Y202" i="24"/>
  <c r="V202" i="24"/>
  <c r="T202" i="24"/>
  <c r="S202" i="24"/>
  <c r="R202" i="24"/>
  <c r="O202" i="24"/>
  <c r="N202" i="24"/>
  <c r="M202" i="24"/>
  <c r="L202" i="24"/>
  <c r="K202" i="24"/>
  <c r="H202" i="24"/>
  <c r="E202" i="24"/>
  <c r="D202" i="24"/>
  <c r="AA201" i="24"/>
  <c r="Z201" i="24"/>
  <c r="Y201" i="24"/>
  <c r="V201" i="24"/>
  <c r="T201" i="24"/>
  <c r="S201" i="24"/>
  <c r="R201" i="24"/>
  <c r="O201" i="24"/>
  <c r="N201" i="24"/>
  <c r="M201" i="24"/>
  <c r="L201" i="24"/>
  <c r="K201" i="24"/>
  <c r="H201" i="24"/>
  <c r="E201" i="24"/>
  <c r="D201" i="24"/>
  <c r="AA200" i="24"/>
  <c r="Z200" i="24"/>
  <c r="Y200" i="24"/>
  <c r="V200" i="24"/>
  <c r="T200" i="24"/>
  <c r="S200" i="24"/>
  <c r="R200" i="24"/>
  <c r="O200" i="24"/>
  <c r="N200" i="24"/>
  <c r="M200" i="24"/>
  <c r="L200" i="24"/>
  <c r="K200" i="24"/>
  <c r="H200" i="24"/>
  <c r="D200" i="24"/>
  <c r="AA199" i="24"/>
  <c r="Z199" i="24"/>
  <c r="Y199" i="24"/>
  <c r="V199" i="24"/>
  <c r="T199" i="24"/>
  <c r="S199" i="24"/>
  <c r="R199" i="24"/>
  <c r="O199" i="24"/>
  <c r="N199" i="24"/>
  <c r="M199" i="24"/>
  <c r="L199" i="24"/>
  <c r="K199" i="24"/>
  <c r="H199" i="24"/>
  <c r="E199" i="24"/>
  <c r="D199" i="24"/>
  <c r="AA198" i="24"/>
  <c r="Z198" i="24"/>
  <c r="Y198" i="24"/>
  <c r="V198" i="24"/>
  <c r="T198" i="24"/>
  <c r="S198" i="24"/>
  <c r="R198" i="24"/>
  <c r="O198" i="24"/>
  <c r="N198" i="24"/>
  <c r="M198" i="24"/>
  <c r="L198" i="24"/>
  <c r="K198" i="24"/>
  <c r="H198" i="24"/>
  <c r="E198" i="24"/>
  <c r="D198" i="24"/>
  <c r="AA197" i="24"/>
  <c r="Z197" i="24"/>
  <c r="Y197" i="24"/>
  <c r="V197" i="24"/>
  <c r="T197" i="24"/>
  <c r="S197" i="24"/>
  <c r="R197" i="24"/>
  <c r="O197" i="24"/>
  <c r="N197" i="24"/>
  <c r="M197" i="24"/>
  <c r="L197" i="24"/>
  <c r="K197" i="24"/>
  <c r="H197" i="24"/>
  <c r="E197" i="24"/>
  <c r="D197" i="24"/>
  <c r="AA196" i="24"/>
  <c r="Z196" i="24"/>
  <c r="Y196" i="24"/>
  <c r="V196" i="24"/>
  <c r="T196" i="24"/>
  <c r="S196" i="24"/>
  <c r="R196" i="24"/>
  <c r="O196" i="24"/>
  <c r="N196" i="24"/>
  <c r="M196" i="24"/>
  <c r="L196" i="24"/>
  <c r="K196" i="24"/>
  <c r="H196" i="24"/>
  <c r="E196" i="24"/>
  <c r="D196" i="24"/>
  <c r="AA195" i="24"/>
  <c r="Z195" i="24"/>
  <c r="Y195" i="24"/>
  <c r="V195" i="24"/>
  <c r="T195" i="24"/>
  <c r="S195" i="24"/>
  <c r="R195" i="24"/>
  <c r="O195" i="24"/>
  <c r="N195" i="24"/>
  <c r="M195" i="24"/>
  <c r="L195" i="24"/>
  <c r="K195" i="24"/>
  <c r="H195" i="24"/>
  <c r="D195" i="24"/>
  <c r="AA194" i="24"/>
  <c r="Z194" i="24"/>
  <c r="Y194" i="24"/>
  <c r="T194" i="24"/>
  <c r="S194" i="24"/>
  <c r="R194" i="24"/>
  <c r="M194" i="24"/>
  <c r="L194" i="24"/>
  <c r="K194" i="24"/>
  <c r="AA193" i="24"/>
  <c r="Z193" i="24"/>
  <c r="Y193" i="24"/>
  <c r="T193" i="24"/>
  <c r="S193" i="24"/>
  <c r="R193" i="24"/>
  <c r="M193" i="24"/>
  <c r="L193" i="24"/>
  <c r="K193" i="24"/>
  <c r="AA192" i="24"/>
  <c r="Z192" i="24"/>
  <c r="Y192" i="24"/>
  <c r="V192" i="24"/>
  <c r="T192" i="24"/>
  <c r="S192" i="24"/>
  <c r="R192" i="24"/>
  <c r="O192" i="24"/>
  <c r="N192" i="24"/>
  <c r="M192" i="24"/>
  <c r="L192" i="24"/>
  <c r="K192" i="24"/>
  <c r="H192" i="24"/>
  <c r="F192" i="24"/>
  <c r="AA191" i="24"/>
  <c r="Z191" i="24"/>
  <c r="Y191" i="24"/>
  <c r="V191" i="24"/>
  <c r="T191" i="24"/>
  <c r="S191" i="24"/>
  <c r="R191" i="24"/>
  <c r="O191" i="24"/>
  <c r="N191" i="24"/>
  <c r="M191" i="24"/>
  <c r="L191" i="24"/>
  <c r="K191" i="24"/>
  <c r="H191" i="24"/>
  <c r="E191" i="24"/>
  <c r="D191" i="24"/>
  <c r="AA190" i="24"/>
  <c r="Z190" i="24"/>
  <c r="Y190" i="24"/>
  <c r="V190" i="24"/>
  <c r="T190" i="24"/>
  <c r="S190" i="24"/>
  <c r="R190" i="24"/>
  <c r="O190" i="24"/>
  <c r="N190" i="24"/>
  <c r="M190" i="24"/>
  <c r="L190" i="24"/>
  <c r="K190" i="24"/>
  <c r="H190" i="24"/>
  <c r="E190" i="24"/>
  <c r="D190" i="24"/>
  <c r="AA189" i="24"/>
  <c r="Z189" i="24"/>
  <c r="Y189" i="24"/>
  <c r="V189" i="24"/>
  <c r="T189" i="24"/>
  <c r="S189" i="24"/>
  <c r="R189" i="24"/>
  <c r="O189" i="24"/>
  <c r="N189" i="24"/>
  <c r="M189" i="24"/>
  <c r="L189" i="24"/>
  <c r="K189" i="24"/>
  <c r="H189" i="24"/>
  <c r="E189" i="24"/>
  <c r="D189" i="24"/>
  <c r="AA188" i="24"/>
  <c r="Z188" i="24"/>
  <c r="Y188" i="24"/>
  <c r="V188" i="24"/>
  <c r="T188" i="24"/>
  <c r="S188" i="24"/>
  <c r="R188" i="24"/>
  <c r="O188" i="24"/>
  <c r="N188" i="24"/>
  <c r="M188" i="24"/>
  <c r="L188" i="24"/>
  <c r="K188" i="24"/>
  <c r="H188" i="24"/>
  <c r="E188" i="24"/>
  <c r="D188" i="24"/>
  <c r="AA187" i="24"/>
  <c r="Z187" i="24"/>
  <c r="Y187" i="24"/>
  <c r="V187" i="24"/>
  <c r="T187" i="24"/>
  <c r="S187" i="24"/>
  <c r="R187" i="24"/>
  <c r="O187" i="24"/>
  <c r="N187" i="24"/>
  <c r="M187" i="24"/>
  <c r="L187" i="24"/>
  <c r="K187" i="24"/>
  <c r="H187" i="24"/>
  <c r="D187" i="24"/>
  <c r="AA186" i="24"/>
  <c r="Z186" i="24"/>
  <c r="Y186" i="24"/>
  <c r="V186" i="24"/>
  <c r="T186" i="24"/>
  <c r="S186" i="24"/>
  <c r="R186" i="24"/>
  <c r="O186" i="24"/>
  <c r="N186" i="24"/>
  <c r="M186" i="24"/>
  <c r="L186" i="24"/>
  <c r="K186" i="24"/>
  <c r="H186" i="24"/>
  <c r="E186" i="24"/>
  <c r="D186" i="24"/>
  <c r="AA185" i="24"/>
  <c r="Z185" i="24"/>
  <c r="Y185" i="24"/>
  <c r="V185" i="24"/>
  <c r="T185" i="24"/>
  <c r="S185" i="24"/>
  <c r="R185" i="24"/>
  <c r="O185" i="24"/>
  <c r="N185" i="24"/>
  <c r="M185" i="24"/>
  <c r="L185" i="24"/>
  <c r="K185" i="24"/>
  <c r="H185" i="24"/>
  <c r="E185" i="24"/>
  <c r="D185" i="24"/>
  <c r="AA184" i="24"/>
  <c r="Z184" i="24"/>
  <c r="Y184" i="24"/>
  <c r="V184" i="24"/>
  <c r="T184" i="24"/>
  <c r="S184" i="24"/>
  <c r="R184" i="24"/>
  <c r="O184" i="24"/>
  <c r="N184" i="24"/>
  <c r="M184" i="24"/>
  <c r="L184" i="24"/>
  <c r="K184" i="24"/>
  <c r="H184" i="24"/>
  <c r="D184" i="24"/>
  <c r="AA183" i="24"/>
  <c r="Z183" i="24"/>
  <c r="Y183" i="24"/>
  <c r="V183" i="24"/>
  <c r="T183" i="24"/>
  <c r="S183" i="24"/>
  <c r="R183" i="24"/>
  <c r="O183" i="24"/>
  <c r="N183" i="24"/>
  <c r="M183" i="24"/>
  <c r="L183" i="24"/>
  <c r="K183" i="24"/>
  <c r="H183" i="24"/>
  <c r="E183" i="24"/>
  <c r="D183" i="24"/>
  <c r="AA182" i="24"/>
  <c r="Z182" i="24"/>
  <c r="Y182" i="24"/>
  <c r="V182" i="24"/>
  <c r="T182" i="24"/>
  <c r="S182" i="24"/>
  <c r="R182" i="24"/>
  <c r="O182" i="24"/>
  <c r="N182" i="24"/>
  <c r="M182" i="24"/>
  <c r="L182" i="24"/>
  <c r="K182" i="24"/>
  <c r="H182" i="24"/>
  <c r="D182" i="24"/>
  <c r="AA181" i="24"/>
  <c r="Z181" i="24"/>
  <c r="Y181" i="24"/>
  <c r="V181" i="24"/>
  <c r="T181" i="24"/>
  <c r="S181" i="24"/>
  <c r="R181" i="24"/>
  <c r="O181" i="24"/>
  <c r="N181" i="24"/>
  <c r="M181" i="24"/>
  <c r="L181" i="24"/>
  <c r="K181" i="24"/>
  <c r="H181" i="24"/>
  <c r="E181" i="24"/>
  <c r="D181" i="24"/>
  <c r="AA180" i="24"/>
  <c r="Z180" i="24"/>
  <c r="Y180" i="24"/>
  <c r="V180" i="24"/>
  <c r="T180" i="24"/>
  <c r="S180" i="24"/>
  <c r="R180" i="24"/>
  <c r="O180" i="24"/>
  <c r="N180" i="24"/>
  <c r="M180" i="24"/>
  <c r="L180" i="24"/>
  <c r="K180" i="24"/>
  <c r="H180" i="24"/>
  <c r="E180" i="24"/>
  <c r="D180" i="24"/>
  <c r="AA179" i="24"/>
  <c r="Z179" i="24"/>
  <c r="Y179" i="24"/>
  <c r="V179" i="24"/>
  <c r="T179" i="24"/>
  <c r="S179" i="24"/>
  <c r="R179" i="24"/>
  <c r="O179" i="24"/>
  <c r="N179" i="24"/>
  <c r="M179" i="24"/>
  <c r="L179" i="24"/>
  <c r="K179" i="24"/>
  <c r="H179" i="24"/>
  <c r="E179" i="24"/>
  <c r="D179" i="24"/>
  <c r="AA178" i="24"/>
  <c r="Z178" i="24"/>
  <c r="Y178" i="24"/>
  <c r="V178" i="24"/>
  <c r="T178" i="24"/>
  <c r="S178" i="24"/>
  <c r="R178" i="24"/>
  <c r="O178" i="24"/>
  <c r="N178" i="24"/>
  <c r="M178" i="24"/>
  <c r="L178" i="24"/>
  <c r="K178" i="24"/>
  <c r="H178" i="24"/>
  <c r="D178" i="24"/>
  <c r="AA177" i="24"/>
  <c r="Z177" i="24"/>
  <c r="Y177" i="24"/>
  <c r="V177" i="24"/>
  <c r="T177" i="24"/>
  <c r="S177" i="24"/>
  <c r="R177" i="24"/>
  <c r="O177" i="24"/>
  <c r="N177" i="24"/>
  <c r="M177" i="24"/>
  <c r="L177" i="24"/>
  <c r="K177" i="24"/>
  <c r="H177" i="24"/>
  <c r="E177" i="24"/>
  <c r="D177" i="24"/>
  <c r="AA176" i="24"/>
  <c r="Z176" i="24"/>
  <c r="Y176" i="24"/>
  <c r="V176" i="24"/>
  <c r="T176" i="24"/>
  <c r="S176" i="24"/>
  <c r="R176" i="24"/>
  <c r="O176" i="24"/>
  <c r="N176" i="24"/>
  <c r="M176" i="24"/>
  <c r="L176" i="24"/>
  <c r="K176" i="24"/>
  <c r="H176" i="24"/>
  <c r="E176" i="24"/>
  <c r="D176" i="24"/>
  <c r="AA175" i="24"/>
  <c r="Z175" i="24"/>
  <c r="Y175" i="24"/>
  <c r="V175" i="24"/>
  <c r="T175" i="24"/>
  <c r="S175" i="24"/>
  <c r="R175" i="24"/>
  <c r="O175" i="24"/>
  <c r="N175" i="24"/>
  <c r="M175" i="24"/>
  <c r="L175" i="24"/>
  <c r="K175" i="24"/>
  <c r="H175" i="24"/>
  <c r="E175" i="24"/>
  <c r="D175" i="24"/>
  <c r="AA174" i="24"/>
  <c r="Z174" i="24"/>
  <c r="Y174" i="24"/>
  <c r="V174" i="24"/>
  <c r="T174" i="24"/>
  <c r="S174" i="24"/>
  <c r="R174" i="24"/>
  <c r="O174" i="24"/>
  <c r="N174" i="24"/>
  <c r="M174" i="24"/>
  <c r="L174" i="24"/>
  <c r="K174" i="24"/>
  <c r="H174" i="24"/>
  <c r="D174" i="24"/>
  <c r="AA173" i="24"/>
  <c r="Z173" i="24"/>
  <c r="Y173" i="24"/>
  <c r="V173" i="24"/>
  <c r="T173" i="24"/>
  <c r="S173" i="24"/>
  <c r="R173" i="24"/>
  <c r="O173" i="24"/>
  <c r="N173" i="24"/>
  <c r="M173" i="24"/>
  <c r="L173" i="24"/>
  <c r="K173" i="24"/>
  <c r="H173" i="24"/>
  <c r="E173" i="24"/>
  <c r="D173" i="24"/>
  <c r="AA172" i="24"/>
  <c r="Z172" i="24"/>
  <c r="Y172" i="24"/>
  <c r="V172" i="24"/>
  <c r="T172" i="24"/>
  <c r="S172" i="24"/>
  <c r="R172" i="24"/>
  <c r="O172" i="24"/>
  <c r="N172" i="24"/>
  <c r="M172" i="24"/>
  <c r="L172" i="24"/>
  <c r="K172" i="24"/>
  <c r="H172" i="24"/>
  <c r="E172" i="24"/>
  <c r="D172" i="24"/>
  <c r="AA171" i="24"/>
  <c r="Z171" i="24"/>
  <c r="Y171" i="24"/>
  <c r="V171" i="24"/>
  <c r="T171" i="24"/>
  <c r="S171" i="24"/>
  <c r="R171" i="24"/>
  <c r="O171" i="24"/>
  <c r="N171" i="24"/>
  <c r="M171" i="24"/>
  <c r="L171" i="24"/>
  <c r="K171" i="24"/>
  <c r="H171" i="24"/>
  <c r="E171" i="24"/>
  <c r="D171" i="24"/>
  <c r="AA170" i="24"/>
  <c r="Z170" i="24"/>
  <c r="Y170" i="24"/>
  <c r="V170" i="24"/>
  <c r="T170" i="24"/>
  <c r="S170" i="24"/>
  <c r="R170" i="24"/>
  <c r="O170" i="24"/>
  <c r="N170" i="24"/>
  <c r="M170" i="24"/>
  <c r="L170" i="24"/>
  <c r="K170" i="24"/>
  <c r="H170" i="24"/>
  <c r="D170" i="24"/>
  <c r="AA169" i="24"/>
  <c r="Z169" i="24"/>
  <c r="Y169" i="24"/>
  <c r="V169" i="24"/>
  <c r="T169" i="24"/>
  <c r="S169" i="24"/>
  <c r="R169" i="24"/>
  <c r="O169" i="24"/>
  <c r="N169" i="24"/>
  <c r="M169" i="24"/>
  <c r="L169" i="24"/>
  <c r="K169" i="24"/>
  <c r="H169" i="24"/>
  <c r="E169" i="24"/>
  <c r="D169" i="24"/>
  <c r="AA168" i="24"/>
  <c r="Z168" i="24"/>
  <c r="Y168" i="24"/>
  <c r="V168" i="24"/>
  <c r="T168" i="24"/>
  <c r="S168" i="24"/>
  <c r="R168" i="24"/>
  <c r="O168" i="24"/>
  <c r="N168" i="24"/>
  <c r="M168" i="24"/>
  <c r="L168" i="24"/>
  <c r="K168" i="24"/>
  <c r="H168" i="24"/>
  <c r="E168" i="24"/>
  <c r="D168" i="24"/>
  <c r="AA167" i="24"/>
  <c r="Z167" i="24"/>
  <c r="Y167" i="24"/>
  <c r="V167" i="24"/>
  <c r="T167" i="24"/>
  <c r="S167" i="24"/>
  <c r="R167" i="24"/>
  <c r="O167" i="24"/>
  <c r="N167" i="24"/>
  <c r="M167" i="24"/>
  <c r="L167" i="24"/>
  <c r="K167" i="24"/>
  <c r="H167" i="24"/>
  <c r="E167" i="24"/>
  <c r="D167" i="24"/>
  <c r="AA166" i="24"/>
  <c r="Z166" i="24"/>
  <c r="Y166" i="24"/>
  <c r="V166" i="24"/>
  <c r="T166" i="24"/>
  <c r="S166" i="24"/>
  <c r="R166" i="24"/>
  <c r="O166" i="24"/>
  <c r="N166" i="24"/>
  <c r="M166" i="24"/>
  <c r="L166" i="24"/>
  <c r="K166" i="24"/>
  <c r="H166" i="24"/>
  <c r="D166" i="24"/>
  <c r="AA165" i="24"/>
  <c r="Z165" i="24"/>
  <c r="Y165" i="24"/>
  <c r="V165" i="24"/>
  <c r="T165" i="24"/>
  <c r="S165" i="24"/>
  <c r="R165" i="24"/>
  <c r="O165" i="24"/>
  <c r="N165" i="24"/>
  <c r="M165" i="24"/>
  <c r="L165" i="24"/>
  <c r="K165" i="24"/>
  <c r="H165" i="24"/>
  <c r="E165" i="24"/>
  <c r="D165" i="24"/>
  <c r="AA164" i="24"/>
  <c r="Z164" i="24"/>
  <c r="Y164" i="24"/>
  <c r="V164" i="24"/>
  <c r="T164" i="24"/>
  <c r="S164" i="24"/>
  <c r="R164" i="24"/>
  <c r="O164" i="24"/>
  <c r="N164" i="24"/>
  <c r="M164" i="24"/>
  <c r="L164" i="24"/>
  <c r="K164" i="24"/>
  <c r="H164" i="24"/>
  <c r="E164" i="24"/>
  <c r="D164" i="24"/>
  <c r="AA163" i="24"/>
  <c r="Z163" i="24"/>
  <c r="Y163" i="24"/>
  <c r="V163" i="24"/>
  <c r="T163" i="24"/>
  <c r="S163" i="24"/>
  <c r="R163" i="24"/>
  <c r="O163" i="24"/>
  <c r="N163" i="24"/>
  <c r="M163" i="24"/>
  <c r="L163" i="24"/>
  <c r="K163" i="24"/>
  <c r="H163" i="24"/>
  <c r="D163" i="24"/>
  <c r="AA162" i="24"/>
  <c r="Z162" i="24"/>
  <c r="Y162" i="24"/>
  <c r="T162" i="24"/>
  <c r="S162" i="24"/>
  <c r="R162" i="24"/>
  <c r="M162" i="24"/>
  <c r="L162" i="24"/>
  <c r="K162" i="24"/>
  <c r="AA161" i="24"/>
  <c r="Z161" i="24"/>
  <c r="Y161" i="24"/>
  <c r="T161" i="24"/>
  <c r="S161" i="24"/>
  <c r="R161" i="24"/>
  <c r="M161" i="24"/>
  <c r="L161" i="24"/>
  <c r="K161" i="24"/>
  <c r="AA160" i="24"/>
  <c r="Z160" i="24"/>
  <c r="Y160" i="24"/>
  <c r="V160" i="24"/>
  <c r="T160" i="24"/>
  <c r="S160" i="24"/>
  <c r="R160" i="24"/>
  <c r="O160" i="24"/>
  <c r="N160" i="24"/>
  <c r="M160" i="24"/>
  <c r="L160" i="24"/>
  <c r="K160" i="24"/>
  <c r="H160" i="24"/>
  <c r="F160" i="24"/>
  <c r="AA159" i="24"/>
  <c r="Z159" i="24"/>
  <c r="Y159" i="24"/>
  <c r="V159" i="24"/>
  <c r="T159" i="24"/>
  <c r="S159" i="24"/>
  <c r="R159" i="24"/>
  <c r="O159" i="24"/>
  <c r="N159" i="24"/>
  <c r="M159" i="24"/>
  <c r="L159" i="24"/>
  <c r="K159" i="24"/>
  <c r="H159" i="24"/>
  <c r="E159" i="24"/>
  <c r="D159" i="24"/>
  <c r="AA158" i="24"/>
  <c r="Z158" i="24"/>
  <c r="Y158" i="24"/>
  <c r="V158" i="24"/>
  <c r="T158" i="24"/>
  <c r="S158" i="24"/>
  <c r="R158" i="24"/>
  <c r="O158" i="24"/>
  <c r="N158" i="24"/>
  <c r="M158" i="24"/>
  <c r="L158" i="24"/>
  <c r="K158" i="24"/>
  <c r="H158" i="24"/>
  <c r="D158" i="24"/>
  <c r="AA157" i="24"/>
  <c r="Z157" i="24"/>
  <c r="Y157" i="24"/>
  <c r="V157" i="24"/>
  <c r="T157" i="24"/>
  <c r="S157" i="24"/>
  <c r="R157" i="24"/>
  <c r="O157" i="24"/>
  <c r="N157" i="24"/>
  <c r="M157" i="24"/>
  <c r="L157" i="24"/>
  <c r="K157" i="24"/>
  <c r="H157" i="24"/>
  <c r="E157" i="24"/>
  <c r="D157" i="24"/>
  <c r="AA156" i="24"/>
  <c r="Z156" i="24"/>
  <c r="Y156" i="24"/>
  <c r="V156" i="24"/>
  <c r="T156" i="24"/>
  <c r="S156" i="24"/>
  <c r="R156" i="24"/>
  <c r="O156" i="24"/>
  <c r="N156" i="24"/>
  <c r="M156" i="24"/>
  <c r="L156" i="24"/>
  <c r="K156" i="24"/>
  <c r="H156" i="24"/>
  <c r="D156" i="24"/>
  <c r="AA155" i="24"/>
  <c r="Z155" i="24"/>
  <c r="Y155" i="24"/>
  <c r="V155" i="24"/>
  <c r="T155" i="24"/>
  <c r="S155" i="24"/>
  <c r="R155" i="24"/>
  <c r="O155" i="24"/>
  <c r="N155" i="24"/>
  <c r="M155" i="24"/>
  <c r="L155" i="24"/>
  <c r="K155" i="24"/>
  <c r="H155" i="24"/>
  <c r="E155" i="24"/>
  <c r="D155" i="24"/>
  <c r="AA154" i="24"/>
  <c r="Z154" i="24"/>
  <c r="Y154" i="24"/>
  <c r="V154" i="24"/>
  <c r="T154" i="24"/>
  <c r="S154" i="24"/>
  <c r="R154" i="24"/>
  <c r="O154" i="24"/>
  <c r="N154" i="24"/>
  <c r="M154" i="24"/>
  <c r="L154" i="24"/>
  <c r="K154" i="24"/>
  <c r="H154" i="24"/>
  <c r="D154" i="24"/>
  <c r="AA153" i="24"/>
  <c r="Z153" i="24"/>
  <c r="Y153" i="24"/>
  <c r="V153" i="24"/>
  <c r="T153" i="24"/>
  <c r="S153" i="24"/>
  <c r="R153" i="24"/>
  <c r="O153" i="24"/>
  <c r="N153" i="24"/>
  <c r="M153" i="24"/>
  <c r="L153" i="24"/>
  <c r="K153" i="24"/>
  <c r="H153" i="24"/>
  <c r="E153" i="24"/>
  <c r="D153" i="24"/>
  <c r="AA152" i="24"/>
  <c r="Z152" i="24"/>
  <c r="Y152" i="24"/>
  <c r="V152" i="24"/>
  <c r="T152" i="24"/>
  <c r="S152" i="24"/>
  <c r="R152" i="24"/>
  <c r="O152" i="24"/>
  <c r="N152" i="24"/>
  <c r="M152" i="24"/>
  <c r="L152" i="24"/>
  <c r="K152" i="24"/>
  <c r="H152" i="24"/>
  <c r="E152" i="24"/>
  <c r="D152" i="24"/>
  <c r="AA151" i="24"/>
  <c r="Z151" i="24"/>
  <c r="Y151" i="24"/>
  <c r="V151" i="24"/>
  <c r="T151" i="24"/>
  <c r="S151" i="24"/>
  <c r="R151" i="24"/>
  <c r="O151" i="24"/>
  <c r="N151" i="24"/>
  <c r="M151" i="24"/>
  <c r="L151" i="24"/>
  <c r="K151" i="24"/>
  <c r="H151" i="24"/>
  <c r="E151" i="24"/>
  <c r="D151" i="24"/>
  <c r="AA150" i="24"/>
  <c r="Z150" i="24"/>
  <c r="Y150" i="24"/>
  <c r="V150" i="24"/>
  <c r="T150" i="24"/>
  <c r="S150" i="24"/>
  <c r="R150" i="24"/>
  <c r="O150" i="24"/>
  <c r="N150" i="24"/>
  <c r="M150" i="24"/>
  <c r="L150" i="24"/>
  <c r="K150" i="24"/>
  <c r="H150" i="24"/>
  <c r="E150" i="24"/>
  <c r="D150" i="24"/>
  <c r="AA149" i="24"/>
  <c r="Z149" i="24"/>
  <c r="Y149" i="24"/>
  <c r="V149" i="24"/>
  <c r="T149" i="24"/>
  <c r="S149" i="24"/>
  <c r="R149" i="24"/>
  <c r="O149" i="24"/>
  <c r="N149" i="24"/>
  <c r="M149" i="24"/>
  <c r="L149" i="24"/>
  <c r="K149" i="24"/>
  <c r="H149" i="24"/>
  <c r="E149" i="24"/>
  <c r="D149" i="24"/>
  <c r="AA148" i="24"/>
  <c r="Z148" i="24"/>
  <c r="Y148" i="24"/>
  <c r="V148" i="24"/>
  <c r="T148" i="24"/>
  <c r="S148" i="24"/>
  <c r="R148" i="24"/>
  <c r="O148" i="24"/>
  <c r="N148" i="24"/>
  <c r="M148" i="24"/>
  <c r="L148" i="24"/>
  <c r="K148" i="24"/>
  <c r="H148" i="24"/>
  <c r="D148" i="24"/>
  <c r="AA147" i="24"/>
  <c r="Z147" i="24"/>
  <c r="Y147" i="24"/>
  <c r="T147" i="24"/>
  <c r="S147" i="24"/>
  <c r="R147" i="24"/>
  <c r="M147" i="24"/>
  <c r="L147" i="24"/>
  <c r="K147" i="24"/>
  <c r="AA146" i="24"/>
  <c r="Z146" i="24"/>
  <c r="Y146" i="24"/>
  <c r="T146" i="24"/>
  <c r="S146" i="24"/>
  <c r="R146" i="24"/>
  <c r="M146" i="24"/>
  <c r="L146" i="24"/>
  <c r="K146" i="24"/>
  <c r="AA145" i="24"/>
  <c r="Z145" i="24"/>
  <c r="Y145" i="24"/>
  <c r="V145" i="24"/>
  <c r="T145" i="24"/>
  <c r="S145" i="24"/>
  <c r="R145" i="24"/>
  <c r="O145" i="24"/>
  <c r="N145" i="24"/>
  <c r="M145" i="24"/>
  <c r="L145" i="24"/>
  <c r="K145" i="24"/>
  <c r="H145" i="24"/>
  <c r="F145" i="24"/>
  <c r="AA144" i="24"/>
  <c r="Z144" i="24"/>
  <c r="Y144" i="24"/>
  <c r="V144" i="24"/>
  <c r="T144" i="24"/>
  <c r="S144" i="24"/>
  <c r="R144" i="24"/>
  <c r="O144" i="24"/>
  <c r="N144" i="24"/>
  <c r="M144" i="24"/>
  <c r="L144" i="24"/>
  <c r="K144" i="24"/>
  <c r="H144" i="24"/>
  <c r="E144" i="24"/>
  <c r="D144" i="24"/>
  <c r="AA143" i="24"/>
  <c r="Z143" i="24"/>
  <c r="Y143" i="24"/>
  <c r="V143" i="24"/>
  <c r="T143" i="24"/>
  <c r="S143" i="24"/>
  <c r="R143" i="24"/>
  <c r="O143" i="24"/>
  <c r="N143" i="24"/>
  <c r="M143" i="24"/>
  <c r="L143" i="24"/>
  <c r="K143" i="24"/>
  <c r="H143" i="24"/>
  <c r="E143" i="24"/>
  <c r="D143" i="24"/>
  <c r="AA142" i="24"/>
  <c r="Z142" i="24"/>
  <c r="Y142" i="24"/>
  <c r="V142" i="24"/>
  <c r="T142" i="24"/>
  <c r="S142" i="24"/>
  <c r="R142" i="24"/>
  <c r="O142" i="24"/>
  <c r="N142" i="24"/>
  <c r="M142" i="24"/>
  <c r="L142" i="24"/>
  <c r="K142" i="24"/>
  <c r="H142" i="24"/>
  <c r="E142" i="24"/>
  <c r="D142" i="24"/>
  <c r="AA141" i="24"/>
  <c r="Z141" i="24"/>
  <c r="Y141" i="24"/>
  <c r="V141" i="24"/>
  <c r="T141" i="24"/>
  <c r="S141" i="24"/>
  <c r="R141" i="24"/>
  <c r="O141" i="24"/>
  <c r="N141" i="24"/>
  <c r="M141" i="24"/>
  <c r="L141" i="24"/>
  <c r="K141" i="24"/>
  <c r="H141" i="24"/>
  <c r="D141" i="24"/>
  <c r="AA140" i="24"/>
  <c r="Z140" i="24"/>
  <c r="Y140" i="24"/>
  <c r="V140" i="24"/>
  <c r="T140" i="24"/>
  <c r="S140" i="24"/>
  <c r="R140" i="24"/>
  <c r="O140" i="24"/>
  <c r="N140" i="24"/>
  <c r="M140" i="24"/>
  <c r="L140" i="24"/>
  <c r="K140" i="24"/>
  <c r="H140" i="24"/>
  <c r="E140" i="24"/>
  <c r="D140" i="24"/>
  <c r="AA139" i="24"/>
  <c r="Z139" i="24"/>
  <c r="Y139" i="24"/>
  <c r="V139" i="24"/>
  <c r="T139" i="24"/>
  <c r="S139" i="24"/>
  <c r="R139" i="24"/>
  <c r="O139" i="24"/>
  <c r="N139" i="24"/>
  <c r="M139" i="24"/>
  <c r="L139" i="24"/>
  <c r="K139" i="24"/>
  <c r="H139" i="24"/>
  <c r="E139" i="24"/>
  <c r="D139" i="24"/>
  <c r="AA138" i="24"/>
  <c r="Z138" i="24"/>
  <c r="Y138" i="24"/>
  <c r="V138" i="24"/>
  <c r="T138" i="24"/>
  <c r="S138" i="24"/>
  <c r="R138" i="24"/>
  <c r="O138" i="24"/>
  <c r="N138" i="24"/>
  <c r="M138" i="24"/>
  <c r="L138" i="24"/>
  <c r="K138" i="24"/>
  <c r="H138" i="24"/>
  <c r="E138" i="24"/>
  <c r="D138" i="24"/>
  <c r="AA137" i="24"/>
  <c r="Z137" i="24"/>
  <c r="Y137" i="24"/>
  <c r="V137" i="24"/>
  <c r="T137" i="24"/>
  <c r="S137" i="24"/>
  <c r="R137" i="24"/>
  <c r="O137" i="24"/>
  <c r="N137" i="24"/>
  <c r="M137" i="24"/>
  <c r="L137" i="24"/>
  <c r="K137" i="24"/>
  <c r="H137" i="24"/>
  <c r="E137" i="24"/>
  <c r="D137" i="24"/>
  <c r="AA136" i="24"/>
  <c r="Z136" i="24"/>
  <c r="Y136" i="24"/>
  <c r="V136" i="24"/>
  <c r="T136" i="24"/>
  <c r="S136" i="24"/>
  <c r="R136" i="24"/>
  <c r="O136" i="24"/>
  <c r="N136" i="24"/>
  <c r="M136" i="24"/>
  <c r="L136" i="24"/>
  <c r="K136" i="24"/>
  <c r="H136" i="24"/>
  <c r="D136" i="24"/>
  <c r="AA135" i="24"/>
  <c r="Z135" i="24"/>
  <c r="Y135" i="24"/>
  <c r="V135" i="24"/>
  <c r="T135" i="24"/>
  <c r="S135" i="24"/>
  <c r="R135" i="24"/>
  <c r="O135" i="24"/>
  <c r="N135" i="24"/>
  <c r="M135" i="24"/>
  <c r="L135" i="24"/>
  <c r="K135" i="24"/>
  <c r="H135" i="24"/>
  <c r="E135" i="24"/>
  <c r="D135" i="24"/>
  <c r="AA134" i="24"/>
  <c r="Z134" i="24"/>
  <c r="Y134" i="24"/>
  <c r="V134" i="24"/>
  <c r="T134" i="24"/>
  <c r="S134" i="24"/>
  <c r="R134" i="24"/>
  <c r="O134" i="24"/>
  <c r="N134" i="24"/>
  <c r="M134" i="24"/>
  <c r="L134" i="24"/>
  <c r="K134" i="24"/>
  <c r="H134" i="24"/>
  <c r="E134" i="24"/>
  <c r="D134" i="24"/>
  <c r="AA133" i="24"/>
  <c r="Z133" i="24"/>
  <c r="Y133" i="24"/>
  <c r="V133" i="24"/>
  <c r="T133" i="24"/>
  <c r="S133" i="24"/>
  <c r="R133" i="24"/>
  <c r="O133" i="24"/>
  <c r="N133" i="24"/>
  <c r="M133" i="24"/>
  <c r="L133" i="24"/>
  <c r="K133" i="24"/>
  <c r="H133" i="24"/>
  <c r="E133" i="24"/>
  <c r="D133" i="24"/>
  <c r="AA132" i="24"/>
  <c r="Z132" i="24"/>
  <c r="Y132" i="24"/>
  <c r="V132" i="24"/>
  <c r="T132" i="24"/>
  <c r="S132" i="24"/>
  <c r="R132" i="24"/>
  <c r="O132" i="24"/>
  <c r="N132" i="24"/>
  <c r="M132" i="24"/>
  <c r="L132" i="24"/>
  <c r="K132" i="24"/>
  <c r="H132" i="24"/>
  <c r="E132" i="24"/>
  <c r="D132" i="24"/>
  <c r="AA131" i="24"/>
  <c r="Z131" i="24"/>
  <c r="Y131" i="24"/>
  <c r="V131" i="24"/>
  <c r="T131" i="24"/>
  <c r="S131" i="24"/>
  <c r="R131" i="24"/>
  <c r="O131" i="24"/>
  <c r="N131" i="24"/>
  <c r="M131" i="24"/>
  <c r="L131" i="24"/>
  <c r="K131" i="24"/>
  <c r="H131" i="24"/>
  <c r="E131" i="24"/>
  <c r="D131" i="24"/>
  <c r="AA130" i="24"/>
  <c r="Z130" i="24"/>
  <c r="Y130" i="24"/>
  <c r="V130" i="24"/>
  <c r="T130" i="24"/>
  <c r="S130" i="24"/>
  <c r="R130" i="24"/>
  <c r="O130" i="24"/>
  <c r="N130" i="24"/>
  <c r="M130" i="24"/>
  <c r="L130" i="24"/>
  <c r="K130" i="24"/>
  <c r="H130" i="24"/>
  <c r="D130" i="24"/>
  <c r="AA129" i="24"/>
  <c r="Z129" i="24"/>
  <c r="Y129" i="24"/>
  <c r="V129" i="24"/>
  <c r="T129" i="24"/>
  <c r="S129" i="24"/>
  <c r="R129" i="24"/>
  <c r="O129" i="24"/>
  <c r="N129" i="24"/>
  <c r="M129" i="24"/>
  <c r="L129" i="24"/>
  <c r="K129" i="24"/>
  <c r="H129" i="24"/>
  <c r="E129" i="24"/>
  <c r="D129" i="24"/>
  <c r="AA128" i="24"/>
  <c r="Z128" i="24"/>
  <c r="Y128" i="24"/>
  <c r="V128" i="24"/>
  <c r="T128" i="24"/>
  <c r="S128" i="24"/>
  <c r="R128" i="24"/>
  <c r="O128" i="24"/>
  <c r="N128" i="24"/>
  <c r="M128" i="24"/>
  <c r="L128" i="24"/>
  <c r="K128" i="24"/>
  <c r="H128" i="24"/>
  <c r="E128" i="24"/>
  <c r="D128" i="24"/>
  <c r="AA127" i="24"/>
  <c r="Z127" i="24"/>
  <c r="Y127" i="24"/>
  <c r="V127" i="24"/>
  <c r="T127" i="24"/>
  <c r="S127" i="24"/>
  <c r="R127" i="24"/>
  <c r="O127" i="24"/>
  <c r="N127" i="24"/>
  <c r="M127" i="24"/>
  <c r="L127" i="24"/>
  <c r="K127" i="24"/>
  <c r="H127" i="24"/>
  <c r="E127" i="24"/>
  <c r="D127" i="24"/>
  <c r="AA126" i="24"/>
  <c r="Z126" i="24"/>
  <c r="Y126" i="24"/>
  <c r="V126" i="24"/>
  <c r="T126" i="24"/>
  <c r="S126" i="24"/>
  <c r="R126" i="24"/>
  <c r="O126" i="24"/>
  <c r="N126" i="24"/>
  <c r="M126" i="24"/>
  <c r="L126" i="24"/>
  <c r="K126" i="24"/>
  <c r="H126" i="24"/>
  <c r="D126" i="24"/>
  <c r="AA125" i="24"/>
  <c r="Z125" i="24"/>
  <c r="Y125" i="24"/>
  <c r="V125" i="24"/>
  <c r="T125" i="24"/>
  <c r="S125" i="24"/>
  <c r="R125" i="24"/>
  <c r="O125" i="24"/>
  <c r="N125" i="24"/>
  <c r="M125" i="24"/>
  <c r="L125" i="24"/>
  <c r="K125" i="24"/>
  <c r="H125" i="24"/>
  <c r="E125" i="24"/>
  <c r="D125" i="24"/>
  <c r="AA124" i="24"/>
  <c r="Z124" i="24"/>
  <c r="Y124" i="24"/>
  <c r="V124" i="24"/>
  <c r="T124" i="24"/>
  <c r="S124" i="24"/>
  <c r="R124" i="24"/>
  <c r="O124" i="24"/>
  <c r="N124" i="24"/>
  <c r="M124" i="24"/>
  <c r="L124" i="24"/>
  <c r="K124" i="24"/>
  <c r="H124" i="24"/>
  <c r="E124" i="24"/>
  <c r="D124" i="24"/>
  <c r="AA123" i="24"/>
  <c r="Z123" i="24"/>
  <c r="Y123" i="24"/>
  <c r="V123" i="24"/>
  <c r="T123" i="24"/>
  <c r="S123" i="24"/>
  <c r="R123" i="24"/>
  <c r="O123" i="24"/>
  <c r="N123" i="24"/>
  <c r="M123" i="24"/>
  <c r="L123" i="24"/>
  <c r="K123" i="24"/>
  <c r="H123" i="24"/>
  <c r="E123" i="24"/>
  <c r="D123" i="24"/>
  <c r="AA122" i="24"/>
  <c r="Z122" i="24"/>
  <c r="Y122" i="24"/>
  <c r="V122" i="24"/>
  <c r="T122" i="24"/>
  <c r="S122" i="24"/>
  <c r="R122" i="24"/>
  <c r="O122" i="24"/>
  <c r="N122" i="24"/>
  <c r="M122" i="24"/>
  <c r="L122" i="24"/>
  <c r="K122" i="24"/>
  <c r="H122" i="24"/>
  <c r="D122" i="24"/>
  <c r="AA121" i="24"/>
  <c r="Z121" i="24"/>
  <c r="Y121" i="24"/>
  <c r="V121" i="24"/>
  <c r="T121" i="24"/>
  <c r="S121" i="24"/>
  <c r="R121" i="24"/>
  <c r="O121" i="24"/>
  <c r="N121" i="24"/>
  <c r="M121" i="24"/>
  <c r="L121" i="24"/>
  <c r="K121" i="24"/>
  <c r="H121" i="24"/>
  <c r="E121" i="24"/>
  <c r="D121" i="24"/>
  <c r="AA120" i="24"/>
  <c r="Z120" i="24"/>
  <c r="Y120" i="24"/>
  <c r="V120" i="24"/>
  <c r="T120" i="24"/>
  <c r="S120" i="24"/>
  <c r="R120" i="24"/>
  <c r="O120" i="24"/>
  <c r="N120" i="24"/>
  <c r="M120" i="24"/>
  <c r="L120" i="24"/>
  <c r="K120" i="24"/>
  <c r="H120" i="24"/>
  <c r="E120" i="24"/>
  <c r="D120" i="24"/>
  <c r="AA119" i="24"/>
  <c r="Z119" i="24"/>
  <c r="Y119" i="24"/>
  <c r="V119" i="24"/>
  <c r="T119" i="24"/>
  <c r="S119" i="24"/>
  <c r="R119" i="24"/>
  <c r="O119" i="24"/>
  <c r="N119" i="24"/>
  <c r="M119" i="24"/>
  <c r="L119" i="24"/>
  <c r="K119" i="24"/>
  <c r="H119" i="24"/>
  <c r="E119" i="24"/>
  <c r="D119" i="24"/>
  <c r="AA118" i="24"/>
  <c r="Z118" i="24"/>
  <c r="Y118" i="24"/>
  <c r="V118" i="24"/>
  <c r="T118" i="24"/>
  <c r="S118" i="24"/>
  <c r="R118" i="24"/>
  <c r="O118" i="24"/>
  <c r="N118" i="24"/>
  <c r="M118" i="24"/>
  <c r="L118" i="24"/>
  <c r="K118" i="24"/>
  <c r="H118" i="24"/>
  <c r="D118" i="24"/>
  <c r="AA117" i="24"/>
  <c r="Z117" i="24"/>
  <c r="Y117" i="24"/>
  <c r="T117" i="24"/>
  <c r="S117" i="24"/>
  <c r="R117" i="24"/>
  <c r="M117" i="24"/>
  <c r="L117" i="24"/>
  <c r="K117" i="24"/>
  <c r="AA116" i="24"/>
  <c r="Z116" i="24"/>
  <c r="Y116" i="24"/>
  <c r="T116" i="24"/>
  <c r="S116" i="24"/>
  <c r="R116" i="24"/>
  <c r="M116" i="24"/>
  <c r="L116" i="24"/>
  <c r="K116" i="24"/>
  <c r="AA115" i="24"/>
  <c r="Z115" i="24"/>
  <c r="Y115" i="24"/>
  <c r="V115" i="24"/>
  <c r="T115" i="24"/>
  <c r="S115" i="24"/>
  <c r="R115" i="24"/>
  <c r="O115" i="24"/>
  <c r="N115" i="24"/>
  <c r="M115" i="24"/>
  <c r="L115" i="24"/>
  <c r="K115" i="24"/>
  <c r="H115" i="24"/>
  <c r="F115" i="24"/>
  <c r="AA114" i="24"/>
  <c r="Z114" i="24"/>
  <c r="Y114" i="24"/>
  <c r="V114" i="24"/>
  <c r="T114" i="24"/>
  <c r="S114" i="24"/>
  <c r="R114" i="24"/>
  <c r="O114" i="24"/>
  <c r="N114" i="24"/>
  <c r="M114" i="24"/>
  <c r="L114" i="24"/>
  <c r="K114" i="24"/>
  <c r="H114" i="24"/>
  <c r="E114" i="24"/>
  <c r="D114" i="24"/>
  <c r="AA113" i="24"/>
  <c r="Z113" i="24"/>
  <c r="Y113" i="24"/>
  <c r="V113" i="24"/>
  <c r="T113" i="24"/>
  <c r="S113" i="24"/>
  <c r="R113" i="24"/>
  <c r="O113" i="24"/>
  <c r="N113" i="24"/>
  <c r="M113" i="24"/>
  <c r="L113" i="24"/>
  <c r="K113" i="24"/>
  <c r="H113" i="24"/>
  <c r="D113" i="24"/>
  <c r="AA112" i="24"/>
  <c r="Z112" i="24"/>
  <c r="Y112" i="24"/>
  <c r="V112" i="24"/>
  <c r="T112" i="24"/>
  <c r="S112" i="24"/>
  <c r="R112" i="24"/>
  <c r="O112" i="24"/>
  <c r="N112" i="24"/>
  <c r="M112" i="24"/>
  <c r="L112" i="24"/>
  <c r="K112" i="24"/>
  <c r="H112" i="24"/>
  <c r="E112" i="24"/>
  <c r="D112" i="24"/>
  <c r="AA111" i="24"/>
  <c r="Z111" i="24"/>
  <c r="Y111" i="24"/>
  <c r="V111" i="24"/>
  <c r="T111" i="24"/>
  <c r="S111" i="24"/>
  <c r="R111" i="24"/>
  <c r="O111" i="24"/>
  <c r="N111" i="24"/>
  <c r="M111" i="24"/>
  <c r="L111" i="24"/>
  <c r="K111" i="24"/>
  <c r="H111" i="24"/>
  <c r="E111" i="24"/>
  <c r="D111" i="24"/>
  <c r="AA110" i="24"/>
  <c r="Z110" i="24"/>
  <c r="Y110" i="24"/>
  <c r="V110" i="24"/>
  <c r="T110" i="24"/>
  <c r="S110" i="24"/>
  <c r="R110" i="24"/>
  <c r="O110" i="24"/>
  <c r="N110" i="24"/>
  <c r="M110" i="24"/>
  <c r="L110" i="24"/>
  <c r="K110" i="24"/>
  <c r="H110" i="24"/>
  <c r="E110" i="24"/>
  <c r="D110" i="24"/>
  <c r="AA109" i="24"/>
  <c r="Z109" i="24"/>
  <c r="Y109" i="24"/>
  <c r="V109" i="24"/>
  <c r="T109" i="24"/>
  <c r="S109" i="24"/>
  <c r="R109" i="24"/>
  <c r="O109" i="24"/>
  <c r="N109" i="24"/>
  <c r="M109" i="24"/>
  <c r="L109" i="24"/>
  <c r="K109" i="24"/>
  <c r="H109" i="24"/>
  <c r="D109" i="24"/>
  <c r="AA108" i="24"/>
  <c r="Z108" i="24"/>
  <c r="Y108" i="24"/>
  <c r="V108" i="24"/>
  <c r="T108" i="24"/>
  <c r="S108" i="24"/>
  <c r="R108" i="24"/>
  <c r="O108" i="24"/>
  <c r="N108" i="24"/>
  <c r="M108" i="24"/>
  <c r="L108" i="24"/>
  <c r="K108" i="24"/>
  <c r="H108" i="24"/>
  <c r="E108" i="24"/>
  <c r="D108" i="24"/>
  <c r="AA107" i="24"/>
  <c r="Z107" i="24"/>
  <c r="Y107" i="24"/>
  <c r="V107" i="24"/>
  <c r="T107" i="24"/>
  <c r="S107" i="24"/>
  <c r="R107" i="24"/>
  <c r="O107" i="24"/>
  <c r="N107" i="24"/>
  <c r="M107" i="24"/>
  <c r="L107" i="24"/>
  <c r="K107" i="24"/>
  <c r="H107" i="24"/>
  <c r="D107" i="24"/>
  <c r="AA106" i="24"/>
  <c r="Z106" i="24"/>
  <c r="Y106" i="24"/>
  <c r="V106" i="24"/>
  <c r="T106" i="24"/>
  <c r="S106" i="24"/>
  <c r="R106" i="24"/>
  <c r="O106" i="24"/>
  <c r="N106" i="24"/>
  <c r="M106" i="24"/>
  <c r="L106" i="24"/>
  <c r="K106" i="24"/>
  <c r="H106" i="24"/>
  <c r="E106" i="24"/>
  <c r="D106" i="24"/>
  <c r="AA105" i="24"/>
  <c r="Z105" i="24"/>
  <c r="Y105" i="24"/>
  <c r="V105" i="24"/>
  <c r="T105" i="24"/>
  <c r="S105" i="24"/>
  <c r="R105" i="24"/>
  <c r="O105" i="24"/>
  <c r="N105" i="24"/>
  <c r="M105" i="24"/>
  <c r="L105" i="24"/>
  <c r="K105" i="24"/>
  <c r="H105" i="24"/>
  <c r="E105" i="24"/>
  <c r="D105" i="24"/>
  <c r="AA104" i="24"/>
  <c r="Z104" i="24"/>
  <c r="Y104" i="24"/>
  <c r="V104" i="24"/>
  <c r="T104" i="24"/>
  <c r="S104" i="24"/>
  <c r="R104" i="24"/>
  <c r="O104" i="24"/>
  <c r="N104" i="24"/>
  <c r="M104" i="24"/>
  <c r="L104" i="24"/>
  <c r="K104" i="24"/>
  <c r="H104" i="24"/>
  <c r="D104" i="24"/>
  <c r="AA103" i="24"/>
  <c r="Z103" i="24"/>
  <c r="Y103" i="24"/>
  <c r="T103" i="24"/>
  <c r="S103" i="24"/>
  <c r="R103" i="24"/>
  <c r="M103" i="24"/>
  <c r="L103" i="24"/>
  <c r="K103" i="24"/>
  <c r="AA102" i="24"/>
  <c r="Z102" i="24"/>
  <c r="Y102" i="24"/>
  <c r="T102" i="24"/>
  <c r="S102" i="24"/>
  <c r="R102" i="24"/>
  <c r="M102" i="24"/>
  <c r="L102" i="24"/>
  <c r="K102" i="24"/>
  <c r="AA101" i="24"/>
  <c r="Z101" i="24"/>
  <c r="Y101" i="24"/>
  <c r="V101" i="24"/>
  <c r="T101" i="24"/>
  <c r="S101" i="24"/>
  <c r="R101" i="24"/>
  <c r="O101" i="24"/>
  <c r="N101" i="24"/>
  <c r="M101" i="24"/>
  <c r="L101" i="24"/>
  <c r="K101" i="24"/>
  <c r="H101" i="24"/>
  <c r="F101" i="24"/>
  <c r="AA100" i="24"/>
  <c r="Z100" i="24"/>
  <c r="Y100" i="24"/>
  <c r="V100" i="24"/>
  <c r="T100" i="24"/>
  <c r="S100" i="24"/>
  <c r="R100" i="24"/>
  <c r="O100" i="24"/>
  <c r="N100" i="24"/>
  <c r="M100" i="24"/>
  <c r="L100" i="24"/>
  <c r="K100" i="24"/>
  <c r="H100" i="24"/>
  <c r="E100" i="24"/>
  <c r="D100" i="24"/>
  <c r="AA99" i="24"/>
  <c r="Z99" i="24"/>
  <c r="Y99" i="24"/>
  <c r="V99" i="24"/>
  <c r="T99" i="24"/>
  <c r="S99" i="24"/>
  <c r="R99" i="24"/>
  <c r="O99" i="24"/>
  <c r="N99" i="24"/>
  <c r="M99" i="24"/>
  <c r="L99" i="24"/>
  <c r="K99" i="24"/>
  <c r="H99" i="24"/>
  <c r="E99" i="24"/>
  <c r="D99" i="24"/>
  <c r="AA98" i="24"/>
  <c r="Z98" i="24"/>
  <c r="Y98" i="24"/>
  <c r="V98" i="24"/>
  <c r="T98" i="24"/>
  <c r="S98" i="24"/>
  <c r="R98" i="24"/>
  <c r="O98" i="24"/>
  <c r="N98" i="24"/>
  <c r="M98" i="24"/>
  <c r="L98" i="24"/>
  <c r="K98" i="24"/>
  <c r="H98" i="24"/>
  <c r="D98" i="24"/>
  <c r="AA97" i="24"/>
  <c r="Z97" i="24"/>
  <c r="Y97" i="24"/>
  <c r="V97" i="24"/>
  <c r="T97" i="24"/>
  <c r="S97" i="24"/>
  <c r="R97" i="24"/>
  <c r="O97" i="24"/>
  <c r="N97" i="24"/>
  <c r="M97" i="24"/>
  <c r="L97" i="24"/>
  <c r="K97" i="24"/>
  <c r="H97" i="24"/>
  <c r="E97" i="24"/>
  <c r="D97" i="24"/>
  <c r="AA96" i="24"/>
  <c r="Z96" i="24"/>
  <c r="Y96" i="24"/>
  <c r="V96" i="24"/>
  <c r="T96" i="24"/>
  <c r="S96" i="24"/>
  <c r="R96" i="24"/>
  <c r="O96" i="24"/>
  <c r="N96" i="24"/>
  <c r="M96" i="24"/>
  <c r="L96" i="24"/>
  <c r="K96" i="24"/>
  <c r="H96" i="24"/>
  <c r="E96" i="24"/>
  <c r="D96" i="24"/>
  <c r="AA95" i="24"/>
  <c r="Z95" i="24"/>
  <c r="Y95" i="24"/>
  <c r="V95" i="24"/>
  <c r="T95" i="24"/>
  <c r="S95" i="24"/>
  <c r="R95" i="24"/>
  <c r="O95" i="24"/>
  <c r="N95" i="24"/>
  <c r="M95" i="24"/>
  <c r="L95" i="24"/>
  <c r="K95" i="24"/>
  <c r="H95" i="24"/>
  <c r="D95" i="24"/>
  <c r="AA94" i="24"/>
  <c r="Z94" i="24"/>
  <c r="Y94" i="24"/>
  <c r="T94" i="24"/>
  <c r="S94" i="24"/>
  <c r="R94" i="24"/>
  <c r="M94" i="24"/>
  <c r="L94" i="24"/>
  <c r="K94" i="24"/>
  <c r="AA93" i="24"/>
  <c r="Z93" i="24"/>
  <c r="Y93" i="24"/>
  <c r="T93" i="24"/>
  <c r="S93" i="24"/>
  <c r="R93" i="24"/>
  <c r="M93" i="24"/>
  <c r="L93" i="24"/>
  <c r="K93" i="24"/>
  <c r="AA92" i="24"/>
  <c r="Z92" i="24"/>
  <c r="Y92" i="24"/>
  <c r="V92" i="24"/>
  <c r="T92" i="24"/>
  <c r="S92" i="24"/>
  <c r="R92" i="24"/>
  <c r="O92" i="24"/>
  <c r="N92" i="24"/>
  <c r="M92" i="24"/>
  <c r="L92" i="24"/>
  <c r="K92" i="24"/>
  <c r="H92" i="24"/>
  <c r="F92" i="24"/>
  <c r="AA91" i="24"/>
  <c r="Z91" i="24"/>
  <c r="Y91" i="24"/>
  <c r="V91" i="24"/>
  <c r="T91" i="24"/>
  <c r="S91" i="24"/>
  <c r="R91" i="24"/>
  <c r="O91" i="24"/>
  <c r="N91" i="24"/>
  <c r="M91" i="24"/>
  <c r="L91" i="24"/>
  <c r="K91" i="24"/>
  <c r="H91" i="24"/>
  <c r="E91" i="24"/>
  <c r="D91" i="24"/>
  <c r="AA90" i="24"/>
  <c r="Z90" i="24"/>
  <c r="Y90" i="24"/>
  <c r="V90" i="24"/>
  <c r="T90" i="24"/>
  <c r="S90" i="24"/>
  <c r="R90" i="24"/>
  <c r="O90" i="24"/>
  <c r="N90" i="24"/>
  <c r="M90" i="24"/>
  <c r="L90" i="24"/>
  <c r="K90" i="24"/>
  <c r="H90" i="24"/>
  <c r="D90" i="24"/>
  <c r="AA89" i="24"/>
  <c r="Z89" i="24"/>
  <c r="Y89" i="24"/>
  <c r="V89" i="24"/>
  <c r="T89" i="24"/>
  <c r="S89" i="24"/>
  <c r="R89" i="24"/>
  <c r="O89" i="24"/>
  <c r="N89" i="24"/>
  <c r="M89" i="24"/>
  <c r="L89" i="24"/>
  <c r="K89" i="24"/>
  <c r="H89" i="24"/>
  <c r="E89" i="24"/>
  <c r="D89" i="24"/>
  <c r="AA88" i="24"/>
  <c r="Z88" i="24"/>
  <c r="Y88" i="24"/>
  <c r="V88" i="24"/>
  <c r="T88" i="24"/>
  <c r="S88" i="24"/>
  <c r="R88" i="24"/>
  <c r="O88" i="24"/>
  <c r="N88" i="24"/>
  <c r="M88" i="24"/>
  <c r="L88" i="24"/>
  <c r="K88" i="24"/>
  <c r="H88" i="24"/>
  <c r="E88" i="24"/>
  <c r="D88" i="24"/>
  <c r="AA87" i="24"/>
  <c r="Z87" i="24"/>
  <c r="Y87" i="24"/>
  <c r="V87" i="24"/>
  <c r="T87" i="24"/>
  <c r="S87" i="24"/>
  <c r="R87" i="24"/>
  <c r="O87" i="24"/>
  <c r="N87" i="24"/>
  <c r="M87" i="24"/>
  <c r="L87" i="24"/>
  <c r="K87" i="24"/>
  <c r="H87" i="24"/>
  <c r="D87" i="24"/>
  <c r="AA86" i="24"/>
  <c r="Z86" i="24"/>
  <c r="Y86" i="24"/>
  <c r="V86" i="24"/>
  <c r="T86" i="24"/>
  <c r="S86" i="24"/>
  <c r="R86" i="24"/>
  <c r="O86" i="24"/>
  <c r="N86" i="24"/>
  <c r="M86" i="24"/>
  <c r="L86" i="24"/>
  <c r="K86" i="24"/>
  <c r="H86" i="24"/>
  <c r="E86" i="24"/>
  <c r="D86" i="24"/>
  <c r="AA85" i="24"/>
  <c r="Z85" i="24"/>
  <c r="Y85" i="24"/>
  <c r="V85" i="24"/>
  <c r="T85" i="24"/>
  <c r="S85" i="24"/>
  <c r="R85" i="24"/>
  <c r="O85" i="24"/>
  <c r="N85" i="24"/>
  <c r="M85" i="24"/>
  <c r="L85" i="24"/>
  <c r="K85" i="24"/>
  <c r="H85" i="24"/>
  <c r="E85" i="24"/>
  <c r="D85" i="24"/>
  <c r="AA84" i="24"/>
  <c r="Z84" i="24"/>
  <c r="Y84" i="24"/>
  <c r="V84" i="24"/>
  <c r="T84" i="24"/>
  <c r="S84" i="24"/>
  <c r="R84" i="24"/>
  <c r="O84" i="24"/>
  <c r="N84" i="24"/>
  <c r="M84" i="24"/>
  <c r="L84" i="24"/>
  <c r="K84" i="24"/>
  <c r="H84" i="24"/>
  <c r="E84" i="24"/>
  <c r="D84" i="24"/>
  <c r="AA83" i="24"/>
  <c r="Z83" i="24"/>
  <c r="Y83" i="24"/>
  <c r="V83" i="24"/>
  <c r="T83" i="24"/>
  <c r="S83" i="24"/>
  <c r="R83" i="24"/>
  <c r="O83" i="24"/>
  <c r="N83" i="24"/>
  <c r="M83" i="24"/>
  <c r="L83" i="24"/>
  <c r="K83" i="24"/>
  <c r="H83" i="24"/>
  <c r="D83" i="24"/>
  <c r="AA82" i="24"/>
  <c r="Z82" i="24"/>
  <c r="Y82" i="24"/>
  <c r="V82" i="24"/>
  <c r="T82" i="24"/>
  <c r="S82" i="24"/>
  <c r="R82" i="24"/>
  <c r="O82" i="24"/>
  <c r="N82" i="24"/>
  <c r="M82" i="24"/>
  <c r="L82" i="24"/>
  <c r="K82" i="24"/>
  <c r="H82" i="24"/>
  <c r="E82" i="24"/>
  <c r="D82" i="24"/>
  <c r="AA81" i="24"/>
  <c r="Z81" i="24"/>
  <c r="Y81" i="24"/>
  <c r="V81" i="24"/>
  <c r="T81" i="24"/>
  <c r="S81" i="24"/>
  <c r="R81" i="24"/>
  <c r="O81" i="24"/>
  <c r="N81" i="24"/>
  <c r="M81" i="24"/>
  <c r="L81" i="24"/>
  <c r="K81" i="24"/>
  <c r="H81" i="24"/>
  <c r="E81" i="24"/>
  <c r="D81" i="24"/>
  <c r="AA80" i="24"/>
  <c r="Z80" i="24"/>
  <c r="Y80" i="24"/>
  <c r="V80" i="24"/>
  <c r="T80" i="24"/>
  <c r="S80" i="24"/>
  <c r="R80" i="24"/>
  <c r="O80" i="24"/>
  <c r="N80" i="24"/>
  <c r="M80" i="24"/>
  <c r="L80" i="24"/>
  <c r="K80" i="24"/>
  <c r="H80" i="24"/>
  <c r="D80" i="24"/>
  <c r="AA79" i="24"/>
  <c r="Z79" i="24"/>
  <c r="Y79" i="24"/>
  <c r="V79" i="24"/>
  <c r="T79" i="24"/>
  <c r="S79" i="24"/>
  <c r="R79" i="24"/>
  <c r="O79" i="24"/>
  <c r="N79" i="24"/>
  <c r="M79" i="24"/>
  <c r="L79" i="24"/>
  <c r="K79" i="24"/>
  <c r="H79" i="24"/>
  <c r="E79" i="24"/>
  <c r="D79" i="24"/>
  <c r="AA78" i="24"/>
  <c r="Z78" i="24"/>
  <c r="Y78" i="24"/>
  <c r="V78" i="24"/>
  <c r="T78" i="24"/>
  <c r="S78" i="24"/>
  <c r="R78" i="24"/>
  <c r="O78" i="24"/>
  <c r="N78" i="24"/>
  <c r="M78" i="24"/>
  <c r="L78" i="24"/>
  <c r="K78" i="24"/>
  <c r="H78" i="24"/>
  <c r="E78" i="24"/>
  <c r="D78" i="24"/>
  <c r="AA77" i="24"/>
  <c r="Z77" i="24"/>
  <c r="Y77" i="24"/>
  <c r="V77" i="24"/>
  <c r="T77" i="24"/>
  <c r="S77" i="24"/>
  <c r="R77" i="24"/>
  <c r="O77" i="24"/>
  <c r="N77" i="24"/>
  <c r="M77" i="24"/>
  <c r="L77" i="24"/>
  <c r="K77" i="24"/>
  <c r="H77" i="24"/>
  <c r="D77" i="24"/>
  <c r="AA76" i="24"/>
  <c r="Z76" i="24"/>
  <c r="Y76" i="24"/>
  <c r="V76" i="24"/>
  <c r="T76" i="24"/>
  <c r="S76" i="24"/>
  <c r="R76" i="24"/>
  <c r="O76" i="24"/>
  <c r="N76" i="24"/>
  <c r="M76" i="24"/>
  <c r="L76" i="24"/>
  <c r="K76" i="24"/>
  <c r="H76" i="24"/>
  <c r="E76" i="24"/>
  <c r="D76" i="24"/>
  <c r="AA75" i="24"/>
  <c r="Z75" i="24"/>
  <c r="Y75" i="24"/>
  <c r="V75" i="24"/>
  <c r="T75" i="24"/>
  <c r="S75" i="24"/>
  <c r="R75" i="24"/>
  <c r="O75" i="24"/>
  <c r="N75" i="24"/>
  <c r="M75" i="24"/>
  <c r="L75" i="24"/>
  <c r="K75" i="24"/>
  <c r="H75" i="24"/>
  <c r="E75" i="24"/>
  <c r="D75" i="24"/>
  <c r="AA74" i="24"/>
  <c r="Z74" i="24"/>
  <c r="Y74" i="24"/>
  <c r="V74" i="24"/>
  <c r="T74" i="24"/>
  <c r="S74" i="24"/>
  <c r="R74" i="24"/>
  <c r="O74" i="24"/>
  <c r="N74" i="24"/>
  <c r="M74" i="24"/>
  <c r="L74" i="24"/>
  <c r="K74" i="24"/>
  <c r="H74" i="24"/>
  <c r="E74" i="24"/>
  <c r="D74" i="24"/>
  <c r="AA73" i="24"/>
  <c r="Z73" i="24"/>
  <c r="Y73" i="24"/>
  <c r="V73" i="24"/>
  <c r="T73" i="24"/>
  <c r="S73" i="24"/>
  <c r="R73" i="24"/>
  <c r="O73" i="24"/>
  <c r="N73" i="24"/>
  <c r="M73" i="24"/>
  <c r="L73" i="24"/>
  <c r="K73" i="24"/>
  <c r="H73" i="24"/>
  <c r="D73" i="24"/>
  <c r="AA72" i="24"/>
  <c r="Z72" i="24"/>
  <c r="Y72" i="24"/>
  <c r="V72" i="24"/>
  <c r="T72" i="24"/>
  <c r="S72" i="24"/>
  <c r="R72" i="24"/>
  <c r="O72" i="24"/>
  <c r="N72" i="24"/>
  <c r="M72" i="24"/>
  <c r="L72" i="24"/>
  <c r="K72" i="24"/>
  <c r="H72" i="24"/>
  <c r="E72" i="24"/>
  <c r="D72" i="24"/>
  <c r="AA71" i="24"/>
  <c r="Z71" i="24"/>
  <c r="Y71" i="24"/>
  <c r="V71" i="24"/>
  <c r="T71" i="24"/>
  <c r="S71" i="24"/>
  <c r="R71" i="24"/>
  <c r="O71" i="24"/>
  <c r="N71" i="24"/>
  <c r="M71" i="24"/>
  <c r="L71" i="24"/>
  <c r="K71" i="24"/>
  <c r="H71" i="24"/>
  <c r="E71" i="24"/>
  <c r="D71" i="24"/>
  <c r="AA70" i="24"/>
  <c r="Z70" i="24"/>
  <c r="Y70" i="24"/>
  <c r="V70" i="24"/>
  <c r="T70" i="24"/>
  <c r="S70" i="24"/>
  <c r="R70" i="24"/>
  <c r="O70" i="24"/>
  <c r="N70" i="24"/>
  <c r="M70" i="24"/>
  <c r="L70" i="24"/>
  <c r="K70" i="24"/>
  <c r="H70" i="24"/>
  <c r="E70" i="24"/>
  <c r="D70" i="24"/>
  <c r="AA69" i="24"/>
  <c r="Z69" i="24"/>
  <c r="Y69" i="24"/>
  <c r="V69" i="24"/>
  <c r="T69" i="24"/>
  <c r="S69" i="24"/>
  <c r="R69" i="24"/>
  <c r="O69" i="24"/>
  <c r="N69" i="24"/>
  <c r="M69" i="24"/>
  <c r="L69" i="24"/>
  <c r="K69" i="24"/>
  <c r="H69" i="24"/>
  <c r="E69" i="24"/>
  <c r="D69" i="24"/>
  <c r="AA68" i="24"/>
  <c r="Z68" i="24"/>
  <c r="Y68" i="24"/>
  <c r="V68" i="24"/>
  <c r="T68" i="24"/>
  <c r="S68" i="24"/>
  <c r="R68" i="24"/>
  <c r="O68" i="24"/>
  <c r="N68" i="24"/>
  <c r="M68" i="24"/>
  <c r="L68" i="24"/>
  <c r="K68" i="24"/>
  <c r="H68" i="24"/>
  <c r="E68" i="24"/>
  <c r="D68" i="24"/>
  <c r="AA67" i="24"/>
  <c r="Z67" i="24"/>
  <c r="Y67" i="24"/>
  <c r="V67" i="24"/>
  <c r="T67" i="24"/>
  <c r="S67" i="24"/>
  <c r="R67" i="24"/>
  <c r="O67" i="24"/>
  <c r="N67" i="24"/>
  <c r="M67" i="24"/>
  <c r="L67" i="24"/>
  <c r="K67" i="24"/>
  <c r="H67" i="24"/>
  <c r="E67" i="24"/>
  <c r="D67" i="24"/>
  <c r="AA66" i="24"/>
  <c r="Z66" i="24"/>
  <c r="Y66" i="24"/>
  <c r="V66" i="24"/>
  <c r="T66" i="24"/>
  <c r="S66" i="24"/>
  <c r="R66" i="24"/>
  <c r="O66" i="24"/>
  <c r="N66" i="24"/>
  <c r="M66" i="24"/>
  <c r="L66" i="24"/>
  <c r="K66" i="24"/>
  <c r="H66" i="24"/>
  <c r="D66" i="24"/>
  <c r="AA65" i="24"/>
  <c r="Z65" i="24"/>
  <c r="Y65" i="24"/>
  <c r="T65" i="24"/>
  <c r="S65" i="24"/>
  <c r="R65" i="24"/>
  <c r="M65" i="24"/>
  <c r="L65" i="24"/>
  <c r="K65" i="24"/>
  <c r="AA64" i="24"/>
  <c r="Z64" i="24"/>
  <c r="Y64" i="24"/>
  <c r="T64" i="24"/>
  <c r="S64" i="24"/>
  <c r="R64" i="24"/>
  <c r="M64" i="24"/>
  <c r="L64" i="24"/>
  <c r="K64" i="24"/>
  <c r="AA63" i="24"/>
  <c r="Z63" i="24"/>
  <c r="Y63" i="24"/>
  <c r="V63" i="24"/>
  <c r="T63" i="24"/>
  <c r="S63" i="24"/>
  <c r="R63" i="24"/>
  <c r="O63" i="24"/>
  <c r="N63" i="24"/>
  <c r="M63" i="24"/>
  <c r="L63" i="24"/>
  <c r="K63" i="24"/>
  <c r="H63" i="24"/>
  <c r="F63" i="24"/>
  <c r="AA62" i="24"/>
  <c r="Z62" i="24"/>
  <c r="Y62" i="24"/>
  <c r="V62" i="24"/>
  <c r="T62" i="24"/>
  <c r="S62" i="24"/>
  <c r="R62" i="24"/>
  <c r="O62" i="24"/>
  <c r="N62" i="24"/>
  <c r="M62" i="24"/>
  <c r="L62" i="24"/>
  <c r="K62" i="24"/>
  <c r="H62" i="24"/>
  <c r="E62" i="24"/>
  <c r="D62" i="24"/>
  <c r="AA61" i="24"/>
  <c r="Z61" i="24"/>
  <c r="Y61" i="24"/>
  <c r="V61" i="24"/>
  <c r="T61" i="24"/>
  <c r="S61" i="24"/>
  <c r="R61" i="24"/>
  <c r="O61" i="24"/>
  <c r="N61" i="24"/>
  <c r="M61" i="24"/>
  <c r="L61" i="24"/>
  <c r="K61" i="24"/>
  <c r="H61" i="24"/>
  <c r="D61" i="24"/>
  <c r="AA60" i="24"/>
  <c r="Z60" i="24"/>
  <c r="Y60" i="24"/>
  <c r="V60" i="24"/>
  <c r="T60" i="24"/>
  <c r="S60" i="24"/>
  <c r="R60" i="24"/>
  <c r="O60" i="24"/>
  <c r="N60" i="24"/>
  <c r="M60" i="24"/>
  <c r="L60" i="24"/>
  <c r="K60" i="24"/>
  <c r="H60" i="24"/>
  <c r="E60" i="24"/>
  <c r="D60" i="24"/>
  <c r="AA59" i="24"/>
  <c r="Z59" i="24"/>
  <c r="Y59" i="24"/>
  <c r="V59" i="24"/>
  <c r="T59" i="24"/>
  <c r="S59" i="24"/>
  <c r="R59" i="24"/>
  <c r="O59" i="24"/>
  <c r="N59" i="24"/>
  <c r="M59" i="24"/>
  <c r="L59" i="24"/>
  <c r="K59" i="24"/>
  <c r="H59" i="24"/>
  <c r="E59" i="24"/>
  <c r="D59" i="24"/>
  <c r="AA58" i="24"/>
  <c r="Z58" i="24"/>
  <c r="Y58" i="24"/>
  <c r="V58" i="24"/>
  <c r="T58" i="24"/>
  <c r="S58" i="24"/>
  <c r="R58" i="24"/>
  <c r="O58" i="24"/>
  <c r="N58" i="24"/>
  <c r="M58" i="24"/>
  <c r="L58" i="24"/>
  <c r="K58" i="24"/>
  <c r="H58" i="24"/>
  <c r="D58" i="24"/>
  <c r="AA57" i="24"/>
  <c r="Z57" i="24"/>
  <c r="Y57" i="24"/>
  <c r="V57" i="24"/>
  <c r="T57" i="24"/>
  <c r="S57" i="24"/>
  <c r="R57" i="24"/>
  <c r="O57" i="24"/>
  <c r="N57" i="24"/>
  <c r="M57" i="24"/>
  <c r="L57" i="24"/>
  <c r="K57" i="24"/>
  <c r="H57" i="24"/>
  <c r="E57" i="24"/>
  <c r="D57" i="24"/>
  <c r="AA56" i="24"/>
  <c r="Z56" i="24"/>
  <c r="Y56" i="24"/>
  <c r="V56" i="24"/>
  <c r="T56" i="24"/>
  <c r="S56" i="24"/>
  <c r="R56" i="24"/>
  <c r="O56" i="24"/>
  <c r="N56" i="24"/>
  <c r="M56" i="24"/>
  <c r="L56" i="24"/>
  <c r="K56" i="24"/>
  <c r="H56" i="24"/>
  <c r="E56" i="24"/>
  <c r="D56" i="24"/>
  <c r="AA55" i="24"/>
  <c r="Z55" i="24"/>
  <c r="Y55" i="24"/>
  <c r="V55" i="24"/>
  <c r="T55" i="24"/>
  <c r="S55" i="24"/>
  <c r="R55" i="24"/>
  <c r="O55" i="24"/>
  <c r="N55" i="24"/>
  <c r="M55" i="24"/>
  <c r="L55" i="24"/>
  <c r="K55" i="24"/>
  <c r="H55" i="24"/>
  <c r="D55" i="24"/>
  <c r="AA54" i="24"/>
  <c r="Z54" i="24"/>
  <c r="Y54" i="24"/>
  <c r="V54" i="24"/>
  <c r="T54" i="24"/>
  <c r="S54" i="24"/>
  <c r="R54" i="24"/>
  <c r="O54" i="24"/>
  <c r="N54" i="24"/>
  <c r="M54" i="24"/>
  <c r="L54" i="24"/>
  <c r="K54" i="24"/>
  <c r="H54" i="24"/>
  <c r="E54" i="24"/>
  <c r="D54" i="24"/>
  <c r="AA53" i="24"/>
  <c r="Z53" i="24"/>
  <c r="Y53" i="24"/>
  <c r="V53" i="24"/>
  <c r="T53" i="24"/>
  <c r="S53" i="24"/>
  <c r="R53" i="24"/>
  <c r="O53" i="24"/>
  <c r="N53" i="24"/>
  <c r="M53" i="24"/>
  <c r="L53" i="24"/>
  <c r="K53" i="24"/>
  <c r="H53" i="24"/>
  <c r="E53" i="24"/>
  <c r="D53" i="24"/>
  <c r="AA52" i="24"/>
  <c r="Z52" i="24"/>
  <c r="Y52" i="24"/>
  <c r="V52" i="24"/>
  <c r="T52" i="24"/>
  <c r="S52" i="24"/>
  <c r="R52" i="24"/>
  <c r="O52" i="24"/>
  <c r="N52" i="24"/>
  <c r="M52" i="24"/>
  <c r="L52" i="24"/>
  <c r="K52" i="24"/>
  <c r="H52" i="24"/>
  <c r="E52" i="24"/>
  <c r="D52" i="24"/>
  <c r="AA51" i="24"/>
  <c r="Z51" i="24"/>
  <c r="Y51" i="24"/>
  <c r="V51" i="24"/>
  <c r="T51" i="24"/>
  <c r="S51" i="24"/>
  <c r="R51" i="24"/>
  <c r="O51" i="24"/>
  <c r="N51" i="24"/>
  <c r="M51" i="24"/>
  <c r="L51" i="24"/>
  <c r="K51" i="24"/>
  <c r="H51" i="24"/>
  <c r="D51" i="24"/>
  <c r="AA50" i="24"/>
  <c r="Z50" i="24"/>
  <c r="Y50" i="24"/>
  <c r="V50" i="24"/>
  <c r="T50" i="24"/>
  <c r="S50" i="24"/>
  <c r="R50" i="24"/>
  <c r="O50" i="24"/>
  <c r="N50" i="24"/>
  <c r="M50" i="24"/>
  <c r="L50" i="24"/>
  <c r="K50" i="24"/>
  <c r="H50" i="24"/>
  <c r="E50" i="24"/>
  <c r="D50" i="24"/>
  <c r="AA49" i="24"/>
  <c r="Z49" i="24"/>
  <c r="Y49" i="24"/>
  <c r="V49" i="24"/>
  <c r="T49" i="24"/>
  <c r="S49" i="24"/>
  <c r="R49" i="24"/>
  <c r="O49" i="24"/>
  <c r="N49" i="24"/>
  <c r="M49" i="24"/>
  <c r="L49" i="24"/>
  <c r="K49" i="24"/>
  <c r="H49" i="24"/>
  <c r="E49" i="24"/>
  <c r="D49" i="24"/>
  <c r="AA48" i="24"/>
  <c r="Z48" i="24"/>
  <c r="Y48" i="24"/>
  <c r="V48" i="24"/>
  <c r="T48" i="24"/>
  <c r="S48" i="24"/>
  <c r="R48" i="24"/>
  <c r="O48" i="24"/>
  <c r="N48" i="24"/>
  <c r="M48" i="24"/>
  <c r="L48" i="24"/>
  <c r="K48" i="24"/>
  <c r="H48" i="24"/>
  <c r="E48" i="24"/>
  <c r="D48" i="24"/>
  <c r="AA47" i="24"/>
  <c r="Z47" i="24"/>
  <c r="Y47" i="24"/>
  <c r="V47" i="24"/>
  <c r="T47" i="24"/>
  <c r="S47" i="24"/>
  <c r="R47" i="24"/>
  <c r="O47" i="24"/>
  <c r="N47" i="24"/>
  <c r="M47" i="24"/>
  <c r="L47" i="24"/>
  <c r="K47" i="24"/>
  <c r="H47" i="24"/>
  <c r="E47" i="24"/>
  <c r="D47" i="24"/>
  <c r="AA46" i="24"/>
  <c r="Z46" i="24"/>
  <c r="Y46" i="24"/>
  <c r="V46" i="24"/>
  <c r="T46" i="24"/>
  <c r="S46" i="24"/>
  <c r="R46" i="24"/>
  <c r="O46" i="24"/>
  <c r="N46" i="24"/>
  <c r="M46" i="24"/>
  <c r="L46" i="24"/>
  <c r="K46" i="24"/>
  <c r="H46" i="24"/>
  <c r="D46" i="24"/>
  <c r="AA45" i="24"/>
  <c r="Z45" i="24"/>
  <c r="Y45" i="24"/>
  <c r="V45" i="24"/>
  <c r="T45" i="24"/>
  <c r="S45" i="24"/>
  <c r="R45" i="24"/>
  <c r="O45" i="24"/>
  <c r="N45" i="24"/>
  <c r="M45" i="24"/>
  <c r="L45" i="24"/>
  <c r="K45" i="24"/>
  <c r="H45" i="24"/>
  <c r="E45" i="24"/>
  <c r="D45" i="24"/>
  <c r="AA44" i="24"/>
  <c r="Z44" i="24"/>
  <c r="Y44" i="24"/>
  <c r="V44" i="24"/>
  <c r="T44" i="24"/>
  <c r="S44" i="24"/>
  <c r="R44" i="24"/>
  <c r="O44" i="24"/>
  <c r="N44" i="24"/>
  <c r="M44" i="24"/>
  <c r="L44" i="24"/>
  <c r="K44" i="24"/>
  <c r="H44" i="24"/>
  <c r="E44" i="24"/>
  <c r="D44" i="24"/>
  <c r="AA43" i="24"/>
  <c r="Z43" i="24"/>
  <c r="Y43" i="24"/>
  <c r="V43" i="24"/>
  <c r="T43" i="24"/>
  <c r="S43" i="24"/>
  <c r="R43" i="24"/>
  <c r="O43" i="24"/>
  <c r="N43" i="24"/>
  <c r="M43" i="24"/>
  <c r="L43" i="24"/>
  <c r="K43" i="24"/>
  <c r="H43" i="24"/>
  <c r="E43" i="24"/>
  <c r="D43" i="24"/>
  <c r="AA42" i="24"/>
  <c r="Z42" i="24"/>
  <c r="Y42" i="24"/>
  <c r="V42" i="24"/>
  <c r="T42" i="24"/>
  <c r="S42" i="24"/>
  <c r="R42" i="24"/>
  <c r="O42" i="24"/>
  <c r="N42" i="24"/>
  <c r="M42" i="24"/>
  <c r="L42" i="24"/>
  <c r="K42" i="24"/>
  <c r="H42" i="24"/>
  <c r="E42" i="24"/>
  <c r="D42" i="24"/>
  <c r="AA41" i="24"/>
  <c r="Z41" i="24"/>
  <c r="Y41" i="24"/>
  <c r="V41" i="24"/>
  <c r="T41" i="24"/>
  <c r="S41" i="24"/>
  <c r="R41" i="24"/>
  <c r="O41" i="24"/>
  <c r="N41" i="24"/>
  <c r="M41" i="24"/>
  <c r="L41" i="24"/>
  <c r="K41" i="24"/>
  <c r="H41" i="24"/>
  <c r="E41" i="24"/>
  <c r="D41" i="24"/>
  <c r="AA40" i="24"/>
  <c r="Z40" i="24"/>
  <c r="Y40" i="24"/>
  <c r="V40" i="24"/>
  <c r="T40" i="24"/>
  <c r="S40" i="24"/>
  <c r="R40" i="24"/>
  <c r="O40" i="24"/>
  <c r="N40" i="24"/>
  <c r="M40" i="24"/>
  <c r="L40" i="24"/>
  <c r="K40" i="24"/>
  <c r="H40" i="24"/>
  <c r="E40" i="24"/>
  <c r="D40" i="24"/>
  <c r="AA39" i="24"/>
  <c r="Z39" i="24"/>
  <c r="Y39" i="24"/>
  <c r="V39" i="24"/>
  <c r="T39" i="24"/>
  <c r="S39" i="24"/>
  <c r="R39" i="24"/>
  <c r="O39" i="24"/>
  <c r="N39" i="24"/>
  <c r="M39" i="24"/>
  <c r="L39" i="24"/>
  <c r="K39" i="24"/>
  <c r="H39" i="24"/>
  <c r="E39" i="24"/>
  <c r="D39" i="24"/>
  <c r="AA38" i="24"/>
  <c r="Z38" i="24"/>
  <c r="Y38" i="24"/>
  <c r="V38" i="24"/>
  <c r="T38" i="24"/>
  <c r="S38" i="24"/>
  <c r="R38" i="24"/>
  <c r="O38" i="24"/>
  <c r="N38" i="24"/>
  <c r="M38" i="24"/>
  <c r="L38" i="24"/>
  <c r="K38" i="24"/>
  <c r="H38" i="24"/>
  <c r="D38" i="24"/>
  <c r="AA37" i="24"/>
  <c r="Z37" i="24"/>
  <c r="Y37" i="24"/>
  <c r="T37" i="24"/>
  <c r="S37" i="24"/>
  <c r="R37" i="24"/>
  <c r="M37" i="24"/>
  <c r="L37" i="24"/>
  <c r="K37" i="24"/>
  <c r="AA36" i="24"/>
  <c r="Z36" i="24"/>
  <c r="Y36" i="24"/>
  <c r="T36" i="24"/>
  <c r="S36" i="24"/>
  <c r="R36" i="24"/>
  <c r="M36" i="24"/>
  <c r="L36" i="24"/>
  <c r="K36" i="24"/>
  <c r="AA35" i="24"/>
  <c r="Z35" i="24"/>
  <c r="Y35" i="24"/>
  <c r="V35" i="24"/>
  <c r="T35" i="24"/>
  <c r="S35" i="24"/>
  <c r="R35" i="24"/>
  <c r="O35" i="24"/>
  <c r="N35" i="24"/>
  <c r="M35" i="24"/>
  <c r="L35" i="24"/>
  <c r="K35" i="24"/>
  <c r="H35" i="24"/>
  <c r="F35" i="24"/>
  <c r="AA34" i="24"/>
  <c r="Z34" i="24"/>
  <c r="Y34" i="24"/>
  <c r="V34" i="24"/>
  <c r="T34" i="24"/>
  <c r="S34" i="24"/>
  <c r="R34" i="24"/>
  <c r="O34" i="24"/>
  <c r="N34" i="24"/>
  <c r="M34" i="24"/>
  <c r="L34" i="24"/>
  <c r="K34" i="24"/>
  <c r="H34" i="24"/>
  <c r="E34" i="24"/>
  <c r="D34" i="24"/>
  <c r="AA33" i="24"/>
  <c r="Z33" i="24"/>
  <c r="Y33" i="24"/>
  <c r="V33" i="24"/>
  <c r="T33" i="24"/>
  <c r="S33" i="24"/>
  <c r="R33" i="24"/>
  <c r="O33" i="24"/>
  <c r="N33" i="24"/>
  <c r="M33" i="24"/>
  <c r="L33" i="24"/>
  <c r="K33" i="24"/>
  <c r="H33" i="24"/>
  <c r="E33" i="24"/>
  <c r="D33" i="24"/>
  <c r="AA32" i="24"/>
  <c r="Z32" i="24"/>
  <c r="Y32" i="24"/>
  <c r="V32" i="24"/>
  <c r="T32" i="24"/>
  <c r="S32" i="24"/>
  <c r="R32" i="24"/>
  <c r="O32" i="24"/>
  <c r="N32" i="24"/>
  <c r="M32" i="24"/>
  <c r="L32" i="24"/>
  <c r="K32" i="24"/>
  <c r="H32" i="24"/>
  <c r="E32" i="24"/>
  <c r="D32" i="24"/>
  <c r="AA31" i="24"/>
  <c r="Z31" i="24"/>
  <c r="Y31" i="24"/>
  <c r="V31" i="24"/>
  <c r="T31" i="24"/>
  <c r="S31" i="24"/>
  <c r="R31" i="24"/>
  <c r="O31" i="24"/>
  <c r="N31" i="24"/>
  <c r="M31" i="24"/>
  <c r="L31" i="24"/>
  <c r="K31" i="24"/>
  <c r="H31" i="24"/>
  <c r="D31" i="24"/>
  <c r="AA30" i="24"/>
  <c r="Z30" i="24"/>
  <c r="Y30" i="24"/>
  <c r="V30" i="24"/>
  <c r="T30" i="24"/>
  <c r="S30" i="24"/>
  <c r="R30" i="24"/>
  <c r="O30" i="24"/>
  <c r="N30" i="24"/>
  <c r="M30" i="24"/>
  <c r="L30" i="24"/>
  <c r="K30" i="24"/>
  <c r="H30" i="24"/>
  <c r="E30" i="24"/>
  <c r="D30" i="24"/>
  <c r="AA29" i="24"/>
  <c r="Z29" i="24"/>
  <c r="Y29" i="24"/>
  <c r="V29" i="24"/>
  <c r="T29" i="24"/>
  <c r="S29" i="24"/>
  <c r="R29" i="24"/>
  <c r="O29" i="24"/>
  <c r="N29" i="24"/>
  <c r="M29" i="24"/>
  <c r="L29" i="24"/>
  <c r="K29" i="24"/>
  <c r="H29" i="24"/>
  <c r="E29" i="24"/>
  <c r="D29" i="24"/>
  <c r="AA28" i="24"/>
  <c r="Z28" i="24"/>
  <c r="Y28" i="24"/>
  <c r="V28" i="24"/>
  <c r="T28" i="24"/>
  <c r="S28" i="24"/>
  <c r="R28" i="24"/>
  <c r="O28" i="24"/>
  <c r="N28" i="24"/>
  <c r="M28" i="24"/>
  <c r="L28" i="24"/>
  <c r="K28" i="24"/>
  <c r="H28" i="24"/>
  <c r="E28" i="24"/>
  <c r="D28" i="24"/>
  <c r="AA27" i="24"/>
  <c r="Z27" i="24"/>
  <c r="Y27" i="24"/>
  <c r="V27" i="24"/>
  <c r="T27" i="24"/>
  <c r="S27" i="24"/>
  <c r="R27" i="24"/>
  <c r="O27" i="24"/>
  <c r="N27" i="24"/>
  <c r="M27" i="24"/>
  <c r="L27" i="24"/>
  <c r="K27" i="24"/>
  <c r="H27" i="24"/>
  <c r="D27" i="24"/>
  <c r="AA26" i="24"/>
  <c r="Z26" i="24"/>
  <c r="Y26" i="24"/>
  <c r="V26" i="24"/>
  <c r="T26" i="24"/>
  <c r="S26" i="24"/>
  <c r="R26" i="24"/>
  <c r="O26" i="24"/>
  <c r="N26" i="24"/>
  <c r="M26" i="24"/>
  <c r="L26" i="24"/>
  <c r="K26" i="24"/>
  <c r="H26" i="24"/>
  <c r="E26" i="24"/>
  <c r="D26" i="24"/>
  <c r="AA25" i="24"/>
  <c r="Z25" i="24"/>
  <c r="Y25" i="24"/>
  <c r="V25" i="24"/>
  <c r="T25" i="24"/>
  <c r="S25" i="24"/>
  <c r="R25" i="24"/>
  <c r="O25" i="24"/>
  <c r="N25" i="24"/>
  <c r="M25" i="24"/>
  <c r="L25" i="24"/>
  <c r="K25" i="24"/>
  <c r="H25" i="24"/>
  <c r="E25" i="24"/>
  <c r="D25" i="24"/>
  <c r="AA24" i="24"/>
  <c r="Z24" i="24"/>
  <c r="Y24" i="24"/>
  <c r="V24" i="24"/>
  <c r="T24" i="24"/>
  <c r="S24" i="24"/>
  <c r="R24" i="24"/>
  <c r="O24" i="24"/>
  <c r="N24" i="24"/>
  <c r="M24" i="24"/>
  <c r="L24" i="24"/>
  <c r="K24" i="24"/>
  <c r="H24" i="24"/>
  <c r="E24" i="24"/>
  <c r="D24" i="24"/>
  <c r="AA23" i="24"/>
  <c r="Z23" i="24"/>
  <c r="Y23" i="24"/>
  <c r="V23" i="24"/>
  <c r="T23" i="24"/>
  <c r="S23" i="24"/>
  <c r="R23" i="24"/>
  <c r="O23" i="24"/>
  <c r="N23" i="24"/>
  <c r="M23" i="24"/>
  <c r="L23" i="24"/>
  <c r="K23" i="24"/>
  <c r="H23" i="24"/>
  <c r="E23" i="24"/>
  <c r="D23" i="24"/>
  <c r="AA22" i="24"/>
  <c r="Z22" i="24"/>
  <c r="Y22" i="24"/>
  <c r="V22" i="24"/>
  <c r="T22" i="24"/>
  <c r="S22" i="24"/>
  <c r="R22" i="24"/>
  <c r="O22" i="24"/>
  <c r="N22" i="24"/>
  <c r="M22" i="24"/>
  <c r="L22" i="24"/>
  <c r="K22" i="24"/>
  <c r="H22" i="24"/>
  <c r="E22" i="24"/>
  <c r="D22" i="24"/>
  <c r="AA21" i="24"/>
  <c r="Z21" i="24"/>
  <c r="Y21" i="24"/>
  <c r="V21" i="24"/>
  <c r="T21" i="24"/>
  <c r="S21" i="24"/>
  <c r="R21" i="24"/>
  <c r="O21" i="24"/>
  <c r="N21" i="24"/>
  <c r="M21" i="24"/>
  <c r="L21" i="24"/>
  <c r="K21" i="24"/>
  <c r="H21" i="24"/>
  <c r="E21" i="24"/>
  <c r="D21" i="24"/>
  <c r="AA20" i="24"/>
  <c r="Z20" i="24"/>
  <c r="Y20" i="24"/>
  <c r="V20" i="24"/>
  <c r="T20" i="24"/>
  <c r="S20" i="24"/>
  <c r="R20" i="24"/>
  <c r="O20" i="24"/>
  <c r="N20" i="24"/>
  <c r="M20" i="24"/>
  <c r="L20" i="24"/>
  <c r="K20" i="24"/>
  <c r="H20" i="24"/>
  <c r="D20" i="24"/>
  <c r="AA19" i="24"/>
  <c r="Z19" i="24"/>
  <c r="Y19" i="24"/>
  <c r="V19" i="24"/>
  <c r="T19" i="24"/>
  <c r="S19" i="24"/>
  <c r="R19" i="24"/>
  <c r="O19" i="24"/>
  <c r="N19" i="24"/>
  <c r="M19" i="24"/>
  <c r="L19" i="24"/>
  <c r="K19" i="24"/>
  <c r="H19" i="24"/>
  <c r="E19" i="24"/>
  <c r="D19" i="24"/>
  <c r="AA18" i="24"/>
  <c r="Z18" i="24"/>
  <c r="Y18" i="24"/>
  <c r="V18" i="24"/>
  <c r="T18" i="24"/>
  <c r="S18" i="24"/>
  <c r="R18" i="24"/>
  <c r="O18" i="24"/>
  <c r="M18" i="24"/>
  <c r="L18" i="24"/>
  <c r="K18" i="24"/>
  <c r="H18" i="24"/>
  <c r="E18" i="24"/>
  <c r="D18" i="24"/>
  <c r="AA17" i="24"/>
  <c r="Z17" i="24"/>
  <c r="Y17" i="24"/>
  <c r="V17" i="24"/>
  <c r="T17" i="24"/>
  <c r="S17" i="24"/>
  <c r="R17" i="24"/>
  <c r="O17" i="24"/>
  <c r="N17" i="24"/>
  <c r="M17" i="24"/>
  <c r="L17" i="24"/>
  <c r="K17" i="24"/>
  <c r="H17" i="24"/>
  <c r="D17" i="24"/>
  <c r="AA16" i="24"/>
  <c r="Z16" i="24"/>
  <c r="Y16" i="24"/>
  <c r="V16" i="24"/>
  <c r="T16" i="24"/>
  <c r="S16" i="24"/>
  <c r="R16" i="24"/>
  <c r="O16" i="24"/>
  <c r="N16" i="24"/>
  <c r="M16" i="24"/>
  <c r="L16" i="24"/>
  <c r="K16" i="24"/>
  <c r="H16" i="24"/>
  <c r="E16" i="24"/>
  <c r="D16" i="24"/>
  <c r="AA15" i="24"/>
  <c r="Z15" i="24"/>
  <c r="Y15" i="24"/>
  <c r="V15" i="24"/>
  <c r="T15" i="24"/>
  <c r="S15" i="24"/>
  <c r="R15" i="24"/>
  <c r="O15" i="24"/>
  <c r="N15" i="24"/>
  <c r="M15" i="24"/>
  <c r="L15" i="24"/>
  <c r="K15" i="24"/>
  <c r="H15" i="24"/>
  <c r="E15" i="24"/>
  <c r="D15" i="24"/>
  <c r="AA14" i="24"/>
  <c r="Z14" i="24"/>
  <c r="Y14" i="24"/>
  <c r="V14" i="24"/>
  <c r="T14" i="24"/>
  <c r="S14" i="24"/>
  <c r="R14" i="24"/>
  <c r="O14" i="24"/>
  <c r="N14" i="24"/>
  <c r="M14" i="24"/>
  <c r="L14" i="24"/>
  <c r="K14" i="24"/>
  <c r="H14" i="24"/>
  <c r="E14" i="24"/>
  <c r="D14" i="24"/>
  <c r="AA13" i="24"/>
  <c r="Z13" i="24"/>
  <c r="Y13" i="24"/>
  <c r="V13" i="24"/>
  <c r="T13" i="24"/>
  <c r="S13" i="24"/>
  <c r="R13" i="24"/>
  <c r="O13" i="24"/>
  <c r="N13" i="24"/>
  <c r="M13" i="24"/>
  <c r="L13" i="24"/>
  <c r="K13" i="24"/>
  <c r="H13" i="24"/>
  <c r="E13" i="24"/>
  <c r="D13" i="24"/>
  <c r="AA12" i="24"/>
  <c r="Z12" i="24"/>
  <c r="Y12" i="24"/>
  <c r="V12" i="24"/>
  <c r="T12" i="24"/>
  <c r="S12" i="24"/>
  <c r="R12" i="24"/>
  <c r="O12" i="24"/>
  <c r="N12" i="24"/>
  <c r="M12" i="24"/>
  <c r="L12" i="24"/>
  <c r="K12" i="24"/>
  <c r="H12" i="24"/>
  <c r="E12" i="24"/>
  <c r="D12" i="24"/>
  <c r="AA11" i="24"/>
  <c r="Z11" i="24"/>
  <c r="Y11" i="24"/>
  <c r="V11" i="24"/>
  <c r="T11" i="24"/>
  <c r="S11" i="24"/>
  <c r="R11" i="24"/>
  <c r="O11" i="24"/>
  <c r="N11" i="24"/>
  <c r="M11" i="24"/>
  <c r="L11" i="24"/>
  <c r="K11" i="24"/>
  <c r="H11" i="24"/>
  <c r="D11" i="24"/>
  <c r="V306" i="11"/>
  <c r="T306" i="11"/>
  <c r="T305" i="11"/>
  <c r="T304" i="11"/>
  <c r="T303" i="11"/>
  <c r="T302" i="11"/>
  <c r="T301" i="11"/>
  <c r="T300" i="11"/>
  <c r="T299" i="11"/>
  <c r="T298" i="11"/>
  <c r="T297" i="11"/>
  <c r="T83" i="11"/>
  <c r="T82" i="11"/>
  <c r="AB58" i="11"/>
  <c r="AB57" i="11"/>
  <c r="AB56" i="11"/>
  <c r="AB55" i="11"/>
  <c r="AB54" i="11"/>
  <c r="AB53" i="11"/>
  <c r="AB52" i="11"/>
  <c r="AB51" i="11"/>
  <c r="AB50" i="11"/>
  <c r="AB49" i="11"/>
  <c r="AB48" i="11"/>
  <c r="AB47" i="11"/>
  <c r="AB46" i="11"/>
  <c r="AB45" i="11"/>
  <c r="AB43" i="11"/>
  <c r="AB42" i="11"/>
  <c r="AB41" i="11"/>
  <c r="AB39" i="11"/>
  <c r="AB38" i="11"/>
  <c r="AB37" i="11"/>
  <c r="AB36" i="11"/>
  <c r="AC32" i="11"/>
  <c r="AF22" i="11"/>
  <c r="AE36" i="11" s="1"/>
  <c r="AE22" i="11"/>
  <c r="AD36" i="11" s="1"/>
  <c r="AD22" i="11"/>
  <c r="AC36" i="11" s="1"/>
  <c r="C13" i="11"/>
  <c r="B49" i="11" s="1"/>
  <c r="N6" i="11"/>
  <c r="M6" i="11"/>
  <c r="D6" i="11"/>
  <c r="BS341" i="13"/>
  <c r="BS345" i="13" s="1"/>
  <c r="J38" i="11" s="1"/>
  <c r="E325" i="13"/>
  <c r="BZ237" i="13" s="1"/>
  <c r="E312" i="13"/>
  <c r="E311" i="13"/>
  <c r="E310" i="13"/>
  <c r="E309" i="13"/>
  <c r="E308" i="13"/>
  <c r="E307" i="13"/>
  <c r="E306" i="13"/>
  <c r="E305" i="13"/>
  <c r="E304" i="13"/>
  <c r="E303" i="13"/>
  <c r="E302" i="13"/>
  <c r="E301" i="13"/>
  <c r="E300" i="13"/>
  <c r="E299" i="13"/>
  <c r="E298" i="13"/>
  <c r="E297" i="13"/>
  <c r="E296" i="13"/>
  <c r="E295" i="13"/>
  <c r="E294" i="13"/>
  <c r="E293" i="13"/>
  <c r="AK281" i="13"/>
  <c r="AJ281" i="13"/>
  <c r="AI281" i="13"/>
  <c r="AX269" i="13"/>
  <c r="AI260" i="13"/>
  <c r="AI259" i="13"/>
  <c r="R258" i="13"/>
  <c r="Q258" i="13"/>
  <c r="P258" i="13"/>
  <c r="O258" i="13"/>
  <c r="N258" i="13"/>
  <c r="M258" i="13"/>
  <c r="L258" i="13"/>
  <c r="K258" i="13"/>
  <c r="J258" i="13"/>
  <c r="I258" i="13"/>
  <c r="H258" i="13"/>
  <c r="G258" i="13"/>
  <c r="F258" i="13"/>
  <c r="BQ255" i="13"/>
  <c r="BQ254" i="13"/>
  <c r="BQ253" i="13"/>
  <c r="BQ252" i="13"/>
  <c r="BQ251" i="13"/>
  <c r="BQ250" i="13"/>
  <c r="BT249" i="13"/>
  <c r="BS249" i="13"/>
  <c r="BR249" i="13"/>
  <c r="BQ249" i="13"/>
  <c r="BT248" i="13"/>
  <c r="BS248" i="13"/>
  <c r="BR248" i="13"/>
  <c r="BQ248" i="13"/>
  <c r="BT247" i="13"/>
  <c r="BS247" i="13"/>
  <c r="BR247" i="13"/>
  <c r="BQ247" i="13"/>
  <c r="BT246" i="13"/>
  <c r="BS246" i="13"/>
  <c r="BR246" i="13"/>
  <c r="BQ246" i="13"/>
  <c r="BT245" i="13"/>
  <c r="BS245" i="13"/>
  <c r="BR245" i="13"/>
  <c r="BQ245" i="13"/>
  <c r="BT244" i="13"/>
  <c r="BS244" i="13"/>
  <c r="BR244" i="13"/>
  <c r="BQ244" i="13"/>
  <c r="BT243" i="13"/>
  <c r="BS243" i="13"/>
  <c r="BR243" i="13"/>
  <c r="BQ243" i="13"/>
  <c r="BT242" i="13"/>
  <c r="BS242" i="13"/>
  <c r="BR242" i="13"/>
  <c r="BT241" i="13"/>
  <c r="BS241" i="13"/>
  <c r="BR241" i="13"/>
  <c r="BQ241" i="13"/>
  <c r="BT240" i="13"/>
  <c r="BS240" i="13"/>
  <c r="BR240" i="13"/>
  <c r="BQ240" i="13"/>
  <c r="BQ239" i="13"/>
  <c r="BT238" i="13"/>
  <c r="BS238" i="13"/>
  <c r="BR238" i="13"/>
  <c r="BQ238" i="13"/>
  <c r="BT237" i="13"/>
  <c r="BS237" i="13"/>
  <c r="BR237" i="13"/>
  <c r="BQ237" i="13"/>
  <c r="BT236" i="13"/>
  <c r="BS236" i="13"/>
  <c r="BR236" i="13"/>
  <c r="BQ236" i="13"/>
  <c r="BT235" i="13"/>
  <c r="BS235" i="13"/>
  <c r="BR235" i="13"/>
  <c r="BT234" i="13"/>
  <c r="BS234" i="13"/>
  <c r="BR234" i="13"/>
  <c r="BQ234" i="13"/>
  <c r="BX233" i="13"/>
  <c r="F233" i="13"/>
  <c r="R231" i="13"/>
  <c r="Q231" i="13"/>
  <c r="P231" i="13"/>
  <c r="O231" i="13"/>
  <c r="N231" i="13"/>
  <c r="M231" i="13"/>
  <c r="L231" i="13"/>
  <c r="K231" i="13"/>
  <c r="J231" i="13"/>
  <c r="I231" i="13"/>
  <c r="H231" i="13"/>
  <c r="G231" i="13"/>
  <c r="F231" i="13"/>
  <c r="BT230" i="13"/>
  <c r="BS230" i="13"/>
  <c r="BR230" i="13"/>
  <c r="BQ230" i="13"/>
  <c r="Z230" i="13"/>
  <c r="E230" i="13"/>
  <c r="B230" i="13"/>
  <c r="BT229" i="13"/>
  <c r="BS229" i="13"/>
  <c r="BR229" i="13"/>
  <c r="BQ229" i="13"/>
  <c r="Z229" i="13"/>
  <c r="X229" i="13"/>
  <c r="E229" i="13"/>
  <c r="B229" i="13"/>
  <c r="BT228" i="13"/>
  <c r="BS228" i="13"/>
  <c r="BR228" i="13"/>
  <c r="BQ228" i="13"/>
  <c r="Z228" i="13"/>
  <c r="X228" i="13"/>
  <c r="E228" i="13"/>
  <c r="BE223" i="5" s="1"/>
  <c r="F223" i="5" s="1"/>
  <c r="B228" i="13"/>
  <c r="BT227" i="13"/>
  <c r="BS227" i="13"/>
  <c r="BR227" i="13"/>
  <c r="BQ227" i="13"/>
  <c r="Z227" i="13"/>
  <c r="X227" i="13"/>
  <c r="E227" i="13"/>
  <c r="B227" i="13"/>
  <c r="BT226" i="13"/>
  <c r="BS226" i="13"/>
  <c r="BR226" i="13"/>
  <c r="BQ226" i="13"/>
  <c r="Z226" i="13"/>
  <c r="X226" i="13"/>
  <c r="E226" i="13"/>
  <c r="B226" i="13"/>
  <c r="BW225" i="13"/>
  <c r="BT225" i="13"/>
  <c r="BS225" i="13"/>
  <c r="BR225" i="13"/>
  <c r="BQ225" i="13"/>
  <c r="Z225" i="13"/>
  <c r="X225" i="13"/>
  <c r="E225" i="13"/>
  <c r="B225" i="13"/>
  <c r="BW224" i="13"/>
  <c r="BT224" i="13"/>
  <c r="BS224" i="13"/>
  <c r="BR224" i="13"/>
  <c r="BQ224" i="13"/>
  <c r="Z224" i="13"/>
  <c r="X224" i="13"/>
  <c r="E224" i="13"/>
  <c r="B224" i="13"/>
  <c r="BW223" i="13"/>
  <c r="BT223" i="13"/>
  <c r="BS223" i="13"/>
  <c r="BR223" i="13"/>
  <c r="BQ223" i="13"/>
  <c r="Z223" i="13"/>
  <c r="X223" i="13"/>
  <c r="E223" i="13"/>
  <c r="B223" i="13"/>
  <c r="BW222" i="13"/>
  <c r="BT222" i="13"/>
  <c r="BS222" i="13"/>
  <c r="BR222" i="13"/>
  <c r="BQ222" i="13"/>
  <c r="Z222" i="13"/>
  <c r="X222" i="13"/>
  <c r="E222" i="13"/>
  <c r="B222" i="13"/>
  <c r="BW221" i="13"/>
  <c r="BT221" i="13"/>
  <c r="BS221" i="13"/>
  <c r="BR221" i="13"/>
  <c r="BQ221" i="13"/>
  <c r="Z221" i="13"/>
  <c r="X221" i="13"/>
  <c r="E221" i="13"/>
  <c r="B221" i="13"/>
  <c r="BW220" i="13"/>
  <c r="BT220" i="13"/>
  <c r="BS220" i="13"/>
  <c r="BR220" i="13"/>
  <c r="BQ220" i="13"/>
  <c r="Z220" i="13"/>
  <c r="X220" i="13"/>
  <c r="E220" i="13"/>
  <c r="B220" i="13"/>
  <c r="BW219" i="13"/>
  <c r="BT219" i="13"/>
  <c r="BS219" i="13"/>
  <c r="BR219" i="13"/>
  <c r="BQ219" i="13"/>
  <c r="Z219" i="13"/>
  <c r="X219" i="13"/>
  <c r="E219" i="13"/>
  <c r="B219" i="13"/>
  <c r="BW218" i="13"/>
  <c r="BT218" i="13"/>
  <c r="BS218" i="13"/>
  <c r="BR218" i="13"/>
  <c r="BQ218" i="13"/>
  <c r="Z218" i="13"/>
  <c r="X218" i="13"/>
  <c r="E218" i="13"/>
  <c r="B218" i="13"/>
  <c r="BW217" i="13"/>
  <c r="BT217" i="13"/>
  <c r="BS217" i="13"/>
  <c r="BR217" i="13"/>
  <c r="BQ217" i="13"/>
  <c r="Z217" i="13"/>
  <c r="X217" i="13"/>
  <c r="E217" i="13"/>
  <c r="B217" i="13"/>
  <c r="BX216" i="13"/>
  <c r="R214" i="13"/>
  <c r="Q214" i="13"/>
  <c r="P214" i="13"/>
  <c r="O214" i="13"/>
  <c r="N214" i="13"/>
  <c r="M214" i="13"/>
  <c r="L214" i="13"/>
  <c r="K214" i="13"/>
  <c r="J214" i="13"/>
  <c r="I214" i="13"/>
  <c r="H214" i="13"/>
  <c r="G214" i="13"/>
  <c r="F214" i="13"/>
  <c r="BT213" i="13"/>
  <c r="BS213" i="13"/>
  <c r="BR213" i="13"/>
  <c r="BQ213" i="13"/>
  <c r="BJ213" i="13"/>
  <c r="BG213" i="13"/>
  <c r="BH213" i="13" s="1"/>
  <c r="BM208" i="5" s="1"/>
  <c r="BD213" i="13"/>
  <c r="BE213" i="13" s="1"/>
  <c r="BI208" i="5" s="1"/>
  <c r="Z213" i="13"/>
  <c r="C213" i="13"/>
  <c r="B213" i="13"/>
  <c r="BT212" i="13"/>
  <c r="BS212" i="13"/>
  <c r="BR212" i="13"/>
  <c r="BQ212" i="13"/>
  <c r="BJ212" i="13"/>
  <c r="BG212" i="13"/>
  <c r="BH212" i="13" s="1"/>
  <c r="BM207" i="5" s="1"/>
  <c r="BD212" i="13"/>
  <c r="Z212" i="13"/>
  <c r="W212" i="13" s="1"/>
  <c r="C212" i="13"/>
  <c r="B212" i="13"/>
  <c r="CE211" i="13"/>
  <c r="BW211" i="13"/>
  <c r="BT211" i="13"/>
  <c r="BS211" i="13"/>
  <c r="BR211" i="13"/>
  <c r="BQ211" i="13"/>
  <c r="X211" i="13"/>
  <c r="C211" i="13"/>
  <c r="B211" i="13"/>
  <c r="BT210" i="13"/>
  <c r="BS210" i="13"/>
  <c r="BR210" i="13"/>
  <c r="BQ210" i="13"/>
  <c r="BJ210" i="13"/>
  <c r="BK210" i="13" s="1"/>
  <c r="BG210" i="13"/>
  <c r="BH210" i="13" s="1"/>
  <c r="BM205" i="5" s="1"/>
  <c r="BD210" i="13"/>
  <c r="BE210" i="13" s="1"/>
  <c r="BI205" i="5" s="1"/>
  <c r="Z210" i="13"/>
  <c r="C210" i="13"/>
  <c r="B210" i="13"/>
  <c r="BT209" i="13"/>
  <c r="BS209" i="13"/>
  <c r="BR209" i="13"/>
  <c r="BQ209" i="13"/>
  <c r="BJ209" i="13"/>
  <c r="BK209" i="13" s="1"/>
  <c r="BG209" i="13"/>
  <c r="BH209" i="13" s="1"/>
  <c r="BM204" i="5" s="1"/>
  <c r="BD209" i="13"/>
  <c r="BE209" i="13" s="1"/>
  <c r="Z209" i="13"/>
  <c r="W209" i="13" s="1"/>
  <c r="C209" i="13"/>
  <c r="B209" i="13"/>
  <c r="CE208" i="13"/>
  <c r="BW208" i="13"/>
  <c r="BT208" i="13"/>
  <c r="BS208" i="13"/>
  <c r="BR208" i="13"/>
  <c r="BQ208" i="13"/>
  <c r="X208" i="13"/>
  <c r="C208" i="13"/>
  <c r="B208" i="13"/>
  <c r="BW207" i="13"/>
  <c r="BT207" i="13"/>
  <c r="BS207" i="13"/>
  <c r="BR207" i="13"/>
  <c r="BQ207" i="13"/>
  <c r="BT206" i="13"/>
  <c r="BS206" i="13"/>
  <c r="BR206" i="13"/>
  <c r="BQ206" i="13"/>
  <c r="BJ206" i="13"/>
  <c r="BK206" i="13" s="1"/>
  <c r="BG206" i="13"/>
  <c r="BH206" i="13" s="1"/>
  <c r="BM202" i="5" s="1"/>
  <c r="BD206" i="13"/>
  <c r="BE206" i="13" s="1"/>
  <c r="BI202" i="5" s="1"/>
  <c r="Z206" i="13"/>
  <c r="W206" i="13" s="1"/>
  <c r="C206" i="13"/>
  <c r="B206" i="13"/>
  <c r="BT205" i="13"/>
  <c r="BS205" i="13"/>
  <c r="BR205" i="13"/>
  <c r="BQ205" i="13"/>
  <c r="BJ205" i="13"/>
  <c r="BK205" i="13" s="1"/>
  <c r="BG205" i="13"/>
  <c r="BH205" i="13" s="1"/>
  <c r="BM201" i="5" s="1"/>
  <c r="BD205" i="13"/>
  <c r="BE205" i="13" s="1"/>
  <c r="BI201" i="5" s="1"/>
  <c r="Z205" i="13"/>
  <c r="W205" i="13"/>
  <c r="U205" i="13"/>
  <c r="C205" i="13"/>
  <c r="B205" i="13"/>
  <c r="CE204" i="13"/>
  <c r="BW204" i="13"/>
  <c r="BT204" i="13"/>
  <c r="BS204" i="13"/>
  <c r="BR204" i="13"/>
  <c r="BQ204" i="13"/>
  <c r="X204" i="13"/>
  <c r="C204" i="13"/>
  <c r="B204" i="13"/>
  <c r="BT203" i="13"/>
  <c r="BS203" i="13"/>
  <c r="BR203" i="13"/>
  <c r="BQ203" i="13"/>
  <c r="BJ203" i="13"/>
  <c r="BG203" i="13"/>
  <c r="BH203" i="13" s="1"/>
  <c r="BM199" i="5" s="1"/>
  <c r="BD203" i="13"/>
  <c r="BE203" i="13" s="1"/>
  <c r="BI199" i="5" s="1"/>
  <c r="Z203" i="13"/>
  <c r="C203" i="13"/>
  <c r="B203" i="13"/>
  <c r="BT202" i="13"/>
  <c r="BS202" i="13"/>
  <c r="BR202" i="13"/>
  <c r="BQ202" i="13"/>
  <c r="BJ202" i="13"/>
  <c r="BK202" i="13" s="1"/>
  <c r="BG202" i="13"/>
  <c r="BH202" i="13" s="1"/>
  <c r="BM198" i="5" s="1"/>
  <c r="BD202" i="13"/>
  <c r="BE202" i="13" s="1"/>
  <c r="BI198" i="5" s="1"/>
  <c r="Z202" i="13"/>
  <c r="C202" i="13"/>
  <c r="B202" i="13"/>
  <c r="BT201" i="13"/>
  <c r="BS201" i="13"/>
  <c r="BR201" i="13"/>
  <c r="BQ201" i="13"/>
  <c r="BJ201" i="13"/>
  <c r="BK201" i="13" s="1"/>
  <c r="BG201" i="13"/>
  <c r="BH201" i="13" s="1"/>
  <c r="BM196" i="5" s="1"/>
  <c r="BD201" i="13"/>
  <c r="BE201" i="13" s="1"/>
  <c r="Z201" i="13"/>
  <c r="W201" i="13" s="1"/>
  <c r="C201" i="13"/>
  <c r="B201" i="13"/>
  <c r="CE200" i="13"/>
  <c r="BW200" i="13"/>
  <c r="BT200" i="13"/>
  <c r="BS200" i="13"/>
  <c r="BR200" i="13"/>
  <c r="BQ200" i="13"/>
  <c r="X200" i="13"/>
  <c r="C200" i="13"/>
  <c r="B200" i="13"/>
  <c r="BX199" i="13"/>
  <c r="R197" i="13"/>
  <c r="Q197" i="13"/>
  <c r="P197" i="13"/>
  <c r="O197" i="13"/>
  <c r="N197" i="13"/>
  <c r="M197" i="13"/>
  <c r="L197" i="13"/>
  <c r="K197" i="13"/>
  <c r="J197" i="13"/>
  <c r="I197" i="13"/>
  <c r="H197" i="13"/>
  <c r="G197" i="13"/>
  <c r="F197" i="13"/>
  <c r="BT196" i="13"/>
  <c r="BS196" i="13"/>
  <c r="BR196" i="13"/>
  <c r="BQ196" i="13"/>
  <c r="BJ196" i="13"/>
  <c r="BK196" i="13" s="1"/>
  <c r="BG196" i="13"/>
  <c r="BH196" i="13" s="1"/>
  <c r="BM191" i="5" s="1"/>
  <c r="BD196" i="13"/>
  <c r="Z196" i="13"/>
  <c r="C196" i="13"/>
  <c r="B196" i="13"/>
  <c r="BT195" i="13"/>
  <c r="BS195" i="13"/>
  <c r="BR195" i="13"/>
  <c r="BQ195" i="13"/>
  <c r="BJ195" i="13"/>
  <c r="BK195" i="13" s="1"/>
  <c r="BG195" i="13"/>
  <c r="BH195" i="13" s="1"/>
  <c r="BM190" i="5" s="1"/>
  <c r="BD195" i="13"/>
  <c r="BE195" i="13" s="1"/>
  <c r="BI190" i="5" s="1"/>
  <c r="Z195" i="13"/>
  <c r="C195" i="13"/>
  <c r="B195" i="13"/>
  <c r="BT194" i="13"/>
  <c r="BS194" i="13"/>
  <c r="BR194" i="13"/>
  <c r="BQ194" i="13"/>
  <c r="BJ194" i="13"/>
  <c r="BG194" i="13"/>
  <c r="BH194" i="13" s="1"/>
  <c r="BM189" i="5" s="1"/>
  <c r="BD194" i="13"/>
  <c r="Z194" i="13"/>
  <c r="C194" i="13"/>
  <c r="B194" i="13"/>
  <c r="BT193" i="13"/>
  <c r="BS193" i="13"/>
  <c r="BR193" i="13"/>
  <c r="BQ193" i="13"/>
  <c r="BJ193" i="13"/>
  <c r="BK193" i="13" s="1"/>
  <c r="BG193" i="13"/>
  <c r="BH193" i="13" s="1"/>
  <c r="BD193" i="13"/>
  <c r="BE193" i="13" s="1"/>
  <c r="C193" i="13"/>
  <c r="BW192" i="13"/>
  <c r="BT192" i="13"/>
  <c r="BS192" i="13"/>
  <c r="BR192" i="13"/>
  <c r="BQ192" i="13"/>
  <c r="BJ192" i="13"/>
  <c r="BK192" i="13" s="1"/>
  <c r="BG192" i="13"/>
  <c r="BH192" i="13" s="1"/>
  <c r="BM187" i="5" s="1"/>
  <c r="BD192" i="13"/>
  <c r="BE192" i="13" s="1"/>
  <c r="BI187" i="5" s="1"/>
  <c r="X192" i="13"/>
  <c r="R192" i="13"/>
  <c r="Q192" i="13"/>
  <c r="P192" i="13"/>
  <c r="O192" i="13"/>
  <c r="N192" i="13"/>
  <c r="M192" i="13"/>
  <c r="L192" i="13"/>
  <c r="K192" i="13"/>
  <c r="J192" i="13"/>
  <c r="I192" i="13"/>
  <c r="H192" i="13"/>
  <c r="G192" i="13"/>
  <c r="F192" i="13"/>
  <c r="C192" i="13"/>
  <c r="B192" i="13"/>
  <c r="BT191" i="13"/>
  <c r="BS191" i="13"/>
  <c r="BR191" i="13"/>
  <c r="BQ191" i="13"/>
  <c r="BJ191" i="13"/>
  <c r="BG191" i="13"/>
  <c r="BH191" i="13" s="1"/>
  <c r="BM186" i="5" s="1"/>
  <c r="BD191" i="13"/>
  <c r="BE191" i="13" s="1"/>
  <c r="BI186" i="5" s="1"/>
  <c r="Z191" i="13"/>
  <c r="Z189" i="13" s="1"/>
  <c r="C191" i="13"/>
  <c r="B191" i="13"/>
  <c r="BT190" i="13"/>
  <c r="BS190" i="13"/>
  <c r="BR190" i="13"/>
  <c r="BQ190" i="13"/>
  <c r="BJ190" i="13"/>
  <c r="BK190" i="13" s="1"/>
  <c r="BG190" i="13"/>
  <c r="BH190" i="13" s="1"/>
  <c r="BD190" i="13"/>
  <c r="BE190" i="13" s="1"/>
  <c r="C190" i="13"/>
  <c r="BW189" i="13"/>
  <c r="BT189" i="13"/>
  <c r="BS189" i="13"/>
  <c r="BR189" i="13"/>
  <c r="BQ189" i="13"/>
  <c r="BJ189" i="13"/>
  <c r="BK189" i="13" s="1"/>
  <c r="BG189" i="13"/>
  <c r="BH189" i="13" s="1"/>
  <c r="BM184" i="5" s="1"/>
  <c r="BD189" i="13"/>
  <c r="BE189" i="13" s="1"/>
  <c r="BI184" i="5" s="1"/>
  <c r="X189" i="13"/>
  <c r="R189" i="13"/>
  <c r="Q189" i="13"/>
  <c r="P189" i="13"/>
  <c r="O189" i="13"/>
  <c r="N189" i="13"/>
  <c r="M189" i="13"/>
  <c r="L189" i="13"/>
  <c r="K189" i="13"/>
  <c r="J189" i="13"/>
  <c r="I189" i="13"/>
  <c r="H189" i="13"/>
  <c r="G189" i="13"/>
  <c r="F189" i="13"/>
  <c r="C189" i="13"/>
  <c r="B189" i="13"/>
  <c r="BQ188" i="13"/>
  <c r="Z188" i="13"/>
  <c r="Z187" i="13" s="1"/>
  <c r="C188" i="13"/>
  <c r="B188" i="13"/>
  <c r="BW187" i="13"/>
  <c r="BT187" i="13"/>
  <c r="BS187" i="13"/>
  <c r="BR187" i="13"/>
  <c r="BQ187" i="13"/>
  <c r="BJ187" i="13"/>
  <c r="BK187" i="13" s="1"/>
  <c r="BG187" i="13"/>
  <c r="BH187" i="13" s="1"/>
  <c r="BM182" i="5" s="1"/>
  <c r="BD187" i="13"/>
  <c r="BE187" i="13" s="1"/>
  <c r="X187" i="13"/>
  <c r="R187" i="13"/>
  <c r="Q187" i="13"/>
  <c r="P187" i="13"/>
  <c r="O187" i="13"/>
  <c r="N187" i="13"/>
  <c r="M187" i="13"/>
  <c r="L187" i="13"/>
  <c r="K187" i="13"/>
  <c r="J187" i="13"/>
  <c r="I187" i="13"/>
  <c r="H187" i="13"/>
  <c r="G187" i="13"/>
  <c r="F187" i="13"/>
  <c r="C187" i="13"/>
  <c r="B187" i="13"/>
  <c r="BT186" i="13"/>
  <c r="BS186" i="13"/>
  <c r="BR186" i="13"/>
  <c r="BQ186" i="13"/>
  <c r="BJ186" i="13"/>
  <c r="BK186" i="13" s="1"/>
  <c r="BG186" i="13"/>
  <c r="BH186" i="13" s="1"/>
  <c r="BM181" i="5" s="1"/>
  <c r="BD186" i="13"/>
  <c r="BE186" i="13" s="1"/>
  <c r="BI181" i="5" s="1"/>
  <c r="Z186" i="13"/>
  <c r="C186" i="13"/>
  <c r="B186" i="13"/>
  <c r="BT185" i="13"/>
  <c r="BS185" i="13"/>
  <c r="BR185" i="13"/>
  <c r="BQ185" i="13"/>
  <c r="BJ185" i="13"/>
  <c r="BK185" i="13" s="1"/>
  <c r="BG185" i="13"/>
  <c r="BH185" i="13" s="1"/>
  <c r="BM180" i="5" s="1"/>
  <c r="BD185" i="13"/>
  <c r="BE185" i="13" s="1"/>
  <c r="BI180" i="5" s="1"/>
  <c r="Z185" i="13"/>
  <c r="C185" i="13"/>
  <c r="B185" i="13"/>
  <c r="BT184" i="13"/>
  <c r="BS184" i="13"/>
  <c r="BR184" i="13"/>
  <c r="BQ184" i="13"/>
  <c r="BJ184" i="13"/>
  <c r="BK184" i="13" s="1"/>
  <c r="BG184" i="13"/>
  <c r="BH184" i="13" s="1"/>
  <c r="BD184" i="13"/>
  <c r="BE184" i="13" s="1"/>
  <c r="C184" i="13"/>
  <c r="BW183" i="13"/>
  <c r="BT183" i="13"/>
  <c r="BS183" i="13"/>
  <c r="BR183" i="13"/>
  <c r="BQ183" i="13"/>
  <c r="BJ183" i="13"/>
  <c r="BK183" i="13" s="1"/>
  <c r="BG183" i="13"/>
  <c r="BH183" i="13" s="1"/>
  <c r="BM178" i="5" s="1"/>
  <c r="BD183" i="13"/>
  <c r="BE183" i="13" s="1"/>
  <c r="BI178" i="5" s="1"/>
  <c r="X183" i="13"/>
  <c r="R183" i="13"/>
  <c r="Q183" i="13"/>
  <c r="P183" i="13"/>
  <c r="O183" i="13"/>
  <c r="N183" i="13"/>
  <c r="M183" i="13"/>
  <c r="L183" i="13"/>
  <c r="K183" i="13"/>
  <c r="J183" i="13"/>
  <c r="I183" i="13"/>
  <c r="H183" i="13"/>
  <c r="G183" i="13"/>
  <c r="F183" i="13"/>
  <c r="C183" i="13"/>
  <c r="B183" i="13"/>
  <c r="BT182" i="13"/>
  <c r="BS182" i="13"/>
  <c r="BR182" i="13"/>
  <c r="BQ182" i="13"/>
  <c r="BJ182" i="13"/>
  <c r="BK182" i="13" s="1"/>
  <c r="BG182" i="13"/>
  <c r="BH182" i="13" s="1"/>
  <c r="BM177" i="5" s="1"/>
  <c r="BD182" i="13"/>
  <c r="BE182" i="13" s="1"/>
  <c r="BI177" i="5" s="1"/>
  <c r="Z182" i="13"/>
  <c r="C182" i="13"/>
  <c r="B182" i="13"/>
  <c r="BT181" i="13"/>
  <c r="BS181" i="13"/>
  <c r="BR181" i="13"/>
  <c r="BQ181" i="13"/>
  <c r="Z181" i="13"/>
  <c r="C181" i="13"/>
  <c r="B181" i="13"/>
  <c r="BT180" i="13"/>
  <c r="BS180" i="13"/>
  <c r="BR180" i="13"/>
  <c r="BQ180" i="13"/>
  <c r="BJ180" i="13"/>
  <c r="BK180" i="13" s="1"/>
  <c r="BG180" i="13"/>
  <c r="BH180" i="13" s="1"/>
  <c r="BD180" i="13"/>
  <c r="BE180" i="13" s="1"/>
  <c r="C180" i="13"/>
  <c r="BW179" i="13"/>
  <c r="BT179" i="13"/>
  <c r="BS179" i="13"/>
  <c r="BR179" i="13"/>
  <c r="BQ179" i="13"/>
  <c r="BJ179" i="13"/>
  <c r="BK179" i="13" s="1"/>
  <c r="BG179" i="13"/>
  <c r="BH179" i="13" s="1"/>
  <c r="BM174" i="5" s="1"/>
  <c r="BD179" i="13"/>
  <c r="BE179" i="13" s="1"/>
  <c r="BI174" i="5" s="1"/>
  <c r="X179" i="13"/>
  <c r="R179" i="13"/>
  <c r="Q179" i="13"/>
  <c r="P179" i="13"/>
  <c r="O179" i="13"/>
  <c r="N179" i="13"/>
  <c r="M179" i="13"/>
  <c r="L179" i="13"/>
  <c r="K179" i="13"/>
  <c r="J179" i="13"/>
  <c r="I179" i="13"/>
  <c r="H179" i="13"/>
  <c r="G179" i="13"/>
  <c r="F179" i="13"/>
  <c r="C179" i="13"/>
  <c r="B179" i="13"/>
  <c r="BT178" i="13"/>
  <c r="BS178" i="13"/>
  <c r="BR178" i="13"/>
  <c r="BQ178" i="13"/>
  <c r="BJ178" i="13"/>
  <c r="BK178" i="13" s="1"/>
  <c r="BG178" i="13"/>
  <c r="BH178" i="13" s="1"/>
  <c r="BM173" i="5" s="1"/>
  <c r="BD178" i="13"/>
  <c r="BE178" i="13" s="1"/>
  <c r="BI173" i="5" s="1"/>
  <c r="Z178" i="13"/>
  <c r="C178" i="13"/>
  <c r="B178" i="13"/>
  <c r="BT177" i="13"/>
  <c r="BS177" i="13"/>
  <c r="BR177" i="13"/>
  <c r="BQ177" i="13"/>
  <c r="BJ177" i="13"/>
  <c r="BK177" i="13" s="1"/>
  <c r="BG177" i="13"/>
  <c r="BH177" i="13" s="1"/>
  <c r="BM172" i="5" s="1"/>
  <c r="BD177" i="13"/>
  <c r="BE177" i="13" s="1"/>
  <c r="BI172" i="5" s="1"/>
  <c r="Z177" i="13"/>
  <c r="C177" i="13"/>
  <c r="B177" i="13"/>
  <c r="BT176" i="13"/>
  <c r="BS176" i="13"/>
  <c r="BR176" i="13"/>
  <c r="BQ176" i="13"/>
  <c r="BJ176" i="13"/>
  <c r="BG176" i="13"/>
  <c r="BD176" i="13"/>
  <c r="C176" i="13"/>
  <c r="BW175" i="13"/>
  <c r="BT175" i="13"/>
  <c r="BS175" i="13"/>
  <c r="BR175" i="13"/>
  <c r="BQ175" i="13"/>
  <c r="BJ175" i="13"/>
  <c r="BK175" i="13" s="1"/>
  <c r="BG175" i="13"/>
  <c r="BH175" i="13" s="1"/>
  <c r="BM170" i="5" s="1"/>
  <c r="BD175" i="13"/>
  <c r="BE175" i="13" s="1"/>
  <c r="BI170" i="5" s="1"/>
  <c r="X175" i="13"/>
  <c r="R175" i="13"/>
  <c r="Q175" i="13"/>
  <c r="P175" i="13"/>
  <c r="O175" i="13"/>
  <c r="N175" i="13"/>
  <c r="M175" i="13"/>
  <c r="L175" i="13"/>
  <c r="K175" i="13"/>
  <c r="J175" i="13"/>
  <c r="I175" i="13"/>
  <c r="H175" i="13"/>
  <c r="G175" i="13"/>
  <c r="F175" i="13"/>
  <c r="C175" i="13"/>
  <c r="B175" i="13"/>
  <c r="BT174" i="13"/>
  <c r="BS174" i="13"/>
  <c r="BR174" i="13"/>
  <c r="BJ174" i="13"/>
  <c r="BK174" i="13" s="1"/>
  <c r="BG174" i="13"/>
  <c r="BH174" i="13" s="1"/>
  <c r="BM169" i="5" s="1"/>
  <c r="BD174" i="13"/>
  <c r="BE174" i="13" s="1"/>
  <c r="BI169" i="5" s="1"/>
  <c r="Z174" i="13"/>
  <c r="C174" i="13"/>
  <c r="B174" i="13"/>
  <c r="BQ173" i="13"/>
  <c r="Z173" i="13"/>
  <c r="C173" i="13"/>
  <c r="B173" i="13"/>
  <c r="BT172" i="13"/>
  <c r="BS172" i="13"/>
  <c r="BR172" i="13"/>
  <c r="BQ172" i="13"/>
  <c r="BJ172" i="13"/>
  <c r="BK172" i="13" s="1"/>
  <c r="BG172" i="13"/>
  <c r="BH172" i="13" s="1"/>
  <c r="BD172" i="13"/>
  <c r="BE172" i="13" s="1"/>
  <c r="C172" i="13"/>
  <c r="BW171" i="13"/>
  <c r="BT171" i="13"/>
  <c r="BS171" i="13"/>
  <c r="BR171" i="13"/>
  <c r="BQ171" i="13"/>
  <c r="BJ171" i="13"/>
  <c r="BK171" i="13" s="1"/>
  <c r="BG171" i="13"/>
  <c r="BH171" i="13" s="1"/>
  <c r="BM166" i="5" s="1"/>
  <c r="BD171" i="13"/>
  <c r="BE171" i="13" s="1"/>
  <c r="BI166" i="5" s="1"/>
  <c r="X171" i="13"/>
  <c r="R171" i="13"/>
  <c r="Q171" i="13"/>
  <c r="P171" i="13"/>
  <c r="O171" i="13"/>
  <c r="N171" i="13"/>
  <c r="M171" i="13"/>
  <c r="L171" i="13"/>
  <c r="K171" i="13"/>
  <c r="J171" i="13"/>
  <c r="I171" i="13"/>
  <c r="H171" i="13"/>
  <c r="G171" i="13"/>
  <c r="F171" i="13"/>
  <c r="C171" i="13"/>
  <c r="B171" i="13"/>
  <c r="BT170" i="13"/>
  <c r="BS170" i="13"/>
  <c r="BR170" i="13"/>
  <c r="BQ170" i="13"/>
  <c r="BJ170" i="13"/>
  <c r="BG170" i="13"/>
  <c r="BH170" i="13" s="1"/>
  <c r="BM164" i="5" s="1"/>
  <c r="BD170" i="13"/>
  <c r="BE170" i="13" s="1"/>
  <c r="Z170" i="13"/>
  <c r="Z169" i="13" s="1"/>
  <c r="C170" i="13"/>
  <c r="B170" i="13"/>
  <c r="BW169" i="13"/>
  <c r="BT169" i="13"/>
  <c r="BS169" i="13"/>
  <c r="BR169" i="13"/>
  <c r="BQ169" i="13"/>
  <c r="BJ169" i="13"/>
  <c r="BK169" i="13" s="1"/>
  <c r="BG169" i="13"/>
  <c r="BH169" i="13" s="1"/>
  <c r="BM163" i="5" s="1"/>
  <c r="BD169" i="13"/>
  <c r="BE169" i="13" s="1"/>
  <c r="BI163" i="5" s="1"/>
  <c r="X169" i="13"/>
  <c r="R169" i="13"/>
  <c r="Q169" i="13"/>
  <c r="P169" i="13"/>
  <c r="O169" i="13"/>
  <c r="N169" i="13"/>
  <c r="M169" i="13"/>
  <c r="L169" i="13"/>
  <c r="K169" i="13"/>
  <c r="J169" i="13"/>
  <c r="I169" i="13"/>
  <c r="H169" i="13"/>
  <c r="G169" i="13"/>
  <c r="F169" i="13"/>
  <c r="C169" i="13"/>
  <c r="B169" i="13"/>
  <c r="BX168" i="13"/>
  <c r="R166" i="13"/>
  <c r="Q166" i="13"/>
  <c r="P166" i="13"/>
  <c r="O166" i="13"/>
  <c r="N166" i="13"/>
  <c r="M166" i="13"/>
  <c r="L166" i="13"/>
  <c r="K166" i="13"/>
  <c r="J166" i="13"/>
  <c r="I166" i="13"/>
  <c r="H166" i="13"/>
  <c r="G166" i="13"/>
  <c r="F166" i="13"/>
  <c r="BT165" i="13"/>
  <c r="BS165" i="13"/>
  <c r="BR165" i="13"/>
  <c r="BQ165" i="13"/>
  <c r="BJ165" i="13"/>
  <c r="BG165" i="13"/>
  <c r="BH165" i="13" s="1"/>
  <c r="BM159" i="5" s="1"/>
  <c r="BD165" i="13"/>
  <c r="BE165" i="13" s="1"/>
  <c r="BI159" i="5" s="1"/>
  <c r="Z165" i="13"/>
  <c r="Z164" i="13" s="1"/>
  <c r="C165" i="13"/>
  <c r="B165" i="13"/>
  <c r="BW164" i="13"/>
  <c r="BT164" i="13"/>
  <c r="BS164" i="13"/>
  <c r="BR164" i="13"/>
  <c r="BQ164" i="13"/>
  <c r="BJ164" i="13"/>
  <c r="BK164" i="13" s="1"/>
  <c r="BG164" i="13"/>
  <c r="BH164" i="13" s="1"/>
  <c r="BM158" i="5" s="1"/>
  <c r="BD164" i="13"/>
  <c r="BE164" i="13" s="1"/>
  <c r="X164" i="13"/>
  <c r="R164" i="13"/>
  <c r="Q164" i="13"/>
  <c r="P164" i="13"/>
  <c r="O164" i="13"/>
  <c r="N164" i="13"/>
  <c r="M164" i="13"/>
  <c r="L164" i="13"/>
  <c r="K164" i="13"/>
  <c r="J164" i="13"/>
  <c r="I164" i="13"/>
  <c r="H164" i="13"/>
  <c r="G164" i="13"/>
  <c r="F164" i="13"/>
  <c r="C164" i="13"/>
  <c r="B164" i="13"/>
  <c r="BT163" i="13"/>
  <c r="BS163" i="13"/>
  <c r="BR163" i="13"/>
  <c r="BQ163" i="13"/>
  <c r="Z163" i="13"/>
  <c r="Z162" i="13" s="1"/>
  <c r="C163" i="13"/>
  <c r="B163" i="13"/>
  <c r="BT162" i="13"/>
  <c r="BS162" i="13"/>
  <c r="BR162" i="13"/>
  <c r="BQ162" i="13"/>
  <c r="BJ162" i="13"/>
  <c r="BK162" i="13" s="1"/>
  <c r="BG162" i="13"/>
  <c r="BH162" i="13" s="1"/>
  <c r="BM156" i="5" s="1"/>
  <c r="BD162" i="13"/>
  <c r="BE162" i="13" s="1"/>
  <c r="R162" i="13"/>
  <c r="Q162" i="13"/>
  <c r="P162" i="13"/>
  <c r="O162" i="13"/>
  <c r="N162" i="13"/>
  <c r="M162" i="13"/>
  <c r="L162" i="13"/>
  <c r="K162" i="13"/>
  <c r="J162" i="13"/>
  <c r="I162" i="13"/>
  <c r="H162" i="13"/>
  <c r="G162" i="13"/>
  <c r="F162" i="13"/>
  <c r="C162" i="13"/>
  <c r="B162" i="13"/>
  <c r="BT161" i="13"/>
  <c r="BS161" i="13"/>
  <c r="BR161" i="13"/>
  <c r="BQ161" i="13"/>
  <c r="Z161" i="13"/>
  <c r="Z160" i="13" s="1"/>
  <c r="C161" i="13"/>
  <c r="B161" i="13"/>
  <c r="BW160" i="13"/>
  <c r="BT160" i="13"/>
  <c r="BS160" i="13"/>
  <c r="BR160" i="13"/>
  <c r="BQ160" i="13"/>
  <c r="BJ160" i="13"/>
  <c r="BK160" i="13" s="1"/>
  <c r="BG160" i="13"/>
  <c r="BH160" i="13" s="1"/>
  <c r="BM154" i="5" s="1"/>
  <c r="BD160" i="13"/>
  <c r="BE160" i="13" s="1"/>
  <c r="BI154" i="5" s="1"/>
  <c r="X160" i="13"/>
  <c r="R160" i="13"/>
  <c r="Q160" i="13"/>
  <c r="P160" i="13"/>
  <c r="O160" i="13"/>
  <c r="N160" i="13"/>
  <c r="M160" i="13"/>
  <c r="L160" i="13"/>
  <c r="K160" i="13"/>
  <c r="J160" i="13"/>
  <c r="I160" i="13"/>
  <c r="H160" i="13"/>
  <c r="G160" i="13"/>
  <c r="F160" i="13"/>
  <c r="C160" i="13"/>
  <c r="B160" i="13"/>
  <c r="BW159" i="13"/>
  <c r="BT159" i="13"/>
  <c r="BS159" i="13"/>
  <c r="BR159" i="13"/>
  <c r="BQ159" i="13"/>
  <c r="BJ159" i="13"/>
  <c r="BG159" i="13"/>
  <c r="BD159" i="13"/>
  <c r="BQ158" i="13"/>
  <c r="BP158" i="13"/>
  <c r="Z158" i="13"/>
  <c r="C158" i="13"/>
  <c r="B158" i="13"/>
  <c r="BT157" i="13"/>
  <c r="BS157" i="13"/>
  <c r="BR157" i="13"/>
  <c r="BQ157" i="13"/>
  <c r="Z157" i="13"/>
  <c r="C157" i="13"/>
  <c r="B157" i="13"/>
  <c r="BQ156" i="13"/>
  <c r="BP156" i="13"/>
  <c r="Z156" i="13"/>
  <c r="C156" i="13"/>
  <c r="B156" i="13"/>
  <c r="BW155" i="13"/>
  <c r="BT155" i="13"/>
  <c r="BS155" i="13"/>
  <c r="BR155" i="13"/>
  <c r="BQ155" i="13"/>
  <c r="BJ155" i="13"/>
  <c r="BK155" i="13" s="1"/>
  <c r="BG155" i="13"/>
  <c r="BH155" i="13" s="1"/>
  <c r="BM148" i="5" s="1"/>
  <c r="BD155" i="13"/>
  <c r="BE155" i="13" s="1"/>
  <c r="X155" i="13"/>
  <c r="R155" i="13"/>
  <c r="Q155" i="13"/>
  <c r="P155" i="13"/>
  <c r="O155" i="13"/>
  <c r="N155" i="13"/>
  <c r="M155" i="13"/>
  <c r="L155" i="13"/>
  <c r="K155" i="13"/>
  <c r="J155" i="13"/>
  <c r="I155" i="13"/>
  <c r="H155" i="13"/>
  <c r="G155" i="13"/>
  <c r="F155" i="13"/>
  <c r="C155" i="13"/>
  <c r="B155" i="13"/>
  <c r="BX154" i="13"/>
  <c r="R152" i="13"/>
  <c r="Q152" i="13"/>
  <c r="P152" i="13"/>
  <c r="O152" i="13"/>
  <c r="N152" i="13"/>
  <c r="M152" i="13"/>
  <c r="L152" i="13"/>
  <c r="K152" i="13"/>
  <c r="J152" i="13"/>
  <c r="I152" i="13"/>
  <c r="H152" i="13"/>
  <c r="G152" i="13"/>
  <c r="F152" i="13"/>
  <c r="BQ151" i="13"/>
  <c r="Z151" i="13"/>
  <c r="C151" i="13"/>
  <c r="B151" i="13"/>
  <c r="BQ150" i="13"/>
  <c r="Z150" i="13"/>
  <c r="C150" i="13"/>
  <c r="B150" i="13"/>
  <c r="BT149" i="13"/>
  <c r="BS149" i="13"/>
  <c r="BR149" i="13"/>
  <c r="BJ149" i="13"/>
  <c r="BG149" i="13"/>
  <c r="BH149" i="13" s="1"/>
  <c r="BM142" i="5" s="1"/>
  <c r="BD149" i="13"/>
  <c r="BE149" i="13" s="1"/>
  <c r="BI142" i="5" s="1"/>
  <c r="Z149" i="13"/>
  <c r="C149" i="13"/>
  <c r="B149" i="13"/>
  <c r="BW148" i="13"/>
  <c r="BT148" i="13"/>
  <c r="BS148" i="13"/>
  <c r="BR148" i="13"/>
  <c r="BQ148" i="13"/>
  <c r="BJ148" i="13"/>
  <c r="BK148" i="13" s="1"/>
  <c r="BG148" i="13"/>
  <c r="BH148" i="13" s="1"/>
  <c r="BM141" i="5" s="1"/>
  <c r="BD148" i="13"/>
  <c r="BE148" i="13" s="1"/>
  <c r="X148" i="13"/>
  <c r="R148" i="13"/>
  <c r="Q148" i="13"/>
  <c r="P148" i="13"/>
  <c r="O148" i="13"/>
  <c r="N148" i="13"/>
  <c r="M148" i="13"/>
  <c r="L148" i="13"/>
  <c r="K148" i="13"/>
  <c r="J148" i="13"/>
  <c r="I148" i="13"/>
  <c r="H148" i="13"/>
  <c r="G148" i="13"/>
  <c r="F148" i="13"/>
  <c r="C148" i="13"/>
  <c r="B148" i="13"/>
  <c r="BT147" i="13"/>
  <c r="BS147" i="13"/>
  <c r="BR147" i="13"/>
  <c r="BQ147" i="13"/>
  <c r="BJ147" i="13"/>
  <c r="BK147" i="13" s="1"/>
  <c r="BG147" i="13"/>
  <c r="BH147" i="13" s="1"/>
  <c r="BM140" i="5" s="1"/>
  <c r="BD147" i="13"/>
  <c r="BE147" i="13" s="1"/>
  <c r="BI140" i="5" s="1"/>
  <c r="Z147" i="13"/>
  <c r="C147" i="13"/>
  <c r="B147" i="13"/>
  <c r="BT146" i="13"/>
  <c r="BS146" i="13"/>
  <c r="BR146" i="13"/>
  <c r="BJ146" i="13"/>
  <c r="BG146" i="13"/>
  <c r="BH146" i="13" s="1"/>
  <c r="BM139" i="5" s="1"/>
  <c r="BD146" i="13"/>
  <c r="Z146" i="13"/>
  <c r="C146" i="13"/>
  <c r="B146" i="13"/>
  <c r="BT145" i="13"/>
  <c r="BS145" i="13"/>
  <c r="BR145" i="13"/>
  <c r="Z145" i="13"/>
  <c r="U145" i="13"/>
  <c r="U144" i="13" s="1"/>
  <c r="C145" i="13"/>
  <c r="B145" i="13"/>
  <c r="BW144" i="13"/>
  <c r="BT144" i="13"/>
  <c r="BS144" i="13"/>
  <c r="BR144" i="13"/>
  <c r="BQ144" i="13"/>
  <c r="BJ144" i="13"/>
  <c r="BK144" i="13" s="1"/>
  <c r="BG144" i="13"/>
  <c r="BH144" i="13" s="1"/>
  <c r="BM136" i="5" s="1"/>
  <c r="BD144" i="13"/>
  <c r="BE144" i="13" s="1"/>
  <c r="BI136" i="5" s="1"/>
  <c r="X144" i="13"/>
  <c r="R144" i="13"/>
  <c r="Q144" i="13"/>
  <c r="P144" i="13"/>
  <c r="O144" i="13"/>
  <c r="N144" i="13"/>
  <c r="M144" i="13"/>
  <c r="L144" i="13"/>
  <c r="K144" i="13"/>
  <c r="J144" i="13"/>
  <c r="I144" i="13"/>
  <c r="H144" i="13"/>
  <c r="G144" i="13"/>
  <c r="F144" i="13"/>
  <c r="C144" i="13"/>
  <c r="B144" i="13"/>
  <c r="BT143" i="13"/>
  <c r="BS143" i="13"/>
  <c r="BR143" i="13"/>
  <c r="BQ143" i="13"/>
  <c r="BJ143" i="13"/>
  <c r="BK143" i="13" s="1"/>
  <c r="BG143" i="13"/>
  <c r="BH143" i="13" s="1"/>
  <c r="BM135" i="5" s="1"/>
  <c r="BD143" i="13"/>
  <c r="BE143" i="13" s="1"/>
  <c r="BI135" i="5" s="1"/>
  <c r="Z143" i="13"/>
  <c r="C143" i="13"/>
  <c r="B143" i="13"/>
  <c r="BT142" i="13"/>
  <c r="BS142" i="13"/>
  <c r="BR142" i="13"/>
  <c r="BQ142" i="13"/>
  <c r="Z142" i="13"/>
  <c r="C142" i="13"/>
  <c r="B142" i="13"/>
  <c r="BT141" i="13"/>
  <c r="BS141" i="13"/>
  <c r="BR141" i="13"/>
  <c r="BQ141" i="13"/>
  <c r="BJ141" i="13"/>
  <c r="BK141" i="13" s="1"/>
  <c r="BG141" i="13"/>
  <c r="BH141" i="13" s="1"/>
  <c r="BM133" i="5" s="1"/>
  <c r="BD141" i="13"/>
  <c r="BE141" i="13" s="1"/>
  <c r="BI133" i="5" s="1"/>
  <c r="Z141" i="13"/>
  <c r="C141" i="13"/>
  <c r="B141" i="13"/>
  <c r="BT140" i="13"/>
  <c r="BS140" i="13"/>
  <c r="BR140" i="13"/>
  <c r="BQ140" i="13"/>
  <c r="BJ140" i="13"/>
  <c r="BK140" i="13" s="1"/>
  <c r="BG140" i="13"/>
  <c r="BH140" i="13" s="1"/>
  <c r="BM132" i="5" s="1"/>
  <c r="BD140" i="13"/>
  <c r="BE140" i="13" s="1"/>
  <c r="BI132" i="5" s="1"/>
  <c r="Z140" i="13"/>
  <c r="C140" i="13"/>
  <c r="B140" i="13"/>
  <c r="BT139" i="13"/>
  <c r="BS139" i="13"/>
  <c r="BR139" i="13"/>
  <c r="BQ139" i="13"/>
  <c r="BJ139" i="13"/>
  <c r="BK139" i="13" s="1"/>
  <c r="BG139" i="13"/>
  <c r="BH139" i="13" s="1"/>
  <c r="BD139" i="13"/>
  <c r="BE139" i="13" s="1"/>
  <c r="C139" i="13"/>
  <c r="CE138" i="13"/>
  <c r="BW138" i="13"/>
  <c r="BT138" i="13"/>
  <c r="BS138" i="13"/>
  <c r="BR138" i="13"/>
  <c r="BQ138" i="13"/>
  <c r="BJ138" i="13"/>
  <c r="BK138" i="13" s="1"/>
  <c r="BG138" i="13"/>
  <c r="BH138" i="13" s="1"/>
  <c r="BM130" i="5" s="1"/>
  <c r="BD138" i="13"/>
  <c r="BE138" i="13" s="1"/>
  <c r="BI130" i="5" s="1"/>
  <c r="X138" i="13"/>
  <c r="R138" i="13"/>
  <c r="Q138" i="13"/>
  <c r="P138" i="13"/>
  <c r="O138" i="13"/>
  <c r="N138" i="13"/>
  <c r="M138" i="13"/>
  <c r="L138" i="13"/>
  <c r="K138" i="13"/>
  <c r="J138" i="13"/>
  <c r="I138" i="13"/>
  <c r="H138" i="13"/>
  <c r="G138" i="13"/>
  <c r="F138" i="13"/>
  <c r="C138" i="13"/>
  <c r="B138" i="13"/>
  <c r="BT137" i="13"/>
  <c r="BS137" i="13"/>
  <c r="BR137" i="13"/>
  <c r="BQ137" i="13"/>
  <c r="BJ137" i="13"/>
  <c r="BK137" i="13" s="1"/>
  <c r="BG137" i="13"/>
  <c r="BH137" i="13" s="1"/>
  <c r="BM129" i="5" s="1"/>
  <c r="BD137" i="13"/>
  <c r="Z137" i="13"/>
  <c r="C137" i="13"/>
  <c r="B137" i="13"/>
  <c r="BT136" i="13"/>
  <c r="BS136" i="13"/>
  <c r="BR136" i="13"/>
  <c r="BQ136" i="13"/>
  <c r="BJ136" i="13"/>
  <c r="BK136" i="13" s="1"/>
  <c r="BG136" i="13"/>
  <c r="BH136" i="13" s="1"/>
  <c r="BM128" i="5" s="1"/>
  <c r="BD136" i="13"/>
  <c r="BE136" i="13" s="1"/>
  <c r="BI128" i="5" s="1"/>
  <c r="Z136" i="13"/>
  <c r="C136" i="13"/>
  <c r="B136" i="13"/>
  <c r="BT135" i="13"/>
  <c r="BS135" i="13"/>
  <c r="BR135" i="13"/>
  <c r="BQ135" i="13"/>
  <c r="BJ135" i="13"/>
  <c r="BK135" i="13" s="1"/>
  <c r="BG135" i="13"/>
  <c r="BH135" i="13" s="1"/>
  <c r="BD135" i="13"/>
  <c r="BE135" i="13" s="1"/>
  <c r="C135" i="13"/>
  <c r="BW134" i="13"/>
  <c r="BT134" i="13"/>
  <c r="BS134" i="13"/>
  <c r="BR134" i="13"/>
  <c r="BQ134" i="13"/>
  <c r="BJ134" i="13"/>
  <c r="BK134" i="13" s="1"/>
  <c r="BG134" i="13"/>
  <c r="BH134" i="13" s="1"/>
  <c r="BM126" i="5" s="1"/>
  <c r="BD134" i="13"/>
  <c r="BE134" i="13" s="1"/>
  <c r="X134" i="13"/>
  <c r="R134" i="13"/>
  <c r="Q134" i="13"/>
  <c r="P134" i="13"/>
  <c r="O134" i="13"/>
  <c r="N134" i="13"/>
  <c r="M134" i="13"/>
  <c r="L134" i="13"/>
  <c r="K134" i="13"/>
  <c r="J134" i="13"/>
  <c r="I134" i="13"/>
  <c r="H134" i="13"/>
  <c r="G134" i="13"/>
  <c r="F134" i="13"/>
  <c r="C134" i="13"/>
  <c r="B134" i="13"/>
  <c r="BT133" i="13"/>
  <c r="BS133" i="13"/>
  <c r="BR133" i="13"/>
  <c r="BQ133" i="13"/>
  <c r="BJ133" i="13"/>
  <c r="BK133" i="13" s="1"/>
  <c r="BG133" i="13"/>
  <c r="BH133" i="13" s="1"/>
  <c r="BM125" i="5" s="1"/>
  <c r="BD133" i="13"/>
  <c r="BE133" i="13" s="1"/>
  <c r="Z133" i="13"/>
  <c r="C133" i="13"/>
  <c r="B133" i="13"/>
  <c r="BT132" i="13"/>
  <c r="BS132" i="13"/>
  <c r="BR132" i="13"/>
  <c r="BQ132" i="13"/>
  <c r="BJ132" i="13"/>
  <c r="BK132" i="13" s="1"/>
  <c r="BG132" i="13"/>
  <c r="BH132" i="13" s="1"/>
  <c r="BM124" i="5" s="1"/>
  <c r="BD132" i="13"/>
  <c r="BE132" i="13" s="1"/>
  <c r="Z132" i="13"/>
  <c r="C132" i="13"/>
  <c r="B132" i="13"/>
  <c r="BT131" i="13"/>
  <c r="BS131" i="13"/>
  <c r="BR131" i="13"/>
  <c r="BQ131" i="13"/>
  <c r="BJ131" i="13"/>
  <c r="BK131" i="13" s="1"/>
  <c r="BG131" i="13"/>
  <c r="BH131" i="13" s="1"/>
  <c r="BD131" i="13"/>
  <c r="BE131" i="13" s="1"/>
  <c r="C131" i="13"/>
  <c r="BT130" i="13"/>
  <c r="BS130" i="13"/>
  <c r="BR130" i="13"/>
  <c r="BQ130" i="13"/>
  <c r="BJ130" i="13"/>
  <c r="BG130" i="13"/>
  <c r="BH130" i="13" s="1"/>
  <c r="BM122" i="5" s="1"/>
  <c r="BD130" i="13"/>
  <c r="BE130" i="13" s="1"/>
  <c r="BI122" i="5" s="1"/>
  <c r="X130" i="13"/>
  <c r="R130" i="13"/>
  <c r="Q130" i="13"/>
  <c r="P130" i="13"/>
  <c r="O130" i="13"/>
  <c r="N130" i="13"/>
  <c r="M130" i="13"/>
  <c r="L130" i="13"/>
  <c r="K130" i="13"/>
  <c r="J130" i="13"/>
  <c r="I130" i="13"/>
  <c r="H130" i="13"/>
  <c r="G130" i="13"/>
  <c r="F130" i="13"/>
  <c r="C130" i="13"/>
  <c r="B130" i="13"/>
  <c r="BT129" i="13"/>
  <c r="BS129" i="13"/>
  <c r="BR129" i="13"/>
  <c r="BQ129" i="13"/>
  <c r="BJ129" i="13"/>
  <c r="BG129" i="13"/>
  <c r="BH129" i="13" s="1"/>
  <c r="BM121" i="5" s="1"/>
  <c r="BD129" i="13"/>
  <c r="BE129" i="13" s="1"/>
  <c r="BI121" i="5" s="1"/>
  <c r="Z129" i="13"/>
  <c r="C129" i="13"/>
  <c r="B129" i="13"/>
  <c r="BT128" i="13"/>
  <c r="BS128" i="13"/>
  <c r="BR128" i="13"/>
  <c r="BQ128" i="13"/>
  <c r="Z128" i="13"/>
  <c r="C128" i="13"/>
  <c r="B128" i="13"/>
  <c r="BT127" i="13"/>
  <c r="BS127" i="13"/>
  <c r="BR127" i="13"/>
  <c r="BQ127" i="13"/>
  <c r="BJ127" i="13"/>
  <c r="BK127" i="13" s="1"/>
  <c r="BG127" i="13"/>
  <c r="BH127" i="13" s="1"/>
  <c r="BD127" i="13"/>
  <c r="BE127" i="13" s="1"/>
  <c r="C127" i="13"/>
  <c r="BW126" i="13"/>
  <c r="BT126" i="13"/>
  <c r="BS126" i="13"/>
  <c r="BR126" i="13"/>
  <c r="BQ126" i="13"/>
  <c r="BJ126" i="13"/>
  <c r="BK126" i="13" s="1"/>
  <c r="BG126" i="13"/>
  <c r="BH126" i="13" s="1"/>
  <c r="BM118" i="5" s="1"/>
  <c r="BD126" i="13"/>
  <c r="X126" i="13"/>
  <c r="R126" i="13"/>
  <c r="Q126" i="13"/>
  <c r="P126" i="13"/>
  <c r="O126" i="13"/>
  <c r="N126" i="13"/>
  <c r="M126" i="13"/>
  <c r="L126" i="13"/>
  <c r="K126" i="13"/>
  <c r="J126" i="13"/>
  <c r="I126" i="13"/>
  <c r="H126" i="13"/>
  <c r="G126" i="13"/>
  <c r="F126" i="13"/>
  <c r="C126" i="13"/>
  <c r="B126" i="13"/>
  <c r="BX125" i="13"/>
  <c r="F125" i="13"/>
  <c r="R123" i="13"/>
  <c r="Q123" i="13"/>
  <c r="P123" i="13"/>
  <c r="O123" i="13"/>
  <c r="N123" i="13"/>
  <c r="M123" i="13"/>
  <c r="L123" i="13"/>
  <c r="K123" i="13"/>
  <c r="J123" i="13"/>
  <c r="I123" i="13"/>
  <c r="H123" i="13"/>
  <c r="G123" i="13"/>
  <c r="F123" i="13"/>
  <c r="BT122" i="13"/>
  <c r="BS122" i="13"/>
  <c r="BR122" i="13"/>
  <c r="BQ122" i="13"/>
  <c r="BJ122" i="13"/>
  <c r="BG122" i="13"/>
  <c r="BH122" i="13" s="1"/>
  <c r="BM114" i="5" s="1"/>
  <c r="BD122" i="13"/>
  <c r="BE122" i="13" s="1"/>
  <c r="Z122" i="13"/>
  <c r="Z121" i="13" s="1"/>
  <c r="U122" i="13"/>
  <c r="C122" i="13"/>
  <c r="B122" i="13"/>
  <c r="BW121" i="13"/>
  <c r="BT121" i="13"/>
  <c r="BS121" i="13"/>
  <c r="BR121" i="13"/>
  <c r="BQ121" i="13"/>
  <c r="BJ121" i="13"/>
  <c r="BG121" i="13"/>
  <c r="BH121" i="13" s="1"/>
  <c r="BM113" i="5" s="1"/>
  <c r="BD121" i="13"/>
  <c r="BE121" i="13" s="1"/>
  <c r="X121" i="13"/>
  <c r="R121" i="13"/>
  <c r="Q121" i="13"/>
  <c r="P121" i="13"/>
  <c r="O121" i="13"/>
  <c r="N121" i="13"/>
  <c r="M121" i="13"/>
  <c r="L121" i="13"/>
  <c r="K121" i="13"/>
  <c r="J121" i="13"/>
  <c r="I121" i="13"/>
  <c r="H121" i="13"/>
  <c r="G121" i="13"/>
  <c r="F121" i="13"/>
  <c r="C121" i="13"/>
  <c r="B121" i="13"/>
  <c r="BT120" i="13"/>
  <c r="BS120" i="13"/>
  <c r="BR120" i="13"/>
  <c r="BQ120" i="13"/>
  <c r="BJ120" i="13"/>
  <c r="BK120" i="13" s="1"/>
  <c r="BG120" i="13"/>
  <c r="BH120" i="13" s="1"/>
  <c r="BM112" i="5" s="1"/>
  <c r="BD120" i="13"/>
  <c r="BE120" i="13" s="1"/>
  <c r="Z120" i="13"/>
  <c r="C120" i="13"/>
  <c r="B120" i="13"/>
  <c r="BT119" i="13"/>
  <c r="BS119" i="13"/>
  <c r="BR119" i="13"/>
  <c r="BQ119" i="13"/>
  <c r="BJ119" i="13"/>
  <c r="BG119" i="13"/>
  <c r="BH119" i="13" s="1"/>
  <c r="BM111" i="5" s="1"/>
  <c r="BD119" i="13"/>
  <c r="BE119" i="13" s="1"/>
  <c r="BI111" i="5" s="1"/>
  <c r="Z119" i="13"/>
  <c r="C119" i="13"/>
  <c r="B119" i="13"/>
  <c r="BT118" i="13"/>
  <c r="BS118" i="13"/>
  <c r="BR118" i="13"/>
  <c r="BQ118" i="13"/>
  <c r="BJ118" i="13"/>
  <c r="BK118" i="13" s="1"/>
  <c r="BG118" i="13"/>
  <c r="BH118" i="13" s="1"/>
  <c r="BM110" i="5" s="1"/>
  <c r="BD118" i="13"/>
  <c r="BE118" i="13" s="1"/>
  <c r="Z118" i="13"/>
  <c r="C118" i="13"/>
  <c r="B118" i="13"/>
  <c r="CE117" i="13"/>
  <c r="CB117" i="13"/>
  <c r="BW117" i="13"/>
  <c r="BT117" i="13"/>
  <c r="BS117" i="13"/>
  <c r="BR117" i="13"/>
  <c r="BQ117" i="13"/>
  <c r="BJ117" i="13"/>
  <c r="BK117" i="13" s="1"/>
  <c r="BG117" i="13"/>
  <c r="BH117" i="13" s="1"/>
  <c r="BM109" i="5" s="1"/>
  <c r="BD117" i="13"/>
  <c r="BE117" i="13" s="1"/>
  <c r="X117" i="13"/>
  <c r="R117" i="13"/>
  <c r="Q117" i="13"/>
  <c r="P117" i="13"/>
  <c r="O117" i="13"/>
  <c r="N117" i="13"/>
  <c r="M117" i="13"/>
  <c r="L117" i="13"/>
  <c r="K117" i="13"/>
  <c r="J117" i="13"/>
  <c r="I117" i="13"/>
  <c r="H117" i="13"/>
  <c r="G117" i="13"/>
  <c r="F117" i="13"/>
  <c r="C117" i="13"/>
  <c r="B117" i="13"/>
  <c r="BT116" i="13"/>
  <c r="BS116" i="13"/>
  <c r="BR116" i="13"/>
  <c r="BQ116" i="13"/>
  <c r="BJ116" i="13"/>
  <c r="BK116" i="13" s="1"/>
  <c r="BG116" i="13"/>
  <c r="BH116" i="13" s="1"/>
  <c r="BM108" i="5" s="1"/>
  <c r="BD116" i="13"/>
  <c r="BE116" i="13" s="1"/>
  <c r="Z116" i="13"/>
  <c r="Z115" i="13" s="1"/>
  <c r="C116" i="13"/>
  <c r="B116" i="13"/>
  <c r="CE115" i="13"/>
  <c r="BW115" i="13"/>
  <c r="BT115" i="13"/>
  <c r="BS115" i="13"/>
  <c r="BR115" i="13"/>
  <c r="BQ115" i="13"/>
  <c r="BJ115" i="13"/>
  <c r="BK115" i="13" s="1"/>
  <c r="BG115" i="13"/>
  <c r="BH115" i="13" s="1"/>
  <c r="BM107" i="5" s="1"/>
  <c r="BD115" i="13"/>
  <c r="BE115" i="13" s="1"/>
  <c r="X115" i="13"/>
  <c r="R115" i="13"/>
  <c r="Q115" i="13"/>
  <c r="P115" i="13"/>
  <c r="O115" i="13"/>
  <c r="N115" i="13"/>
  <c r="M115" i="13"/>
  <c r="L115" i="13"/>
  <c r="K115" i="13"/>
  <c r="J115" i="13"/>
  <c r="I115" i="13"/>
  <c r="H115" i="13"/>
  <c r="G115" i="13"/>
  <c r="F115" i="13"/>
  <c r="C115" i="13"/>
  <c r="B115" i="13"/>
  <c r="BQ114" i="13"/>
  <c r="BP114" i="13"/>
  <c r="Z114" i="13"/>
  <c r="Z113" i="13" s="1"/>
  <c r="C114" i="13"/>
  <c r="B114" i="13"/>
  <c r="BW113" i="13"/>
  <c r="BT113" i="13"/>
  <c r="BS113" i="13"/>
  <c r="BR113" i="13"/>
  <c r="BQ113" i="13"/>
  <c r="BJ113" i="13"/>
  <c r="BK113" i="13" s="1"/>
  <c r="BG113" i="13"/>
  <c r="BH113" i="13" s="1"/>
  <c r="BM104" i="5" s="1"/>
  <c r="BD113" i="13"/>
  <c r="BE113" i="13" s="1"/>
  <c r="BI104" i="5" s="1"/>
  <c r="X113" i="13"/>
  <c r="R113" i="13"/>
  <c r="Q113" i="13"/>
  <c r="P113" i="13"/>
  <c r="O113" i="13"/>
  <c r="N113" i="13"/>
  <c r="M113" i="13"/>
  <c r="L113" i="13"/>
  <c r="K113" i="13"/>
  <c r="J113" i="13"/>
  <c r="I113" i="13"/>
  <c r="H113" i="13"/>
  <c r="G113" i="13"/>
  <c r="F113" i="13"/>
  <c r="C113" i="13"/>
  <c r="B113" i="13"/>
  <c r="BX112" i="13"/>
  <c r="R110" i="13"/>
  <c r="Q110" i="13"/>
  <c r="P110" i="13"/>
  <c r="O110" i="13"/>
  <c r="N110" i="13"/>
  <c r="M110" i="13"/>
  <c r="L110" i="13"/>
  <c r="K110" i="13"/>
  <c r="J110" i="13"/>
  <c r="I110" i="13"/>
  <c r="H110" i="13"/>
  <c r="G110" i="13"/>
  <c r="F110" i="13"/>
  <c r="BW109" i="13"/>
  <c r="BT109" i="13"/>
  <c r="BS109" i="13"/>
  <c r="BR109" i="13"/>
  <c r="BQ109" i="13"/>
  <c r="BJ109" i="13"/>
  <c r="BG109" i="13"/>
  <c r="BD109" i="13"/>
  <c r="BW108" i="13"/>
  <c r="BT108" i="13"/>
  <c r="BS108" i="13"/>
  <c r="BR108" i="13"/>
  <c r="BQ108" i="13"/>
  <c r="BJ108" i="13"/>
  <c r="BG108" i="13"/>
  <c r="BD108" i="13"/>
  <c r="BW107" i="13"/>
  <c r="BT107" i="13"/>
  <c r="BS107" i="13"/>
  <c r="BR107" i="13"/>
  <c r="BQ107" i="13"/>
  <c r="BJ107" i="13"/>
  <c r="BG107" i="13"/>
  <c r="BD107" i="13"/>
  <c r="BW106" i="13"/>
  <c r="BT106" i="13"/>
  <c r="BS106" i="13"/>
  <c r="BR106" i="13"/>
  <c r="BQ106" i="13"/>
  <c r="BJ106" i="13"/>
  <c r="BG106" i="13"/>
  <c r="BD106" i="13"/>
  <c r="BT105" i="13"/>
  <c r="BS105" i="13"/>
  <c r="BR105" i="13"/>
  <c r="BQ105" i="13"/>
  <c r="BJ105" i="13"/>
  <c r="BG105" i="13"/>
  <c r="BH105" i="13" s="1"/>
  <c r="BM100" i="5" s="1"/>
  <c r="BD105" i="13"/>
  <c r="BE105" i="13" s="1"/>
  <c r="BI100" i="5" s="1"/>
  <c r="Z105" i="13"/>
  <c r="Z103" i="13" s="1"/>
  <c r="C105" i="13"/>
  <c r="B105" i="13"/>
  <c r="BT104" i="13"/>
  <c r="BS104" i="13"/>
  <c r="BR104" i="13"/>
  <c r="BQ104" i="13"/>
  <c r="BJ104" i="13"/>
  <c r="BK104" i="13" s="1"/>
  <c r="BG104" i="13"/>
  <c r="BH104" i="13" s="1"/>
  <c r="BD104" i="13"/>
  <c r="BE104" i="13" s="1"/>
  <c r="AG104" i="13"/>
  <c r="AF104" i="13"/>
  <c r="AE104" i="13"/>
  <c r="C104" i="13"/>
  <c r="BW103" i="13"/>
  <c r="BT103" i="13"/>
  <c r="BS103" i="13"/>
  <c r="BR103" i="13"/>
  <c r="BQ103" i="13"/>
  <c r="BJ103" i="13"/>
  <c r="BG103" i="13"/>
  <c r="BH103" i="13" s="1"/>
  <c r="BM98" i="5" s="1"/>
  <c r="BD103" i="13"/>
  <c r="BE103" i="13" s="1"/>
  <c r="BI98" i="5" s="1"/>
  <c r="X103" i="13"/>
  <c r="R103" i="13"/>
  <c r="Q103" i="13"/>
  <c r="P103" i="13"/>
  <c r="O103" i="13"/>
  <c r="N103" i="13"/>
  <c r="M103" i="13"/>
  <c r="L103" i="13"/>
  <c r="K103" i="13"/>
  <c r="J103" i="13"/>
  <c r="I103" i="13"/>
  <c r="H103" i="13"/>
  <c r="G103" i="13"/>
  <c r="F103" i="13"/>
  <c r="C103" i="13"/>
  <c r="B103" i="13"/>
  <c r="BT102" i="13"/>
  <c r="BS102" i="13"/>
  <c r="BR102" i="13"/>
  <c r="BQ102" i="13"/>
  <c r="Z102" i="13"/>
  <c r="C102" i="13"/>
  <c r="B102" i="13"/>
  <c r="BT101" i="13"/>
  <c r="BS101" i="13"/>
  <c r="BR101" i="13"/>
  <c r="BQ101" i="13"/>
  <c r="Z101" i="13"/>
  <c r="C101" i="13"/>
  <c r="B101" i="13"/>
  <c r="BW100" i="13"/>
  <c r="BT100" i="13"/>
  <c r="BS100" i="13"/>
  <c r="BR100" i="13"/>
  <c r="BQ100" i="13"/>
  <c r="BJ100" i="13"/>
  <c r="BK100" i="13" s="1"/>
  <c r="BG100" i="13"/>
  <c r="BH100" i="13" s="1"/>
  <c r="BM95" i="5" s="1"/>
  <c r="BD100" i="13"/>
  <c r="BE100" i="13" s="1"/>
  <c r="BI95" i="5" s="1"/>
  <c r="X100" i="13"/>
  <c r="R100" i="13"/>
  <c r="Q100" i="13"/>
  <c r="P100" i="13"/>
  <c r="O100" i="13"/>
  <c r="N100" i="13"/>
  <c r="M100" i="13"/>
  <c r="L100" i="13"/>
  <c r="K100" i="13"/>
  <c r="J100" i="13"/>
  <c r="I100" i="13"/>
  <c r="H100" i="13"/>
  <c r="G100" i="13"/>
  <c r="F100" i="13"/>
  <c r="C100" i="13"/>
  <c r="B100" i="13"/>
  <c r="BX99" i="13"/>
  <c r="R97" i="13"/>
  <c r="Q97" i="13"/>
  <c r="P97" i="13"/>
  <c r="O97" i="13"/>
  <c r="N97" i="13"/>
  <c r="M97" i="13"/>
  <c r="L97" i="13"/>
  <c r="K97" i="13"/>
  <c r="J97" i="13"/>
  <c r="I97" i="13"/>
  <c r="H97" i="13"/>
  <c r="G97" i="13"/>
  <c r="F97" i="13"/>
  <c r="BW96" i="13"/>
  <c r="BT96" i="13"/>
  <c r="BS96" i="13"/>
  <c r="BR96" i="13"/>
  <c r="BQ96" i="13"/>
  <c r="BJ96" i="13"/>
  <c r="BG96" i="13"/>
  <c r="BD96" i="13"/>
  <c r="AG96" i="13"/>
  <c r="AF96" i="13"/>
  <c r="AE96" i="13"/>
  <c r="CE95" i="13"/>
  <c r="BW95" i="13"/>
  <c r="BT95" i="13"/>
  <c r="BS95" i="13"/>
  <c r="BR95" i="13"/>
  <c r="BQ95" i="13"/>
  <c r="BJ95" i="13"/>
  <c r="BK95" i="13" s="1"/>
  <c r="BG95" i="13"/>
  <c r="BH95" i="13" s="1"/>
  <c r="BD95" i="13"/>
  <c r="BE95" i="13" s="1"/>
  <c r="AG95" i="13"/>
  <c r="AF95" i="13"/>
  <c r="AE95" i="13"/>
  <c r="BT94" i="13"/>
  <c r="BS94" i="13"/>
  <c r="BR94" i="13"/>
  <c r="BQ94" i="13"/>
  <c r="BJ94" i="13"/>
  <c r="BG94" i="13"/>
  <c r="BH94" i="13" s="1"/>
  <c r="BM91" i="5" s="1"/>
  <c r="BD94" i="13"/>
  <c r="Z94" i="13"/>
  <c r="Z93" i="13" s="1"/>
  <c r="U94" i="13"/>
  <c r="U93" i="13" s="1"/>
  <c r="C94" i="13"/>
  <c r="B94" i="13"/>
  <c r="CE93" i="13"/>
  <c r="BW93" i="13"/>
  <c r="BT93" i="13"/>
  <c r="BS93" i="13"/>
  <c r="BR93" i="13"/>
  <c r="BQ93" i="13"/>
  <c r="BJ93" i="13"/>
  <c r="BG93" i="13"/>
  <c r="BH93" i="13" s="1"/>
  <c r="BM90" i="5" s="1"/>
  <c r="BD93" i="13"/>
  <c r="BE93" i="13" s="1"/>
  <c r="X93" i="13"/>
  <c r="R93" i="13"/>
  <c r="Q93" i="13"/>
  <c r="P93" i="13"/>
  <c r="O93" i="13"/>
  <c r="N93" i="13"/>
  <c r="M93" i="13"/>
  <c r="L93" i="13"/>
  <c r="K93" i="13"/>
  <c r="J93" i="13"/>
  <c r="I93" i="13"/>
  <c r="H93" i="13"/>
  <c r="G93" i="13"/>
  <c r="F93" i="13"/>
  <c r="C93" i="13"/>
  <c r="B93" i="13"/>
  <c r="BT92" i="13"/>
  <c r="BS92" i="13"/>
  <c r="BR92" i="13"/>
  <c r="BQ92" i="13"/>
  <c r="BJ92" i="13"/>
  <c r="BK92" i="13" s="1"/>
  <c r="BG92" i="13"/>
  <c r="BH92" i="13" s="1"/>
  <c r="BM89" i="5" s="1"/>
  <c r="BD92" i="13"/>
  <c r="BE92" i="13" s="1"/>
  <c r="BI89" i="5" s="1"/>
  <c r="Z92" i="13"/>
  <c r="C92" i="13"/>
  <c r="B92" i="13"/>
  <c r="BT91" i="13"/>
  <c r="BS91" i="13"/>
  <c r="BR91" i="13"/>
  <c r="BQ91" i="13"/>
  <c r="Z91" i="13"/>
  <c r="C91" i="13"/>
  <c r="B91" i="13"/>
  <c r="BW90" i="13"/>
  <c r="BT90" i="13"/>
  <c r="BS90" i="13"/>
  <c r="BR90" i="13"/>
  <c r="BQ90" i="13"/>
  <c r="BJ90" i="13"/>
  <c r="BK90" i="13" s="1"/>
  <c r="BG90" i="13"/>
  <c r="BH90" i="13" s="1"/>
  <c r="BM87" i="5" s="1"/>
  <c r="BD90" i="13"/>
  <c r="BE90" i="13" s="1"/>
  <c r="R90" i="13"/>
  <c r="Q90" i="13"/>
  <c r="P90" i="13"/>
  <c r="O90" i="13"/>
  <c r="N90" i="13"/>
  <c r="M90" i="13"/>
  <c r="L90" i="13"/>
  <c r="K90" i="13"/>
  <c r="J90" i="13"/>
  <c r="I90" i="13"/>
  <c r="H90" i="13"/>
  <c r="G90" i="13"/>
  <c r="F90" i="13"/>
  <c r="C90" i="13"/>
  <c r="B90" i="13"/>
  <c r="BT89" i="13"/>
  <c r="BS89" i="13"/>
  <c r="BR89" i="13"/>
  <c r="BQ89" i="13"/>
  <c r="BJ89" i="13"/>
  <c r="BG89" i="13"/>
  <c r="BH89" i="13" s="1"/>
  <c r="BM86" i="5" s="1"/>
  <c r="BD89" i="13"/>
  <c r="BE89" i="13" s="1"/>
  <c r="BI86" i="5" s="1"/>
  <c r="Z89" i="13"/>
  <c r="C89" i="13"/>
  <c r="B89" i="13"/>
  <c r="BT88" i="13"/>
  <c r="BS88" i="13"/>
  <c r="BR88" i="13"/>
  <c r="BQ88" i="13"/>
  <c r="BJ88" i="13"/>
  <c r="BK88" i="13" s="1"/>
  <c r="BG88" i="13"/>
  <c r="BH88" i="13" s="1"/>
  <c r="BM85" i="5" s="1"/>
  <c r="BD88" i="13"/>
  <c r="BE88" i="13" s="1"/>
  <c r="Z88" i="13"/>
  <c r="U88" i="13"/>
  <c r="C88" i="13"/>
  <c r="B88" i="13"/>
  <c r="BT87" i="13"/>
  <c r="BS87" i="13"/>
  <c r="BR87" i="13"/>
  <c r="BQ87" i="13"/>
  <c r="BJ87" i="13"/>
  <c r="BG87" i="13"/>
  <c r="BH87" i="13" s="1"/>
  <c r="BM84" i="5" s="1"/>
  <c r="BD87" i="13"/>
  <c r="BE87" i="13" s="1"/>
  <c r="BI84" i="5" s="1"/>
  <c r="Z87" i="13"/>
  <c r="U87" i="13"/>
  <c r="C87" i="13"/>
  <c r="B87" i="13"/>
  <c r="BW86" i="13"/>
  <c r="BT86" i="13"/>
  <c r="BS86" i="13"/>
  <c r="BR86" i="13"/>
  <c r="BQ86" i="13"/>
  <c r="BJ86" i="13"/>
  <c r="BK86" i="13" s="1"/>
  <c r="BG86" i="13"/>
  <c r="BH86" i="13" s="1"/>
  <c r="BM83" i="5" s="1"/>
  <c r="BD86" i="13"/>
  <c r="BE86" i="13" s="1"/>
  <c r="X86" i="13"/>
  <c r="R86" i="13"/>
  <c r="Q86" i="13"/>
  <c r="P86" i="13"/>
  <c r="O86" i="13"/>
  <c r="N86" i="13"/>
  <c r="M86" i="13"/>
  <c r="L86" i="13"/>
  <c r="K86" i="13"/>
  <c r="J86" i="13"/>
  <c r="I86" i="13"/>
  <c r="H86" i="13"/>
  <c r="G86" i="13"/>
  <c r="F86" i="13"/>
  <c r="C86" i="13"/>
  <c r="B86" i="13"/>
  <c r="BT85" i="13"/>
  <c r="BS85" i="13"/>
  <c r="BR85" i="13"/>
  <c r="BQ85" i="13"/>
  <c r="BJ85" i="13"/>
  <c r="BG85" i="13"/>
  <c r="BH85" i="13" s="1"/>
  <c r="BM82" i="5" s="1"/>
  <c r="BD85" i="13"/>
  <c r="BE85" i="13" s="1"/>
  <c r="BI82" i="5" s="1"/>
  <c r="Z85" i="13"/>
  <c r="C85" i="13"/>
  <c r="B85" i="13"/>
  <c r="BT84" i="13"/>
  <c r="BS84" i="13"/>
  <c r="BR84" i="13"/>
  <c r="BQ84" i="13"/>
  <c r="BJ84" i="13"/>
  <c r="BK84" i="13" s="1"/>
  <c r="BG84" i="13"/>
  <c r="BH84" i="13" s="1"/>
  <c r="BM81" i="5" s="1"/>
  <c r="BD84" i="13"/>
  <c r="BE84" i="13" s="1"/>
  <c r="BI81" i="5" s="1"/>
  <c r="Z84" i="13"/>
  <c r="C84" i="13"/>
  <c r="B84" i="13"/>
  <c r="CE83" i="13"/>
  <c r="BW83" i="13"/>
  <c r="BT83" i="13"/>
  <c r="BS83" i="13"/>
  <c r="BR83" i="13"/>
  <c r="BQ83" i="13"/>
  <c r="BJ83" i="13"/>
  <c r="BK83" i="13" s="1"/>
  <c r="BG83" i="13"/>
  <c r="BH83" i="13" s="1"/>
  <c r="BM80" i="5" s="1"/>
  <c r="BD83" i="13"/>
  <c r="BE83" i="13" s="1"/>
  <c r="X83" i="13"/>
  <c r="R83" i="13"/>
  <c r="Q83" i="13"/>
  <c r="P83" i="13"/>
  <c r="O83" i="13"/>
  <c r="N83" i="13"/>
  <c r="M83" i="13"/>
  <c r="L83" i="13"/>
  <c r="K83" i="13"/>
  <c r="J83" i="13"/>
  <c r="I83" i="13"/>
  <c r="H83" i="13"/>
  <c r="G83" i="13"/>
  <c r="F83" i="13"/>
  <c r="C83" i="13"/>
  <c r="B83" i="13"/>
  <c r="BW82" i="13"/>
  <c r="BT82" i="13"/>
  <c r="BS82" i="13"/>
  <c r="BR82" i="13"/>
  <c r="BQ82" i="13"/>
  <c r="BJ82" i="13"/>
  <c r="BG82" i="13"/>
  <c r="BD82" i="13"/>
  <c r="BT81" i="13"/>
  <c r="BS81" i="13"/>
  <c r="BR81" i="13"/>
  <c r="BQ81" i="13"/>
  <c r="BJ81" i="13"/>
  <c r="BG81" i="13"/>
  <c r="BH81" i="13" s="1"/>
  <c r="BM79" i="5" s="1"/>
  <c r="BD81" i="13"/>
  <c r="BE81" i="13" s="1"/>
  <c r="BI79" i="5" s="1"/>
  <c r="Z81" i="13"/>
  <c r="C81" i="13"/>
  <c r="B81" i="13"/>
  <c r="BT80" i="13"/>
  <c r="BS80" i="13"/>
  <c r="BR80" i="13"/>
  <c r="BQ80" i="13"/>
  <c r="BJ80" i="13"/>
  <c r="BK80" i="13" s="1"/>
  <c r="BG80" i="13"/>
  <c r="BH80" i="13" s="1"/>
  <c r="BM78" i="5" s="1"/>
  <c r="BD80" i="13"/>
  <c r="BE80" i="13" s="1"/>
  <c r="Z80" i="13"/>
  <c r="W80" i="13" s="1"/>
  <c r="W81" i="13" s="1"/>
  <c r="C80" i="13"/>
  <c r="B80" i="13"/>
  <c r="CE79" i="13"/>
  <c r="BW79" i="13"/>
  <c r="BT79" i="13"/>
  <c r="BS79" i="13"/>
  <c r="BR79" i="13"/>
  <c r="BQ79" i="13"/>
  <c r="BJ79" i="13"/>
  <c r="BK79" i="13" s="1"/>
  <c r="BG79" i="13"/>
  <c r="BH79" i="13" s="1"/>
  <c r="BM77" i="5" s="1"/>
  <c r="BD79" i="13"/>
  <c r="BE79" i="13" s="1"/>
  <c r="BI77" i="5" s="1"/>
  <c r="X79" i="13"/>
  <c r="C79" i="13"/>
  <c r="B79" i="13"/>
  <c r="BT78" i="13"/>
  <c r="BS78" i="13"/>
  <c r="BR78" i="13"/>
  <c r="BQ78" i="13"/>
  <c r="BJ78" i="13"/>
  <c r="BK78" i="13" s="1"/>
  <c r="BG78" i="13"/>
  <c r="BH78" i="13" s="1"/>
  <c r="BM76" i="5" s="1"/>
  <c r="BD78" i="13"/>
  <c r="BE78" i="13" s="1"/>
  <c r="Z78" i="13"/>
  <c r="C78" i="13"/>
  <c r="B78" i="13"/>
  <c r="BT77" i="13"/>
  <c r="BS77" i="13"/>
  <c r="BR77" i="13"/>
  <c r="BQ77" i="13"/>
  <c r="BJ77" i="13"/>
  <c r="BK77" i="13" s="1"/>
  <c r="BG77" i="13"/>
  <c r="BH77" i="13" s="1"/>
  <c r="BM75" i="5" s="1"/>
  <c r="BD77" i="13"/>
  <c r="BE77" i="13" s="1"/>
  <c r="Z77" i="13"/>
  <c r="C77" i="13"/>
  <c r="B77" i="13"/>
  <c r="BT76" i="13"/>
  <c r="BS76" i="13"/>
  <c r="BR76" i="13"/>
  <c r="BQ76" i="13"/>
  <c r="BJ76" i="13"/>
  <c r="BK76" i="13" s="1"/>
  <c r="BG76" i="13"/>
  <c r="BH76" i="13" s="1"/>
  <c r="BM74" i="5" s="1"/>
  <c r="BD76" i="13"/>
  <c r="BE76" i="13" s="1"/>
  <c r="Z76" i="13"/>
  <c r="C76" i="13"/>
  <c r="B76" i="13"/>
  <c r="CE75" i="13"/>
  <c r="CB75" i="13"/>
  <c r="BW75" i="13"/>
  <c r="BT75" i="13"/>
  <c r="BS75" i="13"/>
  <c r="BR75" i="13"/>
  <c r="BQ75" i="13"/>
  <c r="BJ75" i="13"/>
  <c r="BK75" i="13" s="1"/>
  <c r="BG75" i="13"/>
  <c r="BH75" i="13" s="1"/>
  <c r="BM73" i="5" s="1"/>
  <c r="BD75" i="13"/>
  <c r="BE75" i="13" s="1"/>
  <c r="X75" i="13"/>
  <c r="R75" i="13"/>
  <c r="Q75" i="13"/>
  <c r="P75" i="13"/>
  <c r="O75" i="13"/>
  <c r="N75" i="13"/>
  <c r="M75" i="13"/>
  <c r="L75" i="13"/>
  <c r="K75" i="13"/>
  <c r="J75" i="13"/>
  <c r="I75" i="13"/>
  <c r="H75" i="13"/>
  <c r="G75" i="13"/>
  <c r="F75" i="13"/>
  <c r="C75" i="13"/>
  <c r="B75" i="13"/>
  <c r="BT74" i="13"/>
  <c r="BS74" i="13"/>
  <c r="BR74" i="13"/>
  <c r="BQ74" i="13"/>
  <c r="BJ74" i="13"/>
  <c r="BG74" i="13"/>
  <c r="BH74" i="13" s="1"/>
  <c r="BM72" i="5" s="1"/>
  <c r="BD74" i="13"/>
  <c r="Z74" i="13"/>
  <c r="C74" i="13"/>
  <c r="B74" i="13"/>
  <c r="BQ73" i="13"/>
  <c r="Z73" i="13"/>
  <c r="C73" i="13"/>
  <c r="B73" i="13"/>
  <c r="BT72" i="13"/>
  <c r="BS72" i="13"/>
  <c r="BR72" i="13"/>
  <c r="BQ72" i="13"/>
  <c r="Z72" i="13"/>
  <c r="C72" i="13"/>
  <c r="B72" i="13"/>
  <c r="BT71" i="13"/>
  <c r="BS71" i="13"/>
  <c r="BR71" i="13"/>
  <c r="BQ71" i="13"/>
  <c r="BJ71" i="13"/>
  <c r="BK71" i="13" s="1"/>
  <c r="BG71" i="13"/>
  <c r="BH71" i="13" s="1"/>
  <c r="BM68" i="5" s="1"/>
  <c r="BD71" i="13"/>
  <c r="BE71" i="13" s="1"/>
  <c r="Z71" i="13"/>
  <c r="C71" i="13"/>
  <c r="B71" i="13"/>
  <c r="BT70" i="13"/>
  <c r="BS70" i="13"/>
  <c r="BR70" i="13"/>
  <c r="BQ70" i="13"/>
  <c r="BJ70" i="13"/>
  <c r="BG70" i="13"/>
  <c r="BH70" i="13" s="1"/>
  <c r="BM67" i="5" s="1"/>
  <c r="BD70" i="13"/>
  <c r="BE70" i="13" s="1"/>
  <c r="BI67" i="5" s="1"/>
  <c r="Z70" i="13"/>
  <c r="C70" i="13"/>
  <c r="B70" i="13"/>
  <c r="BW69" i="13"/>
  <c r="BT69" i="13"/>
  <c r="BS69" i="13"/>
  <c r="BR69" i="13"/>
  <c r="BQ69" i="13"/>
  <c r="BJ69" i="13"/>
  <c r="BK69" i="13" s="1"/>
  <c r="BG69" i="13"/>
  <c r="BH69" i="13" s="1"/>
  <c r="BM66" i="5" s="1"/>
  <c r="BD69" i="13"/>
  <c r="BE69" i="13" s="1"/>
  <c r="BI66" i="5" s="1"/>
  <c r="X69" i="13"/>
  <c r="R69" i="13"/>
  <c r="Q69" i="13"/>
  <c r="P69" i="13"/>
  <c r="O69" i="13"/>
  <c r="N69" i="13"/>
  <c r="M69" i="13"/>
  <c r="L69" i="13"/>
  <c r="K69" i="13"/>
  <c r="J69" i="13"/>
  <c r="I69" i="13"/>
  <c r="H69" i="13"/>
  <c r="G69" i="13"/>
  <c r="F69" i="13"/>
  <c r="C69" i="13"/>
  <c r="B69" i="13"/>
  <c r="BX68" i="13"/>
  <c r="R66" i="13"/>
  <c r="Q66" i="13"/>
  <c r="P66" i="13"/>
  <c r="O66" i="13"/>
  <c r="N66" i="13"/>
  <c r="M66" i="13"/>
  <c r="L66" i="13"/>
  <c r="K66" i="13"/>
  <c r="J66" i="13"/>
  <c r="I66" i="13"/>
  <c r="H66" i="13"/>
  <c r="G66" i="13"/>
  <c r="F66" i="13"/>
  <c r="BW65" i="13"/>
  <c r="BT65" i="13"/>
  <c r="BS65" i="13"/>
  <c r="BR65" i="13"/>
  <c r="BQ65" i="13"/>
  <c r="BJ65" i="13"/>
  <c r="BG65" i="13"/>
  <c r="BD65" i="13"/>
  <c r="BT64" i="13"/>
  <c r="BS64" i="13"/>
  <c r="BR64" i="13"/>
  <c r="BQ64" i="13"/>
  <c r="BJ64" i="13"/>
  <c r="BG64" i="13"/>
  <c r="BH64" i="13" s="1"/>
  <c r="BM62" i="5" s="1"/>
  <c r="BD64" i="13"/>
  <c r="Z64" i="13"/>
  <c r="Z63" i="13" s="1"/>
  <c r="C64" i="13"/>
  <c r="B64" i="13"/>
  <c r="BW63" i="13"/>
  <c r="BT63" i="13"/>
  <c r="BS63" i="13"/>
  <c r="BR63" i="13"/>
  <c r="BQ63" i="13"/>
  <c r="BJ63" i="13"/>
  <c r="BG63" i="13"/>
  <c r="BH63" i="13" s="1"/>
  <c r="BM61" i="5" s="1"/>
  <c r="BD63" i="13"/>
  <c r="BE63" i="13" s="1"/>
  <c r="X63" i="13"/>
  <c r="R63" i="13"/>
  <c r="Q63" i="13"/>
  <c r="P63" i="13"/>
  <c r="O63" i="13"/>
  <c r="N63" i="13"/>
  <c r="M63" i="13"/>
  <c r="L63" i="13"/>
  <c r="K63" i="13"/>
  <c r="J63" i="13"/>
  <c r="I63" i="13"/>
  <c r="H63" i="13"/>
  <c r="G63" i="13"/>
  <c r="F63" i="13"/>
  <c r="C63" i="13"/>
  <c r="B63" i="13"/>
  <c r="BW62" i="13"/>
  <c r="BT62" i="13"/>
  <c r="BS62" i="13"/>
  <c r="BR62" i="13"/>
  <c r="BQ62" i="13"/>
  <c r="BJ62" i="13"/>
  <c r="BG62" i="13"/>
  <c r="BD62" i="13"/>
  <c r="BT61" i="13"/>
  <c r="BS61" i="13"/>
  <c r="BR61" i="13"/>
  <c r="BQ61" i="13"/>
  <c r="BJ61" i="13"/>
  <c r="BG61" i="13"/>
  <c r="BH61" i="13" s="1"/>
  <c r="BM60" i="5" s="1"/>
  <c r="BD61" i="13"/>
  <c r="BE61" i="13" s="1"/>
  <c r="BI60" i="5" s="1"/>
  <c r="Z61" i="13"/>
  <c r="C61" i="13"/>
  <c r="B61" i="13"/>
  <c r="BT60" i="13"/>
  <c r="BS60" i="13"/>
  <c r="BR60" i="13"/>
  <c r="BQ60" i="13"/>
  <c r="BJ60" i="13"/>
  <c r="BK60" i="13" s="1"/>
  <c r="BG60" i="13"/>
  <c r="BH60" i="13" s="1"/>
  <c r="BM59" i="5" s="1"/>
  <c r="BD60" i="13"/>
  <c r="BE60" i="13" s="1"/>
  <c r="BI59" i="5" s="1"/>
  <c r="Z60" i="13"/>
  <c r="C60" i="13"/>
  <c r="B60" i="13"/>
  <c r="BW59" i="13"/>
  <c r="BT59" i="13"/>
  <c r="BS59" i="13"/>
  <c r="BR59" i="13"/>
  <c r="BQ59" i="13"/>
  <c r="BJ59" i="13"/>
  <c r="BK59" i="13" s="1"/>
  <c r="BG59" i="13"/>
  <c r="BH59" i="13" s="1"/>
  <c r="BM58" i="5" s="1"/>
  <c r="BD59" i="13"/>
  <c r="BE59" i="13" s="1"/>
  <c r="X59" i="13"/>
  <c r="R59" i="13"/>
  <c r="Q59" i="13"/>
  <c r="P59" i="13"/>
  <c r="O59" i="13"/>
  <c r="N59" i="13"/>
  <c r="M59" i="13"/>
  <c r="L59" i="13"/>
  <c r="K59" i="13"/>
  <c r="J59" i="13"/>
  <c r="I59" i="13"/>
  <c r="H59" i="13"/>
  <c r="G59" i="13"/>
  <c r="F59" i="13"/>
  <c r="C59" i="13"/>
  <c r="B59" i="13"/>
  <c r="BT58" i="13"/>
  <c r="BS58" i="13"/>
  <c r="BR58" i="13"/>
  <c r="BQ58" i="13"/>
  <c r="BJ58" i="13"/>
  <c r="BG58" i="13"/>
  <c r="BH58" i="13" s="1"/>
  <c r="BM57" i="5" s="1"/>
  <c r="BD58" i="13"/>
  <c r="BE58" i="13" s="1"/>
  <c r="BI57" i="5" s="1"/>
  <c r="Z58" i="13"/>
  <c r="Z56" i="13" s="1"/>
  <c r="C58" i="13"/>
  <c r="B58" i="13"/>
  <c r="BT57" i="13"/>
  <c r="BS57" i="13"/>
  <c r="BR57" i="13"/>
  <c r="BQ57" i="13"/>
  <c r="BJ57" i="13"/>
  <c r="BK57" i="13" s="1"/>
  <c r="BG57" i="13"/>
  <c r="BH57" i="13" s="1"/>
  <c r="BD57" i="13"/>
  <c r="BE57" i="13" s="1"/>
  <c r="C57" i="13"/>
  <c r="BW56" i="13"/>
  <c r="BT56" i="13"/>
  <c r="BS56" i="13"/>
  <c r="BR56" i="13"/>
  <c r="BQ56" i="13"/>
  <c r="BJ56" i="13"/>
  <c r="BK56" i="13" s="1"/>
  <c r="BG56" i="13"/>
  <c r="BH56" i="13" s="1"/>
  <c r="BM55" i="5" s="1"/>
  <c r="BD56" i="13"/>
  <c r="BE56" i="13" s="1"/>
  <c r="BI55" i="5" s="1"/>
  <c r="X56" i="13"/>
  <c r="R56" i="13"/>
  <c r="Q56" i="13"/>
  <c r="P56" i="13"/>
  <c r="O56" i="13"/>
  <c r="N56" i="13"/>
  <c r="M56" i="13"/>
  <c r="L56" i="13"/>
  <c r="K56" i="13"/>
  <c r="J56" i="13"/>
  <c r="I56" i="13"/>
  <c r="H56" i="13"/>
  <c r="G56" i="13"/>
  <c r="F56" i="13"/>
  <c r="C56" i="13"/>
  <c r="B56" i="13"/>
  <c r="CE55" i="13"/>
  <c r="BW55" i="13"/>
  <c r="BT55" i="13"/>
  <c r="BS55" i="13"/>
  <c r="BR55" i="13"/>
  <c r="BQ55" i="13"/>
  <c r="BJ55" i="13"/>
  <c r="BK55" i="13" s="1"/>
  <c r="BG55" i="13"/>
  <c r="BH55" i="13" s="1"/>
  <c r="BD55" i="13"/>
  <c r="BE55" i="13" s="1"/>
  <c r="BT54" i="13"/>
  <c r="BS54" i="13"/>
  <c r="BR54" i="13"/>
  <c r="BQ54" i="13"/>
  <c r="BJ54" i="13"/>
  <c r="BK54" i="13" s="1"/>
  <c r="BG54" i="13"/>
  <c r="BH54" i="13" s="1"/>
  <c r="BM54" i="5" s="1"/>
  <c r="BD54" i="13"/>
  <c r="BE54" i="13" s="1"/>
  <c r="Z54" i="13"/>
  <c r="C54" i="13"/>
  <c r="B54" i="13"/>
  <c r="BT53" i="13"/>
  <c r="BS53" i="13"/>
  <c r="BR53" i="13"/>
  <c r="BQ53" i="13"/>
  <c r="BJ53" i="13"/>
  <c r="BK53" i="13" s="1"/>
  <c r="BG53" i="13"/>
  <c r="BH53" i="13" s="1"/>
  <c r="BM53" i="5" s="1"/>
  <c r="BD53" i="13"/>
  <c r="BE53" i="13" s="1"/>
  <c r="BI53" i="5" s="1"/>
  <c r="Z53" i="13"/>
  <c r="C53" i="13"/>
  <c r="B53" i="13"/>
  <c r="BT52" i="13"/>
  <c r="BS52" i="13"/>
  <c r="BR52" i="13"/>
  <c r="BQ52" i="13"/>
  <c r="BJ52" i="13"/>
  <c r="BK52" i="13" s="1"/>
  <c r="BG52" i="13"/>
  <c r="BH52" i="13" s="1"/>
  <c r="BM52" i="5" s="1"/>
  <c r="BD52" i="13"/>
  <c r="BE52" i="13" s="1"/>
  <c r="BI52" i="5" s="1"/>
  <c r="Z52" i="13"/>
  <c r="C52" i="13"/>
  <c r="B52" i="13"/>
  <c r="CE51" i="13"/>
  <c r="BW51" i="13"/>
  <c r="BT51" i="13"/>
  <c r="BS51" i="13"/>
  <c r="BR51" i="13"/>
  <c r="BQ51" i="13"/>
  <c r="BJ51" i="13"/>
  <c r="BK51" i="13" s="1"/>
  <c r="BG51" i="13"/>
  <c r="BH51" i="13" s="1"/>
  <c r="BM51" i="5" s="1"/>
  <c r="BD51" i="13"/>
  <c r="X51" i="13"/>
  <c r="R51" i="13"/>
  <c r="Q51" i="13"/>
  <c r="P51" i="13"/>
  <c r="O51" i="13"/>
  <c r="N51" i="13"/>
  <c r="M51" i="13"/>
  <c r="L51" i="13"/>
  <c r="K51" i="13"/>
  <c r="J51" i="13"/>
  <c r="I51" i="13"/>
  <c r="H51" i="13"/>
  <c r="G51" i="13"/>
  <c r="F51" i="13"/>
  <c r="C51" i="13"/>
  <c r="B51" i="13"/>
  <c r="BT50" i="13"/>
  <c r="BS50" i="13"/>
  <c r="BR50" i="13"/>
  <c r="BQ50" i="13"/>
  <c r="BJ50" i="13"/>
  <c r="BK50" i="13" s="1"/>
  <c r="BG50" i="13"/>
  <c r="BH50" i="13" s="1"/>
  <c r="BM50" i="5" s="1"/>
  <c r="BD50" i="13"/>
  <c r="Z50" i="13"/>
  <c r="C50" i="13"/>
  <c r="B50" i="13"/>
  <c r="BQ49" i="13"/>
  <c r="Z49" i="13"/>
  <c r="C49" i="13"/>
  <c r="B49" i="13"/>
  <c r="BT48" i="13"/>
  <c r="BS48" i="13"/>
  <c r="BR48" i="13"/>
  <c r="BQ48" i="13"/>
  <c r="BJ48" i="13"/>
  <c r="BK48" i="13" s="1"/>
  <c r="BG48" i="13"/>
  <c r="BH48" i="13" s="1"/>
  <c r="BM48" i="5" s="1"/>
  <c r="BD48" i="13"/>
  <c r="BE48" i="13" s="1"/>
  <c r="Z48" i="13"/>
  <c r="C48" i="13"/>
  <c r="B48" i="13"/>
  <c r="BT47" i="13"/>
  <c r="BS47" i="13"/>
  <c r="BR47" i="13"/>
  <c r="BQ47" i="13"/>
  <c r="BJ47" i="13"/>
  <c r="BK47" i="13" s="1"/>
  <c r="BG47" i="13"/>
  <c r="BH47" i="13" s="1"/>
  <c r="BD47" i="13"/>
  <c r="BE47" i="13" s="1"/>
  <c r="C47" i="13"/>
  <c r="CE46" i="13"/>
  <c r="CB46" i="13"/>
  <c r="BW46" i="13"/>
  <c r="BT46" i="13"/>
  <c r="BS46" i="13"/>
  <c r="BR46" i="13"/>
  <c r="BQ46" i="13"/>
  <c r="BJ46" i="13"/>
  <c r="BK46" i="13" s="1"/>
  <c r="BG46" i="13"/>
  <c r="BH46" i="13" s="1"/>
  <c r="BM46" i="5" s="1"/>
  <c r="BD46" i="13"/>
  <c r="BE46" i="13" s="1"/>
  <c r="X46" i="13"/>
  <c r="R46" i="13"/>
  <c r="Q46" i="13"/>
  <c r="P46" i="13"/>
  <c r="O46" i="13"/>
  <c r="N46" i="13"/>
  <c r="M46" i="13"/>
  <c r="L46" i="13"/>
  <c r="K46" i="13"/>
  <c r="J46" i="13"/>
  <c r="I46" i="13"/>
  <c r="H46" i="13"/>
  <c r="G46" i="13"/>
  <c r="F46" i="13"/>
  <c r="C46" i="13"/>
  <c r="B46" i="13"/>
  <c r="BT45" i="13"/>
  <c r="BS45" i="13"/>
  <c r="BR45" i="13"/>
  <c r="BQ45" i="13"/>
  <c r="BJ45" i="13"/>
  <c r="BK45" i="13" s="1"/>
  <c r="BG45" i="13"/>
  <c r="BH45" i="13" s="1"/>
  <c r="BM45" i="5" s="1"/>
  <c r="BD45" i="13"/>
  <c r="BE45" i="13" s="1"/>
  <c r="BI45" i="5" s="1"/>
  <c r="Z45" i="13"/>
  <c r="C45" i="13"/>
  <c r="B45" i="13"/>
  <c r="BT44" i="13"/>
  <c r="BS44" i="13"/>
  <c r="BR44" i="13"/>
  <c r="BQ44" i="13"/>
  <c r="BJ44" i="13"/>
  <c r="BK44" i="13" s="1"/>
  <c r="BG44" i="13"/>
  <c r="BH44" i="13" s="1"/>
  <c r="BM44" i="5" s="1"/>
  <c r="BD44" i="13"/>
  <c r="BE44" i="13" s="1"/>
  <c r="BI44" i="5" s="1"/>
  <c r="Z44" i="13"/>
  <c r="C44" i="13"/>
  <c r="B44" i="13"/>
  <c r="BT43" i="13"/>
  <c r="BS43" i="13"/>
  <c r="BR43" i="13"/>
  <c r="BQ43" i="13"/>
  <c r="BJ43" i="13"/>
  <c r="BG43" i="13"/>
  <c r="BH43" i="13" s="1"/>
  <c r="BM43" i="5" s="1"/>
  <c r="BD43" i="13"/>
  <c r="BE43" i="13" s="1"/>
  <c r="BI43" i="5" s="1"/>
  <c r="Z43" i="13"/>
  <c r="C43" i="13"/>
  <c r="B43" i="13"/>
  <c r="BT42" i="13"/>
  <c r="BS42" i="13"/>
  <c r="BR42" i="13"/>
  <c r="BQ42" i="13"/>
  <c r="BJ42" i="13"/>
  <c r="BG42" i="13"/>
  <c r="BH42" i="13" s="1"/>
  <c r="BM42" i="5" s="1"/>
  <c r="BD42" i="13"/>
  <c r="BE42" i="13" s="1"/>
  <c r="BI42" i="5" s="1"/>
  <c r="Z42" i="13"/>
  <c r="C42" i="13"/>
  <c r="B42" i="13"/>
  <c r="BT41" i="13"/>
  <c r="BS41" i="13"/>
  <c r="BR41" i="13"/>
  <c r="BQ41" i="13"/>
  <c r="BJ41" i="13"/>
  <c r="BK41" i="13" s="1"/>
  <c r="BG41" i="13"/>
  <c r="BH41" i="13" s="1"/>
  <c r="BM41" i="5" s="1"/>
  <c r="BD41" i="13"/>
  <c r="BE41" i="13" s="1"/>
  <c r="BI41" i="5" s="1"/>
  <c r="Z41" i="13"/>
  <c r="C41" i="13"/>
  <c r="B41" i="13"/>
  <c r="BT40" i="13"/>
  <c r="BS40" i="13"/>
  <c r="BR40" i="13"/>
  <c r="BQ40" i="13"/>
  <c r="BJ40" i="13"/>
  <c r="BG40" i="13"/>
  <c r="BD40" i="13"/>
  <c r="C40" i="13"/>
  <c r="CE39" i="13"/>
  <c r="CB39" i="13"/>
  <c r="BW39" i="13"/>
  <c r="BT39" i="13"/>
  <c r="BS39" i="13"/>
  <c r="BR39" i="13"/>
  <c r="BQ39" i="13"/>
  <c r="BJ39" i="13"/>
  <c r="BK39" i="13" s="1"/>
  <c r="BG39" i="13"/>
  <c r="BH39" i="13" s="1"/>
  <c r="BM38" i="5" s="1"/>
  <c r="BD39" i="13"/>
  <c r="BE39" i="13" s="1"/>
  <c r="BI38" i="5" s="1"/>
  <c r="X39" i="13"/>
  <c r="R39" i="13"/>
  <c r="Q39" i="13"/>
  <c r="P39" i="13"/>
  <c r="O39" i="13"/>
  <c r="N39" i="13"/>
  <c r="M39" i="13"/>
  <c r="L39" i="13"/>
  <c r="K39" i="13"/>
  <c r="J39" i="13"/>
  <c r="I39" i="13"/>
  <c r="H39" i="13"/>
  <c r="G39" i="13"/>
  <c r="F39" i="13"/>
  <c r="C39" i="13"/>
  <c r="B39" i="13"/>
  <c r="BX38" i="13"/>
  <c r="R36" i="13"/>
  <c r="Q36" i="13"/>
  <c r="P36" i="13"/>
  <c r="O36" i="13"/>
  <c r="N36" i="13"/>
  <c r="M36" i="13"/>
  <c r="L36" i="13"/>
  <c r="K36" i="13"/>
  <c r="J36" i="13"/>
  <c r="I36" i="13"/>
  <c r="H36" i="13"/>
  <c r="G36" i="13"/>
  <c r="F36" i="13"/>
  <c r="BT35" i="13"/>
  <c r="BS35" i="13"/>
  <c r="BR35" i="13"/>
  <c r="BQ35" i="13"/>
  <c r="BJ35" i="13"/>
  <c r="BG35" i="13"/>
  <c r="BD35" i="13"/>
  <c r="X35" i="13"/>
  <c r="BT34" i="13"/>
  <c r="BS34" i="13"/>
  <c r="BR34" i="13"/>
  <c r="BQ34" i="13"/>
  <c r="BJ34" i="13"/>
  <c r="BG34" i="13"/>
  <c r="BD34" i="13"/>
  <c r="X34" i="13"/>
  <c r="BT33" i="13"/>
  <c r="BS33" i="13"/>
  <c r="BR33" i="13"/>
  <c r="BQ33" i="13"/>
  <c r="BJ33" i="13"/>
  <c r="BK33" i="13" s="1"/>
  <c r="BG33" i="13"/>
  <c r="BH33" i="13" s="1"/>
  <c r="BM34" i="5" s="1"/>
  <c r="BD33" i="13"/>
  <c r="Z33" i="13"/>
  <c r="C33" i="13"/>
  <c r="B33" i="13"/>
  <c r="BT32" i="13"/>
  <c r="BS32" i="13"/>
  <c r="BR32" i="13"/>
  <c r="BQ32" i="13"/>
  <c r="Z32" i="13"/>
  <c r="C32" i="13"/>
  <c r="B32" i="13"/>
  <c r="BT31" i="13"/>
  <c r="BS31" i="13"/>
  <c r="BR31" i="13"/>
  <c r="BQ31" i="13"/>
  <c r="BJ31" i="13"/>
  <c r="BK31" i="13" s="1"/>
  <c r="BG31" i="13"/>
  <c r="BH31" i="13" s="1"/>
  <c r="BM32" i="5" s="1"/>
  <c r="BD31" i="13"/>
  <c r="BE31" i="13" s="1"/>
  <c r="Z31" i="13"/>
  <c r="C31" i="13"/>
  <c r="B31" i="13"/>
  <c r="BW30" i="13"/>
  <c r="BT30" i="13"/>
  <c r="BS30" i="13"/>
  <c r="BR30" i="13"/>
  <c r="BQ30" i="13"/>
  <c r="BJ30" i="13"/>
  <c r="BK30" i="13" s="1"/>
  <c r="BG30" i="13"/>
  <c r="BH30" i="13" s="1"/>
  <c r="BM31" i="5" s="1"/>
  <c r="BD30" i="13"/>
  <c r="BE30" i="13" s="1"/>
  <c r="BI31" i="5" s="1"/>
  <c r="X30" i="13"/>
  <c r="R30" i="13"/>
  <c r="Q30" i="13"/>
  <c r="P30" i="13"/>
  <c r="O30" i="13"/>
  <c r="N30" i="13"/>
  <c r="M30" i="13"/>
  <c r="L30" i="13"/>
  <c r="K30" i="13"/>
  <c r="J30" i="13"/>
  <c r="I30" i="13"/>
  <c r="H30" i="13"/>
  <c r="G30" i="13"/>
  <c r="F30" i="13"/>
  <c r="C30" i="13"/>
  <c r="B30" i="13"/>
  <c r="BT29" i="13"/>
  <c r="BS29" i="13"/>
  <c r="BR29" i="13"/>
  <c r="BQ29" i="13"/>
  <c r="Z29" i="13"/>
  <c r="C29" i="13"/>
  <c r="B29" i="13"/>
  <c r="BT28" i="13"/>
  <c r="BS28" i="13"/>
  <c r="BR28" i="13"/>
  <c r="BQ28" i="13"/>
  <c r="BJ28" i="13"/>
  <c r="BK28" i="13" s="1"/>
  <c r="BG28" i="13"/>
  <c r="BH28" i="13" s="1"/>
  <c r="BM29" i="5" s="1"/>
  <c r="BD28" i="13"/>
  <c r="BE28" i="13" s="1"/>
  <c r="Z28" i="13"/>
  <c r="C28" i="13"/>
  <c r="B28" i="13"/>
  <c r="BT27" i="13"/>
  <c r="BS27" i="13"/>
  <c r="BR27" i="13"/>
  <c r="BQ27" i="13"/>
  <c r="Z27" i="13"/>
  <c r="C27" i="13"/>
  <c r="B27" i="13"/>
  <c r="BW26" i="13"/>
  <c r="BT26" i="13"/>
  <c r="BS26" i="13"/>
  <c r="BR26" i="13"/>
  <c r="BQ26" i="13"/>
  <c r="BJ26" i="13"/>
  <c r="BK26" i="13" s="1"/>
  <c r="BG26" i="13"/>
  <c r="BH26" i="13" s="1"/>
  <c r="BM27" i="5" s="1"/>
  <c r="BD26" i="13"/>
  <c r="BE26" i="13" s="1"/>
  <c r="BI27" i="5" s="1"/>
  <c r="X26" i="13"/>
  <c r="R26" i="13"/>
  <c r="Q26" i="13"/>
  <c r="P26" i="13"/>
  <c r="O26" i="13"/>
  <c r="N26" i="13"/>
  <c r="M26" i="13"/>
  <c r="L26" i="13"/>
  <c r="K26" i="13"/>
  <c r="J26" i="13"/>
  <c r="I26" i="13"/>
  <c r="H26" i="13"/>
  <c r="G26" i="13"/>
  <c r="F26" i="13"/>
  <c r="C26" i="13"/>
  <c r="B26" i="13"/>
  <c r="BT25" i="13"/>
  <c r="BS25" i="13"/>
  <c r="BR25" i="13"/>
  <c r="BQ25" i="13"/>
  <c r="Z25" i="13"/>
  <c r="C25" i="13"/>
  <c r="B25" i="13"/>
  <c r="BT24" i="13"/>
  <c r="BS24" i="13"/>
  <c r="BR24" i="13"/>
  <c r="BQ24" i="13"/>
  <c r="Z24" i="13"/>
  <c r="C24" i="13"/>
  <c r="B24" i="13"/>
  <c r="BQ23" i="13"/>
  <c r="Z23" i="13"/>
  <c r="C23" i="13"/>
  <c r="B23" i="13"/>
  <c r="BQ22" i="13"/>
  <c r="Z22" i="13"/>
  <c r="C22" i="13"/>
  <c r="B22" i="13"/>
  <c r="BT21" i="13"/>
  <c r="BS21" i="13"/>
  <c r="BR21" i="13"/>
  <c r="BQ21" i="13"/>
  <c r="BJ21" i="13"/>
  <c r="BK21" i="13" s="1"/>
  <c r="BG21" i="13"/>
  <c r="BH21" i="13" s="1"/>
  <c r="BM22" i="5" s="1"/>
  <c r="BD21" i="13"/>
  <c r="BE21" i="13" s="1"/>
  <c r="Z21" i="13"/>
  <c r="C21" i="13"/>
  <c r="B21" i="13"/>
  <c r="BT20" i="13"/>
  <c r="BS20" i="13"/>
  <c r="BR20" i="13"/>
  <c r="BQ20" i="13"/>
  <c r="BJ20" i="13"/>
  <c r="BK20" i="13" s="1"/>
  <c r="BG20" i="13"/>
  <c r="BH20" i="13" s="1"/>
  <c r="BM21" i="5" s="1"/>
  <c r="BD20" i="13"/>
  <c r="BE20" i="13" s="1"/>
  <c r="Z20" i="13"/>
  <c r="C20" i="13"/>
  <c r="B20" i="13"/>
  <c r="BW19" i="13"/>
  <c r="BT19" i="13"/>
  <c r="BS19" i="13"/>
  <c r="BR19" i="13"/>
  <c r="BQ19" i="13"/>
  <c r="BJ19" i="13"/>
  <c r="BK19" i="13" s="1"/>
  <c r="BG19" i="13"/>
  <c r="BH19" i="13" s="1"/>
  <c r="BM20" i="5" s="1"/>
  <c r="BD19" i="13"/>
  <c r="BE19" i="13" s="1"/>
  <c r="BI20" i="5" s="1"/>
  <c r="X19" i="13"/>
  <c r="R19" i="13"/>
  <c r="Q19" i="13"/>
  <c r="P19" i="13"/>
  <c r="O19" i="13"/>
  <c r="N19" i="13"/>
  <c r="M19" i="13"/>
  <c r="L19" i="13"/>
  <c r="K19" i="13"/>
  <c r="J19" i="13"/>
  <c r="I19" i="13"/>
  <c r="H19" i="13"/>
  <c r="G19" i="13"/>
  <c r="F19" i="13"/>
  <c r="C19" i="13"/>
  <c r="B19" i="13"/>
  <c r="BT18" i="13"/>
  <c r="BS18" i="13"/>
  <c r="BR18" i="13"/>
  <c r="BQ18" i="13"/>
  <c r="BJ18" i="13"/>
  <c r="BK18" i="13" s="1"/>
  <c r="BG18" i="13"/>
  <c r="BH18" i="13" s="1"/>
  <c r="BM19" i="5" s="1"/>
  <c r="BD18" i="13"/>
  <c r="BE18" i="13" s="1"/>
  <c r="BI19" i="5" s="1"/>
  <c r="Z18" i="13"/>
  <c r="C18" i="13"/>
  <c r="B18" i="13"/>
  <c r="BT17" i="13"/>
  <c r="BS17" i="13"/>
  <c r="BR17" i="13"/>
  <c r="BQ17" i="13"/>
  <c r="BJ17" i="13"/>
  <c r="BK17" i="13" s="1"/>
  <c r="BG17" i="13"/>
  <c r="BH17" i="13" s="1"/>
  <c r="BM18" i="5" s="1"/>
  <c r="BD17" i="13"/>
  <c r="BE17" i="13" s="1"/>
  <c r="BI18" i="5" s="1"/>
  <c r="Z17" i="13"/>
  <c r="C17" i="13"/>
  <c r="B17" i="13"/>
  <c r="BW16" i="13"/>
  <c r="BT16" i="13"/>
  <c r="BS16" i="13"/>
  <c r="BR16" i="13"/>
  <c r="BQ16" i="13"/>
  <c r="BJ16" i="13"/>
  <c r="BK16" i="13" s="1"/>
  <c r="BG16" i="13"/>
  <c r="BH16" i="13" s="1"/>
  <c r="BM17" i="5" s="1"/>
  <c r="BD16" i="13"/>
  <c r="BE16" i="13" s="1"/>
  <c r="X16" i="13"/>
  <c r="R16" i="13"/>
  <c r="Q16" i="13"/>
  <c r="P16" i="13"/>
  <c r="O16" i="13"/>
  <c r="N16" i="13"/>
  <c r="M16" i="13"/>
  <c r="L16" i="13"/>
  <c r="K16" i="13"/>
  <c r="J16" i="13"/>
  <c r="I16" i="13"/>
  <c r="H16" i="13"/>
  <c r="G16" i="13"/>
  <c r="F16" i="13"/>
  <c r="C16" i="13"/>
  <c r="B16" i="13"/>
  <c r="BT15" i="13"/>
  <c r="BS15" i="13"/>
  <c r="BR15" i="13"/>
  <c r="BQ15" i="13"/>
  <c r="BJ15" i="13"/>
  <c r="BK15" i="13" s="1"/>
  <c r="BG15" i="13"/>
  <c r="BH15" i="13" s="1"/>
  <c r="BM16" i="5" s="1"/>
  <c r="BD15" i="13"/>
  <c r="BE15" i="13" s="1"/>
  <c r="BI16" i="5" s="1"/>
  <c r="Z15" i="13"/>
  <c r="C15" i="13"/>
  <c r="B15" i="13"/>
  <c r="BT14" i="13"/>
  <c r="BS14" i="13"/>
  <c r="BR14" i="13"/>
  <c r="BQ14" i="13"/>
  <c r="BJ14" i="13"/>
  <c r="BK14" i="13" s="1"/>
  <c r="BG14" i="13"/>
  <c r="BH14" i="13" s="1"/>
  <c r="BM15" i="5" s="1"/>
  <c r="BD14" i="13"/>
  <c r="BE14" i="13" s="1"/>
  <c r="Z14" i="13"/>
  <c r="C14" i="13"/>
  <c r="B14" i="13"/>
  <c r="BT13" i="13"/>
  <c r="BS13" i="13"/>
  <c r="BR13" i="13"/>
  <c r="BQ13" i="13"/>
  <c r="BJ13" i="13"/>
  <c r="BK13" i="13" s="1"/>
  <c r="BG13" i="13"/>
  <c r="BH13" i="13" s="1"/>
  <c r="BM14" i="5" s="1"/>
  <c r="BD13" i="13"/>
  <c r="BE13" i="13" s="1"/>
  <c r="Z13" i="13"/>
  <c r="C13" i="13"/>
  <c r="B13" i="13"/>
  <c r="BQ12" i="13"/>
  <c r="Z12" i="13"/>
  <c r="C12" i="13"/>
  <c r="B12" i="13"/>
  <c r="BT11" i="13"/>
  <c r="BS11" i="13"/>
  <c r="BR11" i="13"/>
  <c r="BQ11" i="13"/>
  <c r="Z11" i="13"/>
  <c r="C11" i="13"/>
  <c r="B11" i="13"/>
  <c r="BW10" i="13"/>
  <c r="BT10" i="13"/>
  <c r="BS10" i="13"/>
  <c r="BR10" i="13"/>
  <c r="BQ10" i="13"/>
  <c r="BJ10" i="13"/>
  <c r="BK10" i="13" s="1"/>
  <c r="BG10" i="13"/>
  <c r="BH10" i="13" s="1"/>
  <c r="BM11" i="5" s="1"/>
  <c r="X10" i="13"/>
  <c r="R10" i="13"/>
  <c r="Q10" i="13"/>
  <c r="P10" i="13"/>
  <c r="O10" i="13"/>
  <c r="N10" i="13"/>
  <c r="M10" i="13"/>
  <c r="L10" i="13"/>
  <c r="K10" i="13"/>
  <c r="J10" i="13"/>
  <c r="I10" i="13"/>
  <c r="H10" i="13"/>
  <c r="G10" i="13"/>
  <c r="F10" i="13"/>
  <c r="C10" i="13"/>
  <c r="B10" i="13"/>
  <c r="BX9" i="13"/>
  <c r="R9" i="13"/>
  <c r="R68" i="13" s="1"/>
  <c r="P9" i="13"/>
  <c r="P168" i="13" s="1"/>
  <c r="K9" i="13"/>
  <c r="K168" i="13" s="1"/>
  <c r="F9" i="13"/>
  <c r="F38" i="13" s="1"/>
  <c r="Y6" i="13"/>
  <c r="E6" i="13"/>
  <c r="T199" i="13" s="1"/>
  <c r="AC5" i="13"/>
  <c r="Y5" i="13"/>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O97" i="16"/>
  <c r="H97" i="16"/>
  <c r="O96" i="16"/>
  <c r="H96" i="16"/>
  <c r="O95" i="16"/>
  <c r="H95" i="16"/>
  <c r="O94" i="16"/>
  <c r="H94" i="16"/>
  <c r="O93" i="16"/>
  <c r="I93" i="16"/>
  <c r="H93" i="16"/>
  <c r="O92" i="16"/>
  <c r="I92" i="16"/>
  <c r="H92" i="16"/>
  <c r="O91" i="16"/>
  <c r="H91" i="16"/>
  <c r="O90" i="16"/>
  <c r="H90" i="16"/>
  <c r="O89" i="16"/>
  <c r="H89" i="16"/>
  <c r="O88" i="16"/>
  <c r="H88" i="16"/>
  <c r="F88" i="16"/>
  <c r="I88" i="16" s="1"/>
  <c r="D88" i="16"/>
  <c r="O87" i="16"/>
  <c r="H87" i="16"/>
  <c r="O86" i="16"/>
  <c r="H86" i="16"/>
  <c r="O85" i="16"/>
  <c r="I85" i="16"/>
  <c r="H85" i="16"/>
  <c r="O84" i="16"/>
  <c r="I84" i="16"/>
  <c r="H84" i="16"/>
  <c r="O83" i="16"/>
  <c r="H83" i="16"/>
  <c r="O82" i="16"/>
  <c r="H82" i="16"/>
  <c r="H81" i="16"/>
  <c r="H80" i="16"/>
  <c r="O79" i="16"/>
  <c r="H79" i="16"/>
  <c r="O78" i="16"/>
  <c r="H78" i="16"/>
  <c r="O77" i="16"/>
  <c r="H77" i="16"/>
  <c r="H76" i="16"/>
  <c r="O75" i="16"/>
  <c r="H75" i="16"/>
  <c r="O74" i="16"/>
  <c r="I74" i="16"/>
  <c r="H74" i="16"/>
  <c r="O73" i="16"/>
  <c r="I73" i="16"/>
  <c r="H73" i="16"/>
  <c r="O72" i="16"/>
  <c r="H72" i="16"/>
  <c r="O71" i="16"/>
  <c r="H71" i="16"/>
  <c r="O70" i="16"/>
  <c r="H70" i="16"/>
  <c r="O69" i="16"/>
  <c r="H69" i="16"/>
  <c r="F69" i="16"/>
  <c r="I69" i="16" s="1"/>
  <c r="D69" i="16"/>
  <c r="O68" i="16"/>
  <c r="H68" i="16"/>
  <c r="O67" i="16"/>
  <c r="I67" i="16"/>
  <c r="H67" i="16"/>
  <c r="O66" i="16"/>
  <c r="I66" i="16"/>
  <c r="H66" i="16"/>
  <c r="O65" i="16"/>
  <c r="H65" i="16"/>
  <c r="O64" i="16"/>
  <c r="H64" i="16"/>
  <c r="O63" i="16"/>
  <c r="H63" i="16"/>
  <c r="H62" i="16"/>
  <c r="O61" i="16"/>
  <c r="H61" i="16"/>
  <c r="O60" i="16"/>
  <c r="H60" i="16"/>
  <c r="H59" i="16"/>
  <c r="O58" i="16"/>
  <c r="I58" i="16"/>
  <c r="H58" i="16"/>
  <c r="O57" i="16"/>
  <c r="I57" i="16"/>
  <c r="H57" i="16"/>
  <c r="O56" i="16"/>
  <c r="H56" i="16"/>
  <c r="O55" i="16"/>
  <c r="H55" i="16"/>
  <c r="O54" i="16"/>
  <c r="H54" i="16"/>
  <c r="O53" i="16"/>
  <c r="H53" i="16"/>
  <c r="O52" i="16"/>
  <c r="H52" i="16"/>
  <c r="O51" i="16"/>
  <c r="I51" i="16"/>
  <c r="H51" i="16"/>
  <c r="O50" i="16"/>
  <c r="I50" i="16"/>
  <c r="H50" i="16"/>
  <c r="O49" i="16"/>
  <c r="H49" i="16"/>
  <c r="O48" i="16"/>
  <c r="H48" i="16"/>
  <c r="F48" i="16"/>
  <c r="I48" i="16" s="1"/>
  <c r="D48" i="16"/>
  <c r="O47" i="16"/>
  <c r="H47" i="16"/>
  <c r="F47" i="16"/>
  <c r="I47" i="16" s="1"/>
  <c r="D47" i="16"/>
  <c r="O46" i="16"/>
  <c r="H46" i="16"/>
  <c r="F46" i="16"/>
  <c r="I46" i="16" s="1"/>
  <c r="D46" i="16"/>
  <c r="O45" i="16"/>
  <c r="H45" i="16"/>
  <c r="F45" i="16"/>
  <c r="I45" i="16" s="1"/>
  <c r="D45" i="16"/>
  <c r="O44" i="16"/>
  <c r="H44" i="16"/>
  <c r="O43" i="16"/>
  <c r="H43" i="16"/>
  <c r="O42" i="16"/>
  <c r="I42" i="16"/>
  <c r="H42" i="16"/>
  <c r="O41" i="16"/>
  <c r="I41" i="16"/>
  <c r="H41" i="16"/>
  <c r="O40" i="16"/>
  <c r="H40" i="16"/>
  <c r="O39" i="16"/>
  <c r="H39" i="16"/>
  <c r="F39" i="16"/>
  <c r="I39" i="16" s="1"/>
  <c r="D39" i="16"/>
  <c r="O38" i="16"/>
  <c r="H38" i="16"/>
  <c r="F38" i="16"/>
  <c r="I38" i="16" s="1"/>
  <c r="D38" i="16"/>
  <c r="O37" i="16"/>
  <c r="O36" i="16"/>
  <c r="H36" i="16"/>
  <c r="O35" i="16"/>
  <c r="H35" i="16"/>
  <c r="O34" i="16"/>
  <c r="H34" i="16"/>
  <c r="O33" i="16"/>
  <c r="H33" i="16"/>
  <c r="O32" i="16"/>
  <c r="H32" i="16"/>
  <c r="F32" i="16"/>
  <c r="I32" i="16" s="1"/>
  <c r="D32" i="16"/>
  <c r="O31" i="16"/>
  <c r="H31" i="16"/>
  <c r="O30" i="16"/>
  <c r="H30" i="16"/>
  <c r="O29" i="16"/>
  <c r="H29" i="16"/>
  <c r="O28" i="16"/>
  <c r="I28" i="16"/>
  <c r="H28" i="16"/>
  <c r="O27" i="16"/>
  <c r="I27" i="16"/>
  <c r="H27" i="16"/>
  <c r="O26" i="16"/>
  <c r="H26" i="16"/>
  <c r="O25" i="16"/>
  <c r="H25" i="16"/>
  <c r="F25" i="16"/>
  <c r="I25" i="16" s="1"/>
  <c r="D25" i="16"/>
  <c r="O24" i="16"/>
  <c r="H24" i="16"/>
  <c r="O23" i="16"/>
  <c r="H23" i="16"/>
  <c r="F23" i="16"/>
  <c r="I23" i="16" s="1"/>
  <c r="D23" i="16"/>
  <c r="O22" i="16"/>
  <c r="H22" i="16"/>
  <c r="O21" i="16"/>
  <c r="H21" i="16"/>
  <c r="O20" i="16"/>
  <c r="H20" i="16"/>
  <c r="F20" i="16"/>
  <c r="I20" i="16" s="1"/>
  <c r="D20" i="16"/>
  <c r="O19" i="16"/>
  <c r="H19" i="16"/>
  <c r="O18" i="16"/>
  <c r="H18" i="16"/>
  <c r="O17" i="16"/>
  <c r="H17" i="16"/>
  <c r="O16" i="16"/>
  <c r="I16" i="16"/>
  <c r="H16" i="16"/>
  <c r="O15" i="16"/>
  <c r="I15" i="16"/>
  <c r="H15" i="16"/>
  <c r="O14" i="16"/>
  <c r="H14" i="16"/>
  <c r="O13" i="16"/>
  <c r="H13" i="16"/>
  <c r="O12" i="16"/>
  <c r="H12" i="16"/>
  <c r="O11" i="16"/>
  <c r="H11" i="16"/>
  <c r="O10" i="16"/>
  <c r="H10" i="16"/>
  <c r="O9" i="16"/>
  <c r="H9" i="16"/>
  <c r="O8" i="16"/>
  <c r="H8" i="16"/>
  <c r="O7" i="16"/>
  <c r="H7" i="16"/>
  <c r="O6" i="16"/>
  <c r="AG259" i="5"/>
  <c r="AF259" i="5"/>
  <c r="AE259" i="5"/>
  <c r="J259" i="5"/>
  <c r="F259" i="5"/>
  <c r="AG258" i="5"/>
  <c r="AF258" i="5"/>
  <c r="AE258" i="5"/>
  <c r="J258" i="5" a="1"/>
  <c r="J258" i="5" s="1"/>
  <c r="F258" i="5"/>
  <c r="AG257" i="5"/>
  <c r="AF257" i="5"/>
  <c r="AE257" i="5"/>
  <c r="J257" i="5"/>
  <c r="F257" i="5"/>
  <c r="AG256" i="5"/>
  <c r="AF256" i="5"/>
  <c r="AE256" i="5"/>
  <c r="F256" i="5"/>
  <c r="AG255" i="5"/>
  <c r="AF255" i="5"/>
  <c r="AE255" i="5"/>
  <c r="F255" i="5"/>
  <c r="AG254" i="5"/>
  <c r="AF254" i="5"/>
  <c r="AE254" i="5"/>
  <c r="F254" i="5"/>
  <c r="AG252" i="5"/>
  <c r="AF252" i="5"/>
  <c r="AE252" i="5"/>
  <c r="F252" i="5"/>
  <c r="AG251" i="5"/>
  <c r="AF251" i="5"/>
  <c r="AE251" i="5"/>
  <c r="F251" i="5"/>
  <c r="AG248" i="5"/>
  <c r="AF248" i="5"/>
  <c r="AE248" i="5"/>
  <c r="J248" i="5"/>
  <c r="F248" i="5"/>
  <c r="AG247" i="5"/>
  <c r="AF247" i="5"/>
  <c r="AE247" i="5"/>
  <c r="J247" i="5"/>
  <c r="F247" i="5"/>
  <c r="AG246" i="5"/>
  <c r="AF246" i="5"/>
  <c r="AE246" i="5"/>
  <c r="F246" i="5"/>
  <c r="AG245" i="5"/>
  <c r="AF245" i="5"/>
  <c r="AE245" i="5"/>
  <c r="F245" i="5"/>
  <c r="AG236" i="5"/>
  <c r="AF236" i="5"/>
  <c r="AE236" i="5"/>
  <c r="F236" i="5"/>
  <c r="BQ226" i="5"/>
  <c r="BE226" i="5"/>
  <c r="BD226" i="5"/>
  <c r="BC226" i="5"/>
  <c r="BE225" i="5"/>
  <c r="F225" i="5" s="1"/>
  <c r="BD225" i="5"/>
  <c r="BC225" i="5" s="1"/>
  <c r="AG225" i="5"/>
  <c r="AF225" i="5"/>
  <c r="AE225" i="5"/>
  <c r="BE224" i="5"/>
  <c r="F224" i="5" s="1"/>
  <c r="BD224" i="5"/>
  <c r="BC224" i="5" s="1"/>
  <c r="AG224" i="5"/>
  <c r="AF224" i="5"/>
  <c r="AE224" i="5"/>
  <c r="BD223" i="5"/>
  <c r="BC223" i="5" s="1"/>
  <c r="AG223" i="5"/>
  <c r="AF223" i="5"/>
  <c r="AE223" i="5"/>
  <c r="BE222" i="5"/>
  <c r="F222" i="5" s="1"/>
  <c r="BD222" i="5"/>
  <c r="BC222" i="5" s="1"/>
  <c r="AG222" i="5"/>
  <c r="AF222" i="5"/>
  <c r="AE222" i="5"/>
  <c r="BE221" i="5"/>
  <c r="F221" i="5" s="1"/>
  <c r="BD221" i="5"/>
  <c r="BC221" i="5" s="1"/>
  <c r="AG221" i="5"/>
  <c r="AF221" i="5"/>
  <c r="AE221" i="5"/>
  <c r="BE220" i="5"/>
  <c r="F220" i="5" s="1"/>
  <c r="BD220" i="5"/>
  <c r="BC220" i="5" s="1"/>
  <c r="AG220" i="5"/>
  <c r="AF220" i="5"/>
  <c r="AE220" i="5"/>
  <c r="BE219" i="5"/>
  <c r="F219" i="5" s="1"/>
  <c r="BD219" i="5"/>
  <c r="BC219" i="5" s="1"/>
  <c r="AG219" i="5"/>
  <c r="AF219" i="5"/>
  <c r="AE219" i="5"/>
  <c r="BE218" i="5"/>
  <c r="F218" i="5" s="1"/>
  <c r="BD218" i="5"/>
  <c r="BC218" i="5" s="1"/>
  <c r="AG218" i="5"/>
  <c r="AF218" i="5"/>
  <c r="AE218" i="5"/>
  <c r="BE217" i="5"/>
  <c r="F217" i="5" s="1"/>
  <c r="BD217" i="5"/>
  <c r="BC217" i="5" s="1"/>
  <c r="AG217" i="5"/>
  <c r="AF217" i="5"/>
  <c r="AE217" i="5"/>
  <c r="BE216" i="5"/>
  <c r="F216" i="5" s="1"/>
  <c r="BD216" i="5"/>
  <c r="BC216" i="5" s="1"/>
  <c r="AG216" i="5"/>
  <c r="AF216" i="5"/>
  <c r="AE216" i="5"/>
  <c r="BE215" i="5"/>
  <c r="F215" i="5" s="1"/>
  <c r="BD215" i="5"/>
  <c r="BC215" i="5" s="1"/>
  <c r="AG215" i="5"/>
  <c r="AF215" i="5"/>
  <c r="AE215" i="5"/>
  <c r="BE214" i="5"/>
  <c r="F214" i="5" s="1"/>
  <c r="BD214" i="5"/>
  <c r="BC214" i="5" s="1"/>
  <c r="AG214" i="5"/>
  <c r="AF214" i="5"/>
  <c r="AE214" i="5"/>
  <c r="BE213" i="5"/>
  <c r="F213" i="5" s="1"/>
  <c r="BD213" i="5"/>
  <c r="BC213" i="5" s="1"/>
  <c r="AG213" i="5"/>
  <c r="AF213" i="5"/>
  <c r="AE213" i="5"/>
  <c r="BE212" i="5"/>
  <c r="F212" i="5" s="1"/>
  <c r="BD212" i="5"/>
  <c r="BC212" i="5" s="1"/>
  <c r="AG212" i="5"/>
  <c r="AF212" i="5"/>
  <c r="AE212" i="5"/>
  <c r="BQ209" i="5"/>
  <c r="BE209" i="5"/>
  <c r="BD209" i="5"/>
  <c r="BC209" i="5" s="1"/>
  <c r="BE208" i="5"/>
  <c r="F208" i="5" s="1"/>
  <c r="BD208" i="5"/>
  <c r="BC208" i="5" s="1"/>
  <c r="AG208" i="5"/>
  <c r="AF208" i="5"/>
  <c r="AE208" i="5"/>
  <c r="C208" i="5"/>
  <c r="BE207" i="5"/>
  <c r="F207" i="5" s="1"/>
  <c r="BD207" i="5"/>
  <c r="BC207" i="5" s="1"/>
  <c r="AG207" i="5"/>
  <c r="AF207" i="5"/>
  <c r="AE207" i="5"/>
  <c r="C207" i="5"/>
  <c r="BE206" i="5"/>
  <c r="BD206" i="5"/>
  <c r="BC206" i="5" s="1"/>
  <c r="AJ206" i="5"/>
  <c r="AG206" i="5"/>
  <c r="AF206" i="5"/>
  <c r="AE206" i="5"/>
  <c r="BE205" i="5"/>
  <c r="F205" i="5" s="1"/>
  <c r="BD205" i="5"/>
  <c r="BC205" i="5" s="1"/>
  <c r="AG205" i="5"/>
  <c r="AF205" i="5"/>
  <c r="AE205" i="5"/>
  <c r="C205" i="5"/>
  <c r="BE204" i="5"/>
  <c r="F204" i="5" s="1"/>
  <c r="BD204" i="5"/>
  <c r="BC204" i="5" s="1"/>
  <c r="AG204" i="5"/>
  <c r="AF204" i="5"/>
  <c r="AE204" i="5"/>
  <c r="C204" i="5"/>
  <c r="BE203" i="5"/>
  <c r="BD203" i="5"/>
  <c r="BC203" i="5" s="1"/>
  <c r="AJ203" i="5"/>
  <c r="AG203" i="5"/>
  <c r="AF203" i="5"/>
  <c r="AE203" i="5"/>
  <c r="BE202" i="5"/>
  <c r="F202" i="5" s="1"/>
  <c r="BD202" i="5"/>
  <c r="BC202" i="5" s="1"/>
  <c r="AG202" i="5"/>
  <c r="AF202" i="5"/>
  <c r="AE202" i="5"/>
  <c r="C202" i="5"/>
  <c r="BE201" i="5"/>
  <c r="F201" i="5" s="1"/>
  <c r="BD201" i="5"/>
  <c r="BC201" i="5" s="1"/>
  <c r="AG201" i="5"/>
  <c r="AF201" i="5"/>
  <c r="AE201" i="5"/>
  <c r="C201" i="5"/>
  <c r="BE200" i="5"/>
  <c r="F200" i="5" s="1"/>
  <c r="BD200" i="5"/>
  <c r="BC200" i="5" s="1"/>
  <c r="AJ200" i="5"/>
  <c r="AG200" i="5"/>
  <c r="AF200" i="5"/>
  <c r="AE200" i="5"/>
  <c r="BE199" i="5"/>
  <c r="F199" i="5" s="1"/>
  <c r="BD199" i="5"/>
  <c r="BC199" i="5" s="1"/>
  <c r="AG199" i="5"/>
  <c r="AF199" i="5"/>
  <c r="AE199" i="5"/>
  <c r="C199" i="5"/>
  <c r="BE198" i="5"/>
  <c r="F198" i="5" s="1"/>
  <c r="BD198" i="5"/>
  <c r="BC198" i="5" s="1"/>
  <c r="AG198" i="5"/>
  <c r="AF198" i="5"/>
  <c r="AE198" i="5"/>
  <c r="C198" i="5"/>
  <c r="BQ197" i="5"/>
  <c r="X197" i="5" s="1"/>
  <c r="X197" i="24" s="1"/>
  <c r="BP197" i="5"/>
  <c r="W197" i="5" s="1"/>
  <c r="W197" i="24" s="1"/>
  <c r="BL197" i="5"/>
  <c r="P197" i="5" s="1"/>
  <c r="P197" i="24" s="1"/>
  <c r="J197" i="5"/>
  <c r="J197" i="24" s="1"/>
  <c r="BH197" i="5"/>
  <c r="I197" i="5" s="1"/>
  <c r="I197" i="24" s="1"/>
  <c r="BE197" i="5"/>
  <c r="BD197" i="5"/>
  <c r="BC197" i="5" s="1"/>
  <c r="AG197" i="5"/>
  <c r="AF197" i="5"/>
  <c r="AE197" i="5"/>
  <c r="C197" i="5"/>
  <c r="BE196" i="5"/>
  <c r="F196" i="5" s="1"/>
  <c r="BD196" i="5"/>
  <c r="BC196" i="5" s="1"/>
  <c r="AG196" i="5"/>
  <c r="AF196" i="5"/>
  <c r="AE196" i="5"/>
  <c r="C196" i="5"/>
  <c r="BE195" i="5"/>
  <c r="BD195" i="5"/>
  <c r="BC195" i="5" s="1"/>
  <c r="AJ195" i="5"/>
  <c r="AG195" i="5"/>
  <c r="AF195" i="5"/>
  <c r="AE195" i="5"/>
  <c r="BQ192" i="5"/>
  <c r="BE192" i="5"/>
  <c r="BD192" i="5"/>
  <c r="BC192" i="5" s="1"/>
  <c r="BE191" i="5"/>
  <c r="F191" i="5" s="1"/>
  <c r="BD191" i="5"/>
  <c r="BC191" i="5" s="1"/>
  <c r="AG191" i="5"/>
  <c r="AF191" i="5"/>
  <c r="AE191" i="5"/>
  <c r="C191" i="5"/>
  <c r="BE190" i="5"/>
  <c r="F190" i="5" s="1"/>
  <c r="BD190" i="5"/>
  <c r="BC190" i="5" s="1"/>
  <c r="AG190" i="5"/>
  <c r="AF190" i="5"/>
  <c r="AE190" i="5"/>
  <c r="C190" i="5"/>
  <c r="BE189" i="5"/>
  <c r="BD189" i="5"/>
  <c r="BC189" i="5" s="1"/>
  <c r="AG189" i="5"/>
  <c r="AF189" i="5"/>
  <c r="AE189" i="5"/>
  <c r="C189" i="5"/>
  <c r="BQ188" i="5"/>
  <c r="X188" i="5" s="1"/>
  <c r="X188" i="24" s="1"/>
  <c r="BP188" i="5"/>
  <c r="W188" i="5" s="1"/>
  <c r="W188" i="24" s="1"/>
  <c r="BL188" i="5"/>
  <c r="P188" i="5" s="1"/>
  <c r="P188" i="24" s="1"/>
  <c r="J188" i="5"/>
  <c r="J188" i="24" s="1"/>
  <c r="BH188" i="5"/>
  <c r="I188" i="5" s="1"/>
  <c r="I188" i="24" s="1"/>
  <c r="BE188" i="5"/>
  <c r="F188" i="5" s="1"/>
  <c r="BD188" i="5"/>
  <c r="BC188" i="5" s="1"/>
  <c r="AG188" i="5"/>
  <c r="AF188" i="5"/>
  <c r="AE188" i="5"/>
  <c r="C188" i="5"/>
  <c r="BE187" i="5"/>
  <c r="F187" i="5" s="1"/>
  <c r="BD187" i="5"/>
  <c r="BC187" i="5" s="1"/>
  <c r="AG187" i="5"/>
  <c r="AF187" i="5"/>
  <c r="AE187" i="5"/>
  <c r="BE186" i="5"/>
  <c r="BD186" i="5"/>
  <c r="BC186" i="5" s="1"/>
  <c r="AG186" i="5"/>
  <c r="AF186" i="5"/>
  <c r="AE186" i="5"/>
  <c r="C186" i="5"/>
  <c r="BQ185" i="5"/>
  <c r="X185" i="5" s="1"/>
  <c r="X185" i="24" s="1"/>
  <c r="BP185" i="5"/>
  <c r="W185" i="5" s="1"/>
  <c r="W185" i="24" s="1"/>
  <c r="BL185" i="5"/>
  <c r="P185" i="5" s="1"/>
  <c r="P185" i="24" s="1"/>
  <c r="BH185" i="5"/>
  <c r="I185" i="5" s="1"/>
  <c r="I185" i="24" s="1"/>
  <c r="BE185" i="5"/>
  <c r="F185" i="5" s="1"/>
  <c r="BD185" i="5"/>
  <c r="BC185" i="5" s="1"/>
  <c r="AG185" i="5"/>
  <c r="AF185" i="5"/>
  <c r="AE185" i="5"/>
  <c r="C185" i="5"/>
  <c r="BE184" i="5"/>
  <c r="BD184" i="5"/>
  <c r="BC184" i="5" s="1"/>
  <c r="AG184" i="5"/>
  <c r="AF184" i="5"/>
  <c r="AE184" i="5"/>
  <c r="BE183" i="5"/>
  <c r="F183" i="5" s="1"/>
  <c r="BD183" i="5"/>
  <c r="BC183" i="5" s="1"/>
  <c r="AG183" i="5"/>
  <c r="AF183" i="5"/>
  <c r="AE183" i="5"/>
  <c r="C183" i="5"/>
  <c r="BE182" i="5"/>
  <c r="F182" i="5" s="1"/>
  <c r="BD182" i="5"/>
  <c r="BC182" i="5" s="1"/>
  <c r="AG182" i="5"/>
  <c r="AF182" i="5"/>
  <c r="AE182" i="5"/>
  <c r="BE181" i="5"/>
  <c r="F181" i="5" s="1"/>
  <c r="BD181" i="5"/>
  <c r="BC181" i="5" s="1"/>
  <c r="AG181" i="5"/>
  <c r="AF181" i="5"/>
  <c r="AE181" i="5"/>
  <c r="C181" i="5"/>
  <c r="BE180" i="5"/>
  <c r="F180" i="5" s="1"/>
  <c r="BD180" i="5"/>
  <c r="BC180" i="5"/>
  <c r="AG180" i="5"/>
  <c r="AF180" i="5"/>
  <c r="AE180" i="5"/>
  <c r="C180" i="5"/>
  <c r="BQ179" i="5"/>
  <c r="X179" i="5" s="1"/>
  <c r="BP179" i="5"/>
  <c r="W179" i="5" s="1"/>
  <c r="W179" i="24" s="1"/>
  <c r="BL179" i="5"/>
  <c r="P179" i="5" s="1"/>
  <c r="P179" i="24" s="1"/>
  <c r="J179" i="5"/>
  <c r="J179" i="24" s="1"/>
  <c r="BH179" i="5"/>
  <c r="I179" i="5" s="1"/>
  <c r="I179" i="24" s="1"/>
  <c r="BE179" i="5"/>
  <c r="BD179" i="5"/>
  <c r="BC179" i="5" s="1"/>
  <c r="AG179" i="5"/>
  <c r="AF179" i="5"/>
  <c r="AE179" i="5"/>
  <c r="C179" i="5"/>
  <c r="BE178" i="5"/>
  <c r="F178" i="5" s="1"/>
  <c r="BD178" i="5"/>
  <c r="BC178" i="5" s="1"/>
  <c r="AG178" i="5"/>
  <c r="AF178" i="5"/>
  <c r="AE178" i="5"/>
  <c r="BE177" i="5"/>
  <c r="F177" i="5" s="1"/>
  <c r="BD177" i="5"/>
  <c r="BC177" i="5"/>
  <c r="AG177" i="5"/>
  <c r="AF177" i="5"/>
  <c r="AE177" i="5"/>
  <c r="C177" i="5"/>
  <c r="BE176" i="5"/>
  <c r="F176" i="5" s="1"/>
  <c r="BD176" i="5"/>
  <c r="BC176" i="5" s="1"/>
  <c r="AG176" i="5"/>
  <c r="AF176" i="5"/>
  <c r="AE176" i="5"/>
  <c r="C176" i="5"/>
  <c r="BP175" i="5"/>
  <c r="W175" i="5" s="1"/>
  <c r="W175" i="24" s="1"/>
  <c r="BL175" i="5"/>
  <c r="P175" i="5" s="1"/>
  <c r="P175" i="24" s="1"/>
  <c r="BH175" i="5"/>
  <c r="I175" i="5" s="1"/>
  <c r="I175" i="24" s="1"/>
  <c r="BE175" i="5"/>
  <c r="F175" i="5" s="1"/>
  <c r="BD175" i="5"/>
  <c r="BC175" i="5" s="1"/>
  <c r="AG175" i="5"/>
  <c r="AF175" i="5"/>
  <c r="AE175" i="5"/>
  <c r="C175" i="5"/>
  <c r="BE174" i="5"/>
  <c r="F174" i="5" s="1"/>
  <c r="BD174" i="5"/>
  <c r="BC174" i="5" s="1"/>
  <c r="AG174" i="5"/>
  <c r="AF174" i="5"/>
  <c r="AE174" i="5"/>
  <c r="BE173" i="5"/>
  <c r="F173" i="5" s="1"/>
  <c r="BD173" i="5"/>
  <c r="BC173" i="5" s="1"/>
  <c r="AG173" i="5"/>
  <c r="AF173" i="5"/>
  <c r="AE173" i="5"/>
  <c r="BE172" i="5"/>
  <c r="F172" i="5" s="1"/>
  <c r="BD172" i="5"/>
  <c r="BC172" i="5" s="1"/>
  <c r="AG172" i="5"/>
  <c r="AF172" i="5"/>
  <c r="AE172" i="5"/>
  <c r="BQ171" i="5"/>
  <c r="BP171" i="5"/>
  <c r="BL171" i="5"/>
  <c r="J171" i="5"/>
  <c r="J171" i="24" s="1"/>
  <c r="BH171" i="5"/>
  <c r="BE171" i="5"/>
  <c r="BD171" i="5"/>
  <c r="BC171" i="5" s="1"/>
  <c r="AG171" i="5"/>
  <c r="AF171" i="5"/>
  <c r="AE171" i="5"/>
  <c r="X171" i="5"/>
  <c r="X171" i="24" s="1"/>
  <c r="BE170" i="5"/>
  <c r="F170" i="5" s="1"/>
  <c r="BD170" i="5"/>
  <c r="BC170" i="5" s="1"/>
  <c r="AG170" i="5"/>
  <c r="AF170" i="5"/>
  <c r="AE170" i="5"/>
  <c r="BE169" i="5"/>
  <c r="F169" i="5" s="1"/>
  <c r="BD169" i="5"/>
  <c r="BC169" i="5" s="1"/>
  <c r="AG169" i="5"/>
  <c r="AF169" i="5"/>
  <c r="AE169" i="5"/>
  <c r="C169" i="5"/>
  <c r="BE168" i="5"/>
  <c r="F168" i="5" s="1"/>
  <c r="BD168" i="5"/>
  <c r="BC168" i="5" s="1"/>
  <c r="AG168" i="5"/>
  <c r="AF168" i="5"/>
  <c r="AE168" i="5"/>
  <c r="C168" i="5"/>
  <c r="BP167" i="5"/>
  <c r="W167" i="5" s="1"/>
  <c r="W167" i="24" s="1"/>
  <c r="BL167" i="5"/>
  <c r="P167" i="5" s="1"/>
  <c r="P167" i="24" s="1"/>
  <c r="BH167" i="5"/>
  <c r="I167" i="5" s="1"/>
  <c r="I167" i="24" s="1"/>
  <c r="BE167" i="5"/>
  <c r="BD167" i="5"/>
  <c r="BC167" i="5"/>
  <c r="AG167" i="5"/>
  <c r="AF167" i="5"/>
  <c r="AE167" i="5"/>
  <c r="C167" i="5"/>
  <c r="BE166" i="5"/>
  <c r="F166" i="5" s="1"/>
  <c r="BD166" i="5"/>
  <c r="BC166" i="5" s="1"/>
  <c r="AG166" i="5"/>
  <c r="AF166" i="5"/>
  <c r="AE166" i="5"/>
  <c r="BP165" i="5"/>
  <c r="W165" i="5" s="1"/>
  <c r="W165" i="24" s="1"/>
  <c r="BL165" i="5"/>
  <c r="P165" i="5" s="1"/>
  <c r="P165" i="24" s="1"/>
  <c r="BH165" i="5"/>
  <c r="I165" i="5" s="1"/>
  <c r="I165" i="24" s="1"/>
  <c r="BE165" i="5"/>
  <c r="BD165" i="5"/>
  <c r="BC165" i="5" s="1"/>
  <c r="AG165" i="5"/>
  <c r="AF165" i="5"/>
  <c r="AE165" i="5"/>
  <c r="C165" i="5"/>
  <c r="BE164" i="5"/>
  <c r="F164" i="5" s="1"/>
  <c r="BD164" i="5"/>
  <c r="BC164" i="5" s="1"/>
  <c r="AG164" i="5"/>
  <c r="AF164" i="5"/>
  <c r="AE164" i="5"/>
  <c r="C164" i="5"/>
  <c r="BE163" i="5"/>
  <c r="F163" i="5" s="1"/>
  <c r="BD163" i="5"/>
  <c r="BC163" i="5" s="1"/>
  <c r="AG163" i="5"/>
  <c r="AF163" i="5"/>
  <c r="AE163" i="5"/>
  <c r="BQ160" i="5"/>
  <c r="BE160" i="5"/>
  <c r="BD160" i="5"/>
  <c r="BC160" i="5" s="1"/>
  <c r="BE159" i="5"/>
  <c r="F159" i="5" s="1"/>
  <c r="BD159" i="5"/>
  <c r="BC159" i="5" s="1"/>
  <c r="AG159" i="5"/>
  <c r="AF159" i="5"/>
  <c r="AE159" i="5"/>
  <c r="C159" i="5"/>
  <c r="BE158" i="5"/>
  <c r="F158" i="5" s="1"/>
  <c r="BD158" i="5"/>
  <c r="BC158" i="5" s="1"/>
  <c r="AG158" i="5"/>
  <c r="AF158" i="5"/>
  <c r="AE158" i="5"/>
  <c r="BE157" i="5"/>
  <c r="BD157" i="5"/>
  <c r="BC157" i="5" s="1"/>
  <c r="AG157" i="5"/>
  <c r="AF157" i="5"/>
  <c r="AE157" i="5"/>
  <c r="C157" i="5"/>
  <c r="BE156" i="5"/>
  <c r="F156" i="5" s="1"/>
  <c r="BD156" i="5"/>
  <c r="BC156" i="5" s="1"/>
  <c r="AG156" i="5"/>
  <c r="AF156" i="5"/>
  <c r="AE156" i="5"/>
  <c r="BE155" i="5"/>
  <c r="F155" i="5" s="1"/>
  <c r="BD155" i="5"/>
  <c r="BC155" i="5" s="1"/>
  <c r="AG155" i="5"/>
  <c r="AF155" i="5"/>
  <c r="AE155" i="5"/>
  <c r="C155" i="5"/>
  <c r="BE154" i="5"/>
  <c r="F154" i="5" s="1"/>
  <c r="BD154" i="5"/>
  <c r="BC154" i="5" s="1"/>
  <c r="AG154" i="5"/>
  <c r="AF154" i="5"/>
  <c r="AE154" i="5"/>
  <c r="BP153" i="5"/>
  <c r="W153" i="5" s="1"/>
  <c r="W153" i="24" s="1"/>
  <c r="BL153" i="5"/>
  <c r="P153" i="5" s="1"/>
  <c r="P153" i="24" s="1"/>
  <c r="BH153" i="5"/>
  <c r="I153" i="5" s="1"/>
  <c r="I153" i="24" s="1"/>
  <c r="BE153" i="5"/>
  <c r="BD153" i="5"/>
  <c r="BC153" i="5" s="1"/>
  <c r="AG153" i="5"/>
  <c r="AF153" i="5"/>
  <c r="AE153" i="5"/>
  <c r="C153" i="5"/>
  <c r="BE152" i="5"/>
  <c r="F152" i="5" s="1"/>
  <c r="BD152" i="5"/>
  <c r="BC152" i="5" s="1"/>
  <c r="AG152" i="5"/>
  <c r="AF152" i="5"/>
  <c r="AE152" i="5"/>
  <c r="C152" i="5"/>
  <c r="BE151" i="5"/>
  <c r="F151" i="5" s="1"/>
  <c r="BD151" i="5"/>
  <c r="BC151" i="5" s="1"/>
  <c r="AG151" i="5"/>
  <c r="AF151" i="5"/>
  <c r="AE151" i="5"/>
  <c r="C151" i="5"/>
  <c r="BQ150" i="5"/>
  <c r="X150" i="5" s="1"/>
  <c r="X150" i="24" s="1"/>
  <c r="BP150" i="5"/>
  <c r="W150" i="5" s="1"/>
  <c r="W150" i="24" s="1"/>
  <c r="BL150" i="5"/>
  <c r="P150" i="5" s="1"/>
  <c r="P150" i="24" s="1"/>
  <c r="BH150" i="5"/>
  <c r="I150" i="5" s="1"/>
  <c r="I150" i="24" s="1"/>
  <c r="BE150" i="5"/>
  <c r="F150" i="5" s="1"/>
  <c r="BD150" i="5"/>
  <c r="BC150" i="5" s="1"/>
  <c r="AG150" i="5"/>
  <c r="AF150" i="5"/>
  <c r="AE150" i="5"/>
  <c r="C150" i="5"/>
  <c r="BE149" i="5"/>
  <c r="F149" i="5" s="1"/>
  <c r="BD149" i="5"/>
  <c r="BC149" i="5" s="1"/>
  <c r="AG149" i="5"/>
  <c r="AF149" i="5"/>
  <c r="AE149" i="5"/>
  <c r="C149" i="5"/>
  <c r="BE148" i="5"/>
  <c r="F148" i="5" s="1"/>
  <c r="BD148" i="5"/>
  <c r="BC148" i="5" s="1"/>
  <c r="AG148" i="5"/>
  <c r="AF148" i="5"/>
  <c r="AE148" i="5"/>
  <c r="BQ145" i="5"/>
  <c r="BE145" i="5"/>
  <c r="BD145" i="5"/>
  <c r="BC145" i="5" s="1"/>
  <c r="BE144" i="5"/>
  <c r="BD144" i="5"/>
  <c r="BC144" i="5" s="1"/>
  <c r="AG144" i="5"/>
  <c r="AF144" i="5"/>
  <c r="AE144" i="5"/>
  <c r="C144" i="5"/>
  <c r="BE143" i="5"/>
  <c r="F143" i="5" s="1"/>
  <c r="BD143" i="5"/>
  <c r="BC143" i="5" s="1"/>
  <c r="AG143" i="5"/>
  <c r="AF143" i="5"/>
  <c r="AE143" i="5"/>
  <c r="C143" i="5"/>
  <c r="BE142" i="5"/>
  <c r="F142" i="5" s="1"/>
  <c r="BD142" i="5"/>
  <c r="BC142" i="5" s="1"/>
  <c r="AG142" i="5"/>
  <c r="AF142" i="5"/>
  <c r="AE142" i="5"/>
  <c r="C142" i="5"/>
  <c r="BE141" i="5"/>
  <c r="F141" i="5" s="1"/>
  <c r="BD141" i="5"/>
  <c r="BC141" i="5" s="1"/>
  <c r="AG141" i="5"/>
  <c r="AF141" i="5"/>
  <c r="AE141" i="5"/>
  <c r="BE140" i="5"/>
  <c r="F140" i="5" s="1"/>
  <c r="BD140" i="5"/>
  <c r="BC140" i="5" s="1"/>
  <c r="AG140" i="5"/>
  <c r="AF140" i="5"/>
  <c r="AE140" i="5"/>
  <c r="C140" i="5"/>
  <c r="BE139" i="5"/>
  <c r="F139" i="5" s="1"/>
  <c r="BD139" i="5"/>
  <c r="BC139" i="5" s="1"/>
  <c r="AG139" i="5"/>
  <c r="AF139" i="5"/>
  <c r="AE139" i="5"/>
  <c r="C139" i="5"/>
  <c r="BE138" i="5"/>
  <c r="F138" i="5" s="1"/>
  <c r="BD138" i="5"/>
  <c r="BC138" i="5" s="1"/>
  <c r="AG138" i="5"/>
  <c r="AF138" i="5"/>
  <c r="AE138" i="5"/>
  <c r="C138" i="5"/>
  <c r="BP137" i="5"/>
  <c r="W137" i="5" s="1"/>
  <c r="W137" i="24" s="1"/>
  <c r="BL137" i="5"/>
  <c r="P137" i="5" s="1"/>
  <c r="P137" i="24" s="1"/>
  <c r="BH137" i="5"/>
  <c r="I137" i="5" s="1"/>
  <c r="I137" i="24" s="1"/>
  <c r="BE137" i="5"/>
  <c r="F137" i="5" s="1"/>
  <c r="BD137" i="5"/>
  <c r="BC137" i="5" s="1"/>
  <c r="AG137" i="5"/>
  <c r="AF137" i="5"/>
  <c r="AE137" i="5"/>
  <c r="C137" i="5"/>
  <c r="BE136" i="5"/>
  <c r="F136" i="5" s="1"/>
  <c r="BD136" i="5"/>
  <c r="BC136" i="5" s="1"/>
  <c r="AG136" i="5"/>
  <c r="AF136" i="5"/>
  <c r="AE136" i="5"/>
  <c r="BE135" i="5"/>
  <c r="F135" i="5" s="1"/>
  <c r="BD135" i="5"/>
  <c r="BC135" i="5" s="1"/>
  <c r="AG135" i="5"/>
  <c r="AF135" i="5"/>
  <c r="AE135" i="5"/>
  <c r="C135" i="5"/>
  <c r="BE134" i="5"/>
  <c r="F134" i="5" s="1"/>
  <c r="BD134" i="5"/>
  <c r="BC134" i="5" s="1"/>
  <c r="AG134" i="5"/>
  <c r="AF134" i="5"/>
  <c r="AE134" i="5"/>
  <c r="C134" i="5"/>
  <c r="BE133" i="5"/>
  <c r="F133" i="5" s="1"/>
  <c r="BD133" i="5"/>
  <c r="BC133" i="5" s="1"/>
  <c r="AG133" i="5"/>
  <c r="AF133" i="5"/>
  <c r="AE133" i="5"/>
  <c r="C133" i="5"/>
  <c r="BE132" i="5"/>
  <c r="F132" i="5" s="1"/>
  <c r="BD132" i="5"/>
  <c r="BC132" i="5" s="1"/>
  <c r="AG132" i="5"/>
  <c r="AF132" i="5"/>
  <c r="AE132" i="5"/>
  <c r="C132" i="5"/>
  <c r="BQ131" i="5"/>
  <c r="X131" i="5" s="1"/>
  <c r="X131" i="24" s="1"/>
  <c r="BP131" i="5"/>
  <c r="W131" i="5" s="1"/>
  <c r="W131" i="24" s="1"/>
  <c r="BL131" i="5"/>
  <c r="P131" i="5" s="1"/>
  <c r="P131" i="24" s="1"/>
  <c r="BH131" i="5"/>
  <c r="I131" i="5" s="1"/>
  <c r="I131" i="24" s="1"/>
  <c r="BE131" i="5"/>
  <c r="F131" i="5" s="1"/>
  <c r="BD131" i="5"/>
  <c r="BC131" i="5" s="1"/>
  <c r="AG131" i="5"/>
  <c r="AF131" i="5"/>
  <c r="AE131" i="5"/>
  <c r="C131" i="5"/>
  <c r="BE130" i="5"/>
  <c r="F130" i="5" s="1"/>
  <c r="BD130" i="5"/>
  <c r="BC130" i="5" s="1"/>
  <c r="AJ130" i="5"/>
  <c r="AG130" i="5"/>
  <c r="AF130" i="5"/>
  <c r="AE130" i="5"/>
  <c r="BE129" i="5"/>
  <c r="F129" i="5" s="1"/>
  <c r="BD129" i="5"/>
  <c r="BC129" i="5" s="1"/>
  <c r="AG129" i="5"/>
  <c r="AF129" i="5"/>
  <c r="AE129" i="5"/>
  <c r="C129" i="5"/>
  <c r="BE128" i="5"/>
  <c r="F128" i="5" s="1"/>
  <c r="BD128" i="5"/>
  <c r="BC128" i="5" s="1"/>
  <c r="AG128" i="5"/>
  <c r="AF128" i="5"/>
  <c r="AE128" i="5"/>
  <c r="C128" i="5"/>
  <c r="BP127" i="5"/>
  <c r="W127" i="5" s="1"/>
  <c r="W127" i="24" s="1"/>
  <c r="BL127" i="5"/>
  <c r="P127" i="5" s="1"/>
  <c r="P127" i="24" s="1"/>
  <c r="BH127" i="5"/>
  <c r="I127" i="5" s="1"/>
  <c r="I127" i="24" s="1"/>
  <c r="BE127" i="5"/>
  <c r="F127" i="5" s="1"/>
  <c r="BD127" i="5"/>
  <c r="BC127" i="5" s="1"/>
  <c r="AG127" i="5"/>
  <c r="AF127" i="5"/>
  <c r="AE127" i="5"/>
  <c r="C127" i="5"/>
  <c r="BE126" i="5"/>
  <c r="F126" i="5" s="1"/>
  <c r="BD126" i="5"/>
  <c r="BC126" i="5" s="1"/>
  <c r="AG126" i="5"/>
  <c r="AF126" i="5"/>
  <c r="AE126" i="5"/>
  <c r="BE125" i="5"/>
  <c r="F125" i="5" s="1"/>
  <c r="BD125" i="5"/>
  <c r="BC125" i="5" s="1"/>
  <c r="AG125" i="5"/>
  <c r="AF125" i="5"/>
  <c r="AE125" i="5"/>
  <c r="C125" i="5"/>
  <c r="BE124" i="5"/>
  <c r="F124" i="5" s="1"/>
  <c r="BD124" i="5"/>
  <c r="BC124" i="5" s="1"/>
  <c r="AG124" i="5"/>
  <c r="AF124" i="5"/>
  <c r="AE124" i="5"/>
  <c r="C124" i="5"/>
  <c r="BP123" i="5"/>
  <c r="W123" i="5" s="1"/>
  <c r="W123" i="24" s="1"/>
  <c r="BL123" i="5"/>
  <c r="P123" i="5" s="1"/>
  <c r="P123" i="24" s="1"/>
  <c r="BH123" i="5"/>
  <c r="I123" i="5" s="1"/>
  <c r="I123" i="24" s="1"/>
  <c r="BE123" i="5"/>
  <c r="F123" i="5" s="1"/>
  <c r="BD123" i="5"/>
  <c r="BC123" i="5" s="1"/>
  <c r="AG123" i="5"/>
  <c r="AF123" i="5"/>
  <c r="AE123" i="5"/>
  <c r="C123" i="5"/>
  <c r="BE122" i="5"/>
  <c r="F122" i="5" s="1"/>
  <c r="BD122" i="5"/>
  <c r="BC122" i="5" s="1"/>
  <c r="AG122" i="5"/>
  <c r="AF122" i="5"/>
  <c r="AE122" i="5"/>
  <c r="BE121" i="5"/>
  <c r="BD121" i="5"/>
  <c r="BC121" i="5" s="1"/>
  <c r="AG121" i="5"/>
  <c r="AF121" i="5"/>
  <c r="AE121" i="5"/>
  <c r="C121" i="5"/>
  <c r="BE120" i="5"/>
  <c r="F120" i="5" s="1"/>
  <c r="BD120" i="5"/>
  <c r="BC120" i="5"/>
  <c r="AG120" i="5"/>
  <c r="AF120" i="5"/>
  <c r="AE120" i="5"/>
  <c r="C120" i="5"/>
  <c r="BP119" i="5"/>
  <c r="W119" i="5" s="1"/>
  <c r="W119" i="24" s="1"/>
  <c r="BL119" i="5"/>
  <c r="P119" i="5" s="1"/>
  <c r="P119" i="24" s="1"/>
  <c r="BH119" i="5"/>
  <c r="I119" i="5" s="1"/>
  <c r="I119" i="24" s="1"/>
  <c r="BE119" i="5"/>
  <c r="F119" i="5" s="1"/>
  <c r="BD119" i="5"/>
  <c r="BC119" i="5" s="1"/>
  <c r="AG119" i="5"/>
  <c r="AF119" i="5"/>
  <c r="AE119" i="5"/>
  <c r="C119" i="5"/>
  <c r="BE118" i="5"/>
  <c r="F118" i="5" s="1"/>
  <c r="BD118" i="5"/>
  <c r="BC118" i="5" s="1"/>
  <c r="AG118" i="5"/>
  <c r="AF118" i="5"/>
  <c r="AE118" i="5"/>
  <c r="BQ115" i="5"/>
  <c r="BE115" i="5"/>
  <c r="BD115" i="5"/>
  <c r="BC115" i="5" s="1"/>
  <c r="BE114" i="5"/>
  <c r="F114" i="5" s="1"/>
  <c r="BD114" i="5"/>
  <c r="BC114" i="5" s="1"/>
  <c r="AG114" i="5"/>
  <c r="AF114" i="5"/>
  <c r="AE114" i="5"/>
  <c r="C114" i="5"/>
  <c r="BE113" i="5"/>
  <c r="F113" i="5" s="1"/>
  <c r="BD113" i="5"/>
  <c r="BC113" i="5" s="1"/>
  <c r="AG113" i="5"/>
  <c r="AF113" i="5"/>
  <c r="AE113" i="5"/>
  <c r="BE112" i="5"/>
  <c r="F112" i="5" s="1"/>
  <c r="BD112" i="5"/>
  <c r="BC112" i="5" s="1"/>
  <c r="AG112" i="5"/>
  <c r="AF112" i="5"/>
  <c r="AE112" i="5"/>
  <c r="C112" i="5"/>
  <c r="BE111" i="5"/>
  <c r="F111" i="5" s="1"/>
  <c r="BD111" i="5"/>
  <c r="BC111" i="5" s="1"/>
  <c r="AG111" i="5"/>
  <c r="AF111" i="5"/>
  <c r="AE111" i="5"/>
  <c r="C111" i="5"/>
  <c r="BE110" i="5"/>
  <c r="F110" i="5" s="1"/>
  <c r="BD110" i="5"/>
  <c r="BC110" i="5" s="1"/>
  <c r="AG110" i="5"/>
  <c r="AF110" i="5"/>
  <c r="AE110" i="5"/>
  <c r="C110" i="5"/>
  <c r="BE109" i="5"/>
  <c r="F109" i="5" s="1"/>
  <c r="BD109" i="5"/>
  <c r="BC109" i="5" s="1"/>
  <c r="AJ109" i="5"/>
  <c r="AG109" i="5"/>
  <c r="AF109" i="5"/>
  <c r="AE109" i="5"/>
  <c r="BE108" i="5"/>
  <c r="BD108" i="5"/>
  <c r="BC108" i="5" s="1"/>
  <c r="AG108" i="5"/>
  <c r="AF108" i="5"/>
  <c r="AE108" i="5"/>
  <c r="C108" i="5"/>
  <c r="BE107" i="5"/>
  <c r="BD107" i="5"/>
  <c r="BC107" i="5" s="1"/>
  <c r="AJ107" i="5"/>
  <c r="AG107" i="5"/>
  <c r="AF107" i="5"/>
  <c r="AE107" i="5"/>
  <c r="BQ106" i="5"/>
  <c r="X106" i="5" s="1"/>
  <c r="X106" i="24" s="1"/>
  <c r="BP106" i="5"/>
  <c r="W106" i="5" s="1"/>
  <c r="W106" i="24" s="1"/>
  <c r="BL106" i="5"/>
  <c r="P106" i="5" s="1"/>
  <c r="P106" i="24" s="1"/>
  <c r="BH106" i="5"/>
  <c r="I106" i="5" s="1"/>
  <c r="I106" i="24" s="1"/>
  <c r="BE106" i="5"/>
  <c r="BD106" i="5"/>
  <c r="BC106" i="5" s="1"/>
  <c r="AG106" i="5"/>
  <c r="AF106" i="5"/>
  <c r="AE106" i="5"/>
  <c r="C106" i="5"/>
  <c r="BE105" i="5"/>
  <c r="F105" i="5" s="1"/>
  <c r="BD105" i="5"/>
  <c r="BC105" i="5" s="1"/>
  <c r="AG105" i="5"/>
  <c r="AF105" i="5"/>
  <c r="AE105" i="5"/>
  <c r="C105" i="5"/>
  <c r="BE104" i="5"/>
  <c r="F104" i="5" s="1"/>
  <c r="BD104" i="5"/>
  <c r="BC104" i="5" s="1"/>
  <c r="AG104" i="5"/>
  <c r="AF104" i="5"/>
  <c r="AE104" i="5"/>
  <c r="BQ101" i="5"/>
  <c r="BE101" i="5"/>
  <c r="BD101" i="5"/>
  <c r="BC101" i="5" s="1"/>
  <c r="BE100" i="5"/>
  <c r="F100" i="5" s="1"/>
  <c r="BD100" i="5"/>
  <c r="BC100" i="5" s="1"/>
  <c r="AG100" i="5"/>
  <c r="AF100" i="5"/>
  <c r="AE100" i="5"/>
  <c r="C100" i="5"/>
  <c r="BP99" i="5"/>
  <c r="W99" i="5" s="1"/>
  <c r="W99" i="24" s="1"/>
  <c r="BL99" i="5"/>
  <c r="P99" i="5" s="1"/>
  <c r="P99" i="24" s="1"/>
  <c r="BH99" i="5"/>
  <c r="I99" i="5" s="1"/>
  <c r="I99" i="24" s="1"/>
  <c r="BE99" i="5"/>
  <c r="BD99" i="5"/>
  <c r="BC99" i="5" s="1"/>
  <c r="AG99" i="5"/>
  <c r="AF99" i="5"/>
  <c r="AE99" i="5"/>
  <c r="C99" i="5"/>
  <c r="BE98" i="5"/>
  <c r="F98" i="5" s="1"/>
  <c r="BD98" i="5"/>
  <c r="BC98" i="5" s="1"/>
  <c r="AG98" i="5"/>
  <c r="AF98" i="5"/>
  <c r="AE98" i="5"/>
  <c r="BE97" i="5"/>
  <c r="F97" i="5" s="1"/>
  <c r="BD97" i="5"/>
  <c r="BC97" i="5" s="1"/>
  <c r="AG97" i="5"/>
  <c r="AF97" i="5"/>
  <c r="AE97" i="5"/>
  <c r="C97" i="5"/>
  <c r="BE96" i="5"/>
  <c r="F96" i="5" s="1"/>
  <c r="BD96" i="5"/>
  <c r="BC96" i="5" s="1"/>
  <c r="AG96" i="5"/>
  <c r="AF96" i="5"/>
  <c r="AE96" i="5"/>
  <c r="C96" i="5"/>
  <c r="BE95" i="5"/>
  <c r="F95" i="5" s="1"/>
  <c r="BD95" i="5"/>
  <c r="BC95" i="5" s="1"/>
  <c r="AG95" i="5"/>
  <c r="AF95" i="5"/>
  <c r="AE95" i="5"/>
  <c r="BQ92" i="5"/>
  <c r="BE92" i="5"/>
  <c r="BD92" i="5"/>
  <c r="BC92" i="5" s="1"/>
  <c r="BE91" i="5"/>
  <c r="F91" i="5" s="1"/>
  <c r="BD91" i="5"/>
  <c r="BC91" i="5" s="1"/>
  <c r="AG91" i="5"/>
  <c r="AF91" i="5"/>
  <c r="AE91" i="5"/>
  <c r="C91" i="5"/>
  <c r="BE90" i="5"/>
  <c r="F90" i="5" s="1"/>
  <c r="BD90" i="5"/>
  <c r="BC90" i="5" s="1"/>
  <c r="AJ90" i="5"/>
  <c r="AG90" i="5"/>
  <c r="AF90" i="5"/>
  <c r="AE90" i="5"/>
  <c r="BE89" i="5"/>
  <c r="F89" i="5" s="1"/>
  <c r="BD89" i="5"/>
  <c r="BC89" i="5" s="1"/>
  <c r="AG89" i="5"/>
  <c r="AF89" i="5"/>
  <c r="AE89" i="5"/>
  <c r="C89" i="5"/>
  <c r="BE88" i="5"/>
  <c r="F88" i="5" s="1"/>
  <c r="BD88" i="5"/>
  <c r="BC88" i="5" s="1"/>
  <c r="AG88" i="5"/>
  <c r="AF88" i="5"/>
  <c r="AE88" i="5"/>
  <c r="C88" i="5"/>
  <c r="BE87" i="5"/>
  <c r="F87" i="5" s="1"/>
  <c r="BD87" i="5"/>
  <c r="BC87" i="5"/>
  <c r="AG87" i="5"/>
  <c r="AF87" i="5"/>
  <c r="AE87" i="5"/>
  <c r="BE86" i="5"/>
  <c r="F86" i="5" s="1"/>
  <c r="BD86" i="5"/>
  <c r="BC86" i="5" s="1"/>
  <c r="AG86" i="5"/>
  <c r="AF86" i="5"/>
  <c r="AE86" i="5"/>
  <c r="C86" i="5"/>
  <c r="BE85" i="5"/>
  <c r="F85" i="5" s="1"/>
  <c r="BD85" i="5"/>
  <c r="BC85" i="5" s="1"/>
  <c r="AG85" i="5"/>
  <c r="AF85" i="5"/>
  <c r="AE85" i="5"/>
  <c r="C85" i="5"/>
  <c r="BE84" i="5"/>
  <c r="F84" i="5" s="1"/>
  <c r="BD84" i="5"/>
  <c r="BC84" i="5" s="1"/>
  <c r="AG84" i="5"/>
  <c r="AF84" i="5"/>
  <c r="AE84" i="5"/>
  <c r="C84" i="5"/>
  <c r="BE83" i="5"/>
  <c r="F83" i="5" s="1"/>
  <c r="BD83" i="5"/>
  <c r="BC83" i="5" s="1"/>
  <c r="AG83" i="5"/>
  <c r="AF83" i="5"/>
  <c r="AE83" i="5"/>
  <c r="BE82" i="5"/>
  <c r="F82" i="5" s="1"/>
  <c r="BD82" i="5"/>
  <c r="BC82" i="5" s="1"/>
  <c r="AG82" i="5"/>
  <c r="AF82" i="5"/>
  <c r="AE82" i="5"/>
  <c r="C82" i="5"/>
  <c r="BE81" i="5"/>
  <c r="F81" i="5" s="1"/>
  <c r="BD81" i="5"/>
  <c r="BC81" i="5" s="1"/>
  <c r="AG81" i="5"/>
  <c r="AF81" i="5"/>
  <c r="AE81" i="5"/>
  <c r="C81" i="5"/>
  <c r="BE80" i="5"/>
  <c r="F80" i="5" s="1"/>
  <c r="BD80" i="5"/>
  <c r="BC80" i="5" s="1"/>
  <c r="AJ80" i="5"/>
  <c r="AG80" i="5"/>
  <c r="AF80" i="5"/>
  <c r="AE80" i="5"/>
  <c r="BE79" i="5"/>
  <c r="F79" i="5" s="1"/>
  <c r="BD79" i="5"/>
  <c r="BC79" i="5" s="1"/>
  <c r="AG79" i="5"/>
  <c r="AF79" i="5"/>
  <c r="AE79" i="5"/>
  <c r="C79" i="5"/>
  <c r="BE78" i="5"/>
  <c r="F78" i="5" s="1"/>
  <c r="BD78" i="5"/>
  <c r="BC78" i="5" s="1"/>
  <c r="AG78" i="5"/>
  <c r="AF78" i="5"/>
  <c r="AE78" i="5"/>
  <c r="C78" i="5"/>
  <c r="BE77" i="5"/>
  <c r="F77" i="5" s="1"/>
  <c r="BD77" i="5"/>
  <c r="BC77" i="5" s="1"/>
  <c r="AJ77" i="5"/>
  <c r="AG77" i="5"/>
  <c r="AF77" i="5"/>
  <c r="AE77" i="5"/>
  <c r="BE76" i="5"/>
  <c r="F76" i="5" s="1"/>
  <c r="BD76" i="5"/>
  <c r="BC76" i="5" s="1"/>
  <c r="AG76" i="5"/>
  <c r="AF76" i="5"/>
  <c r="AE76" i="5"/>
  <c r="C76" i="5"/>
  <c r="BE75" i="5"/>
  <c r="F75" i="5" s="1"/>
  <c r="BD75" i="5"/>
  <c r="BC75" i="5" s="1"/>
  <c r="AG75" i="5"/>
  <c r="AF75" i="5"/>
  <c r="AE75" i="5"/>
  <c r="C75" i="5"/>
  <c r="BE74" i="5"/>
  <c r="F74" i="5" s="1"/>
  <c r="BD74" i="5"/>
  <c r="BC74" i="5" s="1"/>
  <c r="AG74" i="5"/>
  <c r="AF74" i="5"/>
  <c r="AE74" i="5"/>
  <c r="C74" i="5"/>
  <c r="BE73" i="5"/>
  <c r="F73" i="5" s="1"/>
  <c r="BD73" i="5"/>
  <c r="BC73" i="5" s="1"/>
  <c r="AJ73" i="5"/>
  <c r="AG73" i="5"/>
  <c r="AF73" i="5"/>
  <c r="AE73" i="5"/>
  <c r="BE72" i="5"/>
  <c r="F72" i="5" s="1"/>
  <c r="BD72" i="5"/>
  <c r="BC72" i="5" s="1"/>
  <c r="AG72" i="5"/>
  <c r="AF72" i="5"/>
  <c r="AE72" i="5"/>
  <c r="C72" i="5"/>
  <c r="BE71" i="5"/>
  <c r="F71" i="5" s="1"/>
  <c r="BD71" i="5"/>
  <c r="BC71" i="5"/>
  <c r="AG71" i="5"/>
  <c r="AF71" i="5"/>
  <c r="AE71" i="5"/>
  <c r="C71" i="5"/>
  <c r="BQ70" i="5"/>
  <c r="X70" i="5" s="1"/>
  <c r="X70" i="24" s="1"/>
  <c r="BP70" i="5"/>
  <c r="W70" i="5" s="1"/>
  <c r="W70" i="24" s="1"/>
  <c r="BL70" i="5"/>
  <c r="P70" i="5" s="1"/>
  <c r="P70" i="24" s="1"/>
  <c r="BH70" i="5"/>
  <c r="I70" i="5" s="1"/>
  <c r="I70" i="24" s="1"/>
  <c r="BE70" i="5"/>
  <c r="F70" i="5" s="1"/>
  <c r="BD70" i="5"/>
  <c r="BC70" i="5" s="1"/>
  <c r="AG70" i="5"/>
  <c r="AF70" i="5"/>
  <c r="AE70" i="5"/>
  <c r="C70" i="5"/>
  <c r="BE69" i="5"/>
  <c r="BD69" i="5"/>
  <c r="BC69" i="5" s="1"/>
  <c r="AG69" i="5"/>
  <c r="AF69" i="5"/>
  <c r="AE69" i="5"/>
  <c r="C69" i="5"/>
  <c r="BE68" i="5"/>
  <c r="F68" i="5" s="1"/>
  <c r="BD68" i="5"/>
  <c r="BC68" i="5" s="1"/>
  <c r="AG68" i="5"/>
  <c r="AF68" i="5"/>
  <c r="AE68" i="5"/>
  <c r="C68" i="5"/>
  <c r="BE67" i="5"/>
  <c r="F67" i="5" s="1"/>
  <c r="BD67" i="5"/>
  <c r="BC67" i="5" s="1"/>
  <c r="AG67" i="5"/>
  <c r="AF67" i="5"/>
  <c r="AE67" i="5"/>
  <c r="C67" i="5"/>
  <c r="BE66" i="5"/>
  <c r="F66" i="5" s="1"/>
  <c r="BD66" i="5"/>
  <c r="BC66" i="5" s="1"/>
  <c r="AG66" i="5"/>
  <c r="AF66" i="5"/>
  <c r="AE66" i="5"/>
  <c r="BQ63" i="5"/>
  <c r="BE63" i="5"/>
  <c r="BD63" i="5"/>
  <c r="BC63" i="5" s="1"/>
  <c r="BE62" i="5"/>
  <c r="F62" i="5" s="1"/>
  <c r="BD62" i="5"/>
  <c r="BC62" i="5" s="1"/>
  <c r="AG62" i="5"/>
  <c r="AF62" i="5"/>
  <c r="AE62" i="5"/>
  <c r="C62" i="5"/>
  <c r="BE61" i="5"/>
  <c r="F61" i="5" s="1"/>
  <c r="BD61" i="5"/>
  <c r="BC61" i="5" s="1"/>
  <c r="AG61" i="5"/>
  <c r="AF61" i="5"/>
  <c r="AE61" i="5"/>
  <c r="BE60" i="5"/>
  <c r="F60" i="5" s="1"/>
  <c r="BD60" i="5"/>
  <c r="BC60" i="5" s="1"/>
  <c r="AG60" i="5"/>
  <c r="AF60" i="5"/>
  <c r="AE60" i="5"/>
  <c r="C60" i="5"/>
  <c r="BE59" i="5"/>
  <c r="BD59" i="5"/>
  <c r="BC59" i="5" s="1"/>
  <c r="AG59" i="5"/>
  <c r="AF59" i="5"/>
  <c r="AE59" i="5"/>
  <c r="C59" i="5"/>
  <c r="BE58" i="5"/>
  <c r="F58" i="5" s="1"/>
  <c r="BD58" i="5"/>
  <c r="BC58" i="5" s="1"/>
  <c r="AG58" i="5"/>
  <c r="AF58" i="5"/>
  <c r="AE58" i="5"/>
  <c r="BE57" i="5"/>
  <c r="F57" i="5" s="1"/>
  <c r="BD57" i="5"/>
  <c r="BC57" i="5" s="1"/>
  <c r="AG57" i="5"/>
  <c r="AF57" i="5"/>
  <c r="AE57" i="5"/>
  <c r="C57" i="5"/>
  <c r="BQ56" i="5"/>
  <c r="X56" i="5" s="1"/>
  <c r="X56" i="24" s="1"/>
  <c r="BP56" i="5"/>
  <c r="W56" i="5" s="1"/>
  <c r="W56" i="24" s="1"/>
  <c r="BL56" i="5"/>
  <c r="P56" i="5" s="1"/>
  <c r="P56" i="24" s="1"/>
  <c r="BH56" i="5"/>
  <c r="I56" i="5" s="1"/>
  <c r="I56" i="24" s="1"/>
  <c r="BE56" i="5"/>
  <c r="BD56" i="5"/>
  <c r="BC56" i="5" s="1"/>
  <c r="AG56" i="5"/>
  <c r="AF56" i="5"/>
  <c r="AE56" i="5"/>
  <c r="C56" i="5"/>
  <c r="BE55" i="5"/>
  <c r="F55" i="5" s="1"/>
  <c r="BD55" i="5"/>
  <c r="BC55" i="5" s="1"/>
  <c r="AG55" i="5"/>
  <c r="AF55" i="5"/>
  <c r="AE55" i="5"/>
  <c r="BE54" i="5"/>
  <c r="F54" i="5" s="1"/>
  <c r="BD54" i="5"/>
  <c r="BC54" i="5" s="1"/>
  <c r="AG54" i="5"/>
  <c r="AF54" i="5"/>
  <c r="AE54" i="5"/>
  <c r="C54" i="5"/>
  <c r="BE53" i="5"/>
  <c r="BD53" i="5"/>
  <c r="BC53" i="5" s="1"/>
  <c r="AG53" i="5"/>
  <c r="AF53" i="5"/>
  <c r="AE53" i="5"/>
  <c r="C53" i="5"/>
  <c r="BE52" i="5"/>
  <c r="F52" i="5" s="1"/>
  <c r="BD52" i="5"/>
  <c r="BC52" i="5" s="1"/>
  <c r="AG52" i="5"/>
  <c r="AF52" i="5"/>
  <c r="AE52" i="5"/>
  <c r="C52" i="5"/>
  <c r="BE51" i="5"/>
  <c r="F51" i="5" s="1"/>
  <c r="BD51" i="5"/>
  <c r="BC51" i="5" s="1"/>
  <c r="AJ51" i="5"/>
  <c r="AG51" i="5"/>
  <c r="AF51" i="5"/>
  <c r="AE51" i="5"/>
  <c r="BE50" i="5"/>
  <c r="F50" i="5" s="1"/>
  <c r="BD50" i="5"/>
  <c r="BC50" i="5" s="1"/>
  <c r="AG50" i="5"/>
  <c r="AF50" i="5"/>
  <c r="AE50" i="5"/>
  <c r="C50" i="5"/>
  <c r="BE49" i="5"/>
  <c r="BD49" i="5"/>
  <c r="BC49" i="5" s="1"/>
  <c r="AG49" i="5"/>
  <c r="AF49" i="5"/>
  <c r="AE49" i="5"/>
  <c r="C49" i="5"/>
  <c r="BE48" i="5"/>
  <c r="F48" i="5" s="1"/>
  <c r="BD48" i="5"/>
  <c r="BC48" i="5" s="1"/>
  <c r="AG48" i="5"/>
  <c r="AF48" i="5"/>
  <c r="AE48" i="5"/>
  <c r="C48" i="5"/>
  <c r="BP47" i="5"/>
  <c r="W47" i="5" s="1"/>
  <c r="W47" i="24" s="1"/>
  <c r="BL47" i="5"/>
  <c r="P47" i="5" s="1"/>
  <c r="P47" i="24" s="1"/>
  <c r="BH47" i="5"/>
  <c r="I47" i="5" s="1"/>
  <c r="I47" i="24" s="1"/>
  <c r="BE47" i="5"/>
  <c r="F47" i="5" s="1"/>
  <c r="BD47" i="5"/>
  <c r="BC47" i="5" s="1"/>
  <c r="AG47" i="5"/>
  <c r="AF47" i="5"/>
  <c r="AE47" i="5"/>
  <c r="C47" i="5"/>
  <c r="BE46" i="5"/>
  <c r="BD46" i="5"/>
  <c r="BC46" i="5" s="1"/>
  <c r="AJ46" i="5"/>
  <c r="AG46" i="5"/>
  <c r="AF46" i="5"/>
  <c r="AE46" i="5"/>
  <c r="BE45" i="5"/>
  <c r="BD45" i="5"/>
  <c r="BC45" i="5" s="1"/>
  <c r="AG45" i="5"/>
  <c r="AF45" i="5"/>
  <c r="AE45" i="5"/>
  <c r="C45" i="5"/>
  <c r="BE44" i="5"/>
  <c r="F44" i="5" s="1"/>
  <c r="BD44" i="5"/>
  <c r="BC44" i="5" s="1"/>
  <c r="AG44" i="5"/>
  <c r="AF44" i="5"/>
  <c r="AE44" i="5"/>
  <c r="C44" i="5"/>
  <c r="BE43" i="5"/>
  <c r="F43" i="5" s="1"/>
  <c r="BD43" i="5"/>
  <c r="BC43" i="5" s="1"/>
  <c r="AG43" i="5"/>
  <c r="AF43" i="5"/>
  <c r="AE43" i="5"/>
  <c r="C43" i="5"/>
  <c r="BE42" i="5"/>
  <c r="F42" i="5" s="1"/>
  <c r="BD42" i="5"/>
  <c r="BC42" i="5" s="1"/>
  <c r="AG42" i="5"/>
  <c r="AF42" i="5"/>
  <c r="AE42" i="5"/>
  <c r="C42" i="5"/>
  <c r="BE41" i="5"/>
  <c r="F41" i="5" s="1"/>
  <c r="BD41" i="5"/>
  <c r="BC41" i="5" s="1"/>
  <c r="AG41" i="5"/>
  <c r="AF41" i="5"/>
  <c r="AE41" i="5"/>
  <c r="C41" i="5"/>
  <c r="BP40" i="5"/>
  <c r="W40" i="5" s="1"/>
  <c r="W40" i="24" s="1"/>
  <c r="BL40" i="5"/>
  <c r="P40" i="5" s="1"/>
  <c r="P40" i="24" s="1"/>
  <c r="BH40" i="5"/>
  <c r="I40" i="5" s="1"/>
  <c r="I40" i="24" s="1"/>
  <c r="BE40" i="5"/>
  <c r="BD40" i="5"/>
  <c r="BC40" i="5" s="1"/>
  <c r="AG40" i="5"/>
  <c r="AF40" i="5"/>
  <c r="AE40" i="5"/>
  <c r="C40" i="5"/>
  <c r="BP39" i="5"/>
  <c r="W39" i="5" s="1"/>
  <c r="W39" i="24" s="1"/>
  <c r="BL39" i="5"/>
  <c r="P39" i="5" s="1"/>
  <c r="P39" i="24" s="1"/>
  <c r="BH39" i="5"/>
  <c r="I39" i="5" s="1"/>
  <c r="I39" i="24" s="1"/>
  <c r="BE39" i="5"/>
  <c r="F39" i="5" s="1"/>
  <c r="BD39" i="5"/>
  <c r="BC39" i="5" s="1"/>
  <c r="AG39" i="5"/>
  <c r="AF39" i="5"/>
  <c r="AE39" i="5"/>
  <c r="C39" i="5"/>
  <c r="BE38" i="5"/>
  <c r="F38" i="5" s="1"/>
  <c r="BD38" i="5"/>
  <c r="BC38" i="5" s="1"/>
  <c r="AJ38" i="5"/>
  <c r="AG38" i="5"/>
  <c r="AF38" i="5"/>
  <c r="AE38" i="5"/>
  <c r="BC37" i="5"/>
  <c r="BC36" i="5"/>
  <c r="BQ35" i="5"/>
  <c r="BE35" i="5"/>
  <c r="BD35" i="5"/>
  <c r="BC35" i="5" s="1"/>
  <c r="BE34" i="5"/>
  <c r="BD34" i="5"/>
  <c r="BC34" i="5" s="1"/>
  <c r="AG34" i="5"/>
  <c r="AF34" i="5"/>
  <c r="AE34" i="5"/>
  <c r="BE33" i="5"/>
  <c r="F33" i="5" s="1"/>
  <c r="BD33" i="5"/>
  <c r="BC33" i="5" s="1"/>
  <c r="AG33" i="5"/>
  <c r="AF33" i="5"/>
  <c r="AE33" i="5"/>
  <c r="BE32" i="5"/>
  <c r="F32" i="5" s="1"/>
  <c r="BD32" i="5"/>
  <c r="BC32" i="5" s="1"/>
  <c r="AG32" i="5"/>
  <c r="AF32" i="5"/>
  <c r="AE32" i="5"/>
  <c r="BE31" i="5"/>
  <c r="F31" i="5" s="1"/>
  <c r="BD31" i="5"/>
  <c r="BC31" i="5" s="1"/>
  <c r="AG31" i="5"/>
  <c r="AF31" i="5"/>
  <c r="AE31" i="5"/>
  <c r="BE30" i="5"/>
  <c r="F30" i="5" s="1"/>
  <c r="BD30" i="5"/>
  <c r="BC30" i="5" s="1"/>
  <c r="AG30" i="5"/>
  <c r="AF30" i="5"/>
  <c r="AE30" i="5"/>
  <c r="BE29" i="5"/>
  <c r="F29" i="5" s="1"/>
  <c r="BD29" i="5"/>
  <c r="BC29" i="5" s="1"/>
  <c r="AG29" i="5"/>
  <c r="AF29" i="5"/>
  <c r="AE29" i="5"/>
  <c r="BE28" i="5"/>
  <c r="F28" i="5" s="1"/>
  <c r="BD28" i="5"/>
  <c r="BC28" i="5" s="1"/>
  <c r="AG28" i="5"/>
  <c r="AF28" i="5"/>
  <c r="AE28" i="5"/>
  <c r="BE27" i="5"/>
  <c r="F27" i="5" s="1"/>
  <c r="BD27" i="5"/>
  <c r="BC27" i="5" s="1"/>
  <c r="AG27" i="5"/>
  <c r="AF27" i="5"/>
  <c r="AE27" i="5"/>
  <c r="BE26" i="5"/>
  <c r="F26" i="5" s="1"/>
  <c r="BD26" i="5"/>
  <c r="BC26" i="5" s="1"/>
  <c r="AG26" i="5"/>
  <c r="AF26" i="5"/>
  <c r="AE26" i="5"/>
  <c r="BE25" i="5"/>
  <c r="F25" i="5" s="1"/>
  <c r="BD25" i="5"/>
  <c r="BC25" i="5" s="1"/>
  <c r="AG25" i="5"/>
  <c r="AF25" i="5"/>
  <c r="AE25" i="5"/>
  <c r="BE24" i="5"/>
  <c r="F24" i="5" s="1"/>
  <c r="BD24" i="5"/>
  <c r="BC24" i="5" s="1"/>
  <c r="AG24" i="5"/>
  <c r="AF24" i="5"/>
  <c r="AE24" i="5"/>
  <c r="BE23" i="5"/>
  <c r="F23" i="5" s="1"/>
  <c r="BD23" i="5"/>
  <c r="BC23" i="5"/>
  <c r="AG23" i="5"/>
  <c r="AF23" i="5"/>
  <c r="AE23" i="5"/>
  <c r="BE22" i="5"/>
  <c r="F22" i="5" s="1"/>
  <c r="BD22" i="5"/>
  <c r="BC22" i="5" s="1"/>
  <c r="AG22" i="5"/>
  <c r="AF22" i="5"/>
  <c r="AE22" i="5"/>
  <c r="BE21" i="5"/>
  <c r="BD21" i="5"/>
  <c r="BC21" i="5" s="1"/>
  <c r="AG21" i="5"/>
  <c r="AF21" i="5"/>
  <c r="AE21" i="5"/>
  <c r="BE20" i="5"/>
  <c r="F20" i="5" s="1"/>
  <c r="BD20" i="5"/>
  <c r="BC20" i="5" s="1"/>
  <c r="AG20" i="5"/>
  <c r="AF20" i="5"/>
  <c r="AE20" i="5"/>
  <c r="BE19" i="5"/>
  <c r="F19" i="5" s="1"/>
  <c r="BD19" i="5"/>
  <c r="BC19" i="5" s="1"/>
  <c r="AG19" i="5"/>
  <c r="AF19" i="5"/>
  <c r="AE19" i="5"/>
  <c r="BE18" i="5"/>
  <c r="F18" i="5" s="1"/>
  <c r="BD18" i="5"/>
  <c r="BC18" i="5" s="1"/>
  <c r="AG18" i="5"/>
  <c r="AF18" i="5"/>
  <c r="AE18" i="5"/>
  <c r="BE17" i="5"/>
  <c r="F17" i="5" s="1"/>
  <c r="BD17" i="5"/>
  <c r="BC17" i="5" s="1"/>
  <c r="AG17" i="5"/>
  <c r="AF17" i="5"/>
  <c r="AE17" i="5"/>
  <c r="BE16" i="5"/>
  <c r="BD16" i="5"/>
  <c r="BC16" i="5" s="1"/>
  <c r="AG16" i="5"/>
  <c r="AF16" i="5"/>
  <c r="AE16" i="5"/>
  <c r="BE15" i="5"/>
  <c r="F15" i="5" s="1"/>
  <c r="BD15" i="5"/>
  <c r="BC15" i="5" s="1"/>
  <c r="AG15" i="5"/>
  <c r="AF15" i="5"/>
  <c r="AE15" i="5"/>
  <c r="BE14" i="5"/>
  <c r="F14" i="5" s="1"/>
  <c r="BD14" i="5"/>
  <c r="BC14" i="5" s="1"/>
  <c r="AG14" i="5"/>
  <c r="AF14" i="5"/>
  <c r="AE14" i="5"/>
  <c r="BE13" i="5"/>
  <c r="F13" i="5" s="1"/>
  <c r="BD13" i="5"/>
  <c r="BC13" i="5" s="1"/>
  <c r="AG13" i="5"/>
  <c r="AF13" i="5"/>
  <c r="AE13" i="5"/>
  <c r="BE12" i="5"/>
  <c r="BD12" i="5"/>
  <c r="BC12" i="5" s="1"/>
  <c r="AG12" i="5"/>
  <c r="AF12" i="5"/>
  <c r="AE12" i="5"/>
  <c r="BE11" i="5"/>
  <c r="BD11" i="5"/>
  <c r="BC11" i="5" s="1"/>
  <c r="BB11" i="5"/>
  <c r="AG11" i="5"/>
  <c r="AF11" i="5"/>
  <c r="AE11" i="5"/>
  <c r="F6" i="5"/>
  <c r="F6" i="24" s="1"/>
  <c r="AL5" i="5"/>
  <c r="F5" i="5"/>
  <c r="F5" i="24" s="1"/>
  <c r="AL4" i="5"/>
  <c r="E54" i="3"/>
  <c r="C54" i="3"/>
  <c r="B40" i="3"/>
  <c r="I23" i="3"/>
  <c r="Q17" i="3"/>
  <c r="F7" i="5" s="1"/>
  <c r="F7" i="24" s="1"/>
  <c r="L17" i="3"/>
  <c r="B17" i="3"/>
  <c r="L16" i="3"/>
  <c r="L15" i="3"/>
  <c r="O9" i="13" s="1"/>
  <c r="L14" i="3"/>
  <c r="N9" i="13" s="1"/>
  <c r="O13" i="3"/>
  <c r="L13" i="3"/>
  <c r="I15" i="3" s="1"/>
  <c r="O12" i="3"/>
  <c r="L12" i="3"/>
  <c r="L9" i="13" s="1"/>
  <c r="O11" i="3"/>
  <c r="L11" i="3"/>
  <c r="O10" i="3"/>
  <c r="L10" i="3"/>
  <c r="J9" i="13" s="1"/>
  <c r="O9" i="3"/>
  <c r="O8" i="3"/>
  <c r="L8" i="3"/>
  <c r="U101" i="13" s="1"/>
  <c r="O7" i="3"/>
  <c r="O6" i="3"/>
  <c r="L6" i="3"/>
  <c r="D3" i="12"/>
  <c r="C3" i="12"/>
  <c r="CR242" i="13" l="1"/>
  <c r="CS242" i="13" s="1"/>
  <c r="F40" i="5"/>
  <c r="CR235" i="13" s="1"/>
  <c r="CS235" i="13" s="1"/>
  <c r="F106" i="5"/>
  <c r="CR254" i="13" s="1"/>
  <c r="CS254" i="13" s="1"/>
  <c r="F171" i="5"/>
  <c r="CR176" i="13" s="1"/>
  <c r="CS176" i="13" s="1"/>
  <c r="F123" i="24"/>
  <c r="CR248" i="13"/>
  <c r="CS248" i="13" s="1"/>
  <c r="CR104" i="13"/>
  <c r="CS104" i="13" s="1"/>
  <c r="F179" i="5"/>
  <c r="CR245" i="13" s="1"/>
  <c r="CS245" i="13" s="1"/>
  <c r="CR139" i="13"/>
  <c r="CS139" i="13" s="1"/>
  <c r="Q131" i="5"/>
  <c r="Q131" i="24" s="1"/>
  <c r="BI85" i="5"/>
  <c r="J85" i="5" s="1"/>
  <c r="J85" i="24" s="1"/>
  <c r="BI46" i="5"/>
  <c r="J46" i="5" s="1"/>
  <c r="J46" i="24" s="1"/>
  <c r="BI78" i="5"/>
  <c r="J78" i="5" s="1"/>
  <c r="J78" i="24" s="1"/>
  <c r="BI112" i="5"/>
  <c r="J112" i="5" s="1"/>
  <c r="J112" i="24" s="1"/>
  <c r="BI61" i="5"/>
  <c r="J61" i="5" s="1"/>
  <c r="J61" i="24" s="1"/>
  <c r="BI54" i="5"/>
  <c r="J54" i="5" s="1"/>
  <c r="J54" i="24" s="1"/>
  <c r="BI113" i="5"/>
  <c r="BI164" i="5"/>
  <c r="J164" i="5" s="1"/>
  <c r="J164" i="24" s="1"/>
  <c r="BI21" i="5"/>
  <c r="J21" i="5" s="1"/>
  <c r="J21" i="24" s="1"/>
  <c r="BI196" i="5"/>
  <c r="J196" i="5" s="1"/>
  <c r="J196" i="24" s="1"/>
  <c r="BI14" i="5"/>
  <c r="J14" i="5" s="1"/>
  <c r="J14" i="24" s="1"/>
  <c r="BI87" i="5"/>
  <c r="CR251" i="13"/>
  <c r="BI29" i="5"/>
  <c r="J29" i="5" s="1"/>
  <c r="J29" i="24" s="1"/>
  <c r="BI48" i="5"/>
  <c r="J48" i="5" s="1"/>
  <c r="J48" i="24" s="1"/>
  <c r="BI80" i="5"/>
  <c r="BI114" i="5"/>
  <c r="J114" i="5" s="1"/>
  <c r="J114" i="24" s="1"/>
  <c r="BI148" i="5"/>
  <c r="J148" i="5" s="1"/>
  <c r="J148" i="24" s="1"/>
  <c r="F197" i="5"/>
  <c r="CR249" i="13" s="1"/>
  <c r="CS249" i="13" s="1"/>
  <c r="BI204" i="5"/>
  <c r="J204" i="5" s="1"/>
  <c r="J204" i="24" s="1"/>
  <c r="F39" i="24"/>
  <c r="BI22" i="5"/>
  <c r="BI73" i="5"/>
  <c r="J73" i="5" s="1"/>
  <c r="J73" i="24" s="1"/>
  <c r="BI107" i="5"/>
  <c r="J107" i="5" s="1"/>
  <c r="J107" i="24" s="1"/>
  <c r="BI124" i="5"/>
  <c r="J124" i="5" s="1"/>
  <c r="J124" i="24" s="1"/>
  <c r="BI15" i="5"/>
  <c r="J15" i="5" s="1"/>
  <c r="J15" i="24" s="1"/>
  <c r="BI156" i="5"/>
  <c r="J156" i="5" s="1"/>
  <c r="J156" i="24" s="1"/>
  <c r="BI74" i="5"/>
  <c r="J74" i="5" s="1"/>
  <c r="J74" i="24" s="1"/>
  <c r="BI108" i="5"/>
  <c r="J108" i="5" s="1"/>
  <c r="J108" i="24" s="1"/>
  <c r="BI125" i="5"/>
  <c r="J125" i="5" s="1"/>
  <c r="J125" i="24" s="1"/>
  <c r="BI75" i="5"/>
  <c r="J75" i="5" s="1"/>
  <c r="J75" i="24" s="1"/>
  <c r="BI109" i="5"/>
  <c r="J109" i="5" s="1"/>
  <c r="J109" i="24" s="1"/>
  <c r="BI126" i="5"/>
  <c r="J126" i="5" s="1"/>
  <c r="J126" i="24" s="1"/>
  <c r="BI182" i="5"/>
  <c r="J182" i="5" s="1"/>
  <c r="J182" i="24" s="1"/>
  <c r="BI17" i="5"/>
  <c r="J17" i="5" s="1"/>
  <c r="J17" i="24" s="1"/>
  <c r="BI58" i="5"/>
  <c r="J58" i="5" s="1"/>
  <c r="J58" i="24" s="1"/>
  <c r="BI68" i="5"/>
  <c r="J68" i="5" s="1"/>
  <c r="J68" i="24" s="1"/>
  <c r="BI90" i="5"/>
  <c r="BI141" i="5"/>
  <c r="J141" i="5" s="1"/>
  <c r="J141" i="24" s="1"/>
  <c r="BI158" i="5"/>
  <c r="J158" i="5" s="1"/>
  <c r="J158" i="24" s="1"/>
  <c r="BI32" i="5"/>
  <c r="J32" i="5" s="1"/>
  <c r="J32" i="24" s="1"/>
  <c r="BI83" i="5"/>
  <c r="J83" i="5" s="1"/>
  <c r="J83" i="24" s="1"/>
  <c r="BI76" i="5"/>
  <c r="J76" i="5" s="1"/>
  <c r="J76" i="24" s="1"/>
  <c r="BI110" i="5"/>
  <c r="J110" i="5" s="1"/>
  <c r="J110" i="24" s="1"/>
  <c r="CR253" i="13"/>
  <c r="CS253" i="13" s="1"/>
  <c r="CR47" i="13"/>
  <c r="CS47" i="13" s="1"/>
  <c r="Q43" i="5"/>
  <c r="Q43" i="24" s="1"/>
  <c r="J43" i="5"/>
  <c r="J43" i="24" s="1"/>
  <c r="Q187" i="5"/>
  <c r="Q187" i="24" s="1"/>
  <c r="Q27" i="5"/>
  <c r="Q27" i="24" s="1"/>
  <c r="J27" i="5"/>
  <c r="J27" i="24" s="1"/>
  <c r="Q196" i="5"/>
  <c r="Q196" i="24" s="1"/>
  <c r="J173" i="5"/>
  <c r="J173" i="24" s="1"/>
  <c r="J199" i="5"/>
  <c r="J199" i="24" s="1"/>
  <c r="J38" i="5"/>
  <c r="J38" i="24" s="1"/>
  <c r="Q38" i="5"/>
  <c r="Q38" i="24" s="1"/>
  <c r="J142" i="5"/>
  <c r="J142" i="24" s="1"/>
  <c r="Q142" i="5"/>
  <c r="Q142" i="24" s="1"/>
  <c r="Q148" i="5"/>
  <c r="Q148" i="24" s="1"/>
  <c r="J130" i="5"/>
  <c r="J130" i="24" s="1"/>
  <c r="Q79" i="5"/>
  <c r="Q79" i="24" s="1"/>
  <c r="J79" i="5"/>
  <c r="J79" i="24" s="1"/>
  <c r="Q124" i="5"/>
  <c r="Q124" i="24" s="1"/>
  <c r="Q57" i="5"/>
  <c r="Q57" i="24" s="1"/>
  <c r="J57" i="5"/>
  <c r="J57" i="24" s="1"/>
  <c r="J19" i="5"/>
  <c r="J19" i="24" s="1"/>
  <c r="J20" i="5"/>
  <c r="J20" i="24" s="1"/>
  <c r="J77" i="5"/>
  <c r="J77" i="24" s="1"/>
  <c r="F119" i="24"/>
  <c r="J104" i="5"/>
  <c r="J104" i="24" s="1"/>
  <c r="J100" i="5"/>
  <c r="J100" i="24" s="1"/>
  <c r="Q80" i="5"/>
  <c r="Q80" i="24" s="1"/>
  <c r="CR252" i="13"/>
  <c r="CS252" i="13" s="1"/>
  <c r="J186" i="5"/>
  <c r="J186" i="24" s="1"/>
  <c r="CR180" i="13"/>
  <c r="CS180" i="13" s="1"/>
  <c r="CR237" i="13"/>
  <c r="CS237" i="13" s="1"/>
  <c r="CR135" i="13"/>
  <c r="CS135" i="13" s="1"/>
  <c r="CR250" i="13"/>
  <c r="CS250" i="13" s="1"/>
  <c r="CR255" i="13"/>
  <c r="CS255" i="13" s="1"/>
  <c r="CR190" i="13"/>
  <c r="CS190" i="13" s="1"/>
  <c r="J167" i="5"/>
  <c r="J167" i="24" s="1"/>
  <c r="U53" i="13"/>
  <c r="H16" i="3"/>
  <c r="U211" i="13" s="1"/>
  <c r="I9" i="13"/>
  <c r="I216" i="13" s="1"/>
  <c r="U118" i="13"/>
  <c r="BS348" i="13"/>
  <c r="J41" i="11" s="1"/>
  <c r="V302" i="11" s="1"/>
  <c r="BS349" i="13"/>
  <c r="J42" i="11" s="1"/>
  <c r="AC29" i="11" s="1"/>
  <c r="BS350" i="13"/>
  <c r="J43" i="11" s="1"/>
  <c r="V304" i="11" s="1"/>
  <c r="V91" i="13"/>
  <c r="F199" i="13"/>
  <c r="R233" i="13"/>
  <c r="Y4" i="13"/>
  <c r="Y203" i="13" s="1"/>
  <c r="BS353" i="13"/>
  <c r="R154" i="13"/>
  <c r="AL3" i="5"/>
  <c r="AK4" i="5" s="1"/>
  <c r="AV37" i="5" s="1"/>
  <c r="R125" i="13"/>
  <c r="R99" i="13"/>
  <c r="BS351" i="13"/>
  <c r="J44" i="11" s="1"/>
  <c r="V305" i="11" s="1"/>
  <c r="BS352" i="13"/>
  <c r="K38" i="13"/>
  <c r="P199" i="13"/>
  <c r="K233" i="13"/>
  <c r="BS346" i="13"/>
  <c r="J39" i="11" s="1"/>
  <c r="AC26" i="11" s="1"/>
  <c r="P233" i="13"/>
  <c r="BS347" i="13"/>
  <c r="J40" i="11" s="1"/>
  <c r="AC27" i="11" s="1"/>
  <c r="T38" i="13"/>
  <c r="T9" i="13"/>
  <c r="T216" i="13"/>
  <c r="AY8" i="13"/>
  <c r="T154" i="13"/>
  <c r="T112" i="13"/>
  <c r="T168" i="13"/>
  <c r="R38" i="13"/>
  <c r="R168" i="13"/>
  <c r="R216" i="13"/>
  <c r="R199" i="13"/>
  <c r="R112" i="13"/>
  <c r="AK8" i="5"/>
  <c r="AS73" i="5" s="1"/>
  <c r="H9" i="13"/>
  <c r="T152" i="13" s="1"/>
  <c r="D65" i="16" s="1"/>
  <c r="P38" i="13"/>
  <c r="P125" i="13"/>
  <c r="P216" i="13"/>
  <c r="P154" i="13"/>
  <c r="P68" i="13"/>
  <c r="P99" i="13"/>
  <c r="P112" i="13"/>
  <c r="O216" i="13"/>
  <c r="O68" i="13"/>
  <c r="O125" i="13"/>
  <c r="O199" i="13"/>
  <c r="O38" i="13"/>
  <c r="O154" i="13"/>
  <c r="O233" i="13"/>
  <c r="O168" i="13"/>
  <c r="O112" i="13"/>
  <c r="O99" i="13"/>
  <c r="N68" i="13"/>
  <c r="N216" i="13"/>
  <c r="N99" i="13"/>
  <c r="N168" i="13"/>
  <c r="N38" i="13"/>
  <c r="N154" i="13"/>
  <c r="N199" i="13"/>
  <c r="N125" i="13"/>
  <c r="N233" i="13"/>
  <c r="N112" i="13"/>
  <c r="M9" i="13"/>
  <c r="M233" i="13" s="1"/>
  <c r="M112" i="13"/>
  <c r="M125" i="13"/>
  <c r="L199" i="13"/>
  <c r="L216" i="13"/>
  <c r="L233" i="13"/>
  <c r="L38" i="13"/>
  <c r="L168" i="13"/>
  <c r="L99" i="13"/>
  <c r="L154" i="13"/>
  <c r="L125" i="13"/>
  <c r="L68" i="13"/>
  <c r="L112" i="13"/>
  <c r="K216" i="13"/>
  <c r="K125" i="13"/>
  <c r="K154" i="13"/>
  <c r="K112" i="13"/>
  <c r="K68" i="13"/>
  <c r="K99" i="13"/>
  <c r="K199" i="13"/>
  <c r="J112" i="13"/>
  <c r="J125" i="13"/>
  <c r="J216" i="13"/>
  <c r="J168" i="13"/>
  <c r="J233" i="13"/>
  <c r="J199" i="13"/>
  <c r="J38" i="13"/>
  <c r="J154" i="13"/>
  <c r="J68" i="13"/>
  <c r="J99" i="13"/>
  <c r="Q9" i="13"/>
  <c r="V92" i="13"/>
  <c r="G68" i="13"/>
  <c r="G38" i="13"/>
  <c r="G199" i="13"/>
  <c r="G99" i="13"/>
  <c r="G125" i="13"/>
  <c r="G168" i="13"/>
  <c r="G112" i="13"/>
  <c r="G154" i="13"/>
  <c r="G216" i="13"/>
  <c r="H21" i="3"/>
  <c r="U49" i="13"/>
  <c r="U54" i="13"/>
  <c r="U50" i="13"/>
  <c r="I233" i="13"/>
  <c r="I125" i="13"/>
  <c r="I68" i="13"/>
  <c r="U48" i="13"/>
  <c r="U52" i="13"/>
  <c r="I99" i="13"/>
  <c r="I154" i="13"/>
  <c r="T239" i="13"/>
  <c r="AB239" i="13" s="1"/>
  <c r="G251" i="5" s="1"/>
  <c r="T21" i="13"/>
  <c r="AA21" i="13" s="1"/>
  <c r="AB21" i="13" s="1"/>
  <c r="F154" i="13"/>
  <c r="F112" i="13"/>
  <c r="F68" i="13"/>
  <c r="F168" i="13"/>
  <c r="F99" i="13"/>
  <c r="F216" i="13"/>
  <c r="T68" i="13"/>
  <c r="BC237" i="13"/>
  <c r="BC239" i="13"/>
  <c r="BC252" i="13"/>
  <c r="T125" i="13"/>
  <c r="T171" i="13"/>
  <c r="T99" i="13"/>
  <c r="T233" i="13"/>
  <c r="T46" i="13"/>
  <c r="D18" i="16" s="1"/>
  <c r="T69" i="13"/>
  <c r="BC72" i="13"/>
  <c r="AY234" i="13"/>
  <c r="T105" i="13"/>
  <c r="T113" i="13"/>
  <c r="U121" i="13"/>
  <c r="Y77" i="13"/>
  <c r="Y201" i="13"/>
  <c r="Y221" i="13"/>
  <c r="Y33" i="13"/>
  <c r="Y60" i="13"/>
  <c r="Y119" i="13"/>
  <c r="Y165" i="13"/>
  <c r="Y206" i="13"/>
  <c r="Y94" i="13"/>
  <c r="Y58" i="13"/>
  <c r="Y92" i="13"/>
  <c r="BS343" i="13"/>
  <c r="J36" i="11" s="1"/>
  <c r="AC23" i="11" s="1"/>
  <c r="BS344" i="13"/>
  <c r="J37" i="11" s="1"/>
  <c r="V298" i="11" s="1"/>
  <c r="CR234" i="13"/>
  <c r="CS234" i="13" s="1"/>
  <c r="CR236" i="13"/>
  <c r="CS236" i="13" s="1"/>
  <c r="CR238" i="13"/>
  <c r="CS238" i="13" s="1"/>
  <c r="CR240" i="13"/>
  <c r="CS240" i="13" s="1"/>
  <c r="CR241" i="13"/>
  <c r="CS241" i="13" s="1"/>
  <c r="CR243" i="13"/>
  <c r="CS243" i="13" s="1"/>
  <c r="CR244" i="13"/>
  <c r="CS244" i="13" s="1"/>
  <c r="CR193" i="13"/>
  <c r="CS193" i="13" s="1"/>
  <c r="CR239" i="13"/>
  <c r="CS239" i="13" s="1"/>
  <c r="CR246" i="13"/>
  <c r="CS246" i="13" s="1"/>
  <c r="CR247" i="13"/>
  <c r="CS247" i="13" s="1"/>
  <c r="CS251" i="13"/>
  <c r="CR131" i="13"/>
  <c r="CS131" i="13" s="1"/>
  <c r="CR172" i="13"/>
  <c r="CS172" i="13" s="1"/>
  <c r="CR127" i="13"/>
  <c r="CS127" i="13" s="1"/>
  <c r="Z83" i="13"/>
  <c r="Z130" i="13"/>
  <c r="Z79" i="13"/>
  <c r="BZ68" i="13"/>
  <c r="CA154" i="13"/>
  <c r="CC252" i="13"/>
  <c r="CA68" i="13"/>
  <c r="CC237" i="13"/>
  <c r="CC233" i="13"/>
  <c r="CC68" i="13"/>
  <c r="CC154" i="13"/>
  <c r="BZ216" i="13"/>
  <c r="BZ199" i="13"/>
  <c r="CC38" i="13"/>
  <c r="BZ252" i="13"/>
  <c r="CA252" i="13"/>
  <c r="Z117" i="13"/>
  <c r="F137" i="24"/>
  <c r="BZ38" i="13"/>
  <c r="CA38" i="13"/>
  <c r="W203" i="13"/>
  <c r="Z39" i="13"/>
  <c r="Z100" i="13"/>
  <c r="AU66" i="5"/>
  <c r="AT158" i="5"/>
  <c r="Z148" i="13"/>
  <c r="CC112" i="13"/>
  <c r="CA168" i="13"/>
  <c r="CA99" i="13"/>
  <c r="CC168" i="13"/>
  <c r="CC99" i="13"/>
  <c r="CA125" i="13"/>
  <c r="Z144" i="13"/>
  <c r="Z183" i="13"/>
  <c r="BZ99" i="13"/>
  <c r="Z51" i="13"/>
  <c r="CC125" i="13"/>
  <c r="F131" i="24"/>
  <c r="F127" i="24"/>
  <c r="F150" i="24"/>
  <c r="F175" i="24"/>
  <c r="F56" i="24"/>
  <c r="F167" i="24"/>
  <c r="F47" i="24"/>
  <c r="F153" i="24"/>
  <c r="F171" i="24"/>
  <c r="W213" i="13"/>
  <c r="AT219" i="5"/>
  <c r="AU109" i="5"/>
  <c r="Z75" i="13"/>
  <c r="Z16" i="13"/>
  <c r="F188" i="24"/>
  <c r="F185" i="24"/>
  <c r="Z175" i="13"/>
  <c r="F99" i="24"/>
  <c r="Z171" i="13"/>
  <c r="F70" i="24"/>
  <c r="F106" i="24"/>
  <c r="F165" i="24"/>
  <c r="Z86" i="13"/>
  <c r="W210" i="13"/>
  <c r="AT116" i="5"/>
  <c r="AV113" i="5"/>
  <c r="AU178" i="5"/>
  <c r="V299" i="11"/>
  <c r="AC25" i="11"/>
  <c r="Z30" i="13"/>
  <c r="Z179" i="13"/>
  <c r="Z192" i="13"/>
  <c r="BZ112" i="13"/>
  <c r="CA199" i="13"/>
  <c r="CA216" i="13"/>
  <c r="CA233" i="13"/>
  <c r="BZ233" i="13"/>
  <c r="BZ168" i="13"/>
  <c r="CC236" i="13"/>
  <c r="BZ236" i="13"/>
  <c r="BZ154" i="13"/>
  <c r="CA236" i="13"/>
  <c r="Z46" i="13"/>
  <c r="CA112" i="13"/>
  <c r="BZ125" i="13"/>
  <c r="CC199" i="13"/>
  <c r="CC216" i="13"/>
  <c r="CA237" i="13"/>
  <c r="Z19" i="13"/>
  <c r="Z59" i="13"/>
  <c r="Z134" i="13"/>
  <c r="Z69" i="13"/>
  <c r="Z10" i="13"/>
  <c r="Z126" i="13"/>
  <c r="W202" i="13"/>
  <c r="Z26" i="13"/>
  <c r="Z155" i="13"/>
  <c r="Z138" i="13"/>
  <c r="X179" i="24"/>
  <c r="X99" i="24"/>
  <c r="J131" i="5"/>
  <c r="J131" i="24" s="1"/>
  <c r="BQ201" i="5"/>
  <c r="X201" i="5" s="1"/>
  <c r="X201" i="24" s="1"/>
  <c r="BQ202" i="5"/>
  <c r="X202" i="5" s="1"/>
  <c r="X202" i="24" s="1"/>
  <c r="BK203" i="13"/>
  <c r="BQ199" i="5" s="1"/>
  <c r="X199" i="5" s="1"/>
  <c r="X199" i="24" s="1"/>
  <c r="BQ198" i="5"/>
  <c r="X198" i="5" s="1"/>
  <c r="X198" i="24" s="1"/>
  <c r="BQ204" i="5"/>
  <c r="X204" i="5" s="1"/>
  <c r="X204" i="24" s="1"/>
  <c r="BQ205" i="5"/>
  <c r="X205" i="5" s="1"/>
  <c r="X205" i="24" s="1"/>
  <c r="BQ196" i="5"/>
  <c r="X196" i="5" s="1"/>
  <c r="X196" i="24" s="1"/>
  <c r="BK212" i="13"/>
  <c r="BQ207" i="5" s="1"/>
  <c r="X207" i="5" s="1"/>
  <c r="X207" i="24" s="1"/>
  <c r="BK213" i="13"/>
  <c r="BQ208" i="5" s="1"/>
  <c r="X208" i="5" s="1"/>
  <c r="X208" i="24" s="1"/>
  <c r="Q199" i="5"/>
  <c r="Q199" i="24" s="1"/>
  <c r="BE212" i="13"/>
  <c r="BQ191" i="5"/>
  <c r="X191" i="5" s="1"/>
  <c r="X191" i="24" s="1"/>
  <c r="BQ169" i="5"/>
  <c r="X169" i="5" s="1"/>
  <c r="X169" i="24" s="1"/>
  <c r="BQ181" i="5"/>
  <c r="X181" i="5" s="1"/>
  <c r="X181" i="24" s="1"/>
  <c r="BQ190" i="5"/>
  <c r="X190" i="5" s="1"/>
  <c r="BQ173" i="5"/>
  <c r="X173" i="5" s="1"/>
  <c r="X173" i="24" s="1"/>
  <c r="BQ180" i="5"/>
  <c r="X180" i="5" s="1"/>
  <c r="X180" i="24" s="1"/>
  <c r="BQ177" i="5"/>
  <c r="X177" i="5" s="1"/>
  <c r="BK191" i="13"/>
  <c r="BQ186" i="5" s="1"/>
  <c r="X186" i="5" s="1"/>
  <c r="X186" i="24" s="1"/>
  <c r="BK170" i="13"/>
  <c r="BQ164" i="5" s="1"/>
  <c r="X164" i="5" s="1"/>
  <c r="X164" i="24" s="1"/>
  <c r="BQ172" i="5"/>
  <c r="X172" i="5" s="1"/>
  <c r="X172" i="24" s="1"/>
  <c r="BK194" i="13"/>
  <c r="BQ189" i="5" s="1"/>
  <c r="X189" i="5" s="1"/>
  <c r="J181" i="5"/>
  <c r="J181" i="24" s="1"/>
  <c r="BE194" i="13"/>
  <c r="Q163" i="5"/>
  <c r="Q163" i="24" s="1"/>
  <c r="Q177" i="5"/>
  <c r="Q177" i="24" s="1"/>
  <c r="BE196" i="13"/>
  <c r="BQ156" i="5"/>
  <c r="X156" i="5" s="1"/>
  <c r="X156" i="24" s="1"/>
  <c r="BK165" i="13"/>
  <c r="BQ159" i="5" s="1"/>
  <c r="X159" i="5" s="1"/>
  <c r="Q156" i="5"/>
  <c r="Q156" i="24" s="1"/>
  <c r="BK130" i="13"/>
  <c r="BQ122" i="5" s="1"/>
  <c r="X122" i="5" s="1"/>
  <c r="X122" i="24" s="1"/>
  <c r="BQ133" i="5"/>
  <c r="X133" i="5" s="1"/>
  <c r="X133" i="24" s="1"/>
  <c r="BQ140" i="5"/>
  <c r="X140" i="5" s="1"/>
  <c r="BQ124" i="5"/>
  <c r="X124" i="5" s="1"/>
  <c r="X124" i="24" s="1"/>
  <c r="BQ132" i="5"/>
  <c r="X132" i="5" s="1"/>
  <c r="X132" i="24" s="1"/>
  <c r="BK146" i="13"/>
  <c r="BQ139" i="5" s="1"/>
  <c r="X139" i="5" s="1"/>
  <c r="BQ135" i="5"/>
  <c r="X135" i="5" s="1"/>
  <c r="X135" i="24" s="1"/>
  <c r="BQ129" i="5"/>
  <c r="X129" i="5" s="1"/>
  <c r="X129" i="24" s="1"/>
  <c r="BK149" i="13"/>
  <c r="BQ142" i="5" s="1"/>
  <c r="X142" i="5" s="1"/>
  <c r="X142" i="24" s="1"/>
  <c r="BQ125" i="5"/>
  <c r="X125" i="5" s="1"/>
  <c r="X125" i="24" s="1"/>
  <c r="BQ128" i="5"/>
  <c r="X128" i="5" s="1"/>
  <c r="X128" i="24" s="1"/>
  <c r="BQ130" i="5"/>
  <c r="X130" i="5" s="1"/>
  <c r="X130" i="24" s="1"/>
  <c r="BK129" i="13"/>
  <c r="BQ121" i="5" s="1"/>
  <c r="X121" i="5" s="1"/>
  <c r="X121" i="24" s="1"/>
  <c r="Q126" i="5"/>
  <c r="Q126" i="24" s="1"/>
  <c r="BE146" i="13"/>
  <c r="J133" i="5"/>
  <c r="J133" i="24" s="1"/>
  <c r="BE126" i="13"/>
  <c r="BE137" i="13"/>
  <c r="BQ108" i="5"/>
  <c r="X108" i="5" s="1"/>
  <c r="X108" i="24" s="1"/>
  <c r="BK119" i="13"/>
  <c r="BQ111" i="5" s="1"/>
  <c r="X111" i="5" s="1"/>
  <c r="X111" i="24" s="1"/>
  <c r="BQ112" i="5"/>
  <c r="X112" i="5" s="1"/>
  <c r="X112" i="24" s="1"/>
  <c r="BQ110" i="5"/>
  <c r="X110" i="5" s="1"/>
  <c r="X110" i="24" s="1"/>
  <c r="BK121" i="13"/>
  <c r="BQ113" i="5" s="1"/>
  <c r="X113" i="5" s="1"/>
  <c r="X113" i="24" s="1"/>
  <c r="BK122" i="13"/>
  <c r="BQ114" i="5" s="1"/>
  <c r="X114" i="5" s="1"/>
  <c r="Q104" i="5"/>
  <c r="Q104" i="24" s="1"/>
  <c r="Q111" i="5"/>
  <c r="Q111" i="24" s="1"/>
  <c r="Q107" i="5"/>
  <c r="Q107" i="24" s="1"/>
  <c r="BK103" i="13"/>
  <c r="BQ98" i="5" s="1"/>
  <c r="X98" i="5" s="1"/>
  <c r="X98" i="24" s="1"/>
  <c r="BK105" i="13"/>
  <c r="BQ100" i="5" s="1"/>
  <c r="X100" i="5" s="1"/>
  <c r="Q100" i="5"/>
  <c r="Q100" i="24" s="1"/>
  <c r="BK81" i="13"/>
  <c r="BQ79" i="5" s="1"/>
  <c r="X79" i="5" s="1"/>
  <c r="X79" i="24" s="1"/>
  <c r="BQ75" i="5"/>
  <c r="X75" i="5" s="1"/>
  <c r="X75" i="24" s="1"/>
  <c r="BQ73" i="5"/>
  <c r="X73" i="5" s="1"/>
  <c r="X73" i="24" s="1"/>
  <c r="BK87" i="13"/>
  <c r="BQ84" i="5" s="1"/>
  <c r="X84" i="5" s="1"/>
  <c r="X84" i="24" s="1"/>
  <c r="BQ76" i="5"/>
  <c r="X76" i="5" s="1"/>
  <c r="X76" i="24" s="1"/>
  <c r="BQ80" i="5"/>
  <c r="X80" i="5" s="1"/>
  <c r="X80" i="24" s="1"/>
  <c r="BQ85" i="5"/>
  <c r="X85" i="5" s="1"/>
  <c r="X85" i="24" s="1"/>
  <c r="BK70" i="13"/>
  <c r="BQ67" i="5" s="1"/>
  <c r="X67" i="5" s="1"/>
  <c r="BQ89" i="5"/>
  <c r="X89" i="5" s="1"/>
  <c r="X89" i="24" s="1"/>
  <c r="BQ81" i="5"/>
  <c r="X81" i="5" s="1"/>
  <c r="X81" i="24" s="1"/>
  <c r="BQ74" i="5"/>
  <c r="X74" i="5" s="1"/>
  <c r="X74" i="24" s="1"/>
  <c r="BK89" i="13"/>
  <c r="BQ86" i="5" s="1"/>
  <c r="X86" i="5" s="1"/>
  <c r="X86" i="24" s="1"/>
  <c r="BK93" i="13"/>
  <c r="BQ90" i="5" s="1"/>
  <c r="X90" i="5" s="1"/>
  <c r="X90" i="24" s="1"/>
  <c r="BQ78" i="5"/>
  <c r="X78" i="5" s="1"/>
  <c r="X78" i="24" s="1"/>
  <c r="BK85" i="13"/>
  <c r="BQ82" i="5" s="1"/>
  <c r="X82" i="5" s="1"/>
  <c r="X82" i="24" s="1"/>
  <c r="BK94" i="13"/>
  <c r="BQ91" i="5" s="1"/>
  <c r="X91" i="5" s="1"/>
  <c r="X91" i="24" s="1"/>
  <c r="BQ68" i="5"/>
  <c r="X68" i="5" s="1"/>
  <c r="BQ87" i="5"/>
  <c r="BK74" i="13"/>
  <c r="BQ72" i="5" s="1"/>
  <c r="X72" i="5" s="1"/>
  <c r="X72" i="24" s="1"/>
  <c r="Q86" i="5"/>
  <c r="Q86" i="24" s="1"/>
  <c r="Q76" i="5"/>
  <c r="Q76" i="24" s="1"/>
  <c r="Q85" i="5"/>
  <c r="Q85" i="24" s="1"/>
  <c r="BE94" i="13"/>
  <c r="Q84" i="5"/>
  <c r="Q84" i="24" s="1"/>
  <c r="BE74" i="13"/>
  <c r="BQ52" i="5"/>
  <c r="X52" i="5" s="1"/>
  <c r="X52" i="24" s="1"/>
  <c r="BQ45" i="5"/>
  <c r="X45" i="5" s="1"/>
  <c r="X45" i="24" s="1"/>
  <c r="BQ48" i="5"/>
  <c r="X48" i="5" s="1"/>
  <c r="X48" i="24" s="1"/>
  <c r="BQ53" i="5"/>
  <c r="X53" i="5" s="1"/>
  <c r="X53" i="24" s="1"/>
  <c r="BK58" i="13"/>
  <c r="BQ57" i="5" s="1"/>
  <c r="X57" i="5" s="1"/>
  <c r="X57" i="24" s="1"/>
  <c r="BQ54" i="5"/>
  <c r="X54" i="5" s="1"/>
  <c r="X54" i="24" s="1"/>
  <c r="BQ59" i="5"/>
  <c r="X59" i="5" s="1"/>
  <c r="X59" i="24" s="1"/>
  <c r="BK61" i="13"/>
  <c r="BQ60" i="5" s="1"/>
  <c r="X60" i="5" s="1"/>
  <c r="X60" i="24" s="1"/>
  <c r="BQ46" i="5"/>
  <c r="X46" i="5" s="1"/>
  <c r="X46" i="24" s="1"/>
  <c r="BQ44" i="5"/>
  <c r="X44" i="5" s="1"/>
  <c r="X44" i="24" s="1"/>
  <c r="BQ50" i="5"/>
  <c r="X50" i="5" s="1"/>
  <c r="X50" i="24" s="1"/>
  <c r="BK63" i="13"/>
  <c r="BQ61" i="5" s="1"/>
  <c r="X61" i="5" s="1"/>
  <c r="X61" i="24" s="1"/>
  <c r="BQ41" i="5"/>
  <c r="X41" i="5" s="1"/>
  <c r="BK42" i="13"/>
  <c r="BQ42" i="5" s="1"/>
  <c r="X42" i="5" s="1"/>
  <c r="BK64" i="13"/>
  <c r="BQ62" i="5" s="1"/>
  <c r="X62" i="5" s="1"/>
  <c r="X62" i="24" s="1"/>
  <c r="BK43" i="13"/>
  <c r="BQ43" i="5" s="1"/>
  <c r="X43" i="5" s="1"/>
  <c r="Q54" i="5"/>
  <c r="Q54" i="24" s="1"/>
  <c r="BE50" i="13"/>
  <c r="BE51" i="13"/>
  <c r="J52" i="5"/>
  <c r="J52" i="24" s="1"/>
  <c r="J53" i="5"/>
  <c r="J53" i="24" s="1"/>
  <c r="BE64" i="13"/>
  <c r="BQ22" i="5"/>
  <c r="X22" i="5" s="1"/>
  <c r="X22" i="24" s="1"/>
  <c r="BQ27" i="5"/>
  <c r="X27" i="5" s="1"/>
  <c r="X27" i="24" s="1"/>
  <c r="BQ29" i="5"/>
  <c r="X29" i="5" s="1"/>
  <c r="X29" i="24" s="1"/>
  <c r="BQ19" i="5"/>
  <c r="X19" i="5" s="1"/>
  <c r="X19" i="24" s="1"/>
  <c r="BQ32" i="5"/>
  <c r="X32" i="5" s="1"/>
  <c r="X32" i="24" s="1"/>
  <c r="BQ16" i="5"/>
  <c r="X16" i="5" s="1"/>
  <c r="X16" i="24" s="1"/>
  <c r="BQ21" i="5"/>
  <c r="X21" i="5" s="1"/>
  <c r="X21" i="24" s="1"/>
  <c r="BQ34" i="5"/>
  <c r="X34" i="5" s="1"/>
  <c r="X34" i="24" s="1"/>
  <c r="BQ18" i="5"/>
  <c r="X18" i="5" s="1"/>
  <c r="X18" i="24" s="1"/>
  <c r="BQ15" i="5"/>
  <c r="X15" i="5" s="1"/>
  <c r="X15" i="24" s="1"/>
  <c r="BQ14" i="5"/>
  <c r="X14" i="5" s="1"/>
  <c r="Q29" i="5"/>
  <c r="Q29" i="24" s="1"/>
  <c r="Q15" i="5"/>
  <c r="Q15" i="24" s="1"/>
  <c r="BE33" i="13"/>
  <c r="J86" i="5"/>
  <c r="J86" i="24" s="1"/>
  <c r="BQ109" i="5"/>
  <c r="X109" i="5" s="1"/>
  <c r="X109" i="24" s="1"/>
  <c r="Q58" i="5"/>
  <c r="Q58" i="24" s="1"/>
  <c r="BQ11" i="5"/>
  <c r="X11" i="5" s="1"/>
  <c r="X11" i="24" s="1"/>
  <c r="Q186" i="5"/>
  <c r="Q186" i="24" s="1"/>
  <c r="Q110" i="5"/>
  <c r="Q110" i="24" s="1"/>
  <c r="Q164" i="5"/>
  <c r="Q164" i="24" s="1"/>
  <c r="BQ107" i="5"/>
  <c r="X107" i="5" s="1"/>
  <c r="X107" i="24" s="1"/>
  <c r="Q133" i="5"/>
  <c r="Q133" i="24" s="1"/>
  <c r="Q53" i="5"/>
  <c r="Q53" i="24" s="1"/>
  <c r="Q74" i="5"/>
  <c r="Q74" i="24" s="1"/>
  <c r="Q202" i="5"/>
  <c r="Q202" i="24" s="1"/>
  <c r="J202" i="5"/>
  <c r="J202" i="24" s="1"/>
  <c r="Q75" i="5"/>
  <c r="Q75" i="24" s="1"/>
  <c r="Q204" i="5"/>
  <c r="Q204" i="24" s="1"/>
  <c r="Q32" i="5"/>
  <c r="Q32" i="24" s="1"/>
  <c r="BQ95" i="5"/>
  <c r="X95" i="5" s="1"/>
  <c r="Q135" i="5"/>
  <c r="Q135" i="24" s="1"/>
  <c r="J135" i="5"/>
  <c r="J135" i="24" s="1"/>
  <c r="BQ184" i="5"/>
  <c r="X184" i="5" s="1"/>
  <c r="X184" i="24" s="1"/>
  <c r="Q31" i="5"/>
  <c r="Q31" i="24" s="1"/>
  <c r="J31" i="5"/>
  <c r="J31" i="24" s="1"/>
  <c r="BQ104" i="5"/>
  <c r="X104" i="5" s="1"/>
  <c r="X104" i="24" s="1"/>
  <c r="Q121" i="5"/>
  <c r="Q121" i="24" s="1"/>
  <c r="J121" i="5"/>
  <c r="J121" i="24" s="1"/>
  <c r="BQ174" i="5"/>
  <c r="X174" i="5" s="1"/>
  <c r="X174" i="24" s="1"/>
  <c r="BQ170" i="5"/>
  <c r="X170" i="5" s="1"/>
  <c r="X170" i="24" s="1"/>
  <c r="BQ38" i="5"/>
  <c r="X38" i="5" s="1"/>
  <c r="Q52" i="5"/>
  <c r="Q52" i="24" s="1"/>
  <c r="Q81" i="5"/>
  <c r="Q81" i="24" s="1"/>
  <c r="J81" i="5"/>
  <c r="J81" i="24" s="1"/>
  <c r="J59" i="5"/>
  <c r="J59" i="24" s="1"/>
  <c r="Q59" i="5"/>
  <c r="Q59" i="24" s="1"/>
  <c r="Q125" i="5"/>
  <c r="Q125" i="24" s="1"/>
  <c r="Q178" i="5"/>
  <c r="Q178" i="24" s="1"/>
  <c r="J178" i="5"/>
  <c r="J178" i="24" s="1"/>
  <c r="Q184" i="5"/>
  <c r="Q184" i="24" s="1"/>
  <c r="J184" i="5"/>
  <c r="J184" i="24" s="1"/>
  <c r="Q68" i="5"/>
  <c r="Q68" i="24" s="1"/>
  <c r="J172" i="5"/>
  <c r="J172" i="24" s="1"/>
  <c r="Q172" i="5"/>
  <c r="Q172" i="24" s="1"/>
  <c r="Q158" i="5"/>
  <c r="Q158" i="24" s="1"/>
  <c r="Q198" i="5"/>
  <c r="Q198" i="24" s="1"/>
  <c r="J198" i="5"/>
  <c r="J198" i="24" s="1"/>
  <c r="Q170" i="5"/>
  <c r="Q170" i="24" s="1"/>
  <c r="J170" i="5"/>
  <c r="J170" i="24" s="1"/>
  <c r="J201" i="5"/>
  <c r="J201" i="24" s="1"/>
  <c r="Q201" i="5"/>
  <c r="Q201" i="24" s="1"/>
  <c r="Q20" i="5"/>
  <c r="Q20" i="24" s="1"/>
  <c r="Q180" i="5"/>
  <c r="Q180" i="24" s="1"/>
  <c r="J180" i="5"/>
  <c r="J180" i="24" s="1"/>
  <c r="J55" i="5"/>
  <c r="J55" i="24" s="1"/>
  <c r="Q55" i="5"/>
  <c r="Q55" i="24" s="1"/>
  <c r="Q67" i="5"/>
  <c r="Q67" i="24" s="1"/>
  <c r="J67" i="5"/>
  <c r="J67" i="24" s="1"/>
  <c r="BQ178" i="5"/>
  <c r="X178" i="5" s="1"/>
  <c r="Q166" i="5"/>
  <c r="Q166" i="24" s="1"/>
  <c r="J166" i="5"/>
  <c r="J166" i="24" s="1"/>
  <c r="BQ31" i="5"/>
  <c r="X31" i="5" s="1"/>
  <c r="X31" i="24" s="1"/>
  <c r="J66" i="5"/>
  <c r="J66" i="24" s="1"/>
  <c r="BQ187" i="5"/>
  <c r="X187" i="5" s="1"/>
  <c r="X187" i="24" s="1"/>
  <c r="Q128" i="5"/>
  <c r="Q128" i="24" s="1"/>
  <c r="J128" i="5"/>
  <c r="J128" i="24" s="1"/>
  <c r="J132" i="5"/>
  <c r="J132" i="24" s="1"/>
  <c r="Q132" i="5"/>
  <c r="Q132" i="24" s="1"/>
  <c r="Q66" i="5"/>
  <c r="Q66" i="24" s="1"/>
  <c r="Q45" i="5"/>
  <c r="Q45" i="24" s="1"/>
  <c r="J45" i="5"/>
  <c r="J45" i="24" s="1"/>
  <c r="Q141" i="5"/>
  <c r="Q141" i="24" s="1"/>
  <c r="J208" i="5"/>
  <c r="J208" i="24" s="1"/>
  <c r="Q208" i="5"/>
  <c r="Q208" i="24" s="1"/>
  <c r="Q89" i="5"/>
  <c r="Q89" i="24" s="1"/>
  <c r="J89" i="5"/>
  <c r="J89" i="24" s="1"/>
  <c r="BQ154" i="5"/>
  <c r="X154" i="5" s="1"/>
  <c r="X154" i="24" s="1"/>
  <c r="Q173" i="5"/>
  <c r="Q173" i="24" s="1"/>
  <c r="Q17" i="5"/>
  <c r="Q17" i="24" s="1"/>
  <c r="Q41" i="5"/>
  <c r="Q41" i="24" s="1"/>
  <c r="J41" i="5"/>
  <c r="J41" i="24" s="1"/>
  <c r="BQ17" i="5"/>
  <c r="X17" i="5" s="1"/>
  <c r="X17" i="24" s="1"/>
  <c r="Q73" i="5"/>
  <c r="Q73" i="24" s="1"/>
  <c r="J140" i="5"/>
  <c r="J140" i="24" s="1"/>
  <c r="Q140" i="5"/>
  <c r="Q140" i="24" s="1"/>
  <c r="Q130" i="5"/>
  <c r="Q130" i="24" s="1"/>
  <c r="J159" i="5"/>
  <c r="J159" i="24" s="1"/>
  <c r="Q159" i="5"/>
  <c r="Q159" i="24" s="1"/>
  <c r="Q83" i="5"/>
  <c r="Q83" i="24" s="1"/>
  <c r="Q205" i="5"/>
  <c r="Q205" i="24" s="1"/>
  <c r="J205" i="5"/>
  <c r="J205" i="24" s="1"/>
  <c r="J190" i="5"/>
  <c r="J190" i="24" s="1"/>
  <c r="Q190" i="5"/>
  <c r="Q190" i="24" s="1"/>
  <c r="BQ136" i="5"/>
  <c r="X136" i="5" s="1"/>
  <c r="X136" i="24" s="1"/>
  <c r="Q78" i="5"/>
  <c r="Q78" i="24" s="1"/>
  <c r="BQ148" i="5"/>
  <c r="X148" i="5" s="1"/>
  <c r="X148" i="24" s="1"/>
  <c r="Q16" i="5"/>
  <c r="Q16" i="24" s="1"/>
  <c r="J16" i="5"/>
  <c r="J16" i="24" s="1"/>
  <c r="J174" i="5"/>
  <c r="J174" i="24" s="1"/>
  <c r="Q174" i="5"/>
  <c r="Q174" i="24" s="1"/>
  <c r="BQ58" i="5"/>
  <c r="X58" i="5" s="1"/>
  <c r="X58" i="24" s="1"/>
  <c r="J122" i="5"/>
  <c r="J122" i="24" s="1"/>
  <c r="Q122" i="5"/>
  <c r="Q122" i="24" s="1"/>
  <c r="J169" i="5"/>
  <c r="J169" i="24" s="1"/>
  <c r="Q169" i="5"/>
  <c r="Q169" i="24" s="1"/>
  <c r="BQ182" i="5"/>
  <c r="X182" i="5" s="1"/>
  <c r="X182" i="24" s="1"/>
  <c r="J22" i="5"/>
  <c r="J22" i="24" s="1"/>
  <c r="Q22" i="5"/>
  <c r="Q22" i="24" s="1"/>
  <c r="Q46" i="5"/>
  <c r="Q46" i="24" s="1"/>
  <c r="Q48" i="5"/>
  <c r="Q48" i="24" s="1"/>
  <c r="Q21" i="5"/>
  <c r="Q21" i="24" s="1"/>
  <c r="J154" i="5"/>
  <c r="J154" i="24" s="1"/>
  <c r="Q154" i="5"/>
  <c r="Q154" i="24" s="1"/>
  <c r="Q182" i="5"/>
  <c r="Q182" i="24" s="1"/>
  <c r="BQ20" i="5"/>
  <c r="X20" i="5" s="1"/>
  <c r="X20" i="24" s="1"/>
  <c r="J60" i="5"/>
  <c r="J60" i="24" s="1"/>
  <c r="Q60" i="5"/>
  <c r="Q60" i="24" s="1"/>
  <c r="Q95" i="5"/>
  <c r="Q95" i="24" s="1"/>
  <c r="J95" i="5"/>
  <c r="J95" i="24" s="1"/>
  <c r="J98" i="5"/>
  <c r="J98" i="24" s="1"/>
  <c r="Q98" i="5"/>
  <c r="Q98" i="24" s="1"/>
  <c r="BQ51" i="5"/>
  <c r="X51" i="5" s="1"/>
  <c r="X51" i="24" s="1"/>
  <c r="Q181" i="5"/>
  <c r="Q181" i="24" s="1"/>
  <c r="J111" i="5"/>
  <c r="J111" i="24" s="1"/>
  <c r="Q44" i="5"/>
  <c r="Q44" i="24" s="1"/>
  <c r="J44" i="5"/>
  <c r="J44" i="24" s="1"/>
  <c r="BQ55" i="5"/>
  <c r="X55" i="5" s="1"/>
  <c r="X55" i="24" s="1"/>
  <c r="J84" i="5"/>
  <c r="J84" i="24" s="1"/>
  <c r="BQ141" i="5"/>
  <c r="X141" i="5" s="1"/>
  <c r="X141" i="24" s="1"/>
  <c r="Q77" i="5"/>
  <c r="Q77" i="24" s="1"/>
  <c r="Q61" i="5"/>
  <c r="Q61" i="24" s="1"/>
  <c r="Q112" i="5"/>
  <c r="J187" i="5"/>
  <c r="J187" i="24" s="1"/>
  <c r="Q14" i="5"/>
  <c r="Q14" i="24" s="1"/>
  <c r="Q19" i="5"/>
  <c r="Q19" i="24" s="1"/>
  <c r="BQ66" i="5"/>
  <c r="X66" i="5" s="1"/>
  <c r="J82" i="5"/>
  <c r="J82" i="24" s="1"/>
  <c r="Q82" i="5"/>
  <c r="Q82" i="24" s="1"/>
  <c r="BQ83" i="5"/>
  <c r="X83" i="5" s="1"/>
  <c r="X83" i="24" s="1"/>
  <c r="Q42" i="5"/>
  <c r="Q42" i="24" s="1"/>
  <c r="J42" i="5"/>
  <c r="J42" i="24" s="1"/>
  <c r="Q108" i="5"/>
  <c r="Q108" i="24" s="1"/>
  <c r="Q18" i="5"/>
  <c r="Q18" i="24" s="1"/>
  <c r="J18" i="5"/>
  <c r="J18" i="24" s="1"/>
  <c r="Q109" i="5"/>
  <c r="Q109" i="24" s="1"/>
  <c r="BQ118" i="5"/>
  <c r="X118" i="5" s="1"/>
  <c r="X118" i="24" s="1"/>
  <c r="J163" i="5"/>
  <c r="J163" i="24" s="1"/>
  <c r="Q114" i="5"/>
  <c r="Q114" i="24" s="1"/>
  <c r="BQ77" i="5"/>
  <c r="X77" i="5" s="1"/>
  <c r="X77" i="24" s="1"/>
  <c r="BQ126" i="5"/>
  <c r="X126" i="5" s="1"/>
  <c r="X126" i="24" s="1"/>
  <c r="J136" i="5"/>
  <c r="J136" i="24" s="1"/>
  <c r="Q136" i="5"/>
  <c r="Q136" i="24" s="1"/>
  <c r="BQ158" i="5"/>
  <c r="X158" i="5" s="1"/>
  <c r="BQ166" i="5"/>
  <c r="X166" i="5" s="1"/>
  <c r="X166" i="24" s="1"/>
  <c r="J177" i="5"/>
  <c r="J177" i="24" s="1"/>
  <c r="BQ163" i="5"/>
  <c r="X163" i="5" s="1"/>
  <c r="X163" i="24" s="1"/>
  <c r="V212" i="13" l="1"/>
  <c r="V213" i="13"/>
  <c r="AU258" i="5"/>
  <c r="AU214" i="5"/>
  <c r="AT192" i="5"/>
  <c r="AU211" i="5"/>
  <c r="AT209" i="5"/>
  <c r="AU213" i="5"/>
  <c r="AV218" i="5"/>
  <c r="AU236" i="5"/>
  <c r="AU158" i="5"/>
  <c r="AV77" i="5"/>
  <c r="AT66" i="5"/>
  <c r="AT80" i="5"/>
  <c r="AT35" i="5"/>
  <c r="AT182" i="5"/>
  <c r="AU256" i="5"/>
  <c r="AT58" i="5"/>
  <c r="AU93" i="5"/>
  <c r="AV146" i="5"/>
  <c r="AT83" i="5"/>
  <c r="AV80" i="5"/>
  <c r="AU259" i="5"/>
  <c r="AU146" i="5"/>
  <c r="AU118" i="5"/>
  <c r="AU61" i="5"/>
  <c r="AT210" i="5"/>
  <c r="AT113" i="5"/>
  <c r="AV64" i="5"/>
  <c r="AV145" i="5"/>
  <c r="AV92" i="5"/>
  <c r="AV161" i="5"/>
  <c r="AV55" i="5"/>
  <c r="V303" i="11"/>
  <c r="F40" i="24"/>
  <c r="F197" i="24"/>
  <c r="CR184" i="13"/>
  <c r="CS184" i="13" s="1"/>
  <c r="V297" i="11"/>
  <c r="V301" i="11"/>
  <c r="AV93" i="5"/>
  <c r="F179" i="24"/>
  <c r="BI191" i="5"/>
  <c r="J191" i="5" s="1"/>
  <c r="J191" i="24" s="1"/>
  <c r="Q189" i="5"/>
  <c r="Q189" i="24" s="1"/>
  <c r="BI189" i="5"/>
  <c r="J189" i="5" s="1"/>
  <c r="J189" i="24" s="1"/>
  <c r="BI129" i="5"/>
  <c r="J129" i="5" s="1"/>
  <c r="J129" i="24" s="1"/>
  <c r="BI118" i="5"/>
  <c r="J118" i="5" s="1"/>
  <c r="J118" i="24" s="1"/>
  <c r="BI51" i="5"/>
  <c r="J51" i="5" s="1"/>
  <c r="J51" i="24" s="1"/>
  <c r="Q50" i="5"/>
  <c r="Q50" i="24" s="1"/>
  <c r="BI50" i="5"/>
  <c r="J50" i="5" s="1"/>
  <c r="J50" i="24" s="1"/>
  <c r="I199" i="13"/>
  <c r="BI91" i="5"/>
  <c r="J91" i="5" s="1"/>
  <c r="J91" i="24" s="1"/>
  <c r="Q91" i="5"/>
  <c r="Q91" i="24" s="1"/>
  <c r="Q139" i="5"/>
  <c r="Q139" i="24" s="1"/>
  <c r="BI139" i="5"/>
  <c r="J139" i="5" s="1"/>
  <c r="J139" i="24" s="1"/>
  <c r="I168" i="13"/>
  <c r="Q62" i="5"/>
  <c r="Q62" i="24" s="1"/>
  <c r="BI62" i="5"/>
  <c r="J62" i="5" s="1"/>
  <c r="J62" i="24" s="1"/>
  <c r="Q72" i="5"/>
  <c r="Q72" i="24" s="1"/>
  <c r="BI72" i="5"/>
  <c r="J72" i="5" s="1"/>
  <c r="J72" i="24" s="1"/>
  <c r="Q34" i="5"/>
  <c r="Q34" i="24" s="1"/>
  <c r="BI34" i="5"/>
  <c r="J34" i="5" s="1"/>
  <c r="J34" i="24" s="1"/>
  <c r="BI207" i="5"/>
  <c r="J207" i="5" s="1"/>
  <c r="J207" i="24" s="1"/>
  <c r="I112" i="13"/>
  <c r="I38" i="13"/>
  <c r="V90" i="13"/>
  <c r="AU200" i="5"/>
  <c r="AT93" i="5"/>
  <c r="AT211" i="5"/>
  <c r="AU20" i="5"/>
  <c r="AU206" i="5"/>
  <c r="AU216" i="5"/>
  <c r="AU17" i="5"/>
  <c r="AV259" i="5"/>
  <c r="AU107" i="5"/>
  <c r="AT213" i="5"/>
  <c r="AT256" i="5"/>
  <c r="AT203" i="5"/>
  <c r="AT200" i="5"/>
  <c r="AU80" i="5"/>
  <c r="AV182" i="5"/>
  <c r="T146" i="13"/>
  <c r="AA146" i="13" s="1"/>
  <c r="AB146" i="13" s="1"/>
  <c r="BF139" i="5" s="1"/>
  <c r="G139" i="5" s="1"/>
  <c r="AW109" i="5"/>
  <c r="AV213" i="5"/>
  <c r="BX5" i="13"/>
  <c r="CG75" i="13" s="1"/>
  <c r="T247" i="13"/>
  <c r="AB247" i="13" s="1"/>
  <c r="AI247" i="13" s="1"/>
  <c r="AS257" i="11" s="1"/>
  <c r="AV104" i="5"/>
  <c r="AV118" i="5"/>
  <c r="AT109" i="5"/>
  <c r="T45" i="13"/>
  <c r="AA45" i="13" s="1"/>
  <c r="AB45" i="13" s="1"/>
  <c r="AU98" i="5"/>
  <c r="AV17" i="5"/>
  <c r="T40" i="13"/>
  <c r="AA40" i="13" s="1"/>
  <c r="AB40" i="13" s="1"/>
  <c r="AT163" i="5"/>
  <c r="AT215" i="5"/>
  <c r="AV255" i="5"/>
  <c r="AT20" i="5"/>
  <c r="AZ248" i="13"/>
  <c r="T49" i="13"/>
  <c r="AU64" i="5"/>
  <c r="AU192" i="5"/>
  <c r="AT226" i="5"/>
  <c r="AV109" i="5"/>
  <c r="T240" i="13"/>
  <c r="AB240" i="13" s="1"/>
  <c r="BF127" i="5" s="1"/>
  <c r="G127" i="5" s="1"/>
  <c r="AD127" i="5" s="1"/>
  <c r="T245" i="13"/>
  <c r="AB245" i="13" s="1"/>
  <c r="AJ245" i="13" s="1"/>
  <c r="AT255" i="11" s="1"/>
  <c r="AU90" i="5"/>
  <c r="AU11" i="5"/>
  <c r="AV148" i="5"/>
  <c r="AV61" i="5"/>
  <c r="AV195" i="5"/>
  <c r="AV257" i="5"/>
  <c r="AV174" i="5"/>
  <c r="AT51" i="5"/>
  <c r="AV63" i="5"/>
  <c r="BC235" i="13"/>
  <c r="T185" i="13"/>
  <c r="AA185" i="13" s="1"/>
  <c r="AT148" i="5"/>
  <c r="T161" i="13"/>
  <c r="AA161" i="13" s="1"/>
  <c r="AB161" i="13" s="1"/>
  <c r="AT11" i="5"/>
  <c r="AU246" i="5"/>
  <c r="T228" i="13"/>
  <c r="AA228" i="13" s="1"/>
  <c r="AB228" i="13" s="1"/>
  <c r="T39" i="13"/>
  <c r="D17" i="16" s="1"/>
  <c r="T103" i="13"/>
  <c r="AA103" i="13" s="1"/>
  <c r="T147" i="13"/>
  <c r="AA147" i="13" s="1"/>
  <c r="AB147" i="13" s="1"/>
  <c r="AI147" i="13" s="1"/>
  <c r="BG140" i="5" s="1"/>
  <c r="T187" i="13"/>
  <c r="D80" i="16" s="1"/>
  <c r="T242" i="13"/>
  <c r="AB242" i="13" s="1"/>
  <c r="BF167" i="5" s="1"/>
  <c r="G167" i="5" s="1"/>
  <c r="AD167" i="5" s="1"/>
  <c r="BA248" i="13"/>
  <c r="T118" i="13"/>
  <c r="AA118" i="13" s="1"/>
  <c r="AB118" i="13" s="1"/>
  <c r="T34" i="13"/>
  <c r="D12" i="16" s="1"/>
  <c r="T76" i="13"/>
  <c r="BC227" i="13"/>
  <c r="BJ227" i="13" s="1"/>
  <c r="BK227" i="13" s="1"/>
  <c r="T11" i="13"/>
  <c r="AA11" i="13" s="1"/>
  <c r="AB11" i="13" s="1"/>
  <c r="T182" i="13"/>
  <c r="AA182" i="13" s="1"/>
  <c r="AB182" i="13" s="1"/>
  <c r="T155" i="13"/>
  <c r="D68" i="16" s="1"/>
  <c r="T141" i="13"/>
  <c r="AA141" i="13" s="1"/>
  <c r="AB141" i="13" s="1"/>
  <c r="BF133" i="5" s="1"/>
  <c r="G133" i="5" s="1"/>
  <c r="T151" i="13"/>
  <c r="AA151" i="13" s="1"/>
  <c r="AB151" i="13" s="1"/>
  <c r="T131" i="13"/>
  <c r="AA131" i="13" s="1"/>
  <c r="AB131" i="13" s="1"/>
  <c r="T173" i="13"/>
  <c r="AA173" i="13" s="1"/>
  <c r="AB173" i="13" s="1"/>
  <c r="T64" i="13"/>
  <c r="AA64" i="13" s="1"/>
  <c r="T177" i="13"/>
  <c r="AA177" i="13" s="1"/>
  <c r="AB177" i="13" s="1"/>
  <c r="BF172" i="5" s="1"/>
  <c r="G172" i="5" s="1"/>
  <c r="AD172" i="5" s="1"/>
  <c r="BC246" i="13"/>
  <c r="T175" i="13"/>
  <c r="AA175" i="13" s="1"/>
  <c r="T184" i="13"/>
  <c r="AA184" i="13" s="1"/>
  <c r="AB184" i="13" s="1"/>
  <c r="AZ236" i="13"/>
  <c r="T194" i="13"/>
  <c r="AA194" i="13" s="1"/>
  <c r="AB194" i="13" s="1"/>
  <c r="BF189" i="5" s="1"/>
  <c r="G189" i="5" s="1"/>
  <c r="T200" i="13"/>
  <c r="D86" i="16" s="1"/>
  <c r="T225" i="13"/>
  <c r="D102" i="16" s="1"/>
  <c r="F102" i="16" s="1"/>
  <c r="I102" i="16" s="1"/>
  <c r="T218" i="13"/>
  <c r="AA218" i="13" s="1"/>
  <c r="AB218" i="13" s="1"/>
  <c r="AZ238" i="13"/>
  <c r="T252" i="13"/>
  <c r="AB252" i="13" s="1"/>
  <c r="AJ252" i="13" s="1"/>
  <c r="AT79" i="11" s="1"/>
  <c r="L79" i="11" s="1"/>
  <c r="T206" i="13"/>
  <c r="U206" i="13" s="1"/>
  <c r="AA206" i="13" s="1"/>
  <c r="AB206" i="13" s="1"/>
  <c r="AI206" i="13" s="1"/>
  <c r="AS216" i="11" s="1"/>
  <c r="BC229" i="13"/>
  <c r="BG229" i="13" s="1"/>
  <c r="BH229" i="13" s="1"/>
  <c r="BM224" i="5" s="1"/>
  <c r="AY240" i="13"/>
  <c r="BC240" i="13"/>
  <c r="T93" i="13"/>
  <c r="D36" i="16" s="1"/>
  <c r="BA235" i="13"/>
  <c r="AY242" i="13"/>
  <c r="BC242" i="13"/>
  <c r="T56" i="13"/>
  <c r="AA56" i="13" s="1"/>
  <c r="AY250" i="13"/>
  <c r="T19" i="13"/>
  <c r="D9" i="16" s="1"/>
  <c r="T133" i="13"/>
  <c r="AA133" i="13" s="1"/>
  <c r="AB133" i="13" s="1"/>
  <c r="T70" i="13"/>
  <c r="AA70" i="13" s="1"/>
  <c r="AB70" i="13" s="1"/>
  <c r="BF67" i="5" s="1"/>
  <c r="G67" i="5" s="1"/>
  <c r="AD67" i="5" s="1"/>
  <c r="T97" i="13"/>
  <c r="D40" i="16" s="1"/>
  <c r="T20" i="13"/>
  <c r="AA20" i="13" s="1"/>
  <c r="T66" i="13"/>
  <c r="D26" i="16" s="1"/>
  <c r="T214" i="13"/>
  <c r="D91" i="16" s="1"/>
  <c r="T253" i="13"/>
  <c r="AB253" i="13" s="1"/>
  <c r="AI253" i="13" s="1"/>
  <c r="BG70" i="5" s="1"/>
  <c r="AZ22" i="13"/>
  <c r="T137" i="13"/>
  <c r="AA137" i="13" s="1"/>
  <c r="AB137" i="13" s="1"/>
  <c r="T178" i="13"/>
  <c r="AA178" i="13" s="1"/>
  <c r="AB178" i="13" s="1"/>
  <c r="BF173" i="5" s="1"/>
  <c r="G173" i="5" s="1"/>
  <c r="AD173" i="5" s="1"/>
  <c r="T101" i="13"/>
  <c r="AA101" i="13" s="1"/>
  <c r="AB101" i="13" s="1"/>
  <c r="T52" i="13"/>
  <c r="T230" i="13"/>
  <c r="AA230" i="13" s="1"/>
  <c r="AB230" i="13" s="1"/>
  <c r="T28" i="13"/>
  <c r="T160" i="13"/>
  <c r="AA160" i="13" s="1"/>
  <c r="AY238" i="13"/>
  <c r="AZ234" i="13"/>
  <c r="T164" i="13"/>
  <c r="D71" i="16" s="1"/>
  <c r="T181" i="13"/>
  <c r="AA181" i="13" s="1"/>
  <c r="AB181" i="13" s="1"/>
  <c r="T237" i="13"/>
  <c r="AB237" i="13" s="1"/>
  <c r="BF56" i="5" s="1"/>
  <c r="G56" i="5" s="1"/>
  <c r="T114" i="13"/>
  <c r="T104" i="13"/>
  <c r="AA104" i="13" s="1"/>
  <c r="BC230" i="13"/>
  <c r="BJ230" i="13" s="1"/>
  <c r="BK230" i="13" s="1"/>
  <c r="BQ225" i="5" s="1"/>
  <c r="T10" i="13"/>
  <c r="AA10" i="13" s="1"/>
  <c r="T59" i="13"/>
  <c r="AA59" i="13" s="1"/>
  <c r="T186" i="13"/>
  <c r="AA186" i="13" s="1"/>
  <c r="AB186" i="13" s="1"/>
  <c r="T223" i="13"/>
  <c r="D100" i="16" s="1"/>
  <c r="T116" i="13"/>
  <c r="AA116" i="13" s="1"/>
  <c r="AB116" i="13" s="1"/>
  <c r="AK116" i="13" s="1"/>
  <c r="BO108" i="5" s="1"/>
  <c r="AY243" i="13"/>
  <c r="AY248" i="13"/>
  <c r="T169" i="13"/>
  <c r="AA169" i="13" s="1"/>
  <c r="T217" i="13"/>
  <c r="D94" i="16" s="1"/>
  <c r="T135" i="13"/>
  <c r="AA135" i="13" s="1"/>
  <c r="AB135" i="13" s="1"/>
  <c r="BB22" i="13"/>
  <c r="T183" i="13"/>
  <c r="D79" i="16" s="1"/>
  <c r="T219" i="13"/>
  <c r="D96" i="16" s="1"/>
  <c r="BC12" i="13"/>
  <c r="T174" i="13"/>
  <c r="AA174" i="13" s="1"/>
  <c r="AB174" i="13" s="1"/>
  <c r="BF169" i="5" s="1"/>
  <c r="G169" i="5" s="1"/>
  <c r="AD169" i="5" s="1"/>
  <c r="AT77" i="5"/>
  <c r="AV256" i="5"/>
  <c r="AT236" i="5"/>
  <c r="AU102" i="5"/>
  <c r="AV236" i="5"/>
  <c r="AT115" i="5"/>
  <c r="AU182" i="5"/>
  <c r="AT178" i="5"/>
  <c r="AV210" i="5"/>
  <c r="AT90" i="5"/>
  <c r="AU174" i="5"/>
  <c r="AU104" i="5"/>
  <c r="AV83" i="5"/>
  <c r="AV212" i="5"/>
  <c r="AU27" i="5"/>
  <c r="AU148" i="5"/>
  <c r="AV94" i="5"/>
  <c r="AT63" i="5"/>
  <c r="AU87" i="5"/>
  <c r="AW46" i="5"/>
  <c r="AU257" i="5"/>
  <c r="AU113" i="5"/>
  <c r="AU63" i="5"/>
  <c r="AU215" i="5"/>
  <c r="AV160" i="5"/>
  <c r="AU154" i="5"/>
  <c r="AV246" i="5"/>
  <c r="AU95" i="5"/>
  <c r="AT104" i="5"/>
  <c r="AV200" i="5"/>
  <c r="AU58" i="5"/>
  <c r="AT220" i="5"/>
  <c r="AV211" i="5"/>
  <c r="AV226" i="5"/>
  <c r="AU166" i="5"/>
  <c r="AT46" i="5"/>
  <c r="AT216" i="5"/>
  <c r="AT214" i="5"/>
  <c r="AV11" i="5"/>
  <c r="AW195" i="5"/>
  <c r="AU37" i="5"/>
  <c r="AT195" i="5"/>
  <c r="AV258" i="5"/>
  <c r="AU203" i="5"/>
  <c r="AT193" i="5"/>
  <c r="AU161" i="5"/>
  <c r="AT55" i="5"/>
  <c r="AT98" i="5"/>
  <c r="AT194" i="5"/>
  <c r="AT174" i="5"/>
  <c r="AT161" i="5"/>
  <c r="AT101" i="5"/>
  <c r="AU103" i="5"/>
  <c r="AT154" i="5"/>
  <c r="AU94" i="5"/>
  <c r="AU83" i="5"/>
  <c r="AT246" i="5"/>
  <c r="AU195" i="5"/>
  <c r="AV215" i="5"/>
  <c r="AU92" i="5"/>
  <c r="AV154" i="5"/>
  <c r="AC9" i="5"/>
  <c r="AT162" i="5"/>
  <c r="AT27" i="5"/>
  <c r="AV219" i="5"/>
  <c r="AU35" i="5"/>
  <c r="AT160" i="5"/>
  <c r="AT65" i="5"/>
  <c r="AV95" i="5"/>
  <c r="AU117" i="5"/>
  <c r="AU219" i="5"/>
  <c r="AT64" i="5"/>
  <c r="AV166" i="5"/>
  <c r="AU46" i="5"/>
  <c r="AV158" i="5"/>
  <c r="AV102" i="5"/>
  <c r="AV117" i="5"/>
  <c r="AT130" i="5"/>
  <c r="AU65" i="5"/>
  <c r="AU217" i="5"/>
  <c r="AU145" i="5"/>
  <c r="AV220" i="5"/>
  <c r="AT254" i="5"/>
  <c r="AT61" i="5"/>
  <c r="AT94" i="5"/>
  <c r="AV209" i="5"/>
  <c r="AT117" i="5"/>
  <c r="AV87" i="5"/>
  <c r="AV35" i="5"/>
  <c r="AV163" i="5"/>
  <c r="AU193" i="5"/>
  <c r="AV214" i="5"/>
  <c r="AV217" i="5"/>
  <c r="AV107" i="5"/>
  <c r="AV115" i="5"/>
  <c r="AT17" i="5"/>
  <c r="AT145" i="5"/>
  <c r="AV20" i="5"/>
  <c r="AU116" i="5"/>
  <c r="AU210" i="5"/>
  <c r="AT126" i="5"/>
  <c r="AT206" i="5"/>
  <c r="AT212" i="5"/>
  <c r="AX46" i="5"/>
  <c r="AV101" i="5"/>
  <c r="AU130" i="5"/>
  <c r="AV90" i="5"/>
  <c r="AV178" i="5"/>
  <c r="AV66" i="5"/>
  <c r="AT107" i="5"/>
  <c r="AU126" i="5"/>
  <c r="AV65" i="5"/>
  <c r="AU212" i="5"/>
  <c r="AU160" i="5"/>
  <c r="AV126" i="5"/>
  <c r="AV162" i="5"/>
  <c r="AV103" i="5"/>
  <c r="AU226" i="5"/>
  <c r="AT217" i="5"/>
  <c r="AT31" i="5"/>
  <c r="AU55" i="5"/>
  <c r="T251" i="13"/>
  <c r="AB251" i="13" s="1"/>
  <c r="AJ251" i="13" s="1"/>
  <c r="BS251" i="13" s="1"/>
  <c r="T138" i="13"/>
  <c r="D62" i="16" s="1"/>
  <c r="AZ242" i="13"/>
  <c r="AZ240" i="13"/>
  <c r="AU51" i="5"/>
  <c r="AU220" i="5"/>
  <c r="T238" i="13"/>
  <c r="AB238" i="13" s="1"/>
  <c r="AJ238" i="13" s="1"/>
  <c r="BK119" i="5" s="1"/>
  <c r="T17" i="13"/>
  <c r="AA17" i="13" s="1"/>
  <c r="AB17" i="13" s="1"/>
  <c r="AV51" i="5"/>
  <c r="AV206" i="5"/>
  <c r="AT95" i="5"/>
  <c r="AC31" i="11"/>
  <c r="AV216" i="5"/>
  <c r="BC225" i="13"/>
  <c r="BD225" i="13" s="1"/>
  <c r="BE225" i="13" s="1"/>
  <c r="T143" i="13"/>
  <c r="AA143" i="13" s="1"/>
  <c r="AU101" i="5"/>
  <c r="AU115" i="5"/>
  <c r="AV194" i="5"/>
  <c r="AT103" i="5"/>
  <c r="AT257" i="5"/>
  <c r="AU218" i="5"/>
  <c r="AT258" i="5"/>
  <c r="AU255" i="5"/>
  <c r="AV193" i="5"/>
  <c r="AV254" i="5"/>
  <c r="BC219" i="13"/>
  <c r="BJ219" i="13" s="1"/>
  <c r="BK219" i="13" s="1"/>
  <c r="T210" i="13"/>
  <c r="Y54" i="13"/>
  <c r="Y32" i="13"/>
  <c r="AP32" i="13" s="1"/>
  <c r="BB32" i="13" s="1"/>
  <c r="Y220" i="13"/>
  <c r="M168" i="13"/>
  <c r="Y28" i="13"/>
  <c r="AC28" i="11"/>
  <c r="Y213" i="13"/>
  <c r="M199" i="13"/>
  <c r="Y50" i="13"/>
  <c r="Y52" i="13"/>
  <c r="Y84" i="13"/>
  <c r="AC30" i="11"/>
  <c r="M154" i="13"/>
  <c r="T89" i="13"/>
  <c r="T191" i="13"/>
  <c r="AA191" i="13" s="1"/>
  <c r="AB191" i="13" s="1"/>
  <c r="T87" i="13"/>
  <c r="AA87" i="13" s="1"/>
  <c r="AB87" i="13" s="1"/>
  <c r="T142" i="13"/>
  <c r="AA142" i="13" s="1"/>
  <c r="AB142" i="13" s="1"/>
  <c r="T110" i="13"/>
  <c r="D49" i="16" s="1"/>
  <c r="T44" i="13"/>
  <c r="AA44" i="13" s="1"/>
  <c r="AB44" i="13" s="1"/>
  <c r="BF44" i="5" s="1"/>
  <c r="G44" i="5" s="1"/>
  <c r="AD44" i="5" s="1"/>
  <c r="T204" i="13"/>
  <c r="AA204" i="13" s="1"/>
  <c r="T75" i="13"/>
  <c r="D30" i="16" s="1"/>
  <c r="T42" i="13"/>
  <c r="T90" i="13"/>
  <c r="D35" i="16" s="1"/>
  <c r="T79" i="13"/>
  <c r="D31" i="16" s="1"/>
  <c r="T72" i="13"/>
  <c r="AA72" i="13" s="1"/>
  <c r="AB72" i="13" s="1"/>
  <c r="T119" i="13"/>
  <c r="U119" i="13" s="1"/>
  <c r="AA119" i="13" s="1"/>
  <c r="AB119" i="13" s="1"/>
  <c r="AJ119" i="13" s="1"/>
  <c r="BK111" i="5" s="1"/>
  <c r="T100" i="13"/>
  <c r="AA100" i="13" s="1"/>
  <c r="T30" i="13"/>
  <c r="D11" i="16" s="1"/>
  <c r="T201" i="13"/>
  <c r="U201" i="13" s="1"/>
  <c r="U202" i="13" s="1"/>
  <c r="T127" i="13"/>
  <c r="AA127" i="13" s="1"/>
  <c r="AB127" i="13" s="1"/>
  <c r="AE127" i="13" s="1"/>
  <c r="T88" i="13"/>
  <c r="BC27" i="13"/>
  <c r="T190" i="13"/>
  <c r="AA190" i="13" s="1"/>
  <c r="AB190" i="13" s="1"/>
  <c r="AF190" i="13" s="1"/>
  <c r="T41" i="13"/>
  <c r="AA41" i="13" s="1"/>
  <c r="AB41" i="13" s="1"/>
  <c r="BF41" i="5" s="1"/>
  <c r="G41" i="5" s="1"/>
  <c r="AD41" i="5" s="1"/>
  <c r="T220" i="13"/>
  <c r="D97" i="16" s="1"/>
  <c r="V300" i="11"/>
  <c r="T61" i="13"/>
  <c r="BC244" i="13"/>
  <c r="T221" i="13"/>
  <c r="D98" i="16" s="1"/>
  <c r="T14" i="13"/>
  <c r="AA14" i="13" s="1"/>
  <c r="AB14" i="13" s="1"/>
  <c r="T80" i="13"/>
  <c r="U80" i="13" s="1"/>
  <c r="U81" i="13" s="1"/>
  <c r="BB237" i="13"/>
  <c r="BA29" i="13"/>
  <c r="T57" i="13"/>
  <c r="AA57" i="13" s="1"/>
  <c r="T192" i="13"/>
  <c r="D82" i="16" s="1"/>
  <c r="T51" i="13"/>
  <c r="D19" i="16" s="1"/>
  <c r="T249" i="13"/>
  <c r="AB249" i="13" s="1"/>
  <c r="BF197" i="5" s="1"/>
  <c r="G197" i="5" s="1"/>
  <c r="AD197" i="5" s="1"/>
  <c r="T203" i="13"/>
  <c r="T54" i="13"/>
  <c r="BB242" i="13"/>
  <c r="T209" i="13"/>
  <c r="U209" i="13" s="1"/>
  <c r="U210" i="13" s="1"/>
  <c r="T12" i="13"/>
  <c r="AA12" i="13" s="1"/>
  <c r="AB12" i="13" s="1"/>
  <c r="T24" i="13"/>
  <c r="AA24" i="13" s="1"/>
  <c r="AB24" i="13" s="1"/>
  <c r="T212" i="13"/>
  <c r="U212" i="13" s="1"/>
  <c r="AU77" i="5"/>
  <c r="AU31" i="5"/>
  <c r="AT118" i="5"/>
  <c r="AT37" i="5"/>
  <c r="AV147" i="5"/>
  <c r="AV116" i="5"/>
  <c r="BC22" i="13"/>
  <c r="BB240" i="13"/>
  <c r="T188" i="13"/>
  <c r="AA188" i="13" s="1"/>
  <c r="AB188" i="13" s="1"/>
  <c r="AZ250" i="13"/>
  <c r="T22" i="13"/>
  <c r="AA22" i="13" s="1"/>
  <c r="AB22" i="13" s="1"/>
  <c r="T205" i="13"/>
  <c r="T23" i="13"/>
  <c r="AA23" i="13" s="1"/>
  <c r="AB23" i="13" s="1"/>
  <c r="T165" i="13"/>
  <c r="T140" i="13"/>
  <c r="AA140" i="13" s="1"/>
  <c r="AB140" i="13" s="1"/>
  <c r="BF132" i="5" s="1"/>
  <c r="G132" i="5" s="1"/>
  <c r="AD132" i="5" s="1"/>
  <c r="T122" i="13"/>
  <c r="AA122" i="13" s="1"/>
  <c r="AB122" i="13" s="1"/>
  <c r="BF114" i="5" s="1"/>
  <c r="G114" i="5" s="1"/>
  <c r="AD114" i="5" s="1"/>
  <c r="T196" i="13"/>
  <c r="AA196" i="13" s="1"/>
  <c r="AB196" i="13" s="1"/>
  <c r="BF191" i="5" s="1"/>
  <c r="G191" i="5" s="1"/>
  <c r="AD191" i="5" s="1"/>
  <c r="T47" i="13"/>
  <c r="AA47" i="13" s="1"/>
  <c r="AB47" i="13" s="1"/>
  <c r="AG47" i="13" s="1"/>
  <c r="T35" i="13"/>
  <c r="D13" i="16" s="1"/>
  <c r="T227" i="13"/>
  <c r="D104" i="16" s="1"/>
  <c r="F104" i="16" s="1"/>
  <c r="AY236" i="13"/>
  <c r="T139" i="13"/>
  <c r="AA139" i="13" s="1"/>
  <c r="AB139" i="13" s="1"/>
  <c r="AY246" i="13"/>
  <c r="T244" i="13"/>
  <c r="AB244" i="13" s="1"/>
  <c r="AI244" i="13" s="1"/>
  <c r="BD244" i="13" s="1"/>
  <c r="T115" i="13"/>
  <c r="D53" i="16" s="1"/>
  <c r="T26" i="13"/>
  <c r="D10" i="16" s="1"/>
  <c r="T94" i="13"/>
  <c r="AA94" i="13" s="1"/>
  <c r="AB94" i="13" s="1"/>
  <c r="T85" i="13"/>
  <c r="U85" i="13" s="1"/>
  <c r="T15" i="13"/>
  <c r="AA15" i="13" s="1"/>
  <c r="AB15" i="13" s="1"/>
  <c r="AK15" i="13" s="1"/>
  <c r="BO16" i="5" s="1"/>
  <c r="T71" i="13"/>
  <c r="AA71" i="13" s="1"/>
  <c r="AB71" i="13" s="1"/>
  <c r="BF68" i="5" s="1"/>
  <c r="G68" i="5" s="1"/>
  <c r="BC218" i="13"/>
  <c r="BG218" i="13" s="1"/>
  <c r="BH218" i="13" s="1"/>
  <c r="BM213" i="5" s="1"/>
  <c r="T234" i="13"/>
  <c r="AB234" i="13" s="1"/>
  <c r="AI234" i="13" s="1"/>
  <c r="T102" i="13"/>
  <c r="AA102" i="13" s="1"/>
  <c r="AB102" i="13" s="1"/>
  <c r="AY244" i="13"/>
  <c r="BC207" i="13"/>
  <c r="BJ207" i="13" s="1"/>
  <c r="BK207" i="13" s="1"/>
  <c r="BQ298" i="13"/>
  <c r="AB40" i="11" s="1"/>
  <c r="T241" i="13"/>
  <c r="AB241" i="13" s="1"/>
  <c r="BF131" i="5" s="1"/>
  <c r="G131" i="5" s="1"/>
  <c r="T208" i="13"/>
  <c r="D89" i="16" s="1"/>
  <c r="AV130" i="5"/>
  <c r="AT166" i="5"/>
  <c r="AV58" i="5"/>
  <c r="AU162" i="5"/>
  <c r="AU194" i="5"/>
  <c r="AV203" i="5"/>
  <c r="AT92" i="5"/>
  <c r="AT87" i="5"/>
  <c r="BC211" i="13"/>
  <c r="BD211" i="13" s="1"/>
  <c r="BE211" i="13" s="1"/>
  <c r="BC228" i="13"/>
  <c r="BJ228" i="13" s="1"/>
  <c r="BK228" i="13" s="1"/>
  <c r="T202" i="13"/>
  <c r="BC200" i="13"/>
  <c r="BJ200" i="13" s="1"/>
  <c r="BK200" i="13" s="1"/>
  <c r="BQ195" i="5" s="1"/>
  <c r="X195" i="5" s="1"/>
  <c r="X195" i="24" s="1"/>
  <c r="BC251" i="13"/>
  <c r="T63" i="13"/>
  <c r="AA63" i="13" s="1"/>
  <c r="AV27" i="5"/>
  <c r="AU209" i="5"/>
  <c r="AT102" i="5"/>
  <c r="AV192" i="5"/>
  <c r="BC204" i="13"/>
  <c r="BJ204" i="13" s="1"/>
  <c r="BK204" i="13" s="1"/>
  <c r="BQ200" i="5" s="1"/>
  <c r="X200" i="5" s="1"/>
  <c r="X200" i="24" s="1"/>
  <c r="T211" i="13"/>
  <c r="D90" i="16" s="1"/>
  <c r="T91" i="13"/>
  <c r="U91" i="13" s="1"/>
  <c r="T189" i="13"/>
  <c r="AA189" i="13" s="1"/>
  <c r="T197" i="13"/>
  <c r="D83" i="16" s="1"/>
  <c r="AY249" i="13"/>
  <c r="T213" i="13"/>
  <c r="T170" i="13"/>
  <c r="AA170" i="13" s="1"/>
  <c r="AB170" i="13" s="1"/>
  <c r="AK170" i="13" s="1"/>
  <c r="AU180" i="11" s="1"/>
  <c r="T53" i="13"/>
  <c r="T156" i="13"/>
  <c r="AA156" i="13" s="1"/>
  <c r="AB156" i="13" s="1"/>
  <c r="BA156" i="13" s="1"/>
  <c r="AT259" i="5"/>
  <c r="AV31" i="5"/>
  <c r="AT218" i="5"/>
  <c r="BB238" i="13"/>
  <c r="T123" i="13"/>
  <c r="D56" i="16" s="1"/>
  <c r="T180" i="13"/>
  <c r="AA180" i="13" s="1"/>
  <c r="AB180" i="13" s="1"/>
  <c r="T83" i="13"/>
  <c r="D33" i="16" s="1"/>
  <c r="T74" i="13"/>
  <c r="T128" i="13"/>
  <c r="AA128" i="13" s="1"/>
  <c r="AB128" i="13" s="1"/>
  <c r="AY247" i="13"/>
  <c r="T132" i="13"/>
  <c r="AA132" i="13" s="1"/>
  <c r="T126" i="13"/>
  <c r="D59" i="16" s="1"/>
  <c r="T158" i="13"/>
  <c r="AA158" i="13" s="1"/>
  <c r="AB158" i="13" s="1"/>
  <c r="BC158" i="13" s="1"/>
  <c r="Y76" i="13"/>
  <c r="Y222" i="13"/>
  <c r="Y42" i="13"/>
  <c r="Y114" i="13"/>
  <c r="Y61" i="13"/>
  <c r="Y74" i="13"/>
  <c r="Y49" i="13"/>
  <c r="Y219" i="13"/>
  <c r="Y91" i="13"/>
  <c r="Y212" i="13"/>
  <c r="Y31" i="13"/>
  <c r="Y53" i="13"/>
  <c r="Y85" i="13"/>
  <c r="Y78" i="13"/>
  <c r="Y205" i="13"/>
  <c r="Y202" i="13"/>
  <c r="T157" i="13"/>
  <c r="AA157" i="13" s="1"/>
  <c r="AB157" i="13" s="1"/>
  <c r="T250" i="13"/>
  <c r="T92" i="13"/>
  <c r="T148" i="13"/>
  <c r="D64" i="16" s="1"/>
  <c r="T86" i="13"/>
  <c r="D34" i="16" s="1"/>
  <c r="AT255" i="5"/>
  <c r="AV98" i="5"/>
  <c r="AU163" i="5"/>
  <c r="AT146" i="5"/>
  <c r="AV46" i="5"/>
  <c r="AU254" i="5"/>
  <c r="AU147" i="5"/>
  <c r="AT147" i="5"/>
  <c r="BB236" i="13"/>
  <c r="T77" i="13"/>
  <c r="T176" i="13"/>
  <c r="AA176" i="13" s="1"/>
  <c r="AB176" i="13" s="1"/>
  <c r="T58" i="13"/>
  <c r="AA58" i="13" s="1"/>
  <c r="AB58" i="13" s="1"/>
  <c r="T18" i="13"/>
  <c r="AA18" i="13" s="1"/>
  <c r="AB18" i="13" s="1"/>
  <c r="AY245" i="13"/>
  <c r="T25" i="13"/>
  <c r="AA25" i="13" s="1"/>
  <c r="T224" i="13"/>
  <c r="D101" i="16" s="1"/>
  <c r="T130" i="13"/>
  <c r="D60" i="16" s="1"/>
  <c r="T78" i="13"/>
  <c r="AA78" i="13" s="1"/>
  <c r="AB78" i="13" s="1"/>
  <c r="BF76" i="5" s="1"/>
  <c r="G76" i="5" s="1"/>
  <c r="AD76" i="5" s="1"/>
  <c r="AS38" i="5"/>
  <c r="BY5" i="13"/>
  <c r="AX38" i="5"/>
  <c r="AW73" i="5"/>
  <c r="AU38" i="5"/>
  <c r="AW38" i="5"/>
  <c r="AU73" i="5"/>
  <c r="AX73" i="5"/>
  <c r="AT73" i="5"/>
  <c r="AV38" i="5"/>
  <c r="AT38" i="5"/>
  <c r="AY38" i="5"/>
  <c r="AY73" i="5"/>
  <c r="AV73" i="5"/>
  <c r="T29" i="13"/>
  <c r="AA29" i="13" s="1"/>
  <c r="AB29" i="13" s="1"/>
  <c r="BC221" i="13"/>
  <c r="BJ221" i="13" s="1"/>
  <c r="BK221" i="13" s="1"/>
  <c r="BQ216" i="5" s="1"/>
  <c r="T254" i="13"/>
  <c r="T31" i="13"/>
  <c r="T163" i="13"/>
  <c r="AA163" i="13" s="1"/>
  <c r="AB163" i="13" s="1"/>
  <c r="T248" i="13"/>
  <c r="AB248" i="13" s="1"/>
  <c r="AK248" i="13" s="1"/>
  <c r="BB252" i="13"/>
  <c r="T172" i="13"/>
  <c r="AA172" i="13" s="1"/>
  <c r="AB172" i="13" s="1"/>
  <c r="T222" i="13"/>
  <c r="D99" i="16" s="1"/>
  <c r="T166" i="13"/>
  <c r="D72" i="16" s="1"/>
  <c r="T84" i="13"/>
  <c r="U84" i="13" s="1"/>
  <c r="U83" i="13" s="1"/>
  <c r="T136" i="13"/>
  <c r="AA136" i="13" s="1"/>
  <c r="AB136" i="13" s="1"/>
  <c r="AI136" i="13" s="1"/>
  <c r="BG128" i="5" s="1"/>
  <c r="T144" i="13"/>
  <c r="AA144" i="13" s="1"/>
  <c r="AY27" i="13"/>
  <c r="T195" i="13"/>
  <c r="AA195" i="13" s="1"/>
  <c r="AB195" i="13" s="1"/>
  <c r="BF190" i="5" s="1"/>
  <c r="G190" i="5" s="1"/>
  <c r="AD190" i="5" s="1"/>
  <c r="BB250" i="13"/>
  <c r="BA250" i="13"/>
  <c r="T149" i="13"/>
  <c r="AA149" i="13" s="1"/>
  <c r="AB149" i="13" s="1"/>
  <c r="T246" i="13"/>
  <c r="AB246" i="13" s="1"/>
  <c r="AK246" i="13" s="1"/>
  <c r="BO99" i="5" s="1"/>
  <c r="BB239" i="13"/>
  <c r="T162" i="13"/>
  <c r="AA162" i="13" s="1"/>
  <c r="T129" i="13"/>
  <c r="AA129" i="13" s="1"/>
  <c r="AB129" i="13" s="1"/>
  <c r="BF121" i="5" s="1"/>
  <c r="G121" i="5" s="1"/>
  <c r="AD121" i="5" s="1"/>
  <c r="T145" i="13"/>
  <c r="AA145" i="13" s="1"/>
  <c r="AB145" i="13" s="1"/>
  <c r="BC145" i="13" s="1"/>
  <c r="T81" i="13"/>
  <c r="T117" i="13"/>
  <c r="D54" i="16" s="1"/>
  <c r="T243" i="13"/>
  <c r="AB243" i="13" s="1"/>
  <c r="G252" i="5" s="1"/>
  <c r="T16" i="13"/>
  <c r="AA16" i="13" s="1"/>
  <c r="BA238" i="13"/>
  <c r="T255" i="13"/>
  <c r="AB255" i="13" s="1"/>
  <c r="AJ255" i="13" s="1"/>
  <c r="BK150" i="5" s="1"/>
  <c r="BA246" i="13"/>
  <c r="AZ246" i="13"/>
  <c r="T36" i="13"/>
  <c r="BB235" i="13"/>
  <c r="AZ235" i="13"/>
  <c r="T134" i="13"/>
  <c r="AA134" i="13" s="1"/>
  <c r="T73" i="13"/>
  <c r="AA73" i="13" s="1"/>
  <c r="T121" i="13"/>
  <c r="D55" i="16" s="1"/>
  <c r="T32" i="13"/>
  <c r="T48" i="13"/>
  <c r="AA48" i="13" s="1"/>
  <c r="AB48" i="13" s="1"/>
  <c r="BF48" i="5" s="1"/>
  <c r="G48" i="5" s="1"/>
  <c r="T235" i="13"/>
  <c r="AB235" i="13" s="1"/>
  <c r="AJ235" i="13" s="1"/>
  <c r="AT245" i="11" s="1"/>
  <c r="AZ245" i="13"/>
  <c r="BC241" i="13"/>
  <c r="BB25" i="13"/>
  <c r="BB248" i="13"/>
  <c r="BB241" i="13"/>
  <c r="BA237" i="13"/>
  <c r="H168" i="13"/>
  <c r="H68" i="13"/>
  <c r="BA252" i="13"/>
  <c r="BA241" i="13"/>
  <c r="AZ237" i="13"/>
  <c r="H233" i="13"/>
  <c r="BC23" i="13"/>
  <c r="BB29" i="13"/>
  <c r="AZ249" i="13"/>
  <c r="BB234" i="13"/>
  <c r="BC245" i="13"/>
  <c r="BA234" i="13"/>
  <c r="AZ252" i="13"/>
  <c r="AZ241" i="13"/>
  <c r="AY237" i="13"/>
  <c r="AY252" i="13"/>
  <c r="AY241" i="13"/>
  <c r="BC224" i="13"/>
  <c r="BB244" i="13"/>
  <c r="BB251" i="13"/>
  <c r="BC247" i="13"/>
  <c r="BC217" i="13"/>
  <c r="H112" i="13"/>
  <c r="BA251" i="13"/>
  <c r="BB247" i="13"/>
  <c r="H125" i="13"/>
  <c r="AZ251" i="13"/>
  <c r="BA247" i="13"/>
  <c r="BC236" i="13"/>
  <c r="H154" i="13"/>
  <c r="H99" i="13"/>
  <c r="BC73" i="13"/>
  <c r="AZ247" i="13"/>
  <c r="BA240" i="13"/>
  <c r="BB73" i="13"/>
  <c r="BB27" i="13"/>
  <c r="BC250" i="13"/>
  <c r="BC243" i="13"/>
  <c r="BA27" i="13"/>
  <c r="BB243" i="13"/>
  <c r="BA239" i="13"/>
  <c r="AZ27" i="13"/>
  <c r="BB12" i="13"/>
  <c r="BA243" i="13"/>
  <c r="AZ239" i="13"/>
  <c r="AY235" i="13"/>
  <c r="BC29" i="13"/>
  <c r="AZ243" i="13"/>
  <c r="AY239" i="13"/>
  <c r="H38" i="13"/>
  <c r="BB23" i="13"/>
  <c r="BB246" i="13"/>
  <c r="H216" i="13"/>
  <c r="BA23" i="13"/>
  <c r="H199" i="13"/>
  <c r="BB249" i="13"/>
  <c r="BA249" i="13"/>
  <c r="BA242" i="13"/>
  <c r="BC234" i="13"/>
  <c r="BC11" i="13"/>
  <c r="BB245" i="13"/>
  <c r="BC220" i="13"/>
  <c r="BB72" i="13"/>
  <c r="AY22" i="13"/>
  <c r="BC223" i="13"/>
  <c r="BC249" i="13"/>
  <c r="BC238" i="13"/>
  <c r="BC208" i="13"/>
  <c r="BA22" i="13"/>
  <c r="BB11" i="13"/>
  <c r="BA245" i="13"/>
  <c r="BC25" i="13"/>
  <c r="BA236" i="13"/>
  <c r="BC248" i="13"/>
  <c r="BA244" i="13"/>
  <c r="AZ244" i="13"/>
  <c r="T33" i="13"/>
  <c r="AA33" i="13" s="1"/>
  <c r="AB33" i="13" s="1"/>
  <c r="BC222" i="13"/>
  <c r="BJ222" i="13" s="1"/>
  <c r="BK222" i="13" s="1"/>
  <c r="BC226" i="13"/>
  <c r="BJ226" i="13" s="1"/>
  <c r="BK226" i="13" s="1"/>
  <c r="T120" i="13"/>
  <c r="AA120" i="13" s="1"/>
  <c r="AB120" i="13" s="1"/>
  <c r="T50" i="13"/>
  <c r="T60" i="13"/>
  <c r="U60" i="13" s="1"/>
  <c r="AA60" i="13" s="1"/>
  <c r="AB60" i="13" s="1"/>
  <c r="AK60" i="13" s="1"/>
  <c r="BO59" i="5" s="1"/>
  <c r="T27" i="13"/>
  <c r="AA27" i="13" s="1"/>
  <c r="T43" i="13"/>
  <c r="AA43" i="13" s="1"/>
  <c r="AB43" i="13" s="1"/>
  <c r="BF43" i="5" s="1"/>
  <c r="G43" i="5" s="1"/>
  <c r="AD43" i="5" s="1"/>
  <c r="T231" i="13"/>
  <c r="D107" i="16" s="1"/>
  <c r="T13" i="13"/>
  <c r="AA13" i="13" s="1"/>
  <c r="AB13" i="13" s="1"/>
  <c r="AI13" i="13" s="1"/>
  <c r="BG14" i="5" s="1"/>
  <c r="T226" i="13"/>
  <c r="AA226" i="13" s="1"/>
  <c r="AB226" i="13" s="1"/>
  <c r="BF221" i="5" s="1"/>
  <c r="AY251" i="13"/>
  <c r="T193" i="13"/>
  <c r="AA193" i="13" s="1"/>
  <c r="AB193" i="13" s="1"/>
  <c r="T150" i="13"/>
  <c r="AA150" i="13" s="1"/>
  <c r="AB150" i="13" s="1"/>
  <c r="BB150" i="13" s="1"/>
  <c r="T236" i="13"/>
  <c r="T229" i="13"/>
  <c r="D106" i="16" s="1"/>
  <c r="F106" i="16" s="1"/>
  <c r="T179" i="13"/>
  <c r="AA179" i="13" s="1"/>
  <c r="M38" i="13"/>
  <c r="M216" i="13"/>
  <c r="M68" i="13"/>
  <c r="M99" i="13"/>
  <c r="U51" i="13"/>
  <c r="AI239" i="13"/>
  <c r="AK239" i="13"/>
  <c r="AU69" i="11" s="1"/>
  <c r="M69" i="11" s="1"/>
  <c r="U46" i="13"/>
  <c r="AA46" i="13" s="1"/>
  <c r="BF123" i="5"/>
  <c r="G123" i="5" s="1"/>
  <c r="AD123" i="5" s="1"/>
  <c r="Q199" i="13"/>
  <c r="Q216" i="13"/>
  <c r="Q112" i="13"/>
  <c r="Q154" i="13"/>
  <c r="Q99" i="13"/>
  <c r="Q38" i="13"/>
  <c r="Q233" i="13"/>
  <c r="Q168" i="13"/>
  <c r="Q125" i="13"/>
  <c r="Q68" i="13"/>
  <c r="AJ239" i="13"/>
  <c r="AT69" i="11" s="1"/>
  <c r="L69" i="11" s="1"/>
  <c r="BF22" i="5"/>
  <c r="G22" i="5" s="1"/>
  <c r="AI21" i="13"/>
  <c r="BG22" i="5" s="1"/>
  <c r="AJ21" i="13"/>
  <c r="BK22" i="5" s="1"/>
  <c r="BJ211" i="13"/>
  <c r="BK211" i="13" s="1"/>
  <c r="BQ206" i="5" s="1"/>
  <c r="X206" i="5" s="1"/>
  <c r="X206" i="24" s="1"/>
  <c r="BG211" i="13"/>
  <c r="BH211" i="13" s="1"/>
  <c r="BM206" i="5" s="1"/>
  <c r="AA171" i="13"/>
  <c r="D76" i="16"/>
  <c r="AA19" i="13"/>
  <c r="D52" i="16"/>
  <c r="AA113" i="13"/>
  <c r="D29" i="16"/>
  <c r="AA69" i="13"/>
  <c r="AA105" i="13"/>
  <c r="AB105" i="13" s="1"/>
  <c r="BG228" i="13"/>
  <c r="BH228" i="13" s="1"/>
  <c r="BM223" i="5" s="1"/>
  <c r="BD228" i="13"/>
  <c r="BE228" i="13" s="1"/>
  <c r="BJ225" i="13"/>
  <c r="BK225" i="13" s="1"/>
  <c r="BG225" i="13"/>
  <c r="BH225" i="13" s="1"/>
  <c r="BM220" i="5" s="1"/>
  <c r="X87" i="5"/>
  <c r="X87" i="24" s="1"/>
  <c r="AK21" i="13"/>
  <c r="BO22" i="5" s="1"/>
  <c r="Q90" i="5"/>
  <c r="Q90" i="24" s="1"/>
  <c r="AC24" i="11"/>
  <c r="J46" i="11"/>
  <c r="CG93" i="13"/>
  <c r="Q207" i="5"/>
  <c r="Q207" i="24" s="1"/>
  <c r="X177" i="24"/>
  <c r="Q191" i="5"/>
  <c r="Q191" i="24" s="1"/>
  <c r="X190" i="24"/>
  <c r="X189" i="24"/>
  <c r="X159" i="24"/>
  <c r="X140" i="24"/>
  <c r="Q129" i="5"/>
  <c r="Q129" i="24" s="1"/>
  <c r="X139" i="24"/>
  <c r="Q118" i="5"/>
  <c r="Q118" i="24" s="1"/>
  <c r="X114" i="24"/>
  <c r="X41" i="24"/>
  <c r="X100" i="24"/>
  <c r="X68" i="24"/>
  <c r="Q51" i="5"/>
  <c r="Q51" i="24" s="1"/>
  <c r="X67" i="24"/>
  <c r="X42" i="24"/>
  <c r="X43" i="24"/>
  <c r="X14" i="24"/>
  <c r="X38" i="24"/>
  <c r="Q113" i="5"/>
  <c r="Q113" i="24" s="1"/>
  <c r="Q112" i="24"/>
  <c r="Q87" i="5"/>
  <c r="Q87" i="24" s="1"/>
  <c r="J113" i="5"/>
  <c r="J113" i="24" s="1"/>
  <c r="J90" i="5"/>
  <c r="J90" i="24" s="1"/>
  <c r="J87" i="5"/>
  <c r="J87" i="24" s="1"/>
  <c r="J80" i="5"/>
  <c r="J80" i="24" s="1"/>
  <c r="X95" i="24"/>
  <c r="X178" i="24"/>
  <c r="Q11" i="5"/>
  <c r="Q11" i="24" s="1"/>
  <c r="J11" i="5"/>
  <c r="J11" i="24" s="1"/>
  <c r="X66" i="24"/>
  <c r="X158" i="24"/>
  <c r="U92" i="13" l="1"/>
  <c r="U90" i="13" s="1"/>
  <c r="AA31" i="13"/>
  <c r="AB31" i="13" s="1"/>
  <c r="BF32" i="5" s="1"/>
  <c r="G32" i="5" s="1"/>
  <c r="AD32" i="5" s="1"/>
  <c r="AA88" i="13"/>
  <c r="AB88" i="13" s="1"/>
  <c r="AJ88" i="13" s="1"/>
  <c r="BK85" i="5" s="1"/>
  <c r="U89" i="13"/>
  <c r="U86" i="13" s="1"/>
  <c r="G131" i="24"/>
  <c r="AD131" i="5"/>
  <c r="G68" i="24"/>
  <c r="AD68" i="5"/>
  <c r="G189" i="24"/>
  <c r="AD189" i="5"/>
  <c r="G22" i="24"/>
  <c r="AD22" i="5"/>
  <c r="G48" i="24"/>
  <c r="AD48" i="5"/>
  <c r="G56" i="24"/>
  <c r="AD56" i="5"/>
  <c r="G133" i="24"/>
  <c r="AD133" i="5"/>
  <c r="G139" i="24"/>
  <c r="AD139" i="5"/>
  <c r="BD200" i="13"/>
  <c r="BE200" i="13" s="1"/>
  <c r="BI195" i="5" s="1"/>
  <c r="BD207" i="13"/>
  <c r="BE207" i="13" s="1"/>
  <c r="U165" i="13"/>
  <c r="U164" i="13" s="1"/>
  <c r="AA164" i="13" s="1"/>
  <c r="U213" i="13"/>
  <c r="AA213" i="13" s="1"/>
  <c r="AB213" i="13" s="1"/>
  <c r="AK213" i="13" s="1"/>
  <c r="AU223" i="11" s="1"/>
  <c r="BE244" i="13"/>
  <c r="J254" i="5" s="1"/>
  <c r="BI327" i="13"/>
  <c r="AK101" i="13"/>
  <c r="BO96" i="5" s="1"/>
  <c r="BC101" i="13"/>
  <c r="BB101" i="13"/>
  <c r="AZ101" i="13"/>
  <c r="AY101" i="13"/>
  <c r="BA101" i="13"/>
  <c r="BI220" i="5"/>
  <c r="AE190" i="13"/>
  <c r="AJ170" i="13"/>
  <c r="AT180" i="11" s="1"/>
  <c r="BI206" i="5"/>
  <c r="J206" i="5" s="1"/>
  <c r="J206" i="24" s="1"/>
  <c r="BF185" i="5"/>
  <c r="G185" i="5" s="1"/>
  <c r="AA84" i="13"/>
  <c r="AB84" i="13" s="1"/>
  <c r="AJ84" i="13" s="1"/>
  <c r="AQ32" i="13"/>
  <c r="BC32" i="13" s="1"/>
  <c r="AJ237" i="13"/>
  <c r="AT247" i="11" s="1"/>
  <c r="AI237" i="13"/>
  <c r="AS247" i="11" s="1"/>
  <c r="AA155" i="13"/>
  <c r="BI223" i="5"/>
  <c r="BF149" i="5"/>
  <c r="G149" i="5" s="1"/>
  <c r="AK156" i="13"/>
  <c r="AU166" i="11" s="1"/>
  <c r="AA201" i="13"/>
  <c r="AB201" i="13" s="1"/>
  <c r="AI201" i="13" s="1"/>
  <c r="AS211" i="11" s="1"/>
  <c r="AA85" i="13"/>
  <c r="AB85" i="13" s="1"/>
  <c r="AK85" i="13" s="1"/>
  <c r="BO82" i="5" s="1"/>
  <c r="D95" i="16"/>
  <c r="D87" i="16"/>
  <c r="I22" i="3"/>
  <c r="D24" i="16"/>
  <c r="BF175" i="5"/>
  <c r="G175" i="5" s="1"/>
  <c r="AK244" i="13"/>
  <c r="AS69" i="11"/>
  <c r="K69" i="11" s="1"/>
  <c r="BD239" i="13"/>
  <c r="BE239" i="13" s="1"/>
  <c r="AJ244" i="13"/>
  <c r="BG244" i="13" s="1"/>
  <c r="G254" i="5"/>
  <c r="D22" i="16"/>
  <c r="AA93" i="13"/>
  <c r="AA32" i="13"/>
  <c r="AB32" i="13" s="1"/>
  <c r="BF33" i="5" s="1"/>
  <c r="G33" i="5" s="1"/>
  <c r="AD33" i="5" s="1"/>
  <c r="AK251" i="13"/>
  <c r="BO153" i="5" s="1"/>
  <c r="AI127" i="13"/>
  <c r="AK71" i="13"/>
  <c r="BO68" i="5" s="1"/>
  <c r="AB20" i="13"/>
  <c r="BF21" i="5" s="1"/>
  <c r="G21" i="5" s="1"/>
  <c r="AD21" i="5" s="1"/>
  <c r="I21" i="3"/>
  <c r="AA220" i="13"/>
  <c r="AB220" i="13" s="1"/>
  <c r="AJ220" i="13" s="1"/>
  <c r="AT230" i="11" s="1"/>
  <c r="AA138" i="13"/>
  <c r="AA200" i="13"/>
  <c r="Q220" i="5"/>
  <c r="Q220" i="24" s="1"/>
  <c r="AB25" i="13"/>
  <c r="BF26" i="5" s="1"/>
  <c r="G26" i="5" s="1"/>
  <c r="AD26" i="5" s="1"/>
  <c r="AJ127" i="13"/>
  <c r="AA224" i="13"/>
  <c r="AB224" i="13" s="1"/>
  <c r="AI224" i="13" s="1"/>
  <c r="AS234" i="11" s="1"/>
  <c r="D21" i="16"/>
  <c r="AB143" i="13"/>
  <c r="BF135" i="5" s="1"/>
  <c r="G135" i="5" s="1"/>
  <c r="AD135" i="5" s="1"/>
  <c r="D44" i="16"/>
  <c r="AA205" i="13"/>
  <c r="AB205" i="13" s="1"/>
  <c r="AK205" i="13" s="1"/>
  <c r="AU215" i="11" s="1"/>
  <c r="AA210" i="13"/>
  <c r="AB210" i="13" s="1"/>
  <c r="BF205" i="5" s="1"/>
  <c r="G205" i="5" s="1"/>
  <c r="AI78" i="13"/>
  <c r="BG76" i="5" s="1"/>
  <c r="AI190" i="13"/>
  <c r="AS200" i="11" s="1"/>
  <c r="AJ190" i="13"/>
  <c r="AT200" i="11" s="1"/>
  <c r="AA212" i="13"/>
  <c r="AB212" i="13" s="1"/>
  <c r="AJ212" i="13" s="1"/>
  <c r="AT222" i="11" s="1"/>
  <c r="AK190" i="13"/>
  <c r="AU200" i="11" s="1"/>
  <c r="BF153" i="5"/>
  <c r="G153" i="5" s="1"/>
  <c r="AD153" i="5" s="1"/>
  <c r="AG190" i="13"/>
  <c r="I19" i="3"/>
  <c r="AI251" i="13"/>
  <c r="BF251" i="13" s="1"/>
  <c r="AJ234" i="13"/>
  <c r="BG234" i="13" s="1"/>
  <c r="BH234" i="13" s="1"/>
  <c r="BM39" i="5" s="1"/>
  <c r="AA83" i="13"/>
  <c r="AI170" i="13"/>
  <c r="AS180" i="11" s="1"/>
  <c r="BF179" i="5"/>
  <c r="G179" i="5" s="1"/>
  <c r="AA52" i="13"/>
  <c r="AB52" i="13" s="1"/>
  <c r="AK52" i="13" s="1"/>
  <c r="BO52" i="5" s="1"/>
  <c r="BG200" i="13"/>
  <c r="BH200" i="13" s="1"/>
  <c r="BM195" i="5" s="1"/>
  <c r="BB156" i="13"/>
  <c r="AK237" i="13"/>
  <c r="AU247" i="11" s="1"/>
  <c r="BC156" i="13"/>
  <c r="AI156" i="13"/>
  <c r="AS166" i="11" s="1"/>
  <c r="AJ156" i="13"/>
  <c r="AT166" i="11" s="1"/>
  <c r="BG185" i="5"/>
  <c r="AK146" i="13"/>
  <c r="BO139" i="5" s="1"/>
  <c r="BD227" i="13"/>
  <c r="BE227" i="13" s="1"/>
  <c r="AA209" i="13"/>
  <c r="AB209" i="13" s="1"/>
  <c r="AK209" i="13" s="1"/>
  <c r="AU219" i="11" s="1"/>
  <c r="AA50" i="13"/>
  <c r="AB50" i="13" s="1"/>
  <c r="BF50" i="5" s="1"/>
  <c r="G50" i="5" s="1"/>
  <c r="AA54" i="13"/>
  <c r="AB54" i="13" s="1"/>
  <c r="BF54" i="5" s="1"/>
  <c r="G54" i="5" s="1"/>
  <c r="AD54" i="5" s="1"/>
  <c r="AA110" i="13"/>
  <c r="AA28" i="13"/>
  <c r="AB28" i="13" s="1"/>
  <c r="AJ28" i="13" s="1"/>
  <c r="BK29" i="5" s="1"/>
  <c r="BF138" i="5"/>
  <c r="G138" i="5" s="1"/>
  <c r="AD138" i="5" s="1"/>
  <c r="AI101" i="13"/>
  <c r="AK115" i="13"/>
  <c r="BO107" i="5" s="1"/>
  <c r="AI15" i="13"/>
  <c r="BG16" i="5" s="1"/>
  <c r="AJ101" i="13"/>
  <c r="BK96" i="5" s="1"/>
  <c r="AB121" i="13"/>
  <c r="F55" i="16" s="1"/>
  <c r="I55" i="16" s="1"/>
  <c r="BG207" i="13"/>
  <c r="BH207" i="13" s="1"/>
  <c r="BJ229" i="13"/>
  <c r="BK229" i="13" s="1"/>
  <c r="BQ224" i="5" s="1"/>
  <c r="CG95" i="13"/>
  <c r="BD204" i="13"/>
  <c r="BE204" i="13" s="1"/>
  <c r="BF165" i="5"/>
  <c r="G165" i="5" s="1"/>
  <c r="I25" i="3"/>
  <c r="AJ253" i="13"/>
  <c r="BS253" i="13" s="1"/>
  <c r="AI116" i="13"/>
  <c r="BG108" i="5" s="1"/>
  <c r="BD218" i="13"/>
  <c r="BE218" i="13" s="1"/>
  <c r="AI240" i="13"/>
  <c r="BD240" i="13" s="1"/>
  <c r="BE240" i="13" s="1"/>
  <c r="D70" i="16"/>
  <c r="BG204" i="13"/>
  <c r="BH204" i="13" s="1"/>
  <c r="BM200" i="5" s="1"/>
  <c r="BK165" i="5"/>
  <c r="CG204" i="13"/>
  <c r="G248" i="5"/>
  <c r="AK247" i="13"/>
  <c r="AU257" i="11" s="1"/>
  <c r="BS252" i="13"/>
  <c r="CG46" i="13"/>
  <c r="AK253" i="13"/>
  <c r="AU62" i="11" s="1"/>
  <c r="M62" i="11" s="1"/>
  <c r="AK242" i="13"/>
  <c r="BK179" i="5"/>
  <c r="CG138" i="13"/>
  <c r="BJ218" i="13"/>
  <c r="BK218" i="13" s="1"/>
  <c r="X213" i="5" s="1"/>
  <c r="X213" i="24" s="1"/>
  <c r="BF70" i="5"/>
  <c r="G70" i="5" s="1"/>
  <c r="AD70" i="5" s="1"/>
  <c r="AK147" i="13"/>
  <c r="BO140" i="5" s="1"/>
  <c r="AA34" i="13"/>
  <c r="AB34" i="13" s="1"/>
  <c r="F12" i="16" s="1"/>
  <c r="I12" i="16" s="1"/>
  <c r="CG115" i="13"/>
  <c r="D75" i="16"/>
  <c r="AA187" i="13"/>
  <c r="AA148" i="13"/>
  <c r="D105" i="16"/>
  <c r="F105" i="16" s="1"/>
  <c r="AA115" i="13"/>
  <c r="D77" i="16"/>
  <c r="CG83" i="13"/>
  <c r="D7" i="16"/>
  <c r="AJ240" i="13"/>
  <c r="BK127" i="5" s="1"/>
  <c r="BF140" i="5"/>
  <c r="G140" i="5" s="1"/>
  <c r="AD140" i="5" s="1"/>
  <c r="AB132" i="13"/>
  <c r="AI132" i="13" s="1"/>
  <c r="BG124" i="5" s="1"/>
  <c r="BF108" i="5"/>
  <c r="G108" i="5" s="1"/>
  <c r="AD108" i="5" s="1"/>
  <c r="G258" i="5"/>
  <c r="AD258" i="5" s="1"/>
  <c r="AA53" i="13"/>
  <c r="AB53" i="13" s="1"/>
  <c r="AK53" i="13" s="1"/>
  <c r="BO53" i="5" s="1"/>
  <c r="AA76" i="13"/>
  <c r="AB76" i="13" s="1"/>
  <c r="AJ76" i="13" s="1"/>
  <c r="BK74" i="5" s="1"/>
  <c r="AK238" i="13"/>
  <c r="BO119" i="5" s="1"/>
  <c r="AK252" i="13"/>
  <c r="AU79" i="11" s="1"/>
  <c r="M79" i="11" s="1"/>
  <c r="CG55" i="13"/>
  <c r="AB115" i="13"/>
  <c r="F53" i="16" s="1"/>
  <c r="I53" i="16" s="1"/>
  <c r="CG211" i="13"/>
  <c r="BG252" i="13"/>
  <c r="BH252" i="13" s="1"/>
  <c r="BM165" i="5" s="1"/>
  <c r="CG51" i="13"/>
  <c r="BD230" i="13"/>
  <c r="BE230" i="13" s="1"/>
  <c r="AK234" i="13"/>
  <c r="BO39" i="5" s="1"/>
  <c r="BD219" i="13"/>
  <c r="BE219" i="13" s="1"/>
  <c r="G246" i="5"/>
  <c r="AI146" i="13"/>
  <c r="BG139" i="5" s="1"/>
  <c r="G255" i="5"/>
  <c r="AD255" i="5" s="1"/>
  <c r="AA39" i="13"/>
  <c r="AB64" i="13"/>
  <c r="AB63" i="13" s="1"/>
  <c r="BF61" i="5" s="1"/>
  <c r="G61" i="5" s="1"/>
  <c r="AA49" i="13"/>
  <c r="AB49" i="13" s="1"/>
  <c r="AP49" i="13" s="1"/>
  <c r="BB49" i="13" s="1"/>
  <c r="G257" i="5"/>
  <c r="AD257" i="5" s="1"/>
  <c r="CG208" i="13"/>
  <c r="AI245" i="13"/>
  <c r="AS255" i="11" s="1"/>
  <c r="AJ242" i="13"/>
  <c r="AT252" i="11" s="1"/>
  <c r="AI252" i="13"/>
  <c r="AS79" i="11" s="1"/>
  <c r="K79" i="11" s="1"/>
  <c r="CG200" i="13"/>
  <c r="BG230" i="13"/>
  <c r="BH230" i="13" s="1"/>
  <c r="BM225" i="5" s="1"/>
  <c r="BF39" i="5"/>
  <c r="G39" i="5" s="1"/>
  <c r="AA225" i="13"/>
  <c r="AB225" i="13" s="1"/>
  <c r="AK225" i="13" s="1"/>
  <c r="BG219" i="13"/>
  <c r="BH219" i="13" s="1"/>
  <c r="BM214" i="5" s="1"/>
  <c r="AK240" i="13"/>
  <c r="AU250" i="11" s="1"/>
  <c r="AJ146" i="13"/>
  <c r="BK139" i="5" s="1"/>
  <c r="AJ147" i="13"/>
  <c r="BK140" i="5" s="1"/>
  <c r="AK241" i="13"/>
  <c r="AU251" i="11" s="1"/>
  <c r="AA130" i="13"/>
  <c r="AA202" i="13"/>
  <c r="AB202" i="13" s="1"/>
  <c r="BF198" i="5" s="1"/>
  <c r="G198" i="5" s="1"/>
  <c r="AD198" i="5" s="1"/>
  <c r="BG227" i="13"/>
  <c r="BH227" i="13" s="1"/>
  <c r="BM222" i="5" s="1"/>
  <c r="BD229" i="13"/>
  <c r="BE229" i="13" s="1"/>
  <c r="BF96" i="5"/>
  <c r="G96" i="5" s="1"/>
  <c r="CG79" i="13"/>
  <c r="AJ122" i="13"/>
  <c r="AJ121" i="13" s="1"/>
  <c r="BK113" i="5" s="1"/>
  <c r="AI238" i="13"/>
  <c r="BG119" i="5" s="1"/>
  <c r="G245" i="5"/>
  <c r="AI242" i="13"/>
  <c r="BG167" i="5" s="1"/>
  <c r="BF119" i="5"/>
  <c r="G119" i="5" s="1"/>
  <c r="AD119" i="5" s="1"/>
  <c r="AA183" i="13"/>
  <c r="AB57" i="13"/>
  <c r="AE57" i="13" s="1"/>
  <c r="CG39" i="13"/>
  <c r="AA217" i="13"/>
  <c r="AB217" i="13" s="1"/>
  <c r="AI217" i="13" s="1"/>
  <c r="AJ78" i="13"/>
  <c r="BK76" i="5" s="1"/>
  <c r="AJ247" i="13"/>
  <c r="AT257" i="11" s="1"/>
  <c r="G173" i="24"/>
  <c r="AJ116" i="13"/>
  <c r="BK108" i="5" s="1"/>
  <c r="G256" i="5"/>
  <c r="AD256" i="5" s="1"/>
  <c r="AK245" i="13"/>
  <c r="BO179" i="5" s="1"/>
  <c r="CG117" i="13"/>
  <c r="AB185" i="13"/>
  <c r="BF180" i="5" s="1"/>
  <c r="G180" i="5" s="1"/>
  <c r="AD180" i="5" s="1"/>
  <c r="AA223" i="13"/>
  <c r="AB223" i="13" s="1"/>
  <c r="G218" i="5" s="1"/>
  <c r="AK127" i="13"/>
  <c r="BF164" i="5"/>
  <c r="G164" i="5" s="1"/>
  <c r="AD164" i="5" s="1"/>
  <c r="AB169" i="13"/>
  <c r="F75" i="16" s="1"/>
  <c r="I75" i="16" s="1"/>
  <c r="AP114" i="13"/>
  <c r="AQ114" i="13"/>
  <c r="AA30" i="13"/>
  <c r="D81" i="16"/>
  <c r="AK122" i="13"/>
  <c r="AK121" i="13" s="1"/>
  <c r="BO113" i="5" s="1"/>
  <c r="AA91" i="13"/>
  <c r="AB91" i="13" s="1"/>
  <c r="AK91" i="13" s="1"/>
  <c r="BO88" i="5" s="1"/>
  <c r="AK249" i="13"/>
  <c r="AU259" i="11" s="1"/>
  <c r="AJ47" i="13"/>
  <c r="AI47" i="13"/>
  <c r="AA126" i="13"/>
  <c r="AA227" i="13"/>
  <c r="AB227" i="13" s="1"/>
  <c r="AI227" i="13" s="1"/>
  <c r="AK47" i="13"/>
  <c r="AE47" i="13"/>
  <c r="AF47" i="13"/>
  <c r="AA74" i="13"/>
  <c r="AB74" i="13" s="1"/>
  <c r="AI249" i="13"/>
  <c r="AS259" i="11" s="1"/>
  <c r="BF16" i="5"/>
  <c r="G16" i="5" s="1"/>
  <c r="AD16" i="5" s="1"/>
  <c r="AJ158" i="13"/>
  <c r="AT168" i="11" s="1"/>
  <c r="G132" i="24"/>
  <c r="AA79" i="13"/>
  <c r="BB158" i="13"/>
  <c r="G76" i="24"/>
  <c r="AI122" i="13"/>
  <c r="AI121" i="13" s="1"/>
  <c r="BG113" i="5" s="1"/>
  <c r="AJ15" i="13"/>
  <c r="BK16" i="5" s="1"/>
  <c r="AI158" i="13"/>
  <c r="AS168" i="11" s="1"/>
  <c r="AA86" i="13"/>
  <c r="D43" i="16"/>
  <c r="AF127" i="13"/>
  <c r="AK158" i="13"/>
  <c r="AU168" i="11" s="1"/>
  <c r="AK88" i="13"/>
  <c r="BO85" i="5" s="1"/>
  <c r="AG127" i="13"/>
  <c r="BF152" i="5"/>
  <c r="G152" i="5" s="1"/>
  <c r="AD152" i="5" s="1"/>
  <c r="AK78" i="13"/>
  <c r="BO76" i="5" s="1"/>
  <c r="AA26" i="13"/>
  <c r="AJ71" i="13"/>
  <c r="BK68" i="5" s="1"/>
  <c r="G114" i="24"/>
  <c r="U203" i="13"/>
  <c r="AA203" i="13" s="1"/>
  <c r="AB203" i="13" s="1"/>
  <c r="BF199" i="5" s="1"/>
  <c r="G199" i="5" s="1"/>
  <c r="AA211" i="13"/>
  <c r="AA192" i="13"/>
  <c r="AA61" i="13"/>
  <c r="AB61" i="13" s="1"/>
  <c r="AB59" i="13" s="1"/>
  <c r="BF58" i="5" s="1"/>
  <c r="G58" i="5" s="1"/>
  <c r="AD58" i="5" s="1"/>
  <c r="AA208" i="13"/>
  <c r="AI241" i="13"/>
  <c r="AS251" i="11" s="1"/>
  <c r="AA51" i="13"/>
  <c r="AA35" i="13"/>
  <c r="AB35" i="13" s="1"/>
  <c r="F13" i="16" s="1"/>
  <c r="I13" i="16" s="1"/>
  <c r="G197" i="24"/>
  <c r="AJ241" i="13"/>
  <c r="AT251" i="11" s="1"/>
  <c r="AA90" i="13"/>
  <c r="AA42" i="13"/>
  <c r="AB42" i="13" s="1"/>
  <c r="BF42" i="5" s="1"/>
  <c r="G42" i="5" s="1"/>
  <c r="AD42" i="5" s="1"/>
  <c r="AJ249" i="13"/>
  <c r="AT259" i="11" s="1"/>
  <c r="G247" i="5"/>
  <c r="AD247" i="5" s="1"/>
  <c r="AA221" i="13"/>
  <c r="AB221" i="13" s="1"/>
  <c r="BF216" i="5" s="1"/>
  <c r="AI71" i="13"/>
  <c r="BG68" i="5" s="1"/>
  <c r="AA114" i="13"/>
  <c r="AB114" i="13" s="1"/>
  <c r="AB254" i="13" s="1"/>
  <c r="BF106" i="5" s="1"/>
  <c r="G106" i="5" s="1"/>
  <c r="BB145" i="13"/>
  <c r="AB250" i="13"/>
  <c r="BF137" i="5" s="1"/>
  <c r="G137" i="5" s="1"/>
  <c r="AD137" i="5" s="1"/>
  <c r="AZ145" i="13"/>
  <c r="AB144" i="13"/>
  <c r="BF136" i="5" s="1"/>
  <c r="G136" i="5" s="1"/>
  <c r="AJ31" i="13"/>
  <c r="BK32" i="5" s="1"/>
  <c r="G259" i="5"/>
  <c r="AA81" i="13"/>
  <c r="AB81" i="13" s="1"/>
  <c r="AI81" i="13" s="1"/>
  <c r="BG79" i="5" s="1"/>
  <c r="AI248" i="13"/>
  <c r="AI226" i="13"/>
  <c r="AS236" i="11" s="1"/>
  <c r="AJ248" i="13"/>
  <c r="AT258" i="11" s="1"/>
  <c r="AJ226" i="13"/>
  <c r="AT236" i="11" s="1"/>
  <c r="AI31" i="13"/>
  <c r="BG32" i="5" s="1"/>
  <c r="BF188" i="5"/>
  <c r="G188" i="5" s="1"/>
  <c r="AK226" i="13"/>
  <c r="AU236" i="11" s="1"/>
  <c r="AK145" i="13"/>
  <c r="BO138" i="5" s="1"/>
  <c r="G221" i="5"/>
  <c r="AD221" i="5" s="1"/>
  <c r="BA145" i="13"/>
  <c r="AY145" i="13"/>
  <c r="BF150" i="5"/>
  <c r="G150" i="5" s="1"/>
  <c r="AI145" i="13"/>
  <c r="BG138" i="5" s="1"/>
  <c r="D8" i="16"/>
  <c r="AJ145" i="13"/>
  <c r="BK138" i="5" s="1"/>
  <c r="D103" i="16"/>
  <c r="F103" i="16" s="1"/>
  <c r="BD226" i="13"/>
  <c r="BE226" i="13" s="1"/>
  <c r="G43" i="24"/>
  <c r="AB73" i="13"/>
  <c r="AI73" i="13" s="1"/>
  <c r="BD222" i="13"/>
  <c r="BE222" i="13" s="1"/>
  <c r="BG226" i="13"/>
  <c r="BH226" i="13" s="1"/>
  <c r="BM221" i="5" s="1"/>
  <c r="BD221" i="13"/>
  <c r="BE221" i="13" s="1"/>
  <c r="AA117" i="13"/>
  <c r="AK31" i="13"/>
  <c r="BO32" i="5" s="1"/>
  <c r="BG221" i="13"/>
  <c r="BH221" i="13" s="1"/>
  <c r="BM216" i="5" s="1"/>
  <c r="BG222" i="13"/>
  <c r="BH222" i="13" s="1"/>
  <c r="BM217" i="5" s="1"/>
  <c r="AK255" i="13"/>
  <c r="BT255" i="13" s="1"/>
  <c r="AA121" i="13"/>
  <c r="T258" i="13"/>
  <c r="F30" i="3" s="1"/>
  <c r="BK40" i="5"/>
  <c r="BF171" i="5"/>
  <c r="G171" i="5" s="1"/>
  <c r="AJ13" i="13"/>
  <c r="BK14" i="5" s="1"/>
  <c r="G32" i="24"/>
  <c r="AK136" i="13"/>
  <c r="BO128" i="5" s="1"/>
  <c r="D61" i="16"/>
  <c r="AI129" i="13"/>
  <c r="BG121" i="5" s="1"/>
  <c r="AK129" i="13"/>
  <c r="BO121" i="5" s="1"/>
  <c r="BJ220" i="13"/>
  <c r="BK220" i="13" s="1"/>
  <c r="BG220" i="13"/>
  <c r="BH220" i="13" s="1"/>
  <c r="BM215" i="5" s="1"/>
  <c r="BD220" i="13"/>
  <c r="BE220" i="13" s="1"/>
  <c r="BJ224" i="13"/>
  <c r="BK224" i="13" s="1"/>
  <c r="BG224" i="13"/>
  <c r="BH224" i="13" s="1"/>
  <c r="BM219" i="5" s="1"/>
  <c r="BD224" i="13"/>
  <c r="BE224" i="13" s="1"/>
  <c r="D14" i="16"/>
  <c r="AJ129" i="13"/>
  <c r="BK121" i="5" s="1"/>
  <c r="D78" i="16"/>
  <c r="AJ136" i="13"/>
  <c r="BK128" i="5" s="1"/>
  <c r="AA222" i="13"/>
  <c r="AB222" i="13" s="1"/>
  <c r="AK222" i="13" s="1"/>
  <c r="AU232" i="11" s="1"/>
  <c r="BG235" i="13"/>
  <c r="BH235" i="13" s="1"/>
  <c r="BM40" i="5" s="1"/>
  <c r="BF40" i="5"/>
  <c r="G40" i="5" s="1"/>
  <c r="AD40" i="5" s="1"/>
  <c r="AI255" i="13"/>
  <c r="BG150" i="5" s="1"/>
  <c r="AK235" i="13"/>
  <c r="AU245" i="11" s="1"/>
  <c r="AI235" i="13"/>
  <c r="AS245" i="11" s="1"/>
  <c r="AK13" i="13"/>
  <c r="BO14" i="5" s="1"/>
  <c r="AI246" i="13"/>
  <c r="BG99" i="5" s="1"/>
  <c r="D63" i="16"/>
  <c r="BF14" i="5"/>
  <c r="G14" i="5" s="1"/>
  <c r="AD14" i="5" s="1"/>
  <c r="AJ246" i="13"/>
  <c r="BK99" i="5" s="1"/>
  <c r="BJ208" i="13"/>
  <c r="BK208" i="13" s="1"/>
  <c r="BQ203" i="5" s="1"/>
  <c r="X203" i="5" s="1"/>
  <c r="X203" i="24" s="1"/>
  <c r="BG208" i="13"/>
  <c r="BH208" i="13" s="1"/>
  <c r="BM203" i="5" s="1"/>
  <c r="BD208" i="13"/>
  <c r="BE208" i="13" s="1"/>
  <c r="BF99" i="5"/>
  <c r="G99" i="5" s="1"/>
  <c r="BF128" i="5"/>
  <c r="G128" i="5" s="1"/>
  <c r="AB27" i="13"/>
  <c r="BJ217" i="13"/>
  <c r="BK217" i="13" s="1"/>
  <c r="BD217" i="13"/>
  <c r="BE217" i="13" s="1"/>
  <c r="BG217" i="13"/>
  <c r="BH217" i="13" s="1"/>
  <c r="BM212" i="5" s="1"/>
  <c r="BD223" i="13"/>
  <c r="BE223" i="13" s="1"/>
  <c r="BJ223" i="13"/>
  <c r="BK223" i="13" s="1"/>
  <c r="BG223" i="13"/>
  <c r="BH223" i="13" s="1"/>
  <c r="BM218" i="5" s="1"/>
  <c r="AI150" i="13"/>
  <c r="AS71" i="11" s="1"/>
  <c r="K71" i="11" s="1"/>
  <c r="AA229" i="13"/>
  <c r="AB229" i="13" s="1"/>
  <c r="BF224" i="5" s="1"/>
  <c r="BF143" i="5"/>
  <c r="G143" i="5" s="1"/>
  <c r="AD143" i="5" s="1"/>
  <c r="AK150" i="13"/>
  <c r="AU71" i="11" s="1"/>
  <c r="M71" i="11" s="1"/>
  <c r="BO123" i="5"/>
  <c r="BC150" i="13"/>
  <c r="X225" i="5"/>
  <c r="X225" i="24" s="1"/>
  <c r="AJ150" i="13"/>
  <c r="AT71" i="11" s="1"/>
  <c r="L71" i="11" s="1"/>
  <c r="AK224" i="13"/>
  <c r="AU234" i="11" s="1"/>
  <c r="BJ239" i="13"/>
  <c r="BK239" i="13" s="1"/>
  <c r="BQ123" i="5" s="1"/>
  <c r="X123" i="5" s="1"/>
  <c r="X123" i="24" s="1"/>
  <c r="BG123" i="5"/>
  <c r="G123" i="24"/>
  <c r="BT239" i="13"/>
  <c r="BR239" i="13"/>
  <c r="X216" i="5"/>
  <c r="X216" i="24" s="1"/>
  <c r="BF111" i="5"/>
  <c r="G111" i="5" s="1"/>
  <c r="AD111" i="5" s="1"/>
  <c r="AE206" i="13"/>
  <c r="BH202" i="5" s="1"/>
  <c r="AJ206" i="13"/>
  <c r="AT216" i="11" s="1"/>
  <c r="BK123" i="5"/>
  <c r="AK206" i="13"/>
  <c r="AU216" i="11" s="1"/>
  <c r="BG239" i="13"/>
  <c r="BH239" i="13" s="1"/>
  <c r="BM123" i="5" s="1"/>
  <c r="BG202" i="5"/>
  <c r="BF202" i="5"/>
  <c r="G202" i="5" s="1"/>
  <c r="BS239" i="13"/>
  <c r="AG206" i="13"/>
  <c r="BP202" i="5" s="1"/>
  <c r="W202" i="5" s="1"/>
  <c r="W202" i="24" s="1"/>
  <c r="AF206" i="13"/>
  <c r="BL202" i="5" s="1"/>
  <c r="P202" i="5" s="1"/>
  <c r="P202" i="24" s="1"/>
  <c r="AJ60" i="13"/>
  <c r="BK59" i="5" s="1"/>
  <c r="AI60" i="13"/>
  <c r="BF59" i="5"/>
  <c r="G59" i="5" s="1"/>
  <c r="AD59" i="5" s="1"/>
  <c r="BF177" i="5"/>
  <c r="G177" i="5" s="1"/>
  <c r="AJ161" i="13"/>
  <c r="AI161" i="13"/>
  <c r="BC161" i="13"/>
  <c r="BF155" i="5"/>
  <c r="G155" i="5" s="1"/>
  <c r="AD155" i="5" s="1"/>
  <c r="AK161" i="13"/>
  <c r="AB160" i="13"/>
  <c r="BB161" i="13"/>
  <c r="AK169" i="13"/>
  <c r="BO163" i="5" s="1"/>
  <c r="BO164" i="5"/>
  <c r="BF18" i="5"/>
  <c r="G18" i="5" s="1"/>
  <c r="AD18" i="5" s="1"/>
  <c r="AI17" i="13"/>
  <c r="BG18" i="5" s="1"/>
  <c r="AK17" i="13"/>
  <c r="BO18" i="5" s="1"/>
  <c r="AJ17" i="13"/>
  <c r="BK18" i="5" s="1"/>
  <c r="BD234" i="13"/>
  <c r="BE234" i="13" s="1"/>
  <c r="BF125" i="5"/>
  <c r="G125" i="5" s="1"/>
  <c r="AD125" i="5" s="1"/>
  <c r="AI133" i="13"/>
  <c r="BG125" i="5" s="1"/>
  <c r="AJ133" i="13"/>
  <c r="BK125" i="5" s="1"/>
  <c r="AK133" i="13"/>
  <c r="BO125" i="5" s="1"/>
  <c r="AK157" i="13"/>
  <c r="BC157" i="13"/>
  <c r="BF151" i="5"/>
  <c r="G151" i="5" s="1"/>
  <c r="AD151" i="5" s="1"/>
  <c r="AI157" i="13"/>
  <c r="AJ157" i="13"/>
  <c r="AB155" i="13"/>
  <c r="AE176" i="13"/>
  <c r="AG176" i="13"/>
  <c r="AF176" i="13"/>
  <c r="AB175" i="13"/>
  <c r="G172" i="24"/>
  <c r="BF25" i="5"/>
  <c r="G25" i="5" s="1"/>
  <c r="AD25" i="5" s="1"/>
  <c r="AK24" i="13"/>
  <c r="AJ24" i="13"/>
  <c r="AI24" i="13"/>
  <c r="AK151" i="13"/>
  <c r="BF144" i="5"/>
  <c r="G144" i="5" s="1"/>
  <c r="AD144" i="5" s="1"/>
  <c r="AJ151" i="13"/>
  <c r="BC151" i="13"/>
  <c r="BB151" i="13"/>
  <c r="AI151" i="13"/>
  <c r="AK128" i="13"/>
  <c r="BO120" i="5" s="1"/>
  <c r="AI128" i="13"/>
  <c r="BG120" i="5" s="1"/>
  <c r="BC128" i="13"/>
  <c r="BF120" i="5"/>
  <c r="G120" i="5" s="1"/>
  <c r="AD120" i="5" s="1"/>
  <c r="BB128" i="13"/>
  <c r="AJ128" i="13"/>
  <c r="BK120" i="5" s="1"/>
  <c r="BA128" i="13"/>
  <c r="AB126" i="13"/>
  <c r="BF45" i="5"/>
  <c r="G45" i="5" s="1"/>
  <c r="AD45" i="5" s="1"/>
  <c r="BF24" i="5"/>
  <c r="G24" i="5" s="1"/>
  <c r="AD24" i="5" s="1"/>
  <c r="AK23" i="13"/>
  <c r="AJ23" i="13"/>
  <c r="AI23" i="13"/>
  <c r="BF84" i="5"/>
  <c r="G84" i="5" s="1"/>
  <c r="AD84" i="5" s="1"/>
  <c r="AI87" i="13"/>
  <c r="AJ87" i="13"/>
  <c r="AK87" i="13"/>
  <c r="BF181" i="5"/>
  <c r="G181" i="5" s="1"/>
  <c r="AD181" i="5" s="1"/>
  <c r="AF193" i="13"/>
  <c r="AG193" i="13"/>
  <c r="AK193" i="13"/>
  <c r="AU203" i="11" s="1"/>
  <c r="AE193" i="13"/>
  <c r="AJ193" i="13"/>
  <c r="AT203" i="11" s="1"/>
  <c r="AI193" i="13"/>
  <c r="AS203" i="11" s="1"/>
  <c r="AB192" i="13"/>
  <c r="BF23" i="5"/>
  <c r="G23" i="5" s="1"/>
  <c r="AD23" i="5" s="1"/>
  <c r="AK22" i="13"/>
  <c r="AI22" i="13"/>
  <c r="AJ22" i="13"/>
  <c r="AI149" i="13"/>
  <c r="AJ149" i="13"/>
  <c r="AB148" i="13"/>
  <c r="AK149" i="13"/>
  <c r="BF142" i="5"/>
  <c r="G142" i="5" s="1"/>
  <c r="AD142" i="5" s="1"/>
  <c r="AG135" i="13"/>
  <c r="AK135" i="13"/>
  <c r="AF135" i="13"/>
  <c r="AJ135" i="13"/>
  <c r="AE135" i="13"/>
  <c r="AI135" i="13"/>
  <c r="AB134" i="13"/>
  <c r="AG131" i="13"/>
  <c r="AF131" i="13"/>
  <c r="AE131" i="13"/>
  <c r="AK131" i="13"/>
  <c r="AJ131" i="13"/>
  <c r="AI131" i="13"/>
  <c r="AB187" i="13"/>
  <c r="AI188" i="13"/>
  <c r="AJ188" i="13"/>
  <c r="AK188" i="13"/>
  <c r="BC188" i="13"/>
  <c r="BB188" i="13"/>
  <c r="BF183" i="5"/>
  <c r="G183" i="5" s="1"/>
  <c r="AD183" i="5" s="1"/>
  <c r="BF19" i="5"/>
  <c r="G19" i="5" s="1"/>
  <c r="AD19" i="5" s="1"/>
  <c r="AB16" i="13"/>
  <c r="AI18" i="13"/>
  <c r="AJ18" i="13"/>
  <c r="AK18" i="13"/>
  <c r="AE180" i="13"/>
  <c r="AG180" i="13"/>
  <c r="AF180" i="13"/>
  <c r="AK180" i="13"/>
  <c r="AU190" i="11" s="1"/>
  <c r="AJ180" i="13"/>
  <c r="AT190" i="11" s="1"/>
  <c r="AI180" i="13"/>
  <c r="AS190" i="11" s="1"/>
  <c r="AB179" i="13"/>
  <c r="BF100" i="5"/>
  <c r="G100" i="5" s="1"/>
  <c r="AD100" i="5" s="1"/>
  <c r="AB103" i="13"/>
  <c r="AI184" i="13"/>
  <c r="AS194" i="11" s="1"/>
  <c r="AG184" i="13"/>
  <c r="AF184" i="13"/>
  <c r="AE184" i="13"/>
  <c r="AJ184" i="13"/>
  <c r="AT194" i="11" s="1"/>
  <c r="AK184" i="13"/>
  <c r="AU194" i="11" s="1"/>
  <c r="BF176" i="5"/>
  <c r="G176" i="5" s="1"/>
  <c r="AD176" i="5" s="1"/>
  <c r="BC181" i="13"/>
  <c r="AK118" i="13"/>
  <c r="AI118" i="13"/>
  <c r="AB117" i="13"/>
  <c r="BF110" i="5"/>
  <c r="G110" i="5" s="1"/>
  <c r="AD110" i="5" s="1"/>
  <c r="AJ118" i="13"/>
  <c r="BK110" i="5" s="1"/>
  <c r="BF225" i="5"/>
  <c r="AJ230" i="13"/>
  <c r="AK230" i="13"/>
  <c r="AI230" i="13"/>
  <c r="G225" i="5"/>
  <c r="AD225" i="5" s="1"/>
  <c r="BF13" i="5"/>
  <c r="G13" i="5" s="1"/>
  <c r="AD13" i="5" s="1"/>
  <c r="AJ12" i="13"/>
  <c r="AI12" i="13"/>
  <c r="AK12" i="13"/>
  <c r="BF57" i="5"/>
  <c r="G57" i="5" s="1"/>
  <c r="G167" i="24"/>
  <c r="BF30" i="5"/>
  <c r="G30" i="5" s="1"/>
  <c r="AD30" i="5" s="1"/>
  <c r="AK29" i="13"/>
  <c r="AI29" i="13"/>
  <c r="AJ29" i="13"/>
  <c r="AJ120" i="13"/>
  <c r="BK112" i="5" s="1"/>
  <c r="AK120" i="13"/>
  <c r="BO112" i="5" s="1"/>
  <c r="BF112" i="5"/>
  <c r="G112" i="5" s="1"/>
  <c r="AD112" i="5" s="1"/>
  <c r="AI120" i="13"/>
  <c r="BG112" i="5" s="1"/>
  <c r="AK33" i="13"/>
  <c r="BO34" i="5" s="1"/>
  <c r="BF34" i="5"/>
  <c r="G34" i="5" s="1"/>
  <c r="AD34" i="5" s="1"/>
  <c r="AU258" i="11"/>
  <c r="BO188" i="5"/>
  <c r="BQ220" i="5"/>
  <c r="X220" i="5"/>
  <c r="X220" i="24" s="1"/>
  <c r="AS254" i="11"/>
  <c r="BG175" i="5"/>
  <c r="J223" i="5"/>
  <c r="J223" i="24" s="1"/>
  <c r="Q223" i="5"/>
  <c r="Q223" i="24" s="1"/>
  <c r="G44" i="24"/>
  <c r="J220" i="5"/>
  <c r="J220" i="24" s="1"/>
  <c r="AI33" i="13"/>
  <c r="BG34" i="5" s="1"/>
  <c r="AK119" i="13"/>
  <c r="BO111" i="5" s="1"/>
  <c r="AI119" i="13"/>
  <c r="BG111" i="5" s="1"/>
  <c r="X221" i="5"/>
  <c r="X221" i="24" s="1"/>
  <c r="BQ221" i="5"/>
  <c r="G127" i="24"/>
  <c r="BQ223" i="5"/>
  <c r="X223" i="5"/>
  <c r="X223" i="24" s="1"/>
  <c r="AI163" i="13"/>
  <c r="AJ163" i="13"/>
  <c r="BC163" i="13"/>
  <c r="BF157" i="5"/>
  <c r="G157" i="5" s="1"/>
  <c r="AD157" i="5" s="1"/>
  <c r="AK163" i="13"/>
  <c r="BB163" i="13"/>
  <c r="AB162" i="13"/>
  <c r="BF156" i="5" s="1"/>
  <c r="G156" i="5" s="1"/>
  <c r="AD156" i="5" s="1"/>
  <c r="G191" i="24"/>
  <c r="G41" i="24"/>
  <c r="AG40" i="13"/>
  <c r="AE40" i="13"/>
  <c r="AF40" i="13"/>
  <c r="AK137" i="13"/>
  <c r="BO129" i="5" s="1"/>
  <c r="AJ137" i="13"/>
  <c r="BK129" i="5" s="1"/>
  <c r="BF129" i="5"/>
  <c r="G129" i="5" s="1"/>
  <c r="AD129" i="5" s="1"/>
  <c r="AI137" i="13"/>
  <c r="BG129" i="5" s="1"/>
  <c r="AT75" i="11"/>
  <c r="L75" i="11" s="1"/>
  <c r="BS255" i="13"/>
  <c r="BF69" i="5"/>
  <c r="G69" i="5" s="1"/>
  <c r="AD69" i="5" s="1"/>
  <c r="AK72" i="13"/>
  <c r="AI72" i="13"/>
  <c r="AJ72" i="13"/>
  <c r="X214" i="5"/>
  <c r="X214" i="24" s="1"/>
  <c r="BQ214" i="5"/>
  <c r="AA80" i="13"/>
  <c r="AB80" i="13" s="1"/>
  <c r="AI11" i="13"/>
  <c r="BF12" i="5"/>
  <c r="G12" i="5" s="1"/>
  <c r="AD12" i="5" s="1"/>
  <c r="AB10" i="13"/>
  <c r="AK11" i="13"/>
  <c r="AJ11" i="13"/>
  <c r="G223" i="5"/>
  <c r="AD223" i="5" s="1"/>
  <c r="AK228" i="13"/>
  <c r="AJ228" i="13"/>
  <c r="BF223" i="5"/>
  <c r="AI228" i="13"/>
  <c r="AT248" i="11"/>
  <c r="BG238" i="13"/>
  <c r="AG172" i="13"/>
  <c r="AJ172" i="13"/>
  <c r="AT182" i="11" s="1"/>
  <c r="AI172" i="13"/>
  <c r="AS182" i="11" s="1"/>
  <c r="AK172" i="13"/>
  <c r="AU182" i="11" s="1"/>
  <c r="AF172" i="13"/>
  <c r="AE172" i="13"/>
  <c r="AB171" i="13"/>
  <c r="AT76" i="11"/>
  <c r="L76" i="11" s="1"/>
  <c r="BK153" i="5"/>
  <c r="G190" i="24"/>
  <c r="AU256" i="11"/>
  <c r="X217" i="5"/>
  <c r="X217" i="24" s="1"/>
  <c r="BQ217" i="5"/>
  <c r="G121" i="24"/>
  <c r="BF186" i="5"/>
  <c r="G186" i="5" s="1"/>
  <c r="AD186" i="5" s="1"/>
  <c r="AS244" i="11"/>
  <c r="BG39" i="5"/>
  <c r="BG251" i="13"/>
  <c r="BH251" i="13" s="1"/>
  <c r="BM153" i="5" s="1"/>
  <c r="AI14" i="13"/>
  <c r="BG15" i="5" s="1"/>
  <c r="AJ14" i="13"/>
  <c r="BK15" i="5" s="1"/>
  <c r="BF15" i="5"/>
  <c r="G15" i="5" s="1"/>
  <c r="AD15" i="5" s="1"/>
  <c r="AK14" i="13"/>
  <c r="BO15" i="5" s="1"/>
  <c r="BI251" i="13"/>
  <c r="Q206" i="5"/>
  <c r="Q206" i="24" s="1"/>
  <c r="BF97" i="5"/>
  <c r="G97" i="5" s="1"/>
  <c r="AD97" i="5" s="1"/>
  <c r="AB100" i="13"/>
  <c r="AI102" i="13"/>
  <c r="BC102" i="13"/>
  <c r="AJ102" i="13"/>
  <c r="AK102" i="13"/>
  <c r="BB102" i="13"/>
  <c r="G67" i="24"/>
  <c r="BF213" i="5"/>
  <c r="F95" i="16"/>
  <c r="I95" i="16" s="1"/>
  <c r="AK218" i="13"/>
  <c r="AI218" i="13"/>
  <c r="AJ218" i="13"/>
  <c r="G213" i="5"/>
  <c r="AD213" i="5" s="1"/>
  <c r="AJ139" i="13"/>
  <c r="AG139" i="13"/>
  <c r="AI139" i="13"/>
  <c r="AF139" i="13"/>
  <c r="AE139" i="13"/>
  <c r="AK139" i="13"/>
  <c r="G169" i="24"/>
  <c r="BQ222" i="5"/>
  <c r="X222" i="5"/>
  <c r="X222" i="24" s="1"/>
  <c r="AB189" i="13"/>
  <c r="AS62" i="11"/>
  <c r="K62" i="11" s="1"/>
  <c r="BR253" i="13"/>
  <c r="BF168" i="5"/>
  <c r="G168" i="5" s="1"/>
  <c r="AD168" i="5" s="1"/>
  <c r="BC173" i="13"/>
  <c r="BB173" i="13"/>
  <c r="BA173" i="13"/>
  <c r="BF134" i="5"/>
  <c r="G134" i="5" s="1"/>
  <c r="AD134" i="5" s="1"/>
  <c r="BB142" i="13"/>
  <c r="BC142" i="13"/>
  <c r="AJ33" i="13"/>
  <c r="BK34" i="5" s="1"/>
  <c r="AB93" i="13"/>
  <c r="AJ94" i="13"/>
  <c r="BF91" i="5"/>
  <c r="G91" i="5" s="1"/>
  <c r="AD91" i="5" s="1"/>
  <c r="AK94" i="13"/>
  <c r="AI94" i="13"/>
  <c r="BJ325" i="13"/>
  <c r="BS313" i="13" s="1"/>
  <c r="AD55" i="11" s="1"/>
  <c r="BF85" i="5" l="1"/>
  <c r="G85" i="5" s="1"/>
  <c r="AD85" i="5" s="1"/>
  <c r="AA92" i="13"/>
  <c r="AB92" i="13" s="1"/>
  <c r="AI88" i="13"/>
  <c r="BG85" i="5" s="1"/>
  <c r="AJ224" i="13"/>
  <c r="AT234" i="11" s="1"/>
  <c r="AA89" i="13"/>
  <c r="AB89" i="13" s="1"/>
  <c r="AI25" i="13"/>
  <c r="BG26" i="5" s="1"/>
  <c r="G171" i="24"/>
  <c r="AD171" i="5"/>
  <c r="G188" i="24"/>
  <c r="AD188" i="5"/>
  <c r="G50" i="24"/>
  <c r="AD50" i="5"/>
  <c r="BI175" i="5"/>
  <c r="J175" i="5" s="1"/>
  <c r="J175" i="24" s="1"/>
  <c r="BR252" i="13"/>
  <c r="G185" i="24"/>
  <c r="AD185" i="5"/>
  <c r="AT244" i="11"/>
  <c r="G96" i="24"/>
  <c r="AD96" i="5"/>
  <c r="G39" i="24"/>
  <c r="AD39" i="5"/>
  <c r="G61" i="24"/>
  <c r="AD61" i="5"/>
  <c r="G57" i="24"/>
  <c r="AD57" i="5"/>
  <c r="G205" i="24"/>
  <c r="AD205" i="5"/>
  <c r="G218" i="24"/>
  <c r="AD218" i="5"/>
  <c r="G179" i="24"/>
  <c r="AD179" i="5"/>
  <c r="G199" i="24"/>
  <c r="AD199" i="5"/>
  <c r="G175" i="24"/>
  <c r="AD175" i="5"/>
  <c r="G202" i="24"/>
  <c r="AD202" i="5"/>
  <c r="G177" i="24"/>
  <c r="AD177" i="5"/>
  <c r="G136" i="24"/>
  <c r="AD136" i="5"/>
  <c r="G165" i="24"/>
  <c r="AD165" i="5"/>
  <c r="G128" i="24"/>
  <c r="AD128" i="5"/>
  <c r="BK215" i="5"/>
  <c r="G99" i="24"/>
  <c r="AD99" i="5"/>
  <c r="G85" i="24"/>
  <c r="G106" i="24"/>
  <c r="AD106" i="5"/>
  <c r="G150" i="24"/>
  <c r="AD150" i="5"/>
  <c r="G149" i="24"/>
  <c r="AD149" i="5"/>
  <c r="BK175" i="5"/>
  <c r="BO131" i="5"/>
  <c r="BJ234" i="13"/>
  <c r="BK234" i="13" s="1"/>
  <c r="BQ39" i="5" s="1"/>
  <c r="X39" i="5" s="1"/>
  <c r="X39" i="24" s="1"/>
  <c r="AU244" i="11"/>
  <c r="AA166" i="13"/>
  <c r="BK56" i="5"/>
  <c r="BH244" i="13"/>
  <c r="BM175" i="5" s="1"/>
  <c r="Q175" i="5" s="1"/>
  <c r="Q175" i="24" s="1"/>
  <c r="BJ327" i="13"/>
  <c r="BG219" i="5"/>
  <c r="BG56" i="5"/>
  <c r="AA165" i="13"/>
  <c r="AB165" i="13" s="1"/>
  <c r="AK25" i="13"/>
  <c r="BO26" i="5" s="1"/>
  <c r="BF204" i="5"/>
  <c r="G204" i="5" s="1"/>
  <c r="AD204" i="5" s="1"/>
  <c r="AJ209" i="13"/>
  <c r="AT219" i="11" s="1"/>
  <c r="BF81" i="5"/>
  <c r="G81" i="5" s="1"/>
  <c r="AD81" i="5" s="1"/>
  <c r="AI209" i="13"/>
  <c r="AS219" i="11" s="1"/>
  <c r="AI223" i="13"/>
  <c r="AS233" i="11" s="1"/>
  <c r="AK212" i="13"/>
  <c r="AU222" i="11" s="1"/>
  <c r="BK207" i="5"/>
  <c r="AJ210" i="13"/>
  <c r="AT220" i="11" s="1"/>
  <c r="AJ169" i="13"/>
  <c r="BK163" i="5" s="1"/>
  <c r="BO204" i="5"/>
  <c r="BK164" i="5"/>
  <c r="AB138" i="13"/>
  <c r="F62" i="16" s="1"/>
  <c r="I62" i="16" s="1"/>
  <c r="AI250" i="13"/>
  <c r="AS70" i="11" s="1"/>
  <c r="K70" i="11" s="1"/>
  <c r="G153" i="24"/>
  <c r="AE201" i="13"/>
  <c r="BH196" i="5" s="1"/>
  <c r="I196" i="5" s="1"/>
  <c r="I196" i="24" s="1"/>
  <c r="AK84" i="13"/>
  <c r="BO81" i="5" s="1"/>
  <c r="AF201" i="13"/>
  <c r="BL196" i="5" s="1"/>
  <c r="P196" i="5" s="1"/>
  <c r="P196" i="24" s="1"/>
  <c r="BT156" i="13"/>
  <c r="AI85" i="13"/>
  <c r="BG82" i="5" s="1"/>
  <c r="AK220" i="13"/>
  <c r="AU230" i="11" s="1"/>
  <c r="F97" i="16"/>
  <c r="I97" i="16" s="1"/>
  <c r="AB26" i="13"/>
  <c r="BF27" i="5" s="1"/>
  <c r="G27" i="5" s="1"/>
  <c r="AD27" i="5" s="1"/>
  <c r="G215" i="5"/>
  <c r="AD215" i="5" s="1"/>
  <c r="AI84" i="13"/>
  <c r="BG81" i="5" s="1"/>
  <c r="BF215" i="5"/>
  <c r="BF207" i="5"/>
  <c r="G207" i="5" s="1"/>
  <c r="AB83" i="13"/>
  <c r="F33" i="16" s="1"/>
  <c r="I33" i="16" s="1"/>
  <c r="AI220" i="13"/>
  <c r="AS230" i="11" s="1"/>
  <c r="AJ54" i="13"/>
  <c r="BK54" i="5" s="1"/>
  <c r="AK201" i="13"/>
  <c r="AU211" i="11" s="1"/>
  <c r="AG212" i="13"/>
  <c r="BP207" i="5" s="1"/>
  <c r="W207" i="5" s="1"/>
  <c r="W207" i="24" s="1"/>
  <c r="BJ101" i="13"/>
  <c r="BG101" i="13"/>
  <c r="BG96" i="5"/>
  <c r="BD101" i="13"/>
  <c r="AT254" i="11"/>
  <c r="AA214" i="13"/>
  <c r="BI212" i="5"/>
  <c r="BG153" i="5"/>
  <c r="BO149" i="5"/>
  <c r="BI217" i="5"/>
  <c r="Q224" i="5"/>
  <c r="Q224" i="24" s="1"/>
  <c r="BI224" i="5"/>
  <c r="Q39" i="5"/>
  <c r="Q39" i="24" s="1"/>
  <c r="BI39" i="5"/>
  <c r="J39" i="5" s="1"/>
  <c r="J39" i="24" s="1"/>
  <c r="AI54" i="13"/>
  <c r="BG54" i="5" s="1"/>
  <c r="AG201" i="13"/>
  <c r="BP196" i="5" s="1"/>
  <c r="W196" i="5" s="1"/>
  <c r="W196" i="24" s="1"/>
  <c r="Q216" i="5"/>
  <c r="Q216" i="24" s="1"/>
  <c r="BI216" i="5"/>
  <c r="Q215" i="5"/>
  <c r="Q215" i="24" s="1"/>
  <c r="BI215" i="5"/>
  <c r="AT250" i="11"/>
  <c r="AK20" i="13"/>
  <c r="BO21" i="5" s="1"/>
  <c r="Q203" i="5"/>
  <c r="Q203" i="24" s="1"/>
  <c r="BI203" i="5"/>
  <c r="J203" i="5" s="1"/>
  <c r="J203" i="24" s="1"/>
  <c r="J221" i="5"/>
  <c r="J221" i="24" s="1"/>
  <c r="BI221" i="5"/>
  <c r="BI214" i="5"/>
  <c r="Q219" i="5"/>
  <c r="Q219" i="24" s="1"/>
  <c r="BI219" i="5"/>
  <c r="AI20" i="13"/>
  <c r="BG21" i="5" s="1"/>
  <c r="Q225" i="5"/>
  <c r="Q225" i="24" s="1"/>
  <c r="BI225" i="5"/>
  <c r="J225" i="5"/>
  <c r="J225" i="24" s="1"/>
  <c r="BI127" i="5"/>
  <c r="J222" i="5"/>
  <c r="J222" i="24" s="1"/>
  <c r="BI222" i="5"/>
  <c r="BF82" i="5"/>
  <c r="G82" i="5" s="1"/>
  <c r="J213" i="5"/>
  <c r="J213" i="24" s="1"/>
  <c r="BI213" i="5"/>
  <c r="AB19" i="13"/>
  <c r="AI205" i="13"/>
  <c r="AS215" i="11" s="1"/>
  <c r="BI218" i="5"/>
  <c r="BI123" i="5"/>
  <c r="J123" i="5" s="1"/>
  <c r="J123" i="24" s="1"/>
  <c r="BK70" i="5"/>
  <c r="AT62" i="11"/>
  <c r="L62" i="11" s="1"/>
  <c r="AK54" i="13"/>
  <c r="BO54" i="5" s="1"/>
  <c r="BI200" i="5"/>
  <c r="J200" i="5" s="1"/>
  <c r="J200" i="24" s="1"/>
  <c r="AJ201" i="13"/>
  <c r="AT211" i="11" s="1"/>
  <c r="BK197" i="5"/>
  <c r="AI115" i="13"/>
  <c r="BG107" i="5" s="1"/>
  <c r="BF29" i="5"/>
  <c r="G29" i="5" s="1"/>
  <c r="AJ85" i="13"/>
  <c r="BK82" i="5" s="1"/>
  <c r="BG196" i="5"/>
  <c r="AK28" i="13"/>
  <c r="BO29" i="5" s="1"/>
  <c r="G21" i="24"/>
  <c r="BF196" i="5"/>
  <c r="G196" i="5" s="1"/>
  <c r="AB208" i="13"/>
  <c r="F89" i="16" s="1"/>
  <c r="I89" i="16" s="1"/>
  <c r="Q214" i="5"/>
  <c r="Q214" i="24" s="1"/>
  <c r="G70" i="24"/>
  <c r="G135" i="24"/>
  <c r="Z204" i="13"/>
  <c r="BJ156" i="13"/>
  <c r="BK156" i="13" s="1"/>
  <c r="BQ149" i="5" s="1"/>
  <c r="X149" i="5" s="1"/>
  <c r="X149" i="24" s="1"/>
  <c r="I202" i="5"/>
  <c r="I202" i="24" s="1"/>
  <c r="AI32" i="13"/>
  <c r="BG33" i="5" s="1"/>
  <c r="AB204" i="13"/>
  <c r="BF200" i="5" s="1"/>
  <c r="G200" i="5" s="1"/>
  <c r="AD200" i="5" s="1"/>
  <c r="BO56" i="5"/>
  <c r="AI210" i="13"/>
  <c r="AS220" i="11" s="1"/>
  <c r="Q212" i="5"/>
  <c r="Q212" i="24" s="1"/>
  <c r="AJ205" i="13"/>
  <c r="AT215" i="11" s="1"/>
  <c r="BO175" i="5"/>
  <c r="BJ244" i="13"/>
  <c r="AJ32" i="13"/>
  <c r="BK33" i="5" s="1"/>
  <c r="Z208" i="13"/>
  <c r="BO201" i="5"/>
  <c r="AK32" i="13"/>
  <c r="BO33" i="5" s="1"/>
  <c r="Q221" i="5"/>
  <c r="Q221" i="24" s="1"/>
  <c r="AB30" i="13"/>
  <c r="BF31" i="5" s="1"/>
  <c r="G31" i="5" s="1"/>
  <c r="AD31" i="5" s="1"/>
  <c r="AK210" i="13"/>
  <c r="AU220" i="11" s="1"/>
  <c r="BF201" i="5"/>
  <c r="G201" i="5" s="1"/>
  <c r="AD201" i="5" s="1"/>
  <c r="BL251" i="13"/>
  <c r="F101" i="16"/>
  <c r="I101" i="16" s="1"/>
  <c r="G219" i="5"/>
  <c r="Q222" i="5"/>
  <c r="Q222" i="24" s="1"/>
  <c r="AE212" i="13"/>
  <c r="BH207" i="5" s="1"/>
  <c r="BK39" i="5"/>
  <c r="BF219" i="5"/>
  <c r="AJ25" i="13"/>
  <c r="BK26" i="5" s="1"/>
  <c r="AI212" i="13"/>
  <c r="AS222" i="11" s="1"/>
  <c r="AJ20" i="13"/>
  <c r="BK21" i="5" s="1"/>
  <c r="Q217" i="5"/>
  <c r="Q217" i="24" s="1"/>
  <c r="Q195" i="5"/>
  <c r="Q195" i="24" s="1"/>
  <c r="J195" i="5"/>
  <c r="J195" i="24" s="1"/>
  <c r="BT251" i="13"/>
  <c r="BR156" i="13"/>
  <c r="AU254" i="11"/>
  <c r="BJ251" i="13"/>
  <c r="BK251" i="13" s="1"/>
  <c r="BQ153" i="5" s="1"/>
  <c r="X153" i="5" s="1"/>
  <c r="X153" i="24" s="1"/>
  <c r="BK167" i="5"/>
  <c r="AJ52" i="13"/>
  <c r="AJ70" i="13" s="1"/>
  <c r="BK67" i="5" s="1"/>
  <c r="AU76" i="11"/>
  <c r="M76" i="11" s="1"/>
  <c r="AF212" i="13"/>
  <c r="BL207" i="5" s="1"/>
  <c r="P207" i="5" s="1"/>
  <c r="P207" i="24" s="1"/>
  <c r="BG240" i="13"/>
  <c r="BH240" i="13" s="1"/>
  <c r="BM127" i="5" s="1"/>
  <c r="G26" i="24"/>
  <c r="BG156" i="13"/>
  <c r="BH156" i="13" s="1"/>
  <c r="BM149" i="5" s="1"/>
  <c r="AK64" i="13"/>
  <c r="BO62" i="5" s="1"/>
  <c r="AI53" i="13"/>
  <c r="BG53" i="5" s="1"/>
  <c r="BG164" i="5"/>
  <c r="BG149" i="5"/>
  <c r="AB51" i="13"/>
  <c r="G51" i="5" s="1"/>
  <c r="AJ217" i="13"/>
  <c r="AT227" i="11" s="1"/>
  <c r="G138" i="24"/>
  <c r="AI169" i="13"/>
  <c r="AS179" i="11" s="1"/>
  <c r="BF163" i="5"/>
  <c r="G163" i="5" s="1"/>
  <c r="AI28" i="13"/>
  <c r="BG29" i="5" s="1"/>
  <c r="G54" i="24"/>
  <c r="F94" i="16"/>
  <c r="I94" i="16" s="1"/>
  <c r="BF212" i="5"/>
  <c r="BR255" i="13"/>
  <c r="X224" i="5"/>
  <c r="X224" i="24" s="1"/>
  <c r="AI57" i="13"/>
  <c r="AI52" i="13"/>
  <c r="BG52" i="5" s="1"/>
  <c r="AA66" i="13"/>
  <c r="BK221" i="5"/>
  <c r="BJ252" i="13"/>
  <c r="BK252" i="13" s="1"/>
  <c r="BQ165" i="5" s="1"/>
  <c r="X165" i="5" s="1"/>
  <c r="X165" i="24" s="1"/>
  <c r="AJ57" i="13"/>
  <c r="BF52" i="5"/>
  <c r="G52" i="5" s="1"/>
  <c r="AG57" i="13"/>
  <c r="AJ53" i="13"/>
  <c r="BK53" i="5" s="1"/>
  <c r="AF57" i="13"/>
  <c r="BK185" i="5"/>
  <c r="BS156" i="13"/>
  <c r="BD156" i="13"/>
  <c r="BE156" i="13" s="1"/>
  <c r="AK57" i="13"/>
  <c r="BJ238" i="13"/>
  <c r="BK238" i="13" s="1"/>
  <c r="BQ119" i="5" s="1"/>
  <c r="X119" i="5" s="1"/>
  <c r="X119" i="24" s="1"/>
  <c r="BQ213" i="5"/>
  <c r="BT252" i="13"/>
  <c r="BK149" i="5"/>
  <c r="BG165" i="5"/>
  <c r="AB56" i="13"/>
  <c r="F21" i="16" s="1"/>
  <c r="I21" i="16" s="1"/>
  <c r="BO165" i="5"/>
  <c r="BF53" i="5"/>
  <c r="G53" i="5" s="1"/>
  <c r="AD53" i="5" s="1"/>
  <c r="BR251" i="13"/>
  <c r="BD251" i="13"/>
  <c r="BE251" i="13" s="1"/>
  <c r="BF62" i="5"/>
  <c r="G62" i="5" s="1"/>
  <c r="BF113" i="5"/>
  <c r="G113" i="5" s="1"/>
  <c r="AU248" i="11"/>
  <c r="BD252" i="13"/>
  <c r="BE252" i="13" s="1"/>
  <c r="AS76" i="11"/>
  <c r="K76" i="11" s="1"/>
  <c r="AK132" i="13"/>
  <c r="BO124" i="5" s="1"/>
  <c r="BF220" i="5"/>
  <c r="BO114" i="5"/>
  <c r="AI225" i="13"/>
  <c r="AS235" i="11" s="1"/>
  <c r="Q200" i="5"/>
  <c r="Q200" i="24" s="1"/>
  <c r="AB211" i="13"/>
  <c r="F90" i="16" s="1"/>
  <c r="I90" i="16" s="1"/>
  <c r="AJ225" i="13"/>
  <c r="AT235" i="11" s="1"/>
  <c r="AK76" i="13"/>
  <c r="BO74" i="5" s="1"/>
  <c r="AI76" i="13"/>
  <c r="BG74" i="5" s="1"/>
  <c r="AK217" i="13"/>
  <c r="AU227" i="11" s="1"/>
  <c r="BF74" i="5"/>
  <c r="G74" i="5" s="1"/>
  <c r="G212" i="5"/>
  <c r="G180" i="24"/>
  <c r="J224" i="5"/>
  <c r="J224" i="24" s="1"/>
  <c r="J214" i="5"/>
  <c r="J214" i="24" s="1"/>
  <c r="AJ115" i="13"/>
  <c r="BK107" i="5" s="1"/>
  <c r="G216" i="5"/>
  <c r="F98" i="16"/>
  <c r="I98" i="16" s="1"/>
  <c r="BO208" i="5"/>
  <c r="G220" i="5"/>
  <c r="AB183" i="13"/>
  <c r="AB197" i="13" s="1"/>
  <c r="BF208" i="5"/>
  <c r="G208" i="5" s="1"/>
  <c r="AD208" i="5" s="1"/>
  <c r="BG152" i="5"/>
  <c r="Q213" i="5"/>
  <c r="Q213" i="24" s="1"/>
  <c r="AJ250" i="13"/>
  <c r="AT70" i="11" s="1"/>
  <c r="L70" i="11" s="1"/>
  <c r="AS250" i="11"/>
  <c r="AB130" i="13"/>
  <c r="AK223" i="13"/>
  <c r="BO218" i="5" s="1"/>
  <c r="AB200" i="13"/>
  <c r="F86" i="16" s="1"/>
  <c r="I86" i="16" s="1"/>
  <c r="BD238" i="13"/>
  <c r="BE238" i="13" s="1"/>
  <c r="AB46" i="13"/>
  <c r="BF46" i="5" s="1"/>
  <c r="G46" i="5" s="1"/>
  <c r="BG197" i="5"/>
  <c r="AS248" i="11"/>
  <c r="BO70" i="5"/>
  <c r="G16" i="24"/>
  <c r="BT150" i="13"/>
  <c r="F24" i="16"/>
  <c r="I24" i="16" s="1"/>
  <c r="BG127" i="5"/>
  <c r="AU255" i="11"/>
  <c r="AI213" i="13"/>
  <c r="AS223" i="11" s="1"/>
  <c r="AQ49" i="13"/>
  <c r="BC49" i="13" s="1"/>
  <c r="BO185" i="5"/>
  <c r="G119" i="24"/>
  <c r="G198" i="24"/>
  <c r="AJ213" i="13"/>
  <c r="AT223" i="11" s="1"/>
  <c r="AO49" i="13"/>
  <c r="BA49" i="13" s="1"/>
  <c r="BO167" i="5"/>
  <c r="BF49" i="5"/>
  <c r="G49" i="5" s="1"/>
  <c r="G108" i="24"/>
  <c r="AJ91" i="13"/>
  <c r="BK88" i="5" s="1"/>
  <c r="AA36" i="13"/>
  <c r="G137" i="24"/>
  <c r="BK152" i="5"/>
  <c r="F100" i="16"/>
  <c r="I100" i="16" s="1"/>
  <c r="AS252" i="11"/>
  <c r="AA123" i="13"/>
  <c r="Z200" i="13"/>
  <c r="BJ240" i="13"/>
  <c r="BK314" i="13" s="1"/>
  <c r="BT307" i="13" s="1"/>
  <c r="AE49" i="11" s="1"/>
  <c r="AU252" i="11"/>
  <c r="BK114" i="5"/>
  <c r="BS158" i="13"/>
  <c r="BF218" i="5"/>
  <c r="AK250" i="13"/>
  <c r="AU70" i="11" s="1"/>
  <c r="M70" i="11" s="1"/>
  <c r="AI64" i="13"/>
  <c r="AI63" i="13" s="1"/>
  <c r="BG61" i="5" s="1"/>
  <c r="AJ132" i="13"/>
  <c r="BK124" i="5" s="1"/>
  <c r="AJ64" i="13"/>
  <c r="BK62" i="5" s="1"/>
  <c r="BO127" i="5"/>
  <c r="BG158" i="13"/>
  <c r="BH158" i="13" s="1"/>
  <c r="BM152" i="5" s="1"/>
  <c r="BF107" i="5"/>
  <c r="G107" i="5" s="1"/>
  <c r="AK142" i="13"/>
  <c r="BO134" i="5" s="1"/>
  <c r="Z211" i="13"/>
  <c r="I28" i="3"/>
  <c r="U77" i="13" s="1"/>
  <c r="U75" i="13" s="1"/>
  <c r="AA75" i="13" s="1"/>
  <c r="AA97" i="13" s="1"/>
  <c r="AA197" i="13"/>
  <c r="BT253" i="13"/>
  <c r="BG179" i="5"/>
  <c r="G140" i="24"/>
  <c r="G152" i="24"/>
  <c r="AJ223" i="13"/>
  <c r="AT233" i="11" s="1"/>
  <c r="AA152" i="13"/>
  <c r="G164" i="24"/>
  <c r="BF124" i="5"/>
  <c r="G124" i="5" s="1"/>
  <c r="AD124" i="5" s="1"/>
  <c r="G42" i="24"/>
  <c r="BT158" i="13"/>
  <c r="AJ254" i="13"/>
  <c r="AT66" i="11" s="1"/>
  <c r="L66" i="11" s="1"/>
  <c r="K21" i="3"/>
  <c r="AS258" i="11"/>
  <c r="AI61" i="13"/>
  <c r="BG60" i="5" s="1"/>
  <c r="AK61" i="13"/>
  <c r="BF60" i="5"/>
  <c r="G60" i="5" s="1"/>
  <c r="AD60" i="5" s="1"/>
  <c r="AJ61" i="13"/>
  <c r="BK60" i="5" s="1"/>
  <c r="AJ227" i="13"/>
  <c r="AT237" i="11" s="1"/>
  <c r="BO152" i="5"/>
  <c r="AJ142" i="13"/>
  <c r="BK134" i="5" s="1"/>
  <c r="AI254" i="13"/>
  <c r="AS66" i="11" s="1"/>
  <c r="K66" i="11" s="1"/>
  <c r="BF222" i="5"/>
  <c r="AI114" i="13"/>
  <c r="BC114" i="13"/>
  <c r="AB113" i="13"/>
  <c r="AK114" i="13"/>
  <c r="AJ114" i="13"/>
  <c r="BB114" i="13"/>
  <c r="BF105" i="5"/>
  <c r="G105" i="5" s="1"/>
  <c r="AD105" i="5" s="1"/>
  <c r="BK131" i="5"/>
  <c r="AK254" i="13"/>
  <c r="AU66" i="11" s="1"/>
  <c r="M66" i="11" s="1"/>
  <c r="BG188" i="5"/>
  <c r="AB39" i="13"/>
  <c r="F17" i="16" s="1"/>
  <c r="AK227" i="13"/>
  <c r="BO222" i="5" s="1"/>
  <c r="J217" i="5"/>
  <c r="J217" i="24" s="1"/>
  <c r="G222" i="5"/>
  <c r="AD222" i="5" s="1"/>
  <c r="AB90" i="13"/>
  <c r="F35" i="16" s="1"/>
  <c r="I35" i="16" s="1"/>
  <c r="I26" i="3"/>
  <c r="F63" i="16"/>
  <c r="I63" i="16" s="1"/>
  <c r="AM91" i="13"/>
  <c r="AQ91" i="13" s="1"/>
  <c r="BC91" i="13" s="1"/>
  <c r="BO221" i="5"/>
  <c r="BG221" i="5"/>
  <c r="BR158" i="13"/>
  <c r="BG114" i="5"/>
  <c r="BO197" i="5"/>
  <c r="AI91" i="13"/>
  <c r="BG88" i="5" s="1"/>
  <c r="AK74" i="13"/>
  <c r="BO72" i="5" s="1"/>
  <c r="AJ74" i="13"/>
  <c r="BK72" i="5" s="1"/>
  <c r="BF72" i="5"/>
  <c r="G72" i="5" s="1"/>
  <c r="AD72" i="5" s="1"/>
  <c r="AI74" i="13"/>
  <c r="BG72" i="5" s="1"/>
  <c r="BG131" i="5"/>
  <c r="BJ158" i="13"/>
  <c r="BK158" i="13" s="1"/>
  <c r="BQ152" i="5" s="1"/>
  <c r="X152" i="5" s="1"/>
  <c r="X152" i="24" s="1"/>
  <c r="BK188" i="5"/>
  <c r="BF88" i="5"/>
  <c r="G88" i="5" s="1"/>
  <c r="G14" i="24"/>
  <c r="AJ81" i="13"/>
  <c r="BK79" i="5" s="1"/>
  <c r="BF79" i="5"/>
  <c r="G79" i="5" s="1"/>
  <c r="AD79" i="5" s="1"/>
  <c r="AK81" i="13"/>
  <c r="BO79" i="5" s="1"/>
  <c r="BO143" i="5"/>
  <c r="G221" i="24"/>
  <c r="AB69" i="13"/>
  <c r="BF66" i="5" s="1"/>
  <c r="G66" i="5" s="1"/>
  <c r="AD66" i="5" s="1"/>
  <c r="AI144" i="13"/>
  <c r="BG136" i="5" s="1"/>
  <c r="AK144" i="13"/>
  <c r="BO136" i="5" s="1"/>
  <c r="AK73" i="13"/>
  <c r="BT73" i="13" s="1"/>
  <c r="AJ144" i="13"/>
  <c r="BK136" i="5" s="1"/>
  <c r="AS256" i="11"/>
  <c r="AJ73" i="13"/>
  <c r="BK71" i="5" s="1"/>
  <c r="AJ222" i="13"/>
  <c r="AT232" i="11" s="1"/>
  <c r="J216" i="5"/>
  <c r="J216" i="24" s="1"/>
  <c r="BO150" i="5"/>
  <c r="AS75" i="11"/>
  <c r="K75" i="11" s="1"/>
  <c r="AU75" i="11"/>
  <c r="M75" i="11" s="1"/>
  <c r="BO217" i="5"/>
  <c r="BF71" i="5"/>
  <c r="G71" i="5" s="1"/>
  <c r="AD71" i="5" s="1"/>
  <c r="AT256" i="11"/>
  <c r="AK27" i="13"/>
  <c r="AI27" i="13"/>
  <c r="BG28" i="5" s="1"/>
  <c r="AJ27" i="13"/>
  <c r="BG27" i="13" s="1"/>
  <c r="BF28" i="5"/>
  <c r="G28" i="5" s="1"/>
  <c r="BJ235" i="13"/>
  <c r="BK235" i="13" s="1"/>
  <c r="BQ40" i="5" s="1"/>
  <c r="X40" i="5" s="1"/>
  <c r="X40" i="24" s="1"/>
  <c r="AI222" i="13"/>
  <c r="AS232" i="11" s="1"/>
  <c r="J218" i="5"/>
  <c r="J218" i="24" s="1"/>
  <c r="Q218" i="5"/>
  <c r="Q218" i="24" s="1"/>
  <c r="F99" i="16"/>
  <c r="I99" i="16" s="1"/>
  <c r="BF217" i="5"/>
  <c r="BQ212" i="5"/>
  <c r="X212" i="5"/>
  <c r="X212" i="24" s="1"/>
  <c r="BG143" i="5"/>
  <c r="J219" i="5"/>
  <c r="J219" i="24" s="1"/>
  <c r="BD150" i="13"/>
  <c r="BE150" i="13" s="1"/>
  <c r="BQ219" i="5"/>
  <c r="X219" i="5"/>
  <c r="X219" i="24" s="1"/>
  <c r="G224" i="5"/>
  <c r="AD224" i="5" s="1"/>
  <c r="J215" i="5"/>
  <c r="J215" i="24" s="1"/>
  <c r="AK229" i="13"/>
  <c r="AU239" i="11" s="1"/>
  <c r="G143" i="24"/>
  <c r="AJ229" i="13"/>
  <c r="AT239" i="11" s="1"/>
  <c r="X215" i="5"/>
  <c r="X215" i="24" s="1"/>
  <c r="BQ215" i="5"/>
  <c r="BG40" i="5"/>
  <c r="BD235" i="13"/>
  <c r="BE235" i="13" s="1"/>
  <c r="X218" i="5"/>
  <c r="X218" i="24" s="1"/>
  <c r="BQ218" i="5"/>
  <c r="G217" i="5"/>
  <c r="AD217" i="5" s="1"/>
  <c r="J212" i="5"/>
  <c r="J212" i="24" s="1"/>
  <c r="AI229" i="13"/>
  <c r="AS239" i="11" s="1"/>
  <c r="G40" i="24"/>
  <c r="BO40" i="5"/>
  <c r="Q123" i="5"/>
  <c r="Q123" i="24" s="1"/>
  <c r="BR150" i="13"/>
  <c r="BK143" i="5"/>
  <c r="BJ150" i="13"/>
  <c r="BK150" i="13" s="1"/>
  <c r="BQ143" i="5" s="1"/>
  <c r="X143" i="5" s="1"/>
  <c r="X143" i="24" s="1"/>
  <c r="BS150" i="13"/>
  <c r="BO219" i="5"/>
  <c r="BG150" i="13"/>
  <c r="BH150" i="13" s="1"/>
  <c r="BM143" i="5" s="1"/>
  <c r="BK219" i="5"/>
  <c r="J251" i="5"/>
  <c r="BK313" i="13"/>
  <c r="BT306" i="13" s="1"/>
  <c r="AE48" i="11" s="1"/>
  <c r="BI313" i="13"/>
  <c r="BR306" i="13" s="1"/>
  <c r="AC48" i="11" s="1"/>
  <c r="AJ126" i="13"/>
  <c r="BK118" i="5" s="1"/>
  <c r="G111" i="24"/>
  <c r="BJ303" i="13"/>
  <c r="BS299" i="13" s="1"/>
  <c r="AD41" i="11" s="1"/>
  <c r="BK202" i="5"/>
  <c r="G58" i="24"/>
  <c r="F22" i="16"/>
  <c r="I22" i="16" s="1"/>
  <c r="AU179" i="11"/>
  <c r="BI314" i="13"/>
  <c r="BR307" i="13" s="1"/>
  <c r="AC49" i="11" s="1"/>
  <c r="G59" i="24"/>
  <c r="BO202" i="5"/>
  <c r="BJ313" i="13"/>
  <c r="BS306" i="13" s="1"/>
  <c r="AD48" i="11" s="1"/>
  <c r="AI130" i="13"/>
  <c r="BG122" i="5" s="1"/>
  <c r="BG59" i="5"/>
  <c r="AU171" i="11"/>
  <c r="BO155" i="5"/>
  <c r="AK160" i="13"/>
  <c r="G155" i="24"/>
  <c r="G18" i="24"/>
  <c r="BD161" i="13"/>
  <c r="BJ161" i="13"/>
  <c r="BG161" i="13"/>
  <c r="AS171" i="11"/>
  <c r="BG155" i="5"/>
  <c r="AI160" i="13"/>
  <c r="BF154" i="5"/>
  <c r="G154" i="5" s="1"/>
  <c r="AD154" i="5" s="1"/>
  <c r="F70" i="16"/>
  <c r="I70" i="16" s="1"/>
  <c r="AT171" i="11"/>
  <c r="BK155" i="5"/>
  <c r="AJ160" i="13"/>
  <c r="AS63" i="11"/>
  <c r="K63" i="11" s="1"/>
  <c r="BR73" i="13"/>
  <c r="BD73" i="13"/>
  <c r="BG71" i="5"/>
  <c r="BI303" i="13"/>
  <c r="BR299" i="13" s="1"/>
  <c r="AC41" i="11" s="1"/>
  <c r="G23" i="24"/>
  <c r="F54" i="16"/>
  <c r="BF109" i="5"/>
  <c r="G109" i="5" s="1"/>
  <c r="AD109" i="5" s="1"/>
  <c r="G45" i="24"/>
  <c r="BO25" i="5"/>
  <c r="G134" i="24"/>
  <c r="BG110" i="5"/>
  <c r="AI117" i="13"/>
  <c r="G25" i="24"/>
  <c r="BO97" i="5"/>
  <c r="AK100" i="13"/>
  <c r="AT238" i="11"/>
  <c r="BK223" i="5"/>
  <c r="BG97" i="5"/>
  <c r="AI100" i="13"/>
  <c r="G186" i="24"/>
  <c r="AJ134" i="13"/>
  <c r="BK126" i="5" s="1"/>
  <c r="BF95" i="5"/>
  <c r="G95" i="5" s="1"/>
  <c r="AD95" i="5" s="1"/>
  <c r="AB110" i="13"/>
  <c r="F43" i="16"/>
  <c r="F76" i="16"/>
  <c r="I76" i="16" s="1"/>
  <c r="BF166" i="5"/>
  <c r="G166" i="5" s="1"/>
  <c r="AD166" i="5" s="1"/>
  <c r="BK19" i="5"/>
  <c r="AJ16" i="13"/>
  <c r="BK17" i="5" s="1"/>
  <c r="BF148" i="5"/>
  <c r="G148" i="5" s="1"/>
  <c r="AD148" i="5" s="1"/>
  <c r="F68" i="16"/>
  <c r="G97" i="24"/>
  <c r="BG11" i="13"/>
  <c r="BK12" i="5"/>
  <c r="AJ10" i="13"/>
  <c r="BK11" i="5" s="1"/>
  <c r="G112" i="24"/>
  <c r="BG19" i="5"/>
  <c r="AI16" i="13"/>
  <c r="BG17" i="5" s="1"/>
  <c r="AK134" i="13"/>
  <c r="BO126" i="5" s="1"/>
  <c r="G181" i="24"/>
  <c r="AT167" i="11"/>
  <c r="BK151" i="5"/>
  <c r="AJ155" i="13"/>
  <c r="AU228" i="11"/>
  <c r="BO213" i="5"/>
  <c r="G176" i="24"/>
  <c r="BO19" i="5"/>
  <c r="AK16" i="13"/>
  <c r="BO17" i="5" s="1"/>
  <c r="BJ11" i="13"/>
  <c r="AK10" i="13"/>
  <c r="BO11" i="5" s="1"/>
  <c r="BO12" i="5"/>
  <c r="F8" i="16"/>
  <c r="I8" i="16" s="1"/>
  <c r="BF17" i="5"/>
  <c r="G17" i="5" s="1"/>
  <c r="AD17" i="5" s="1"/>
  <c r="G120" i="24"/>
  <c r="AS167" i="11"/>
  <c r="BG151" i="5"/>
  <c r="AI155" i="13"/>
  <c r="G168" i="24"/>
  <c r="BF11" i="5"/>
  <c r="G11" i="5" s="1"/>
  <c r="AD11" i="5" s="1"/>
  <c r="F7" i="16"/>
  <c r="I7" i="16" s="1"/>
  <c r="AU54" i="11"/>
  <c r="M54" i="11" s="1"/>
  <c r="BT12" i="13"/>
  <c r="BO13" i="5"/>
  <c r="BJ12" i="13"/>
  <c r="G19" i="24"/>
  <c r="G142" i="24"/>
  <c r="BO84" i="5"/>
  <c r="BG128" i="13"/>
  <c r="BD128" i="13"/>
  <c r="BJ128" i="13"/>
  <c r="G151" i="24"/>
  <c r="G12" i="24"/>
  <c r="AS54" i="11"/>
  <c r="K54" i="11" s="1"/>
  <c r="BR12" i="13"/>
  <c r="BG13" i="5"/>
  <c r="BD12" i="13"/>
  <c r="G183" i="24"/>
  <c r="BO142" i="5"/>
  <c r="AK148" i="13"/>
  <c r="BO141" i="5" s="1"/>
  <c r="BK84" i="5"/>
  <c r="BG157" i="13"/>
  <c r="BJ157" i="13"/>
  <c r="BD157" i="13"/>
  <c r="AK70" i="13"/>
  <c r="BK97" i="5"/>
  <c r="AJ100" i="13"/>
  <c r="AU238" i="11"/>
  <c r="BO223" i="5"/>
  <c r="BG25" i="5"/>
  <c r="AS227" i="11"/>
  <c r="BG212" i="5"/>
  <c r="BJ102" i="13"/>
  <c r="BG102" i="13"/>
  <c r="BD102" i="13"/>
  <c r="BH238" i="13"/>
  <c r="BM119" i="5" s="1"/>
  <c r="BJ311" i="13"/>
  <c r="AT173" i="11"/>
  <c r="AJ162" i="13"/>
  <c r="BK157" i="5"/>
  <c r="AS173" i="11"/>
  <c r="AI162" i="13"/>
  <c r="BG157" i="5"/>
  <c r="G110" i="24"/>
  <c r="BK25" i="5"/>
  <c r="AS238" i="11"/>
  <c r="BG223" i="5"/>
  <c r="BO110" i="5"/>
  <c r="AK117" i="13"/>
  <c r="G223" i="24"/>
  <c r="AT54" i="11"/>
  <c r="L54" i="11" s="1"/>
  <c r="BK13" i="5"/>
  <c r="BG12" i="13"/>
  <c r="BS12" i="13"/>
  <c r="AJ117" i="13"/>
  <c r="G13" i="24"/>
  <c r="BJ188" i="13"/>
  <c r="BD188" i="13"/>
  <c r="BG188" i="13"/>
  <c r="AS72" i="11"/>
  <c r="K72" i="11" s="1"/>
  <c r="BR151" i="13"/>
  <c r="BG144" i="5"/>
  <c r="AU235" i="11"/>
  <c r="BO220" i="5"/>
  <c r="G156" i="24"/>
  <c r="G225" i="24"/>
  <c r="AU81" i="11"/>
  <c r="M81" i="11" s="1"/>
  <c r="BT188" i="13"/>
  <c r="AK187" i="13"/>
  <c r="BO183" i="5"/>
  <c r="BG142" i="5"/>
  <c r="AI148" i="13"/>
  <c r="BG141" i="5" s="1"/>
  <c r="AS56" i="11"/>
  <c r="K56" i="11" s="1"/>
  <c r="BG24" i="5"/>
  <c r="BD23" i="13"/>
  <c r="BR23" i="13"/>
  <c r="BG72" i="13"/>
  <c r="BH72" i="13" s="1"/>
  <c r="BM69" i="5" s="1"/>
  <c r="BK69" i="5"/>
  <c r="BK30" i="5"/>
  <c r="BG29" i="13"/>
  <c r="AS240" i="11"/>
  <c r="BG225" i="5"/>
  <c r="F44" i="16"/>
  <c r="I44" i="16" s="1"/>
  <c r="BF98" i="5"/>
  <c r="G98" i="5" s="1"/>
  <c r="AD98" i="5" s="1"/>
  <c r="AT81" i="11"/>
  <c r="L81" i="11" s="1"/>
  <c r="BK183" i="5"/>
  <c r="BS188" i="13"/>
  <c r="AJ187" i="13"/>
  <c r="AT55" i="11"/>
  <c r="L55" i="11" s="1"/>
  <c r="BK23" i="5"/>
  <c r="BG22" i="13"/>
  <c r="BS22" i="13"/>
  <c r="AT56" i="11"/>
  <c r="L56" i="11" s="1"/>
  <c r="BK24" i="5"/>
  <c r="BS23" i="13"/>
  <c r="BG23" i="13"/>
  <c r="BG151" i="13"/>
  <c r="BD151" i="13"/>
  <c r="BJ151" i="13"/>
  <c r="BF126" i="5"/>
  <c r="G126" i="5" s="1"/>
  <c r="AD126" i="5" s="1"/>
  <c r="F61" i="16"/>
  <c r="I61" i="16" s="1"/>
  <c r="BJ322" i="13"/>
  <c r="BD11" i="13"/>
  <c r="AI10" i="13"/>
  <c r="BG11" i="5" s="1"/>
  <c r="BG12" i="5"/>
  <c r="AU167" i="11"/>
  <c r="BO151" i="5"/>
  <c r="AK155" i="13"/>
  <c r="G84" i="24"/>
  <c r="G213" i="24"/>
  <c r="AK80" i="13"/>
  <c r="BO78" i="5" s="1"/>
  <c r="AI80" i="13"/>
  <c r="BG78" i="5" s="1"/>
  <c r="BF78" i="5"/>
  <c r="G78" i="5" s="1"/>
  <c r="AD78" i="5" s="1"/>
  <c r="AJ80" i="13"/>
  <c r="BK78" i="5" s="1"/>
  <c r="AB79" i="13"/>
  <c r="BD72" i="13"/>
  <c r="BE72" i="13" s="1"/>
  <c r="BG69" i="5"/>
  <c r="AU173" i="11"/>
  <c r="BO157" i="5"/>
  <c r="AK162" i="13"/>
  <c r="BD29" i="13"/>
  <c r="BG30" i="5"/>
  <c r="AU240" i="11"/>
  <c r="BO225" i="5"/>
  <c r="G100" i="24"/>
  <c r="AS81" i="11"/>
  <c r="K81" i="11" s="1"/>
  <c r="BG183" i="5"/>
  <c r="AI187" i="13"/>
  <c r="BR188" i="13"/>
  <c r="AU56" i="11"/>
  <c r="M56" i="11" s="1"/>
  <c r="BT23" i="13"/>
  <c r="BJ23" i="13"/>
  <c r="BO24" i="5"/>
  <c r="AT72" i="11"/>
  <c r="L72" i="11" s="1"/>
  <c r="BS151" i="13"/>
  <c r="BK144" i="5"/>
  <c r="G125" i="24"/>
  <c r="G34" i="24"/>
  <c r="BF170" i="5"/>
  <c r="G170" i="5" s="1"/>
  <c r="AD170" i="5" s="1"/>
  <c r="F77" i="16"/>
  <c r="F59" i="16"/>
  <c r="BF118" i="5"/>
  <c r="G118" i="5" s="1"/>
  <c r="AD118" i="5" s="1"/>
  <c r="BG84" i="5"/>
  <c r="F81" i="16"/>
  <c r="I81" i="16" s="1"/>
  <c r="BF184" i="5"/>
  <c r="G184" i="5" s="1"/>
  <c r="AD184" i="5" s="1"/>
  <c r="AT228" i="11"/>
  <c r="BK213" i="5"/>
  <c r="BO69" i="5"/>
  <c r="BJ72" i="13"/>
  <c r="BK72" i="13" s="1"/>
  <c r="BQ69" i="5" s="1"/>
  <c r="X69" i="5" s="1"/>
  <c r="X69" i="24" s="1"/>
  <c r="G157" i="24"/>
  <c r="BJ29" i="13"/>
  <c r="BO30" i="5"/>
  <c r="AT240" i="11"/>
  <c r="BK225" i="5"/>
  <c r="BF174" i="5"/>
  <c r="G174" i="5" s="1"/>
  <c r="AD174" i="5" s="1"/>
  <c r="F78" i="16"/>
  <c r="I78" i="16" s="1"/>
  <c r="F80" i="16"/>
  <c r="I80" i="16" s="1"/>
  <c r="BF182" i="5"/>
  <c r="G182" i="5" s="1"/>
  <c r="AD182" i="5" s="1"/>
  <c r="AS55" i="11"/>
  <c r="K55" i="11" s="1"/>
  <c r="BG23" i="5"/>
  <c r="BR22" i="13"/>
  <c r="BD22" i="13"/>
  <c r="G24" i="24"/>
  <c r="G144" i="24"/>
  <c r="AK126" i="13"/>
  <c r="BO118" i="5" s="1"/>
  <c r="F82" i="16"/>
  <c r="I82" i="16" s="1"/>
  <c r="BF187" i="5"/>
  <c r="G187" i="5" s="1"/>
  <c r="AD187" i="5" s="1"/>
  <c r="AS237" i="11"/>
  <c r="BG222" i="5"/>
  <c r="G129" i="24"/>
  <c r="AI134" i="13"/>
  <c r="BG126" i="5" s="1"/>
  <c r="BF141" i="5"/>
  <c r="G141" i="5" s="1"/>
  <c r="AD141" i="5" s="1"/>
  <c r="F64" i="16"/>
  <c r="I64" i="16" s="1"/>
  <c r="BK142" i="5"/>
  <c r="AJ148" i="13"/>
  <c r="BK141" i="5" s="1"/>
  <c r="J246" i="5"/>
  <c r="AS228" i="11"/>
  <c r="BG213" i="5"/>
  <c r="G15" i="24"/>
  <c r="G69" i="24"/>
  <c r="BG163" i="13"/>
  <c r="BJ163" i="13"/>
  <c r="BD163" i="13"/>
  <c r="G30" i="24"/>
  <c r="AU55" i="11"/>
  <c r="M55" i="11" s="1"/>
  <c r="BJ22" i="13"/>
  <c r="BO23" i="5"/>
  <c r="BT22" i="13"/>
  <c r="AU72" i="11"/>
  <c r="M72" i="11" s="1"/>
  <c r="BO144" i="5"/>
  <c r="BT151" i="13"/>
  <c r="AI126" i="13"/>
  <c r="BG118" i="5" s="1"/>
  <c r="AJ93" i="13"/>
  <c r="BK90" i="5" s="1"/>
  <c r="BK91" i="5"/>
  <c r="F36" i="16"/>
  <c r="I36" i="16" s="1"/>
  <c r="BF90" i="5"/>
  <c r="G90" i="5" s="1"/>
  <c r="AD90" i="5" s="1"/>
  <c r="G91" i="24"/>
  <c r="BK81" i="5"/>
  <c r="AI93" i="13"/>
  <c r="BG90" i="5" s="1"/>
  <c r="BG91" i="5"/>
  <c r="G33" i="24"/>
  <c r="BO91" i="5"/>
  <c r="AK93" i="13"/>
  <c r="BO90" i="5" s="1"/>
  <c r="BD25" i="13" l="1"/>
  <c r="AI92" i="13"/>
  <c r="BG89" i="5" s="1"/>
  <c r="BF89" i="5"/>
  <c r="G89" i="5" s="1"/>
  <c r="AJ92" i="13"/>
  <c r="BK89" i="5" s="1"/>
  <c r="K22" i="3"/>
  <c r="AK92" i="13"/>
  <c r="BG137" i="5"/>
  <c r="AB86" i="13"/>
  <c r="AK89" i="13"/>
  <c r="AI89" i="13"/>
  <c r="BF86" i="5"/>
  <c r="G86" i="5" s="1"/>
  <c r="AJ89" i="13"/>
  <c r="BK303" i="13"/>
  <c r="BT299" i="13" s="1"/>
  <c r="AE41" i="11" s="1"/>
  <c r="BD145" i="13"/>
  <c r="BD250" i="13" s="1"/>
  <c r="BE250" i="13" s="1"/>
  <c r="BI137" i="5" s="1"/>
  <c r="BD158" i="13"/>
  <c r="BE158" i="13" s="1"/>
  <c r="BI152" i="5" s="1"/>
  <c r="J152" i="5" s="1"/>
  <c r="J152" i="24" s="1"/>
  <c r="G46" i="24"/>
  <c r="AD46" i="5"/>
  <c r="AD236" i="5" s="1"/>
  <c r="G163" i="24"/>
  <c r="AD163" i="5"/>
  <c r="BJ25" i="13"/>
  <c r="BK25" i="13" s="1"/>
  <c r="BQ26" i="5" s="1"/>
  <c r="X26" i="5" s="1"/>
  <c r="X26" i="24" s="1"/>
  <c r="G62" i="24"/>
  <c r="AD62" i="5"/>
  <c r="AB152" i="13"/>
  <c r="AD141" i="13" s="1"/>
  <c r="G51" i="24"/>
  <c r="AD51" i="5"/>
  <c r="G220" i="24"/>
  <c r="AD220" i="5"/>
  <c r="G113" i="24"/>
  <c r="AD113" i="5"/>
  <c r="G74" i="24"/>
  <c r="AD74" i="5"/>
  <c r="G49" i="24"/>
  <c r="AD49" i="5"/>
  <c r="G107" i="24"/>
  <c r="AD107" i="5"/>
  <c r="G216" i="24"/>
  <c r="AD216" i="5"/>
  <c r="G219" i="24"/>
  <c r="AD219" i="5"/>
  <c r="G82" i="24"/>
  <c r="AD82" i="5"/>
  <c r="G88" i="24"/>
  <c r="AD88" i="5"/>
  <c r="G196" i="24"/>
  <c r="AD196" i="5"/>
  <c r="G212" i="24"/>
  <c r="AD212" i="5"/>
  <c r="G29" i="24"/>
  <c r="AD29" i="5"/>
  <c r="G52" i="24"/>
  <c r="AD52" i="5"/>
  <c r="G207" i="24"/>
  <c r="AD207" i="5"/>
  <c r="G28" i="24"/>
  <c r="AD28" i="5"/>
  <c r="BG204" i="5"/>
  <c r="G81" i="24"/>
  <c r="BK244" i="13"/>
  <c r="BQ175" i="5" s="1"/>
  <c r="X175" i="5" s="1"/>
  <c r="X175" i="24" s="1"/>
  <c r="BK327" i="13"/>
  <c r="BF159" i="5"/>
  <c r="G159" i="5" s="1"/>
  <c r="AD159" i="5" s="1"/>
  <c r="AJ165" i="13"/>
  <c r="AK165" i="13"/>
  <c r="AI165" i="13"/>
  <c r="AB164" i="13"/>
  <c r="BK205" i="5"/>
  <c r="G204" i="24"/>
  <c r="BO207" i="5"/>
  <c r="BJ314" i="13"/>
  <c r="BS307" i="13" s="1"/>
  <c r="AD49" i="11" s="1"/>
  <c r="F10" i="16"/>
  <c r="I10" i="16" s="1"/>
  <c r="AT179" i="11"/>
  <c r="BR250" i="13"/>
  <c r="BG218" i="5"/>
  <c r="BF130" i="5"/>
  <c r="G130" i="5" s="1"/>
  <c r="AD130" i="5" s="1"/>
  <c r="BK204" i="5"/>
  <c r="AI83" i="13"/>
  <c r="BG80" i="5" s="1"/>
  <c r="AI208" i="13"/>
  <c r="BG203" i="5" s="1"/>
  <c r="BK101" i="13"/>
  <c r="BQ96" i="5" s="1"/>
  <c r="X96" i="5" s="1"/>
  <c r="X96" i="24" s="1"/>
  <c r="BK308" i="13"/>
  <c r="AK83" i="13"/>
  <c r="BO80" i="5" s="1"/>
  <c r="AI19" i="13"/>
  <c r="BG20" i="5" s="1"/>
  <c r="AB36" i="13"/>
  <c r="AD33" i="13" s="1"/>
  <c r="AJ208" i="13"/>
  <c r="BK203" i="5" s="1"/>
  <c r="G215" i="24"/>
  <c r="BH101" i="13"/>
  <c r="BM96" i="5" s="1"/>
  <c r="Q96" i="5" s="1"/>
  <c r="Q96" i="24" s="1"/>
  <c r="BJ308" i="13"/>
  <c r="BE101" i="13"/>
  <c r="BI96" i="5" s="1"/>
  <c r="J96" i="5" s="1"/>
  <c r="J96" i="24" s="1"/>
  <c r="BI308" i="13"/>
  <c r="F87" i="16"/>
  <c r="I87" i="16" s="1"/>
  <c r="BF80" i="5"/>
  <c r="G80" i="5" s="1"/>
  <c r="AK19" i="13"/>
  <c r="BO20" i="5" s="1"/>
  <c r="F9" i="16"/>
  <c r="I9" i="16" s="1"/>
  <c r="AK63" i="13"/>
  <c r="BO61" i="5" s="1"/>
  <c r="BF20" i="5"/>
  <c r="G20" i="5" s="1"/>
  <c r="BO215" i="5"/>
  <c r="AJ63" i="13"/>
  <c r="BK61" i="5" s="1"/>
  <c r="AK51" i="13"/>
  <c r="BO51" i="5" s="1"/>
  <c r="BK196" i="5"/>
  <c r="BG215" i="5"/>
  <c r="BD32" i="13"/>
  <c r="BE32" i="13" s="1"/>
  <c r="G200" i="24"/>
  <c r="BK52" i="5"/>
  <c r="G201" i="24"/>
  <c r="BO196" i="5"/>
  <c r="BF203" i="5"/>
  <c r="G203" i="5" s="1"/>
  <c r="AD203" i="5" s="1"/>
  <c r="BI69" i="5"/>
  <c r="J69" i="5" s="1"/>
  <c r="J69" i="24" s="1"/>
  <c r="G208" i="24"/>
  <c r="BI149" i="5"/>
  <c r="J149" i="5" s="1"/>
  <c r="J149" i="24" s="1"/>
  <c r="BI165" i="5"/>
  <c r="J165" i="5" s="1"/>
  <c r="J165" i="24" s="1"/>
  <c r="Q153" i="5"/>
  <c r="Q153" i="24" s="1"/>
  <c r="BI153" i="5"/>
  <c r="J153" i="5" s="1"/>
  <c r="J153" i="24" s="1"/>
  <c r="AK26" i="13"/>
  <c r="BO27" i="5" s="1"/>
  <c r="AK208" i="13"/>
  <c r="BO203" i="5" s="1"/>
  <c r="Q119" i="5"/>
  <c r="Q119" i="24" s="1"/>
  <c r="BI119" i="5"/>
  <c r="J119" i="5" s="1"/>
  <c r="J119" i="24" s="1"/>
  <c r="G53" i="24"/>
  <c r="BK311" i="13"/>
  <c r="F11" i="16"/>
  <c r="I11" i="16" s="1"/>
  <c r="BO205" i="5"/>
  <c r="Q143" i="5"/>
  <c r="Q143" i="24" s="1"/>
  <c r="BI143" i="5"/>
  <c r="J143" i="5" s="1"/>
  <c r="J143" i="24" s="1"/>
  <c r="BI40" i="5"/>
  <c r="J40" i="5" s="1"/>
  <c r="J40" i="24" s="1"/>
  <c r="AJ83" i="13"/>
  <c r="BK80" i="5" s="1"/>
  <c r="BG201" i="5"/>
  <c r="BG207" i="5"/>
  <c r="BK240" i="13"/>
  <c r="BQ127" i="5" s="1"/>
  <c r="X127" i="5" s="1"/>
  <c r="X127" i="24" s="1"/>
  <c r="AI204" i="13"/>
  <c r="BG200" i="5" s="1"/>
  <c r="F196" i="24"/>
  <c r="CR201" i="13"/>
  <c r="CS201" i="13" s="1"/>
  <c r="I207" i="5"/>
  <c r="I207" i="24" s="1"/>
  <c r="F202" i="24"/>
  <c r="CR206" i="13"/>
  <c r="CS206" i="13" s="1"/>
  <c r="BJ32" i="13"/>
  <c r="BK302" i="13" s="1"/>
  <c r="BT298" i="13" s="1"/>
  <c r="AE40" i="11" s="1"/>
  <c r="BK322" i="13"/>
  <c r="AK30" i="13"/>
  <c r="BO31" i="5" s="1"/>
  <c r="Q127" i="5"/>
  <c r="Q127" i="24" s="1"/>
  <c r="J127" i="5"/>
  <c r="J127" i="24" s="1"/>
  <c r="BG32" i="13"/>
  <c r="BJ302" i="13" s="1"/>
  <c r="BS298" i="13" s="1"/>
  <c r="AD40" i="11" s="1"/>
  <c r="BG163" i="5"/>
  <c r="AJ30" i="13"/>
  <c r="BK31" i="5" s="1"/>
  <c r="BK212" i="5"/>
  <c r="BJ319" i="13"/>
  <c r="CR78" i="13"/>
  <c r="CS78" i="13" s="1"/>
  <c r="F76" i="24"/>
  <c r="AI30" i="13"/>
  <c r="BG31" i="5" s="1"/>
  <c r="BF51" i="5"/>
  <c r="BO212" i="5"/>
  <c r="BK325" i="13"/>
  <c r="BT313" i="13" s="1"/>
  <c r="AE55" i="11" s="1"/>
  <c r="BG25" i="13"/>
  <c r="BG24" i="13" s="1"/>
  <c r="BH24" i="13" s="1"/>
  <c r="BM25" i="5" s="1"/>
  <c r="CR120" i="13"/>
  <c r="CS120" i="13" s="1"/>
  <c r="F112" i="24"/>
  <c r="AJ19" i="13"/>
  <c r="BK20" i="5" s="1"/>
  <c r="AK204" i="13"/>
  <c r="AU214" i="11" s="1"/>
  <c r="F19" i="16"/>
  <c r="I19" i="16" s="1"/>
  <c r="BK220" i="5"/>
  <c r="AJ51" i="13"/>
  <c r="BK51" i="5" s="1"/>
  <c r="BK319" i="13"/>
  <c r="BG205" i="5"/>
  <c r="AJ204" i="13"/>
  <c r="BK200" i="5" s="1"/>
  <c r="Q149" i="5"/>
  <c r="Q149" i="24" s="1"/>
  <c r="BK201" i="5"/>
  <c r="AI51" i="13"/>
  <c r="BG51" i="5" s="1"/>
  <c r="AB236" i="13"/>
  <c r="AI236" i="13" s="1"/>
  <c r="AS246" i="11" s="1"/>
  <c r="I27" i="3"/>
  <c r="AK130" i="13"/>
  <c r="BO122" i="5" s="1"/>
  <c r="BG220" i="5"/>
  <c r="I16" i="3"/>
  <c r="AY91" i="13"/>
  <c r="AK211" i="13"/>
  <c r="BO206" i="5" s="1"/>
  <c r="Q165" i="5"/>
  <c r="Q165" i="24" s="1"/>
  <c r="BJ27" i="13"/>
  <c r="BK27" i="13" s="1"/>
  <c r="BQ28" i="5" s="1"/>
  <c r="X28" i="5" s="1"/>
  <c r="X28" i="24" s="1"/>
  <c r="BG208" i="5"/>
  <c r="F60" i="16"/>
  <c r="I60" i="16" s="1"/>
  <c r="BF122" i="5"/>
  <c r="G122" i="5" s="1"/>
  <c r="BI322" i="13"/>
  <c r="AA77" i="13"/>
  <c r="AB77" i="13" s="1"/>
  <c r="AB75" i="13" s="1"/>
  <c r="F30" i="16" s="1"/>
  <c r="I30" i="16" s="1"/>
  <c r="J256" i="5"/>
  <c r="BO28" i="5"/>
  <c r="BF55" i="5"/>
  <c r="G55" i="5" s="1"/>
  <c r="AU233" i="11"/>
  <c r="BF206" i="5"/>
  <c r="G206" i="5" s="1"/>
  <c r="BI325" i="13"/>
  <c r="BR313" i="13" s="1"/>
  <c r="AC55" i="11" s="1"/>
  <c r="BI319" i="13"/>
  <c r="BF38" i="5"/>
  <c r="G38" i="5" s="1"/>
  <c r="I24" i="3"/>
  <c r="AU237" i="11"/>
  <c r="BK222" i="5"/>
  <c r="AB214" i="13"/>
  <c r="AD211" i="13" s="1"/>
  <c r="BK321" i="13"/>
  <c r="AI211" i="13"/>
  <c r="BG206" i="5" s="1"/>
  <c r="BJ321" i="13"/>
  <c r="BF178" i="5"/>
  <c r="G178" i="5" s="1"/>
  <c r="AD178" i="5" s="1"/>
  <c r="AJ130" i="13"/>
  <c r="BK122" i="5" s="1"/>
  <c r="BK106" i="5"/>
  <c r="BS250" i="13"/>
  <c r="F79" i="16"/>
  <c r="I79" i="16" s="1"/>
  <c r="BS254" i="13"/>
  <c r="Q152" i="5"/>
  <c r="Q152" i="24" s="1"/>
  <c r="BT250" i="13"/>
  <c r="U219" i="13"/>
  <c r="AA219" i="13" s="1"/>
  <c r="AB219" i="13" s="1"/>
  <c r="BG142" i="13"/>
  <c r="BH142" i="13" s="1"/>
  <c r="BM134" i="5" s="1"/>
  <c r="BG145" i="13"/>
  <c r="BJ316" i="13" s="1"/>
  <c r="BS309" i="13" s="1"/>
  <c r="AD51" i="11" s="1"/>
  <c r="AJ90" i="13"/>
  <c r="BK87" i="5" s="1"/>
  <c r="G71" i="24"/>
  <c r="BO106" i="5"/>
  <c r="BO137" i="5"/>
  <c r="AJ211" i="13"/>
  <c r="BK206" i="5" s="1"/>
  <c r="BG62" i="5"/>
  <c r="BJ145" i="13"/>
  <c r="BK145" i="13" s="1"/>
  <c r="BQ138" i="5" s="1"/>
  <c r="X138" i="5" s="1"/>
  <c r="X138" i="24" s="1"/>
  <c r="G124" i="24"/>
  <c r="BG106" i="5"/>
  <c r="BI311" i="13"/>
  <c r="AI59" i="13"/>
  <c r="BG58" i="5" s="1"/>
  <c r="BK137" i="5"/>
  <c r="BT254" i="13"/>
  <c r="BJ317" i="13"/>
  <c r="BK218" i="5"/>
  <c r="BK208" i="5"/>
  <c r="F18" i="16"/>
  <c r="I18" i="16" s="1"/>
  <c r="G222" i="24"/>
  <c r="AP91" i="13"/>
  <c r="BB91" i="13" s="1"/>
  <c r="BF195" i="5"/>
  <c r="G195" i="5" s="1"/>
  <c r="BJ142" i="13"/>
  <c r="BK315" i="13" s="1"/>
  <c r="BT308" i="13" s="1"/>
  <c r="AE50" i="11" s="1"/>
  <c r="BF104" i="5"/>
  <c r="G104" i="5" s="1"/>
  <c r="AD104" i="5" s="1"/>
  <c r="F52" i="16"/>
  <c r="I52" i="16" s="1"/>
  <c r="BG114" i="13"/>
  <c r="BJ114" i="13"/>
  <c r="BD114" i="13"/>
  <c r="BG105" i="5"/>
  <c r="AI113" i="13"/>
  <c r="BG104" i="5" s="1"/>
  <c r="BR114" i="13"/>
  <c r="AI90" i="13"/>
  <c r="BG87" i="5" s="1"/>
  <c r="AN91" i="13"/>
  <c r="AZ91" i="13" s="1"/>
  <c r="AB123" i="13"/>
  <c r="AD122" i="13" s="1"/>
  <c r="AJ69" i="13"/>
  <c r="BK66" i="5" s="1"/>
  <c r="AB66" i="13"/>
  <c r="AD64" i="13" s="1"/>
  <c r="BR254" i="13"/>
  <c r="AO91" i="13"/>
  <c r="BA91" i="13" s="1"/>
  <c r="G79" i="24"/>
  <c r="AJ26" i="13"/>
  <c r="BK27" i="5" s="1"/>
  <c r="BO60" i="5"/>
  <c r="AK59" i="13"/>
  <c r="BO58" i="5" s="1"/>
  <c r="AJ113" i="13"/>
  <c r="BK104" i="5" s="1"/>
  <c r="BS114" i="13"/>
  <c r="BK105" i="5"/>
  <c r="AK113" i="13"/>
  <c r="BO104" i="5" s="1"/>
  <c r="BT114" i="13"/>
  <c r="BO105" i="5"/>
  <c r="G72" i="24"/>
  <c r="G60" i="24"/>
  <c r="AJ59" i="13"/>
  <c r="BK58" i="5" s="1"/>
  <c r="F29" i="16"/>
  <c r="I29" i="16" s="1"/>
  <c r="BF87" i="5"/>
  <c r="G87" i="5" s="1"/>
  <c r="G105" i="24"/>
  <c r="BS73" i="13"/>
  <c r="BG73" i="13"/>
  <c r="BH73" i="13" s="1"/>
  <c r="BM71" i="5" s="1"/>
  <c r="AT63" i="11"/>
  <c r="L63" i="11" s="1"/>
  <c r="BK217" i="5"/>
  <c r="BO71" i="5"/>
  <c r="BJ73" i="13"/>
  <c r="BK306" i="13" s="1"/>
  <c r="BT301" i="13" s="1"/>
  <c r="AE43" i="11" s="1"/>
  <c r="AU63" i="11"/>
  <c r="M63" i="11" s="1"/>
  <c r="BO224" i="5"/>
  <c r="BK317" i="13"/>
  <c r="BK28" i="5"/>
  <c r="BK224" i="5"/>
  <c r="AI26" i="13"/>
  <c r="BG27" i="5" s="1"/>
  <c r="BD27" i="13"/>
  <c r="BE27" i="13" s="1"/>
  <c r="G224" i="24"/>
  <c r="BI317" i="13"/>
  <c r="BG217" i="5"/>
  <c r="G217" i="24"/>
  <c r="Q40" i="5"/>
  <c r="Q40" i="24" s="1"/>
  <c r="BG224" i="5"/>
  <c r="G154" i="24"/>
  <c r="BE73" i="13"/>
  <c r="BI306" i="13"/>
  <c r="BR301" i="13" s="1"/>
  <c r="AC43" i="11" s="1"/>
  <c r="BH27" i="13"/>
  <c r="BM28" i="5" s="1"/>
  <c r="BJ300" i="13"/>
  <c r="BO154" i="5"/>
  <c r="AU170" i="11"/>
  <c r="BH161" i="13"/>
  <c r="BM155" i="5" s="1"/>
  <c r="BJ323" i="13"/>
  <c r="BK323" i="13"/>
  <c r="BK161" i="13"/>
  <c r="BQ155" i="5" s="1"/>
  <c r="X155" i="5" s="1"/>
  <c r="X155" i="24" s="1"/>
  <c r="AS170" i="11"/>
  <c r="BG154" i="5"/>
  <c r="BK154" i="5"/>
  <c r="AT170" i="11"/>
  <c r="BE161" i="13"/>
  <c r="BI323" i="13"/>
  <c r="BK163" i="13"/>
  <c r="BQ157" i="5" s="1"/>
  <c r="X157" i="5" s="1"/>
  <c r="X157" i="24" s="1"/>
  <c r="BK324" i="13"/>
  <c r="BG182" i="5"/>
  <c r="AS197" i="11"/>
  <c r="BH23" i="13"/>
  <c r="BM24" i="5" s="1"/>
  <c r="BJ298" i="13"/>
  <c r="I17" i="16"/>
  <c r="F49" i="16"/>
  <c r="I49" i="16" s="1"/>
  <c r="I43" i="16"/>
  <c r="BJ324" i="13"/>
  <c r="BH163" i="13"/>
  <c r="BM157" i="5" s="1"/>
  <c r="AD109" i="13"/>
  <c r="AD106" i="13"/>
  <c r="AD102" i="13"/>
  <c r="C39" i="11"/>
  <c r="AD108" i="13"/>
  <c r="G101" i="5"/>
  <c r="AD100" i="13"/>
  <c r="AD105" i="13"/>
  <c r="BF101" i="5"/>
  <c r="AD101" i="13"/>
  <c r="AD104" i="13"/>
  <c r="AD103" i="13"/>
  <c r="AD107" i="13"/>
  <c r="G118" i="24"/>
  <c r="AD254" i="5"/>
  <c r="BH11" i="13"/>
  <c r="BM12" i="5" s="1"/>
  <c r="BJ295" i="13"/>
  <c r="G95" i="24"/>
  <c r="AD252" i="5"/>
  <c r="J245" i="5"/>
  <c r="I59" i="16"/>
  <c r="BK95" i="5"/>
  <c r="BG148" i="5"/>
  <c r="AS165" i="11"/>
  <c r="BI324" i="13"/>
  <c r="BE163" i="13"/>
  <c r="BH151" i="13"/>
  <c r="BM144" i="5" s="1"/>
  <c r="BJ318" i="13"/>
  <c r="G174" i="24"/>
  <c r="AD245" i="5"/>
  <c r="G11" i="24"/>
  <c r="BE23" i="13"/>
  <c r="BI298" i="13"/>
  <c r="G66" i="24"/>
  <c r="AD251" i="5"/>
  <c r="BH188" i="13"/>
  <c r="BM183" i="5" s="1"/>
  <c r="BJ329" i="13"/>
  <c r="BS316" i="13" s="1"/>
  <c r="AD58" i="11" s="1"/>
  <c r="G187" i="24"/>
  <c r="BE188" i="13"/>
  <c r="BI329" i="13"/>
  <c r="BR316" i="13" s="1"/>
  <c r="AC58" i="11" s="1"/>
  <c r="BH157" i="13"/>
  <c r="BM151" i="5" s="1"/>
  <c r="BJ320" i="13"/>
  <c r="G17" i="24"/>
  <c r="BK148" i="5"/>
  <c r="AT165" i="11"/>
  <c r="BE157" i="13"/>
  <c r="BI320" i="13"/>
  <c r="BG95" i="5"/>
  <c r="BE128" i="13"/>
  <c r="BI312" i="13"/>
  <c r="BE29" i="13"/>
  <c r="BI301" i="13"/>
  <c r="BO156" i="5"/>
  <c r="AU172" i="11"/>
  <c r="G148" i="24"/>
  <c r="AD259" i="5"/>
  <c r="BO95" i="5"/>
  <c r="BG156" i="5"/>
  <c r="AS172" i="11"/>
  <c r="BK128" i="13"/>
  <c r="BQ120" i="5" s="1"/>
  <c r="X120" i="5" s="1"/>
  <c r="X120" i="24" s="1"/>
  <c r="BK312" i="13"/>
  <c r="BK188" i="13"/>
  <c r="BQ183" i="5" s="1"/>
  <c r="X183" i="5" s="1"/>
  <c r="X183" i="24" s="1"/>
  <c r="BK329" i="13"/>
  <c r="BT316" i="13" s="1"/>
  <c r="AE58" i="11" s="1"/>
  <c r="BK156" i="5"/>
  <c r="AT172" i="11"/>
  <c r="AT197" i="11"/>
  <c r="BK182" i="5"/>
  <c r="BK320" i="13"/>
  <c r="BK157" i="13"/>
  <c r="BQ151" i="5" s="1"/>
  <c r="X151" i="5" s="1"/>
  <c r="X151" i="24" s="1"/>
  <c r="I68" i="16"/>
  <c r="BT257" i="13"/>
  <c r="BT258" i="13" s="1"/>
  <c r="G184" i="24"/>
  <c r="BI295" i="13"/>
  <c r="BE11" i="13"/>
  <c r="G98" i="24"/>
  <c r="BO109" i="5"/>
  <c r="BO67" i="5"/>
  <c r="AK69" i="13"/>
  <c r="BO66" i="5" s="1"/>
  <c r="BI297" i="13"/>
  <c r="BE22" i="13"/>
  <c r="Q69" i="5"/>
  <c r="Q69" i="24" s="1"/>
  <c r="BE102" i="13"/>
  <c r="BI309" i="13"/>
  <c r="BK12" i="13"/>
  <c r="BQ13" i="5" s="1"/>
  <c r="X13" i="5" s="1"/>
  <c r="X13" i="24" s="1"/>
  <c r="BK296" i="13"/>
  <c r="BK11" i="13"/>
  <c r="BQ12" i="5" s="1"/>
  <c r="X12" i="5" s="1"/>
  <c r="X12" i="24" s="1"/>
  <c r="BK295" i="13"/>
  <c r="BK29" i="13"/>
  <c r="BQ30" i="5" s="1"/>
  <c r="X30" i="5" s="1"/>
  <c r="X30" i="24" s="1"/>
  <c r="BK301" i="13"/>
  <c r="G170" i="24"/>
  <c r="BJ297" i="13"/>
  <c r="BH22" i="13"/>
  <c r="BM23" i="5" s="1"/>
  <c r="BK22" i="13"/>
  <c r="BQ23" i="5" s="1"/>
  <c r="X23" i="5" s="1"/>
  <c r="X23" i="24" s="1"/>
  <c r="BK297" i="13"/>
  <c r="G141" i="24"/>
  <c r="AJ79" i="13"/>
  <c r="BK77" i="5" s="1"/>
  <c r="BF77" i="5"/>
  <c r="G77" i="5" s="1"/>
  <c r="AD77" i="5" s="1"/>
  <c r="AI79" i="13"/>
  <c r="BG77" i="5" s="1"/>
  <c r="F31" i="16"/>
  <c r="I31" i="16" s="1"/>
  <c r="AK79" i="13"/>
  <c r="BO77" i="5" s="1"/>
  <c r="I18" i="3"/>
  <c r="BK109" i="5"/>
  <c r="BH102" i="13"/>
  <c r="BM97" i="5" s="1"/>
  <c r="BJ309" i="13"/>
  <c r="BH128" i="13"/>
  <c r="BM120" i="5" s="1"/>
  <c r="BJ312" i="13"/>
  <c r="BS305" i="13" s="1"/>
  <c r="AD47" i="11" s="1"/>
  <c r="BO182" i="5"/>
  <c r="AU197" i="11"/>
  <c r="BK23" i="13"/>
  <c r="BQ24" i="5" s="1"/>
  <c r="X24" i="5" s="1"/>
  <c r="X24" i="24" s="1"/>
  <c r="BK298" i="13"/>
  <c r="G27" i="24"/>
  <c r="BK102" i="13"/>
  <c r="BQ97" i="5" s="1"/>
  <c r="X97" i="5" s="1"/>
  <c r="X97" i="24" s="1"/>
  <c r="BK309" i="13"/>
  <c r="G109" i="24"/>
  <c r="BJ301" i="13"/>
  <c r="BH29" i="13"/>
  <c r="BM30" i="5" s="1"/>
  <c r="BE12" i="13"/>
  <c r="BI296" i="13"/>
  <c r="I54" i="16"/>
  <c r="AU165" i="11"/>
  <c r="BO148" i="5"/>
  <c r="G78" i="24"/>
  <c r="G182" i="24"/>
  <c r="G126" i="24"/>
  <c r="BK151" i="13"/>
  <c r="BQ144" i="5" s="1"/>
  <c r="X144" i="5" s="1"/>
  <c r="X144" i="24" s="1"/>
  <c r="BK318" i="13"/>
  <c r="G166" i="24"/>
  <c r="BG109" i="5"/>
  <c r="BE151" i="13"/>
  <c r="BI318" i="13"/>
  <c r="BH12" i="13"/>
  <c r="BM13" i="5" s="1"/>
  <c r="BJ296" i="13"/>
  <c r="AD173" i="13"/>
  <c r="C43" i="11"/>
  <c r="AD171" i="13"/>
  <c r="AD182" i="13"/>
  <c r="AD170" i="13"/>
  <c r="G192" i="5"/>
  <c r="AD190" i="13"/>
  <c r="AD191" i="13"/>
  <c r="AD185" i="13"/>
  <c r="AD179" i="13"/>
  <c r="AD189" i="13"/>
  <c r="AD178" i="13"/>
  <c r="AD175" i="13"/>
  <c r="AD194" i="13"/>
  <c r="AD187" i="13"/>
  <c r="AD169" i="13"/>
  <c r="AD192" i="13"/>
  <c r="AD180" i="13"/>
  <c r="AD184" i="13"/>
  <c r="AD181" i="13"/>
  <c r="AD193" i="13"/>
  <c r="AD172" i="13"/>
  <c r="AD188" i="13"/>
  <c r="AD195" i="13"/>
  <c r="BF192" i="5"/>
  <c r="AD186" i="13"/>
  <c r="AD196" i="13"/>
  <c r="AD183" i="13"/>
  <c r="AD177" i="13"/>
  <c r="AD174" i="13"/>
  <c r="AD176" i="13"/>
  <c r="BE25" i="13"/>
  <c r="BD24" i="13"/>
  <c r="BE24" i="13" s="1"/>
  <c r="BI299" i="13"/>
  <c r="AD248" i="5"/>
  <c r="G31" i="24"/>
  <c r="G90" i="24"/>
  <c r="AF80" i="13"/>
  <c r="BL78" i="5" s="1"/>
  <c r="P78" i="5" s="1"/>
  <c r="P78" i="24" s="1"/>
  <c r="AE80" i="13"/>
  <c r="BH78" i="5" s="1"/>
  <c r="G89" i="24" l="1"/>
  <c r="AD89" i="5"/>
  <c r="BO89" i="5"/>
  <c r="AK90" i="13"/>
  <c r="BO87" i="5" s="1"/>
  <c r="BI316" i="13"/>
  <c r="BR309" i="13" s="1"/>
  <c r="AC51" i="11" s="1"/>
  <c r="AD148" i="13"/>
  <c r="AD134" i="13"/>
  <c r="AD151" i="13"/>
  <c r="AE151" i="13" s="1"/>
  <c r="BH144" i="5" s="1"/>
  <c r="BI321" i="13"/>
  <c r="BR311" i="13" s="1"/>
  <c r="AC53" i="11" s="1"/>
  <c r="BF145" i="5"/>
  <c r="BE145" i="13"/>
  <c r="BI138" i="5" s="1"/>
  <c r="AD126" i="13"/>
  <c r="BK86" i="5"/>
  <c r="AJ86" i="13"/>
  <c r="BK83" i="5" s="1"/>
  <c r="AD128" i="13"/>
  <c r="AG128" i="13" s="1"/>
  <c r="AD86" i="5"/>
  <c r="G86" i="24"/>
  <c r="BG86" i="5"/>
  <c r="AI86" i="13"/>
  <c r="BG83" i="5" s="1"/>
  <c r="BO86" i="5"/>
  <c r="AK86" i="13"/>
  <c r="BO83" i="5" s="1"/>
  <c r="AD136" i="13"/>
  <c r="AG136" i="13" s="1"/>
  <c r="F34" i="16"/>
  <c r="I34" i="16" s="1"/>
  <c r="BF83" i="5"/>
  <c r="G83" i="5" s="1"/>
  <c r="AT218" i="11"/>
  <c r="AD31" i="13"/>
  <c r="AF31" i="13" s="1"/>
  <c r="AD18" i="13"/>
  <c r="AE18" i="13" s="1"/>
  <c r="BH19" i="5" s="1"/>
  <c r="AD22" i="13"/>
  <c r="AF22" i="13" s="1"/>
  <c r="BL23" i="5" s="1"/>
  <c r="P23" i="5" s="1"/>
  <c r="P23" i="24" s="1"/>
  <c r="AD12" i="13"/>
  <c r="AG12" i="13" s="1"/>
  <c r="BP13" i="5" s="1"/>
  <c r="W13" i="5" s="1"/>
  <c r="W13" i="24" s="1"/>
  <c r="AD32" i="13"/>
  <c r="AE32" i="13" s="1"/>
  <c r="BH33" i="5" s="1"/>
  <c r="AD11" i="13"/>
  <c r="AF11" i="13" s="1"/>
  <c r="BF35" i="5"/>
  <c r="AD19" i="13"/>
  <c r="AD29" i="13"/>
  <c r="AF29" i="13" s="1"/>
  <c r="BL30" i="5" s="1"/>
  <c r="P30" i="5" s="1"/>
  <c r="P30" i="24" s="1"/>
  <c r="AD15" i="13"/>
  <c r="C41" i="11"/>
  <c r="AD127" i="13"/>
  <c r="AD145" i="13"/>
  <c r="AG145" i="13" s="1"/>
  <c r="AD144" i="13"/>
  <c r="G87" i="24"/>
  <c r="AD87" i="5"/>
  <c r="BK299" i="13"/>
  <c r="BT296" i="13" s="1"/>
  <c r="AE38" i="11" s="1"/>
  <c r="AD143" i="13"/>
  <c r="BJ24" i="13"/>
  <c r="BK24" i="13" s="1"/>
  <c r="BQ25" i="5" s="1"/>
  <c r="X25" i="5" s="1"/>
  <c r="X25" i="24" s="1"/>
  <c r="AD140" i="13"/>
  <c r="G145" i="5"/>
  <c r="G145" i="24" s="1"/>
  <c r="AD142" i="13"/>
  <c r="AG142" i="13" s="1"/>
  <c r="BP134" i="5" s="1"/>
  <c r="W134" i="5" s="1"/>
  <c r="W134" i="24" s="1"/>
  <c r="AD138" i="13"/>
  <c r="G38" i="24"/>
  <c r="AD38" i="5"/>
  <c r="AD132" i="13"/>
  <c r="AG132" i="13" s="1"/>
  <c r="AD129" i="13"/>
  <c r="AE129" i="13" s="1"/>
  <c r="BH121" i="5" s="1"/>
  <c r="AD133" i="13"/>
  <c r="AG133" i="13" s="1"/>
  <c r="BP125" i="5" s="1"/>
  <c r="W125" i="5" s="1"/>
  <c r="W125" i="24" s="1"/>
  <c r="AD150" i="13"/>
  <c r="AF150" i="13" s="1"/>
  <c r="BL143" i="5" s="1"/>
  <c r="P143" i="5" s="1"/>
  <c r="P143" i="24" s="1"/>
  <c r="G206" i="24"/>
  <c r="AD206" i="5"/>
  <c r="AD130" i="13"/>
  <c r="AD149" i="13"/>
  <c r="AG149" i="13" s="1"/>
  <c r="G195" i="24"/>
  <c r="AD195" i="5"/>
  <c r="G20" i="24"/>
  <c r="AD20" i="5"/>
  <c r="AD246" i="5" s="1"/>
  <c r="AD139" i="13"/>
  <c r="AD135" i="13"/>
  <c r="G55" i="24"/>
  <c r="AD55" i="5"/>
  <c r="AD137" i="13"/>
  <c r="AE137" i="13" s="1"/>
  <c r="BH129" i="5" s="1"/>
  <c r="AD131" i="13"/>
  <c r="G80" i="24"/>
  <c r="AD80" i="5"/>
  <c r="AD146" i="13"/>
  <c r="AF146" i="13" s="1"/>
  <c r="BL139" i="5" s="1"/>
  <c r="P139" i="5" s="1"/>
  <c r="P139" i="24" s="1"/>
  <c r="AD147" i="13"/>
  <c r="AF147" i="13" s="1"/>
  <c r="BL140" i="5" s="1"/>
  <c r="P140" i="5" s="1"/>
  <c r="P140" i="24" s="1"/>
  <c r="G122" i="24"/>
  <c r="AD122" i="5"/>
  <c r="F91" i="16"/>
  <c r="I91" i="16" s="1"/>
  <c r="BR303" i="13"/>
  <c r="AC45" i="11" s="1"/>
  <c r="F71" i="16"/>
  <c r="AB166" i="13"/>
  <c r="BF158" i="5"/>
  <c r="G158" i="5" s="1"/>
  <c r="AD158" i="5" s="1"/>
  <c r="AI164" i="13"/>
  <c r="AS175" i="11"/>
  <c r="BG159" i="5"/>
  <c r="AE64" i="13"/>
  <c r="AG64" i="13"/>
  <c r="AF64" i="13"/>
  <c r="AU175" i="11"/>
  <c r="AK164" i="13"/>
  <c r="BO159" i="5"/>
  <c r="G130" i="24"/>
  <c r="AT175" i="11"/>
  <c r="AJ164" i="13"/>
  <c r="BK159" i="5"/>
  <c r="G159" i="24"/>
  <c r="AD16" i="13"/>
  <c r="AD24" i="13"/>
  <c r="AF24" i="13" s="1"/>
  <c r="BL25" i="5" s="1"/>
  <c r="P25" i="5" s="1"/>
  <c r="P25" i="24" s="1"/>
  <c r="AD10" i="13"/>
  <c r="G35" i="5"/>
  <c r="G35" i="24" s="1"/>
  <c r="AD21" i="13"/>
  <c r="AG21" i="13" s="1"/>
  <c r="BP22" i="5" s="1"/>
  <c r="W22" i="5" s="1"/>
  <c r="W22" i="24" s="1"/>
  <c r="AD26" i="13"/>
  <c r="AD13" i="13"/>
  <c r="AE13" i="13" s="1"/>
  <c r="BH14" i="5" s="1"/>
  <c r="C36" i="11"/>
  <c r="AT214" i="11"/>
  <c r="AD17" i="13"/>
  <c r="AG17" i="13" s="1"/>
  <c r="AD25" i="13"/>
  <c r="AF25" i="13" s="1"/>
  <c r="BL26" i="5" s="1"/>
  <c r="P26" i="5" s="1"/>
  <c r="P26" i="24" s="1"/>
  <c r="AD30" i="13"/>
  <c r="AS218" i="11"/>
  <c r="AB97" i="13"/>
  <c r="AD72" i="13" s="1"/>
  <c r="AF72" i="13" s="1"/>
  <c r="BL69" i="5" s="1"/>
  <c r="P69" i="5" s="1"/>
  <c r="P69" i="24" s="1"/>
  <c r="BK32" i="13"/>
  <c r="BQ33" i="5" s="1"/>
  <c r="X33" i="5" s="1"/>
  <c r="X33" i="24" s="1"/>
  <c r="AD23" i="13"/>
  <c r="AE23" i="13" s="1"/>
  <c r="BH24" i="5" s="1"/>
  <c r="BS303" i="13"/>
  <c r="AD45" i="11" s="1"/>
  <c r="AD20" i="13"/>
  <c r="AE20" i="13" s="1"/>
  <c r="AD28" i="13"/>
  <c r="AG28" i="13" s="1"/>
  <c r="BP29" i="5" s="1"/>
  <c r="W29" i="5" s="1"/>
  <c r="W29" i="24" s="1"/>
  <c r="BT303" i="13"/>
  <c r="AE45" i="11" s="1"/>
  <c r="AD27" i="13"/>
  <c r="AE27" i="13" s="1"/>
  <c r="AD14" i="13"/>
  <c r="AG14" i="13" s="1"/>
  <c r="BP15" i="5" s="1"/>
  <c r="W15" i="5" s="1"/>
  <c r="W15" i="24" s="1"/>
  <c r="G203" i="24"/>
  <c r="G236" i="5"/>
  <c r="BI302" i="13"/>
  <c r="BR298" i="13" s="1"/>
  <c r="AC40" i="11" s="1"/>
  <c r="AI49" i="13"/>
  <c r="AS59" i="11" s="1"/>
  <c r="K59" i="11" s="1"/>
  <c r="AU218" i="11"/>
  <c r="BI120" i="5"/>
  <c r="J120" i="5" s="1"/>
  <c r="J120" i="24" s="1"/>
  <c r="BI33" i="5"/>
  <c r="BK316" i="13"/>
  <c r="BT309" i="13" s="1"/>
  <c r="AE51" i="11" s="1"/>
  <c r="BI23" i="5"/>
  <c r="J23" i="5" s="1"/>
  <c r="J23" i="24" s="1"/>
  <c r="Q151" i="5"/>
  <c r="Q151" i="24" s="1"/>
  <c r="BI151" i="5"/>
  <c r="J151" i="5" s="1"/>
  <c r="J151" i="24" s="1"/>
  <c r="BI144" i="5"/>
  <c r="J144" i="5" s="1"/>
  <c r="J144" i="24" s="1"/>
  <c r="BI157" i="5"/>
  <c r="J157" i="5" s="1"/>
  <c r="J157" i="24" s="1"/>
  <c r="Q71" i="5"/>
  <c r="Q71" i="24" s="1"/>
  <c r="BI71" i="5"/>
  <c r="J71" i="5" s="1"/>
  <c r="J71" i="24" s="1"/>
  <c r="Q13" i="5"/>
  <c r="Q13" i="24" s="1"/>
  <c r="BI13" i="5"/>
  <c r="J13" i="5" s="1"/>
  <c r="J13" i="24" s="1"/>
  <c r="AS214" i="11"/>
  <c r="Q28" i="5"/>
  <c r="Q28" i="24" s="1"/>
  <c r="BI28" i="5"/>
  <c r="J28" i="5" s="1"/>
  <c r="J28" i="24" s="1"/>
  <c r="BI155" i="5"/>
  <c r="J155" i="5" s="1"/>
  <c r="J155" i="24" s="1"/>
  <c r="BI97" i="5"/>
  <c r="J97" i="5" s="1"/>
  <c r="J97" i="24" s="1"/>
  <c r="BI183" i="5"/>
  <c r="J183" i="5" s="1"/>
  <c r="J183" i="24" s="1"/>
  <c r="BI25" i="5"/>
  <c r="J25" i="5" s="1"/>
  <c r="J25" i="24" s="1"/>
  <c r="BI30" i="5"/>
  <c r="J30" i="5" s="1"/>
  <c r="J30" i="24" s="1"/>
  <c r="F14" i="16"/>
  <c r="I14" i="16" s="1"/>
  <c r="BI24" i="5"/>
  <c r="J24" i="5" s="1"/>
  <c r="J24" i="24" s="1"/>
  <c r="BI26" i="5"/>
  <c r="BT305" i="13"/>
  <c r="AE47" i="11" s="1"/>
  <c r="Q12" i="5"/>
  <c r="Q12" i="24" s="1"/>
  <c r="BI12" i="5"/>
  <c r="J12" i="5" s="1"/>
  <c r="J12" i="24" s="1"/>
  <c r="CR163" i="13"/>
  <c r="CS163" i="13" s="1"/>
  <c r="F157" i="24"/>
  <c r="BF47" i="5"/>
  <c r="G47" i="5" s="1"/>
  <c r="AD47" i="5" s="1"/>
  <c r="AK36" i="13"/>
  <c r="BO35" i="5" s="1"/>
  <c r="BH25" i="13"/>
  <c r="BM26" i="5" s="1"/>
  <c r="BJ299" i="13"/>
  <c r="BS296" i="13" s="1"/>
  <c r="AD38" i="11" s="1"/>
  <c r="BG47" i="5"/>
  <c r="CR64" i="13"/>
  <c r="CS64" i="13" s="1"/>
  <c r="F62" i="24"/>
  <c r="AI48" i="13"/>
  <c r="BG48" i="5" s="1"/>
  <c r="Q24" i="5"/>
  <c r="Q24" i="24" s="1"/>
  <c r="BO200" i="5"/>
  <c r="AJ236" i="13"/>
  <c r="AT246" i="11" s="1"/>
  <c r="Q97" i="5"/>
  <c r="Q97" i="24" s="1"/>
  <c r="BD236" i="13"/>
  <c r="BE236" i="13" s="1"/>
  <c r="AK236" i="13"/>
  <c r="AU246" i="11" s="1"/>
  <c r="F61" i="24"/>
  <c r="I78" i="5"/>
  <c r="I78" i="24" s="1"/>
  <c r="F207" i="24"/>
  <c r="CR212" i="13"/>
  <c r="CS212" i="13" s="1"/>
  <c r="AI77" i="13"/>
  <c r="BG75" i="5" s="1"/>
  <c r="BH32" i="13"/>
  <c r="BM33" i="5" s="1"/>
  <c r="AK77" i="13"/>
  <c r="AK75" i="13" s="1"/>
  <c r="AK221" i="13" s="1"/>
  <c r="Q23" i="5"/>
  <c r="Q23" i="24" s="1"/>
  <c r="AI50" i="13"/>
  <c r="BG50" i="5" s="1"/>
  <c r="BT311" i="13"/>
  <c r="AE53" i="11" s="1"/>
  <c r="G178" i="24"/>
  <c r="F83" i="16"/>
  <c r="I83" i="16" s="1"/>
  <c r="AU221" i="11"/>
  <c r="BJ315" i="13"/>
  <c r="BS308" i="13" s="1"/>
  <c r="AD50" i="11" s="1"/>
  <c r="BK300" i="13"/>
  <c r="BT297" i="13" s="1"/>
  <c r="AE39" i="11" s="1"/>
  <c r="BJ91" i="13"/>
  <c r="BK307" i="13" s="1"/>
  <c r="BT302" i="13" s="1"/>
  <c r="BJ250" i="13"/>
  <c r="BK250" i="13" s="1"/>
  <c r="BQ137" i="5" s="1"/>
  <c r="X137" i="5" s="1"/>
  <c r="X137" i="24" s="1"/>
  <c r="BD91" i="13"/>
  <c r="AD41" i="13"/>
  <c r="AD59" i="13"/>
  <c r="BF75" i="5"/>
  <c r="G75" i="5" s="1"/>
  <c r="AD75" i="5" s="1"/>
  <c r="AD201" i="13"/>
  <c r="AA231" i="13"/>
  <c r="AA259" i="13" s="1"/>
  <c r="AJ77" i="13"/>
  <c r="BK75" i="5" s="1"/>
  <c r="AD202" i="13"/>
  <c r="AT221" i="11"/>
  <c r="BF209" i="5"/>
  <c r="AD118" i="13"/>
  <c r="AG118" i="13" s="1"/>
  <c r="F65" i="16"/>
  <c r="I65" i="16" s="1"/>
  <c r="BF73" i="5"/>
  <c r="G73" i="5" s="1"/>
  <c r="AD73" i="5" s="1"/>
  <c r="AD204" i="13"/>
  <c r="AD43" i="13"/>
  <c r="G209" i="5"/>
  <c r="BG91" i="13"/>
  <c r="AD213" i="13"/>
  <c r="AF213" i="13" s="1"/>
  <c r="BL208" i="5" s="1"/>
  <c r="P208" i="5" s="1"/>
  <c r="P208" i="24" s="1"/>
  <c r="AD210" i="13"/>
  <c r="AG210" i="13" s="1"/>
  <c r="BP205" i="5" s="1"/>
  <c r="W205" i="5" s="1"/>
  <c r="W205" i="24" s="1"/>
  <c r="AD206" i="13"/>
  <c r="AD208" i="13"/>
  <c r="AD212" i="13"/>
  <c r="AD200" i="13"/>
  <c r="AD203" i="13"/>
  <c r="AK123" i="13"/>
  <c r="BO115" i="5" s="1"/>
  <c r="AS221" i="11"/>
  <c r="BG250" i="13"/>
  <c r="BH250" i="13" s="1"/>
  <c r="BM137" i="5" s="1"/>
  <c r="BS311" i="13"/>
  <c r="AD53" i="11" s="1"/>
  <c r="AD207" i="13"/>
  <c r="BH145" i="13"/>
  <c r="BM138" i="5" s="1"/>
  <c r="AD205" i="13"/>
  <c r="AF205" i="13" s="1"/>
  <c r="BL201" i="5" s="1"/>
  <c r="P201" i="5" s="1"/>
  <c r="P201" i="24" s="1"/>
  <c r="BS310" i="13"/>
  <c r="AD52" i="11" s="1"/>
  <c r="C44" i="11"/>
  <c r="AD209" i="13"/>
  <c r="AG209" i="13" s="1"/>
  <c r="BP204" i="5" s="1"/>
  <c r="W204" i="5" s="1"/>
  <c r="W204" i="24" s="1"/>
  <c r="BR305" i="13"/>
  <c r="AC47" i="11" s="1"/>
  <c r="AD45" i="13"/>
  <c r="AD58" i="13"/>
  <c r="AD56" i="13"/>
  <c r="AD51" i="13"/>
  <c r="AD54" i="13"/>
  <c r="AG54" i="13" s="1"/>
  <c r="BP54" i="5" s="1"/>
  <c r="W54" i="5" s="1"/>
  <c r="W54" i="24" s="1"/>
  <c r="F56" i="16"/>
  <c r="I56" i="16" s="1"/>
  <c r="BK142" i="13"/>
  <c r="BQ134" i="5" s="1"/>
  <c r="X134" i="5" s="1"/>
  <c r="X134" i="24" s="1"/>
  <c r="BF115" i="5"/>
  <c r="AD50" i="13"/>
  <c r="C37" i="11"/>
  <c r="BF63" i="5"/>
  <c r="AD119" i="13"/>
  <c r="AF119" i="13" s="1"/>
  <c r="BL111" i="5" s="1"/>
  <c r="P111" i="5" s="1"/>
  <c r="P111" i="24" s="1"/>
  <c r="AD53" i="13"/>
  <c r="AE53" i="13" s="1"/>
  <c r="BH53" i="5" s="1"/>
  <c r="AD42" i="13"/>
  <c r="G63" i="5"/>
  <c r="G63" i="24" s="1"/>
  <c r="AD117" i="13"/>
  <c r="AD62" i="13"/>
  <c r="AD48" i="13"/>
  <c r="AD39" i="13"/>
  <c r="AJ123" i="13"/>
  <c r="BK115" i="5" s="1"/>
  <c r="AD57" i="13"/>
  <c r="BJ306" i="13"/>
  <c r="BS301" i="13" s="1"/>
  <c r="AD43" i="11" s="1"/>
  <c r="AD49" i="13"/>
  <c r="AD52" i="13"/>
  <c r="AG52" i="13" s="1"/>
  <c r="BP52" i="5" s="1"/>
  <c r="W52" i="5" s="1"/>
  <c r="W52" i="24" s="1"/>
  <c r="AD47" i="13"/>
  <c r="AD55" i="13"/>
  <c r="G115" i="5"/>
  <c r="G115" i="24" s="1"/>
  <c r="AD60" i="13"/>
  <c r="AG60" i="13" s="1"/>
  <c r="BP59" i="5" s="1"/>
  <c r="W59" i="5" s="1"/>
  <c r="W59" i="24" s="1"/>
  <c r="F26" i="16"/>
  <c r="I26" i="16" s="1"/>
  <c r="BI300" i="13"/>
  <c r="BR297" i="13" s="1"/>
  <c r="AC39" i="11" s="1"/>
  <c r="AD40" i="13"/>
  <c r="AD65" i="13"/>
  <c r="AD61" i="13"/>
  <c r="AF61" i="13" s="1"/>
  <c r="BL60" i="5" s="1"/>
  <c r="P60" i="5" s="1"/>
  <c r="P60" i="24" s="1"/>
  <c r="AD44" i="13"/>
  <c r="AI36" i="13"/>
  <c r="J35" i="5" s="1"/>
  <c r="J35" i="24" s="1"/>
  <c r="AD120" i="13"/>
  <c r="AD121" i="13"/>
  <c r="C40" i="11"/>
  <c r="AD114" i="13"/>
  <c r="AF114" i="13" s="1"/>
  <c r="BK73" i="13"/>
  <c r="BQ71" i="5" s="1"/>
  <c r="X71" i="5" s="1"/>
  <c r="X71" i="24" s="1"/>
  <c r="AD63" i="13"/>
  <c r="AI123" i="13"/>
  <c r="BG115" i="5" s="1"/>
  <c r="AD116" i="13"/>
  <c r="AF116" i="13" s="1"/>
  <c r="BE114" i="13"/>
  <c r="BI310" i="13"/>
  <c r="BR304" i="13" s="1"/>
  <c r="AC46" i="11" s="1"/>
  <c r="AD115" i="13"/>
  <c r="BK310" i="13"/>
  <c r="BT304" i="13" s="1"/>
  <c r="AE46" i="11" s="1"/>
  <c r="BK114" i="13"/>
  <c r="BQ105" i="5" s="1"/>
  <c r="X105" i="5" s="1"/>
  <c r="X105" i="24" s="1"/>
  <c r="BJ310" i="13"/>
  <c r="BS304" i="13" s="1"/>
  <c r="AD46" i="11" s="1"/>
  <c r="BH114" i="13"/>
  <c r="BM105" i="5" s="1"/>
  <c r="AJ36" i="13"/>
  <c r="Q35" i="5" s="1"/>
  <c r="Q35" i="24" s="1"/>
  <c r="AD113" i="13"/>
  <c r="AD46" i="13"/>
  <c r="G104" i="24"/>
  <c r="BR310" i="13"/>
  <c r="AC52" i="11" s="1"/>
  <c r="BT310" i="13"/>
  <c r="AE52" i="11" s="1"/>
  <c r="BR312" i="13"/>
  <c r="AC54" i="11" s="1"/>
  <c r="G214" i="5"/>
  <c r="AD214" i="5" s="1"/>
  <c r="AB231" i="13"/>
  <c r="BF214" i="5"/>
  <c r="AK219" i="13"/>
  <c r="AJ219" i="13"/>
  <c r="AI219" i="13"/>
  <c r="F96" i="16"/>
  <c r="BS297" i="13"/>
  <c r="AD39" i="11" s="1"/>
  <c r="BT312" i="13"/>
  <c r="AE54" i="11" s="1"/>
  <c r="BS312" i="13"/>
  <c r="AD54" i="11" s="1"/>
  <c r="Q155" i="5"/>
  <c r="Q155" i="24" s="1"/>
  <c r="BS295" i="13"/>
  <c r="AD37" i="11" s="1"/>
  <c r="AE188" i="13"/>
  <c r="AF188" i="13"/>
  <c r="AG188" i="13"/>
  <c r="Q144" i="5"/>
  <c r="Q144" i="24" s="1"/>
  <c r="BR295" i="13"/>
  <c r="AC37" i="11" s="1"/>
  <c r="G77" i="24"/>
  <c r="Q157" i="5"/>
  <c r="Q157" i="24" s="1"/>
  <c r="BT295" i="13"/>
  <c r="AE37" i="11" s="1"/>
  <c r="H13" i="11"/>
  <c r="M49" i="11" s="1"/>
  <c r="AA7" i="5"/>
  <c r="AA7" i="24" s="1"/>
  <c r="AG101" i="13"/>
  <c r="AF101" i="13"/>
  <c r="AE101" i="13"/>
  <c r="AG151" i="13"/>
  <c r="BP144" i="5" s="1"/>
  <c r="W144" i="5" s="1"/>
  <c r="W144" i="24" s="1"/>
  <c r="AD110" i="13"/>
  <c r="AG122" i="13"/>
  <c r="AF122" i="13"/>
  <c r="AE122" i="13"/>
  <c r="Q30" i="5"/>
  <c r="Q30" i="24" s="1"/>
  <c r="Q183" i="5"/>
  <c r="Q183" i="24" s="1"/>
  <c r="G101" i="24"/>
  <c r="G192" i="24"/>
  <c r="AD197" i="13"/>
  <c r="AE170" i="13"/>
  <c r="AG170" i="13"/>
  <c r="AF170" i="13"/>
  <c r="Q120" i="5"/>
  <c r="Q120" i="24" s="1"/>
  <c r="AE102" i="13"/>
  <c r="BH97" i="5" s="1"/>
  <c r="AG102" i="13"/>
  <c r="BP97" i="5" s="1"/>
  <c r="W97" i="5" s="1"/>
  <c r="W97" i="24" s="1"/>
  <c r="AF102" i="13"/>
  <c r="BL97" i="5" s="1"/>
  <c r="P97" i="5" s="1"/>
  <c r="P97" i="24" s="1"/>
  <c r="Q25" i="5"/>
  <c r="Q25" i="24" s="1"/>
  <c r="BR296" i="13"/>
  <c r="AC38" i="11" s="1"/>
  <c r="AF209" i="13"/>
  <c r="BL204" i="5" s="1"/>
  <c r="P204" i="5" s="1"/>
  <c r="P204" i="24" s="1"/>
  <c r="AE209" i="13"/>
  <c r="BH204" i="5" s="1"/>
  <c r="AE33" i="13"/>
  <c r="BH34" i="5" s="1"/>
  <c r="AF33" i="13"/>
  <c r="BL34" i="5" s="1"/>
  <c r="P34" i="5" s="1"/>
  <c r="P34" i="24" s="1"/>
  <c r="AG33" i="13"/>
  <c r="BP34" i="5" s="1"/>
  <c r="W34" i="5" s="1"/>
  <c r="W34" i="24" s="1"/>
  <c r="AG22" i="13"/>
  <c r="BP23" i="5" s="1"/>
  <c r="W23" i="5" s="1"/>
  <c r="W23" i="24" s="1"/>
  <c r="AE22" i="13"/>
  <c r="BH23" i="5" s="1"/>
  <c r="AE15" i="13"/>
  <c r="BH16" i="5" s="1"/>
  <c r="AF15" i="13"/>
  <c r="BL16" i="5" s="1"/>
  <c r="P16" i="5" s="1"/>
  <c r="P16" i="24" s="1"/>
  <c r="AG15" i="13"/>
  <c r="BP16" i="5" s="1"/>
  <c r="W16" i="5" s="1"/>
  <c r="W16" i="24" s="1"/>
  <c r="AE29" i="13"/>
  <c r="BH30" i="5" s="1"/>
  <c r="AF21" i="13" l="1"/>
  <c r="BL22" i="5" s="1"/>
  <c r="P22" i="5" s="1"/>
  <c r="P22" i="24" s="1"/>
  <c r="AF151" i="13"/>
  <c r="BL144" i="5" s="1"/>
  <c r="P144" i="5" s="1"/>
  <c r="P144" i="24" s="1"/>
  <c r="AE21" i="13"/>
  <c r="BH22" i="5" s="1"/>
  <c r="I22" i="5" s="1"/>
  <c r="I22" i="24" s="1"/>
  <c r="AF136" i="13"/>
  <c r="BL128" i="5" s="1"/>
  <c r="P128" i="5" s="1"/>
  <c r="P128" i="24" s="1"/>
  <c r="AE136" i="13"/>
  <c r="AE134" i="13" s="1"/>
  <c r="BH126" i="5" s="1"/>
  <c r="F40" i="16"/>
  <c r="I40" i="16" s="1"/>
  <c r="AG147" i="13"/>
  <c r="BP140" i="5" s="1"/>
  <c r="W140" i="5" s="1"/>
  <c r="W140" i="24" s="1"/>
  <c r="AF18" i="13"/>
  <c r="BL19" i="5" s="1"/>
  <c r="P19" i="5" s="1"/>
  <c r="P19" i="24" s="1"/>
  <c r="AG18" i="13"/>
  <c r="BP19" i="5" s="1"/>
  <c r="W19" i="5" s="1"/>
  <c r="W19" i="24" s="1"/>
  <c r="AF128" i="13"/>
  <c r="BL120" i="5" s="1"/>
  <c r="P120" i="5" s="1"/>
  <c r="P120" i="24" s="1"/>
  <c r="AE128" i="13"/>
  <c r="BH120" i="5" s="1"/>
  <c r="AE31" i="13"/>
  <c r="BH32" i="5" s="1"/>
  <c r="AG31" i="13"/>
  <c r="BP32" i="5" s="1"/>
  <c r="W32" i="5" s="1"/>
  <c r="W32" i="24" s="1"/>
  <c r="AG25" i="13"/>
  <c r="BP26" i="5" s="1"/>
  <c r="W26" i="5" s="1"/>
  <c r="W26" i="24" s="1"/>
  <c r="AE11" i="13"/>
  <c r="BH12" i="5" s="1"/>
  <c r="AG11" i="13"/>
  <c r="BP12" i="5" s="1"/>
  <c r="W12" i="5" s="1"/>
  <c r="W12" i="24" s="1"/>
  <c r="AD83" i="5"/>
  <c r="G83" i="24"/>
  <c r="AG29" i="13"/>
  <c r="BP30" i="5" s="1"/>
  <c r="W30" i="5" s="1"/>
  <c r="W30" i="24" s="1"/>
  <c r="AE12" i="13"/>
  <c r="BH13" i="5" s="1"/>
  <c r="I13" i="5" s="1"/>
  <c r="I13" i="24" s="1"/>
  <c r="AE150" i="13"/>
  <c r="BH143" i="5" s="1"/>
  <c r="I143" i="5" s="1"/>
  <c r="I143" i="24" s="1"/>
  <c r="AG150" i="13"/>
  <c r="BP143" i="5" s="1"/>
  <c r="W143" i="5" s="1"/>
  <c r="W143" i="24" s="1"/>
  <c r="AF12" i="13"/>
  <c r="BL13" i="5" s="1"/>
  <c r="P13" i="5" s="1"/>
  <c r="P13" i="24" s="1"/>
  <c r="AG129" i="13"/>
  <c r="BP121" i="5" s="1"/>
  <c r="W121" i="5" s="1"/>
  <c r="W121" i="24" s="1"/>
  <c r="AG32" i="13"/>
  <c r="BP33" i="5" s="1"/>
  <c r="W33" i="5" s="1"/>
  <c r="W33" i="24" s="1"/>
  <c r="AF32" i="13"/>
  <c r="BL33" i="5" s="1"/>
  <c r="P33" i="5" s="1"/>
  <c r="P33" i="24" s="1"/>
  <c r="AG146" i="13"/>
  <c r="BP139" i="5" s="1"/>
  <c r="W139" i="5" s="1"/>
  <c r="W139" i="24" s="1"/>
  <c r="AF13" i="13"/>
  <c r="BL14" i="5" s="1"/>
  <c r="P14" i="5" s="1"/>
  <c r="P14" i="24" s="1"/>
  <c r="AE146" i="13"/>
  <c r="BH139" i="5" s="1"/>
  <c r="I139" i="5" s="1"/>
  <c r="I139" i="24" s="1"/>
  <c r="AG13" i="13"/>
  <c r="BP14" i="5" s="1"/>
  <c r="W14" i="5" s="1"/>
  <c r="W14" i="24" s="1"/>
  <c r="AD152" i="13"/>
  <c r="AF145" i="13"/>
  <c r="AF144" i="13" s="1"/>
  <c r="BL136" i="5" s="1"/>
  <c r="P136" i="5" s="1"/>
  <c r="P136" i="24" s="1"/>
  <c r="AE149" i="13"/>
  <c r="AE145" i="13"/>
  <c r="BH138" i="5" s="1"/>
  <c r="AF149" i="13"/>
  <c r="BL142" i="5" s="1"/>
  <c r="P142" i="5" s="1"/>
  <c r="P142" i="24" s="1"/>
  <c r="AD71" i="13"/>
  <c r="AE71" i="13" s="1"/>
  <c r="BH68" i="5" s="1"/>
  <c r="I68" i="5" s="1"/>
  <c r="I68" i="24" s="1"/>
  <c r="AE25" i="13"/>
  <c r="BH26" i="5" s="1"/>
  <c r="AD85" i="13"/>
  <c r="AG85" i="13" s="1"/>
  <c r="BP82" i="5" s="1"/>
  <c r="W82" i="5" s="1"/>
  <c r="W82" i="24" s="1"/>
  <c r="AD93" i="13"/>
  <c r="AF142" i="13"/>
  <c r="BL134" i="5" s="1"/>
  <c r="P134" i="5" s="1"/>
  <c r="P134" i="24" s="1"/>
  <c r="AD81" i="13"/>
  <c r="AF81" i="13" s="1"/>
  <c r="BL79" i="5" s="1"/>
  <c r="P79" i="5" s="1"/>
  <c r="P79" i="24" s="1"/>
  <c r="AD90" i="13"/>
  <c r="G92" i="5"/>
  <c r="G92" i="24" s="1"/>
  <c r="AF17" i="13"/>
  <c r="AD69" i="13"/>
  <c r="AE17" i="13"/>
  <c r="BH18" i="5" s="1"/>
  <c r="AD96" i="13"/>
  <c r="AD94" i="13"/>
  <c r="AG94" i="13" s="1"/>
  <c r="AG93" i="13" s="1"/>
  <c r="BP90" i="5" s="1"/>
  <c r="W90" i="5" s="1"/>
  <c r="W90" i="24" s="1"/>
  <c r="AF137" i="13"/>
  <c r="BL129" i="5" s="1"/>
  <c r="P129" i="5" s="1"/>
  <c r="P129" i="24" s="1"/>
  <c r="AG137" i="13"/>
  <c r="BP129" i="5" s="1"/>
  <c r="W129" i="5" s="1"/>
  <c r="W129" i="24" s="1"/>
  <c r="AF132" i="13"/>
  <c r="BL124" i="5" s="1"/>
  <c r="P124" i="5" s="1"/>
  <c r="P124" i="24" s="1"/>
  <c r="AE147" i="13"/>
  <c r="BH140" i="5" s="1"/>
  <c r="I140" i="5" s="1"/>
  <c r="I140" i="24" s="1"/>
  <c r="AE132" i="13"/>
  <c r="BH124" i="5" s="1"/>
  <c r="AD36" i="13"/>
  <c r="G209" i="24"/>
  <c r="AD209" i="5"/>
  <c r="AE133" i="13"/>
  <c r="BH125" i="5" s="1"/>
  <c r="I125" i="5" s="1"/>
  <c r="I125" i="24" s="1"/>
  <c r="AF133" i="13"/>
  <c r="BL125" i="5" s="1"/>
  <c r="P125" i="5" s="1"/>
  <c r="P125" i="24" s="1"/>
  <c r="AF129" i="13"/>
  <c r="BL121" i="5" s="1"/>
  <c r="P121" i="5" s="1"/>
  <c r="P121" i="24" s="1"/>
  <c r="AE14" i="13"/>
  <c r="BH15" i="5" s="1"/>
  <c r="I15" i="5" s="1"/>
  <c r="I15" i="24" s="1"/>
  <c r="AG24" i="13"/>
  <c r="BP25" i="5" s="1"/>
  <c r="W25" i="5" s="1"/>
  <c r="W25" i="24" s="1"/>
  <c r="AE24" i="13"/>
  <c r="BH25" i="5" s="1"/>
  <c r="I25" i="5" s="1"/>
  <c r="I25" i="24" s="1"/>
  <c r="BL62" i="5"/>
  <c r="P62" i="5" s="1"/>
  <c r="P62" i="24" s="1"/>
  <c r="AF63" i="13"/>
  <c r="BL61" i="5" s="1"/>
  <c r="P61" i="5" s="1"/>
  <c r="P61" i="24" s="1"/>
  <c r="BP62" i="5"/>
  <c r="W62" i="5" s="1"/>
  <c r="W62" i="24" s="1"/>
  <c r="AG63" i="13"/>
  <c r="BP61" i="5" s="1"/>
  <c r="W61" i="5" s="1"/>
  <c r="W61" i="24" s="1"/>
  <c r="AT174" i="11"/>
  <c r="AJ166" i="13"/>
  <c r="BK158" i="5"/>
  <c r="BO158" i="5"/>
  <c r="AK166" i="13"/>
  <c r="AU174" i="11"/>
  <c r="BH62" i="5"/>
  <c r="I62" i="5" s="1"/>
  <c r="I62" i="24" s="1"/>
  <c r="AE63" i="13"/>
  <c r="BH61" i="5" s="1"/>
  <c r="I61" i="5" s="1"/>
  <c r="I61" i="24" s="1"/>
  <c r="BG158" i="5"/>
  <c r="AS174" i="11"/>
  <c r="AI166" i="13"/>
  <c r="AG72" i="13"/>
  <c r="BP69" i="5" s="1"/>
  <c r="W69" i="5" s="1"/>
  <c r="W69" i="24" s="1"/>
  <c r="AD83" i="13"/>
  <c r="G158" i="24"/>
  <c r="AD74" i="13"/>
  <c r="AG74" i="13" s="1"/>
  <c r="BP72" i="5" s="1"/>
  <c r="W72" i="5" s="1"/>
  <c r="W72" i="24" s="1"/>
  <c r="AD160" i="13"/>
  <c r="AD164" i="13"/>
  <c r="AD156" i="13"/>
  <c r="AD162" i="13"/>
  <c r="AD163" i="13"/>
  <c r="AD155" i="13"/>
  <c r="C42" i="11"/>
  <c r="G160" i="5"/>
  <c r="AD161" i="13"/>
  <c r="AD158" i="13"/>
  <c r="AD165" i="13"/>
  <c r="BF160" i="5"/>
  <c r="AD159" i="13"/>
  <c r="AD157" i="13"/>
  <c r="AF20" i="13"/>
  <c r="BL21" i="5" s="1"/>
  <c r="P21" i="5" s="1"/>
  <c r="P21" i="24" s="1"/>
  <c r="I71" i="16"/>
  <c r="F72" i="16"/>
  <c r="I72" i="16" s="1"/>
  <c r="AG120" i="13"/>
  <c r="BP112" i="5" s="1"/>
  <c r="W112" i="5" s="1"/>
  <c r="W112" i="24" s="1"/>
  <c r="AE120" i="13"/>
  <c r="BH112" i="5" s="1"/>
  <c r="I112" i="5" s="1"/>
  <c r="I112" i="24" s="1"/>
  <c r="AF120" i="13"/>
  <c r="BL112" i="5" s="1"/>
  <c r="P112" i="5" s="1"/>
  <c r="P112" i="24" s="1"/>
  <c r="AG20" i="13"/>
  <c r="BP21" i="5" s="1"/>
  <c r="W21" i="5" s="1"/>
  <c r="W21" i="24" s="1"/>
  <c r="AD75" i="13"/>
  <c r="BF92" i="5"/>
  <c r="AD86" i="13"/>
  <c r="AD95" i="13"/>
  <c r="AD92" i="13"/>
  <c r="AF92" i="13" s="1"/>
  <c r="BL89" i="5" s="1"/>
  <c r="P89" i="5" s="1"/>
  <c r="P89" i="24" s="1"/>
  <c r="AD82" i="13"/>
  <c r="AD91" i="13"/>
  <c r="AF91" i="13" s="1"/>
  <c r="BL88" i="5" s="1"/>
  <c r="P88" i="5" s="1"/>
  <c r="P88" i="24" s="1"/>
  <c r="C38" i="11"/>
  <c r="AD70" i="13"/>
  <c r="AG70" i="13" s="1"/>
  <c r="BP67" i="5" s="1"/>
  <c r="W67" i="5" s="1"/>
  <c r="W67" i="24" s="1"/>
  <c r="AE72" i="13"/>
  <c r="BH69" i="5" s="1"/>
  <c r="I69" i="5" s="1"/>
  <c r="I69" i="24" s="1"/>
  <c r="AD76" i="13"/>
  <c r="AG76" i="13" s="1"/>
  <c r="BP74" i="5" s="1"/>
  <c r="W74" i="5" s="1"/>
  <c r="W74" i="24" s="1"/>
  <c r="AD80" i="13"/>
  <c r="AG80" i="13" s="1"/>
  <c r="BP78" i="5" s="1"/>
  <c r="W78" i="5" s="1"/>
  <c r="W78" i="24" s="1"/>
  <c r="AD77" i="13"/>
  <c r="AG77" i="13" s="1"/>
  <c r="BP75" i="5" s="1"/>
  <c r="W75" i="5" s="1"/>
  <c r="W75" i="24" s="1"/>
  <c r="AE28" i="13"/>
  <c r="BH29" i="5" s="1"/>
  <c r="I29" i="5" s="1"/>
  <c r="I29" i="24" s="1"/>
  <c r="AD89" i="13"/>
  <c r="AE89" i="13" s="1"/>
  <c r="BH86" i="5" s="1"/>
  <c r="I86" i="5" s="1"/>
  <c r="I86" i="24" s="1"/>
  <c r="AD73" i="13"/>
  <c r="AG73" i="13" s="1"/>
  <c r="BP71" i="5" s="1"/>
  <c r="W71" i="5" s="1"/>
  <c r="W71" i="24" s="1"/>
  <c r="AD87" i="13"/>
  <c r="AG87" i="13" s="1"/>
  <c r="BP84" i="5" s="1"/>
  <c r="W84" i="5" s="1"/>
  <c r="W84" i="24" s="1"/>
  <c r="AF23" i="13"/>
  <c r="BL24" i="5" s="1"/>
  <c r="P24" i="5" s="1"/>
  <c r="P24" i="24" s="1"/>
  <c r="AD78" i="13"/>
  <c r="AD88" i="13"/>
  <c r="AF88" i="13" s="1"/>
  <c r="BL85" i="5" s="1"/>
  <c r="P85" i="5" s="1"/>
  <c r="P85" i="24" s="1"/>
  <c r="AD79" i="13"/>
  <c r="AD84" i="13"/>
  <c r="AG84" i="13" s="1"/>
  <c r="BP81" i="5" s="1"/>
  <c r="W81" i="5" s="1"/>
  <c r="W81" i="24" s="1"/>
  <c r="BG49" i="5"/>
  <c r="BR49" i="13"/>
  <c r="BD49" i="13"/>
  <c r="BE49" i="13" s="1"/>
  <c r="BI49" i="5" s="1"/>
  <c r="AF14" i="13"/>
  <c r="BL15" i="5" s="1"/>
  <c r="P15" i="5" s="1"/>
  <c r="P15" i="24" s="1"/>
  <c r="AF28" i="13"/>
  <c r="BL29" i="5" s="1"/>
  <c r="P29" i="5" s="1"/>
  <c r="P29" i="24" s="1"/>
  <c r="AF27" i="13"/>
  <c r="BL28" i="5" s="1"/>
  <c r="P28" i="5" s="1"/>
  <c r="P28" i="24" s="1"/>
  <c r="AG23" i="13"/>
  <c r="BP24" i="5" s="1"/>
  <c r="W24" i="5" s="1"/>
  <c r="W24" i="24" s="1"/>
  <c r="AG27" i="13"/>
  <c r="G47" i="24"/>
  <c r="AE49" i="13"/>
  <c r="BH49" i="5" s="1"/>
  <c r="I49" i="5" s="1"/>
  <c r="I49" i="24" s="1"/>
  <c r="BO75" i="5"/>
  <c r="AF210" i="13"/>
  <c r="BL205" i="5" s="1"/>
  <c r="P205" i="5" s="1"/>
  <c r="P205" i="24" s="1"/>
  <c r="AE48" i="13"/>
  <c r="BH48" i="5" s="1"/>
  <c r="I48" i="5" s="1"/>
  <c r="I48" i="24" s="1"/>
  <c r="BI47" i="5"/>
  <c r="BK47" i="5"/>
  <c r="J236" i="5"/>
  <c r="BI105" i="5"/>
  <c r="J105" i="5" s="1"/>
  <c r="J105" i="24" s="1"/>
  <c r="I34" i="5"/>
  <c r="I34" i="24" s="1"/>
  <c r="F154" i="24"/>
  <c r="I204" i="5"/>
  <c r="I204" i="24" s="1"/>
  <c r="AK48" i="13"/>
  <c r="I53" i="5"/>
  <c r="I53" i="24" s="1"/>
  <c r="AI46" i="13"/>
  <c r="BG46" i="5" s="1"/>
  <c r="AK97" i="13"/>
  <c r="X92" i="5" s="1"/>
  <c r="X92" i="24" s="1"/>
  <c r="BO73" i="5"/>
  <c r="BI304" i="13"/>
  <c r="AI75" i="13"/>
  <c r="T265" i="13" s="1"/>
  <c r="BJ236" i="13"/>
  <c r="BK236" i="13" s="1"/>
  <c r="BQ47" i="5" s="1"/>
  <c r="X47" i="5" s="1"/>
  <c r="X47" i="24" s="1"/>
  <c r="X35" i="5"/>
  <c r="X35" i="24" s="1"/>
  <c r="I23" i="5"/>
  <c r="I23" i="24" s="1"/>
  <c r="AK49" i="13"/>
  <c r="BT49" i="13" s="1"/>
  <c r="Q137" i="5"/>
  <c r="Q137" i="24" s="1"/>
  <c r="J137" i="5"/>
  <c r="J137" i="24" s="1"/>
  <c r="I97" i="5"/>
  <c r="I97" i="24" s="1"/>
  <c r="H36" i="11"/>
  <c r="I36" i="11" s="1"/>
  <c r="M36" i="11" s="1"/>
  <c r="AF23" i="11" s="1"/>
  <c r="I14" i="5"/>
  <c r="I14" i="24" s="1"/>
  <c r="Q26" i="5"/>
  <c r="Q26" i="24" s="1"/>
  <c r="J26" i="5"/>
  <c r="J26" i="24" s="1"/>
  <c r="CR157" i="13"/>
  <c r="CS157" i="13" s="1"/>
  <c r="F151" i="24"/>
  <c r="I129" i="5"/>
  <c r="I129" i="24" s="1"/>
  <c r="BG236" i="13"/>
  <c r="BH236" i="13" s="1"/>
  <c r="BM47" i="5" s="1"/>
  <c r="Q33" i="5"/>
  <c r="Q33" i="24" s="1"/>
  <c r="J33" i="5"/>
  <c r="J33" i="24" s="1"/>
  <c r="I33" i="5"/>
  <c r="I33" i="24" s="1"/>
  <c r="I121" i="5"/>
  <c r="I121" i="24" s="1"/>
  <c r="BO47" i="5"/>
  <c r="AE50" i="13"/>
  <c r="BH50" i="5" s="1"/>
  <c r="I26" i="5"/>
  <c r="I26" i="24" s="1"/>
  <c r="I24" i="5"/>
  <c r="I24" i="24" s="1"/>
  <c r="AJ50" i="13"/>
  <c r="BK50" i="5" s="1"/>
  <c r="AJ48" i="13"/>
  <c r="BK48" i="5" s="1"/>
  <c r="Q138" i="5"/>
  <c r="Q138" i="24" s="1"/>
  <c r="J138" i="5"/>
  <c r="J138" i="24" s="1"/>
  <c r="I30" i="5"/>
  <c r="I30" i="24" s="1"/>
  <c r="F78" i="24"/>
  <c r="CR80" i="13"/>
  <c r="CS80" i="13" s="1"/>
  <c r="I19" i="5"/>
  <c r="I19" i="24" s="1"/>
  <c r="I16" i="5"/>
  <c r="I16" i="24" s="1"/>
  <c r="I144" i="5"/>
  <c r="I144" i="24" s="1"/>
  <c r="G75" i="24"/>
  <c r="F158" i="24"/>
  <c r="AK50" i="13"/>
  <c r="AG50" i="13" s="1"/>
  <c r="BP50" i="5" s="1"/>
  <c r="W50" i="5" s="1"/>
  <c r="W50" i="24" s="1"/>
  <c r="AJ49" i="13"/>
  <c r="BS49" i="13" s="1"/>
  <c r="X115" i="5"/>
  <c r="X115" i="24" s="1"/>
  <c r="H40" i="11"/>
  <c r="I40" i="11" s="1"/>
  <c r="M40" i="11" s="1"/>
  <c r="AF27" i="11" s="1"/>
  <c r="AD214" i="13"/>
  <c r="BK91" i="13"/>
  <c r="BQ88" i="5" s="1"/>
  <c r="X88" i="5" s="1"/>
  <c r="X88" i="24" s="1"/>
  <c r="BG35" i="5"/>
  <c r="D36" i="11"/>
  <c r="E36" i="11" s="1"/>
  <c r="K36" i="11" s="1"/>
  <c r="AD23" i="11" s="1"/>
  <c r="BJ307" i="13"/>
  <c r="BS302" i="13" s="1"/>
  <c r="BH91" i="13"/>
  <c r="BM88" i="5" s="1"/>
  <c r="AG213" i="13"/>
  <c r="BP208" i="5" s="1"/>
  <c r="W208" i="5" s="1"/>
  <c r="W208" i="24" s="1"/>
  <c r="AE60" i="13"/>
  <c r="BH59" i="5" s="1"/>
  <c r="AE205" i="13"/>
  <c r="BH201" i="5" s="1"/>
  <c r="G73" i="24"/>
  <c r="AJ75" i="13"/>
  <c r="BK73" i="5" s="1"/>
  <c r="AE118" i="13"/>
  <c r="BH110" i="5" s="1"/>
  <c r="AF211" i="13"/>
  <c r="BL206" i="5" s="1"/>
  <c r="P206" i="5" s="1"/>
  <c r="P206" i="24" s="1"/>
  <c r="AF118" i="13"/>
  <c r="AE54" i="13"/>
  <c r="BH54" i="5" s="1"/>
  <c r="AE210" i="13"/>
  <c r="BH205" i="5" s="1"/>
  <c r="AF60" i="13"/>
  <c r="BL59" i="5" s="1"/>
  <c r="P59" i="5" s="1"/>
  <c r="P59" i="24" s="1"/>
  <c r="AE213" i="13"/>
  <c r="BH208" i="5" s="1"/>
  <c r="AF54" i="13"/>
  <c r="BL54" i="5" s="1"/>
  <c r="P54" i="5" s="1"/>
  <c r="P54" i="24" s="1"/>
  <c r="BE91" i="13"/>
  <c r="BI307" i="13"/>
  <c r="BR302" i="13" s="1"/>
  <c r="AF44" i="11" s="1"/>
  <c r="AF204" i="13"/>
  <c r="BL200" i="5" s="1"/>
  <c r="P200" i="5" s="1"/>
  <c r="P200" i="24" s="1"/>
  <c r="AE119" i="13"/>
  <c r="BH111" i="5" s="1"/>
  <c r="AD66" i="13"/>
  <c r="AG205" i="13"/>
  <c r="BP201" i="5" s="1"/>
  <c r="W201" i="5" s="1"/>
  <c r="W201" i="24" s="1"/>
  <c r="AF85" i="13"/>
  <c r="BL82" i="5" s="1"/>
  <c r="P82" i="5" s="1"/>
  <c r="P82" i="24" s="1"/>
  <c r="AF53" i="13"/>
  <c r="BL53" i="5" s="1"/>
  <c r="P53" i="5" s="1"/>
  <c r="P53" i="24" s="1"/>
  <c r="AG119" i="13"/>
  <c r="BP111" i="5" s="1"/>
  <c r="W111" i="5" s="1"/>
  <c r="W111" i="24" s="1"/>
  <c r="J115" i="5"/>
  <c r="J115" i="24" s="1"/>
  <c r="AD123" i="13"/>
  <c r="AF52" i="13"/>
  <c r="BL52" i="5" s="1"/>
  <c r="P52" i="5" s="1"/>
  <c r="P52" i="24" s="1"/>
  <c r="D40" i="11"/>
  <c r="E40" i="11" s="1"/>
  <c r="K40" i="11" s="1"/>
  <c r="AD27" i="11" s="1"/>
  <c r="AG114" i="13"/>
  <c r="BP105" i="5" s="1"/>
  <c r="W105" i="5" s="1"/>
  <c r="W105" i="24" s="1"/>
  <c r="Q115" i="5"/>
  <c r="Q115" i="24" s="1"/>
  <c r="F40" i="11"/>
  <c r="G40" i="11" s="1"/>
  <c r="L40" i="11" s="1"/>
  <c r="AE27" i="11" s="1"/>
  <c r="AG53" i="13"/>
  <c r="BP53" i="5" s="1"/>
  <c r="W53" i="5" s="1"/>
  <c r="W53" i="24" s="1"/>
  <c r="AG61" i="13"/>
  <c r="BP60" i="5" s="1"/>
  <c r="W60" i="5" s="1"/>
  <c r="W60" i="24" s="1"/>
  <c r="AE114" i="13"/>
  <c r="BH105" i="5" s="1"/>
  <c r="AE61" i="13"/>
  <c r="BH60" i="5" s="1"/>
  <c r="AE116" i="13"/>
  <c r="AE115" i="13" s="1"/>
  <c r="BH107" i="5" s="1"/>
  <c r="AE52" i="13"/>
  <c r="BH52" i="5" s="1"/>
  <c r="AG116" i="13"/>
  <c r="AG115" i="13" s="1"/>
  <c r="BP107" i="5" s="1"/>
  <c r="W107" i="5" s="1"/>
  <c r="W107" i="24" s="1"/>
  <c r="BK35" i="5"/>
  <c r="F36" i="11"/>
  <c r="G36" i="11" s="1"/>
  <c r="L36" i="11" s="1"/>
  <c r="AE23" i="11" s="1"/>
  <c r="Q105" i="5"/>
  <c r="Q105" i="24" s="1"/>
  <c r="BO216" i="5"/>
  <c r="AU231" i="11"/>
  <c r="F107" i="16"/>
  <c r="I107" i="16" s="1"/>
  <c r="I96" i="16"/>
  <c r="AT229" i="11"/>
  <c r="BK214" i="5"/>
  <c r="AU229" i="11"/>
  <c r="BO214" i="5"/>
  <c r="AK231" i="13"/>
  <c r="AS229" i="11"/>
  <c r="BG214" i="5"/>
  <c r="AD226" i="13"/>
  <c r="AD225" i="13"/>
  <c r="AD224" i="13"/>
  <c r="AD223" i="13"/>
  <c r="AD222" i="13"/>
  <c r="AD219" i="13"/>
  <c r="AB258" i="13"/>
  <c r="C45" i="11"/>
  <c r="BD260" i="13"/>
  <c r="AD220" i="13"/>
  <c r="AD218" i="13"/>
  <c r="AD228" i="13"/>
  <c r="AD229" i="13"/>
  <c r="AD217" i="13"/>
  <c r="BJ260" i="13"/>
  <c r="BF226" i="5"/>
  <c r="AD230" i="13"/>
  <c r="AD227" i="13"/>
  <c r="AD221" i="13"/>
  <c r="G226" i="5"/>
  <c r="AD226" i="5" s="1"/>
  <c r="BG260" i="13"/>
  <c r="G214" i="24"/>
  <c r="BP128" i="5"/>
  <c r="W128" i="5" s="1"/>
  <c r="W128" i="24" s="1"/>
  <c r="BH183" i="5"/>
  <c r="AE187" i="13"/>
  <c r="BH182" i="5" s="1"/>
  <c r="BP110" i="5"/>
  <c r="W110" i="5" s="1"/>
  <c r="W110" i="24" s="1"/>
  <c r="AF115" i="13"/>
  <c r="BL107" i="5" s="1"/>
  <c r="P107" i="5" s="1"/>
  <c r="P107" i="24" s="1"/>
  <c r="BL108" i="5"/>
  <c r="P108" i="5" s="1"/>
  <c r="P108" i="24" s="1"/>
  <c r="AG187" i="13"/>
  <c r="BP182" i="5" s="1"/>
  <c r="W182" i="5" s="1"/>
  <c r="W182" i="24" s="1"/>
  <c r="BP183" i="5"/>
  <c r="W183" i="5" s="1"/>
  <c r="W183" i="24" s="1"/>
  <c r="BP124" i="5"/>
  <c r="W124" i="5" s="1"/>
  <c r="W124" i="24" s="1"/>
  <c r="AG130" i="13"/>
  <c r="BP122" i="5" s="1"/>
  <c r="W122" i="5" s="1"/>
  <c r="W122" i="24" s="1"/>
  <c r="AF187" i="13"/>
  <c r="BL182" i="5" s="1"/>
  <c r="P182" i="5" s="1"/>
  <c r="P182" i="24" s="1"/>
  <c r="BL183" i="5"/>
  <c r="P183" i="5" s="1"/>
  <c r="P183" i="24" s="1"/>
  <c r="BL105" i="5"/>
  <c r="P105" i="5" s="1"/>
  <c r="P105" i="24" s="1"/>
  <c r="AF113" i="13"/>
  <c r="BH114" i="5"/>
  <c r="AE121" i="13"/>
  <c r="BH113" i="5" s="1"/>
  <c r="BP138" i="5"/>
  <c r="W138" i="5" s="1"/>
  <c r="W138" i="24" s="1"/>
  <c r="BP142" i="5"/>
  <c r="W142" i="5" s="1"/>
  <c r="W142" i="24" s="1"/>
  <c r="BP164" i="5"/>
  <c r="W164" i="5" s="1"/>
  <c r="W164" i="24" s="1"/>
  <c r="AG169" i="13"/>
  <c r="BP163" i="5" s="1"/>
  <c r="W163" i="5" s="1"/>
  <c r="W163" i="24" s="1"/>
  <c r="BH164" i="5"/>
  <c r="AE169" i="13"/>
  <c r="BH163" i="5" s="1"/>
  <c r="BL114" i="5"/>
  <c r="P114" i="5" s="1"/>
  <c r="P114" i="24" s="1"/>
  <c r="AF121" i="13"/>
  <c r="BL113" i="5" s="1"/>
  <c r="P113" i="5" s="1"/>
  <c r="P113" i="24" s="1"/>
  <c r="BH96" i="5"/>
  <c r="AE100" i="13"/>
  <c r="BP120" i="5"/>
  <c r="W120" i="5" s="1"/>
  <c r="W120" i="24" s="1"/>
  <c r="BP96" i="5"/>
  <c r="W96" i="5" s="1"/>
  <c r="W96" i="24" s="1"/>
  <c r="AG100" i="13"/>
  <c r="BL164" i="5"/>
  <c r="P164" i="5" s="1"/>
  <c r="P164" i="24" s="1"/>
  <c r="AF169" i="13"/>
  <c r="BL163" i="5" s="1"/>
  <c r="P163" i="5" s="1"/>
  <c r="P163" i="24" s="1"/>
  <c r="AG121" i="13"/>
  <c r="BP113" i="5" s="1"/>
  <c r="W113" i="5" s="1"/>
  <c r="W113" i="24" s="1"/>
  <c r="BP114" i="5"/>
  <c r="W114" i="5" s="1"/>
  <c r="W114" i="24" s="1"/>
  <c r="BL96" i="5"/>
  <c r="P96" i="5" s="1"/>
  <c r="P96" i="24" s="1"/>
  <c r="AF100" i="13"/>
  <c r="AG208" i="13"/>
  <c r="BP203" i="5" s="1"/>
  <c r="W203" i="5" s="1"/>
  <c r="W203" i="24" s="1"/>
  <c r="BL12" i="5"/>
  <c r="P12" i="5" s="1"/>
  <c r="P12" i="24" s="1"/>
  <c r="BH21" i="5"/>
  <c r="BP18" i="5"/>
  <c r="W18" i="5" s="1"/>
  <c r="W18" i="24" s="1"/>
  <c r="BH28" i="5"/>
  <c r="BL32" i="5"/>
  <c r="P32" i="5" s="1"/>
  <c r="P32" i="24" s="1"/>
  <c r="BH128" i="5" l="1"/>
  <c r="AG16" i="13"/>
  <c r="BP17" i="5" s="1"/>
  <c r="W17" i="5" s="1"/>
  <c r="W17" i="24" s="1"/>
  <c r="AE91" i="13"/>
  <c r="BH88" i="5" s="1"/>
  <c r="AE126" i="13"/>
  <c r="BH118" i="5" s="1"/>
  <c r="AF16" i="13"/>
  <c r="BL17" i="5" s="1"/>
  <c r="P17" i="5" s="1"/>
  <c r="P17" i="24" s="1"/>
  <c r="AE85" i="13"/>
  <c r="BH82" i="5" s="1"/>
  <c r="AG10" i="13"/>
  <c r="AG30" i="13"/>
  <c r="BP31" i="5" s="1"/>
  <c r="W31" i="5" s="1"/>
  <c r="W31" i="24" s="1"/>
  <c r="AE92" i="13"/>
  <c r="BH89" i="5" s="1"/>
  <c r="I89" i="5" s="1"/>
  <c r="I89" i="24" s="1"/>
  <c r="AG92" i="13"/>
  <c r="BP89" i="5" s="1"/>
  <c r="W89" i="5" s="1"/>
  <c r="W89" i="24" s="1"/>
  <c r="AE19" i="13"/>
  <c r="BH20" i="5" s="1"/>
  <c r="I20" i="5" s="1"/>
  <c r="I20" i="24" s="1"/>
  <c r="AE81" i="13"/>
  <c r="BH79" i="5" s="1"/>
  <c r="AG81" i="13"/>
  <c r="BP79" i="5" s="1"/>
  <c r="W79" i="5" s="1"/>
  <c r="W79" i="24" s="1"/>
  <c r="AG26" i="13"/>
  <c r="BP27" i="5" s="1"/>
  <c r="W27" i="5" s="1"/>
  <c r="W27" i="24" s="1"/>
  <c r="AG144" i="13"/>
  <c r="BP136" i="5" s="1"/>
  <c r="W136" i="5" s="1"/>
  <c r="W136" i="24" s="1"/>
  <c r="AG148" i="13"/>
  <c r="BP141" i="5" s="1"/>
  <c r="W141" i="5" s="1"/>
  <c r="W141" i="24" s="1"/>
  <c r="AE30" i="13"/>
  <c r="BH31" i="5" s="1"/>
  <c r="I31" i="5" s="1"/>
  <c r="I31" i="24" s="1"/>
  <c r="AF30" i="13"/>
  <c r="BL31" i="5" s="1"/>
  <c r="P31" i="5" s="1"/>
  <c r="P31" i="24" s="1"/>
  <c r="AE10" i="13"/>
  <c r="BH11" i="5" s="1"/>
  <c r="AE148" i="13"/>
  <c r="BH141" i="5" s="1"/>
  <c r="I141" i="5" s="1"/>
  <c r="I141" i="24" s="1"/>
  <c r="AG126" i="13"/>
  <c r="BP118" i="5" s="1"/>
  <c r="W118" i="5" s="1"/>
  <c r="W118" i="24" s="1"/>
  <c r="BL138" i="5"/>
  <c r="P138" i="5" s="1"/>
  <c r="P138" i="24" s="1"/>
  <c r="AF148" i="13"/>
  <c r="BL141" i="5" s="1"/>
  <c r="P141" i="5" s="1"/>
  <c r="P141" i="24" s="1"/>
  <c r="AF90" i="13"/>
  <c r="BL87" i="5" s="1"/>
  <c r="P87" i="5" s="1"/>
  <c r="P87" i="24" s="1"/>
  <c r="BH142" i="5"/>
  <c r="I142" i="5" s="1"/>
  <c r="I142" i="24" s="1"/>
  <c r="AF26" i="13"/>
  <c r="BL27" i="5" s="1"/>
  <c r="P27" i="5" s="1"/>
  <c r="P27" i="24" s="1"/>
  <c r="AF71" i="13"/>
  <c r="BL68" i="5" s="1"/>
  <c r="P68" i="5" s="1"/>
  <c r="P68" i="24" s="1"/>
  <c r="AG71" i="13"/>
  <c r="BP68" i="5" s="1"/>
  <c r="W68" i="5" s="1"/>
  <c r="W68" i="24" s="1"/>
  <c r="AG134" i="13"/>
  <c r="BP126" i="5" s="1"/>
  <c r="W126" i="5" s="1"/>
  <c r="W126" i="24" s="1"/>
  <c r="AF134" i="13"/>
  <c r="BL126" i="5" s="1"/>
  <c r="P126" i="5" s="1"/>
  <c r="P126" i="24" s="1"/>
  <c r="AF79" i="13"/>
  <c r="BL77" i="5" s="1"/>
  <c r="P77" i="5" s="1"/>
  <c r="P77" i="24" s="1"/>
  <c r="AF10" i="13"/>
  <c r="BL11" i="5" s="1"/>
  <c r="P11" i="5" s="1"/>
  <c r="P11" i="24" s="1"/>
  <c r="AE144" i="13"/>
  <c r="BH136" i="5" s="1"/>
  <c r="I136" i="5" s="1"/>
  <c r="I136" i="24" s="1"/>
  <c r="AE130" i="13"/>
  <c r="BH122" i="5" s="1"/>
  <c r="I122" i="5" s="1"/>
  <c r="I122" i="24" s="1"/>
  <c r="AE94" i="13"/>
  <c r="AE93" i="13" s="1"/>
  <c r="BH90" i="5" s="1"/>
  <c r="I90" i="5" s="1"/>
  <c r="I90" i="24" s="1"/>
  <c r="AF94" i="13"/>
  <c r="BL91" i="5" s="1"/>
  <c r="P91" i="5" s="1"/>
  <c r="P91" i="24" s="1"/>
  <c r="BP91" i="5"/>
  <c r="W91" i="5" s="1"/>
  <c r="W91" i="24" s="1"/>
  <c r="AG88" i="13"/>
  <c r="BP85" i="5" s="1"/>
  <c r="W85" i="5" s="1"/>
  <c r="W85" i="24" s="1"/>
  <c r="AF126" i="13"/>
  <c r="BL118" i="5" s="1"/>
  <c r="P118" i="5" s="1"/>
  <c r="P118" i="24" s="1"/>
  <c r="BL18" i="5"/>
  <c r="P18" i="5" s="1"/>
  <c r="P18" i="24" s="1"/>
  <c r="AF74" i="13"/>
  <c r="BL72" i="5" s="1"/>
  <c r="P72" i="5" s="1"/>
  <c r="P72" i="24" s="1"/>
  <c r="AE16" i="13"/>
  <c r="BH17" i="5" s="1"/>
  <c r="I17" i="5" s="1"/>
  <c r="I17" i="24" s="1"/>
  <c r="AE74" i="13"/>
  <c r="BH72" i="5" s="1"/>
  <c r="I72" i="5" s="1"/>
  <c r="I72" i="24" s="1"/>
  <c r="AF130" i="13"/>
  <c r="BL122" i="5" s="1"/>
  <c r="P122" i="5" s="1"/>
  <c r="P122" i="24" s="1"/>
  <c r="AF70" i="13"/>
  <c r="BL67" i="5" s="1"/>
  <c r="P67" i="5" s="1"/>
  <c r="P67" i="24" s="1"/>
  <c r="BP28" i="5"/>
  <c r="W28" i="5" s="1"/>
  <c r="W28" i="24" s="1"/>
  <c r="AD97" i="13"/>
  <c r="AE165" i="13"/>
  <c r="AE164" i="13" s="1"/>
  <c r="BH158" i="5" s="1"/>
  <c r="I158" i="5" s="1"/>
  <c r="I158" i="24" s="1"/>
  <c r="AG165" i="13"/>
  <c r="AF165" i="13"/>
  <c r="AE84" i="13"/>
  <c r="BH81" i="5" s="1"/>
  <c r="I81" i="5" s="1"/>
  <c r="I81" i="24" s="1"/>
  <c r="AE161" i="13"/>
  <c r="AE160" i="13" s="1"/>
  <c r="BH154" i="5" s="1"/>
  <c r="I154" i="5" s="1"/>
  <c r="I154" i="24" s="1"/>
  <c r="AG161" i="13"/>
  <c r="AF161" i="13"/>
  <c r="AF117" i="13"/>
  <c r="BL109" i="5" s="1"/>
  <c r="P109" i="5" s="1"/>
  <c r="P109" i="24" s="1"/>
  <c r="AF77" i="13"/>
  <c r="BL75" i="5" s="1"/>
  <c r="P75" i="5" s="1"/>
  <c r="P75" i="24" s="1"/>
  <c r="AF89" i="13"/>
  <c r="BL86" i="5" s="1"/>
  <c r="P86" i="5" s="1"/>
  <c r="P86" i="24" s="1"/>
  <c r="AF73" i="13"/>
  <c r="BL71" i="5" s="1"/>
  <c r="P71" i="5" s="1"/>
  <c r="P71" i="24" s="1"/>
  <c r="AG91" i="13"/>
  <c r="AG90" i="13" s="1"/>
  <c r="BP87" i="5" s="1"/>
  <c r="W87" i="5" s="1"/>
  <c r="W87" i="24" s="1"/>
  <c r="BI305" i="13"/>
  <c r="BR300" i="13" s="1"/>
  <c r="AC42" i="11" s="1"/>
  <c r="AE73" i="13"/>
  <c r="BH71" i="5" s="1"/>
  <c r="I71" i="5" s="1"/>
  <c r="I71" i="24" s="1"/>
  <c r="D42" i="11"/>
  <c r="E42" i="11" s="1"/>
  <c r="K42" i="11" s="1"/>
  <c r="AD29" i="11" s="1"/>
  <c r="BG160" i="5"/>
  <c r="J160" i="5"/>
  <c r="J160" i="24" s="1"/>
  <c r="AS176" i="11"/>
  <c r="AG78" i="13"/>
  <c r="BP76" i="5" s="1"/>
  <c r="W76" i="5" s="1"/>
  <c r="W76" i="24" s="1"/>
  <c r="AE78" i="13"/>
  <c r="BH76" i="5" s="1"/>
  <c r="I76" i="5" s="1"/>
  <c r="I76" i="24" s="1"/>
  <c r="AF78" i="13"/>
  <c r="BL76" i="5" s="1"/>
  <c r="P76" i="5" s="1"/>
  <c r="P76" i="24" s="1"/>
  <c r="AE157" i="13"/>
  <c r="BH151" i="5" s="1"/>
  <c r="I151" i="5" s="1"/>
  <c r="I151" i="24" s="1"/>
  <c r="AG157" i="13"/>
  <c r="BP151" i="5" s="1"/>
  <c r="W151" i="5" s="1"/>
  <c r="W151" i="24" s="1"/>
  <c r="AF157" i="13"/>
  <c r="BL151" i="5" s="1"/>
  <c r="P151" i="5" s="1"/>
  <c r="P151" i="24" s="1"/>
  <c r="BO160" i="5"/>
  <c r="H42" i="11"/>
  <c r="I42" i="11" s="1"/>
  <c r="M42" i="11" s="1"/>
  <c r="AF29" i="11" s="1"/>
  <c r="AU176" i="11"/>
  <c r="X160" i="5"/>
  <c r="X160" i="24" s="1"/>
  <c r="G160" i="24"/>
  <c r="BK160" i="5"/>
  <c r="AT176" i="11"/>
  <c r="F42" i="11"/>
  <c r="G42" i="11" s="1"/>
  <c r="L42" i="11" s="1"/>
  <c r="AE29" i="11" s="1"/>
  <c r="Q160" i="5"/>
  <c r="Q160" i="24" s="1"/>
  <c r="AD166" i="13"/>
  <c r="AE163" i="13"/>
  <c r="AF163" i="13"/>
  <c r="AG163" i="13"/>
  <c r="AF158" i="13"/>
  <c r="BL152" i="5" s="1"/>
  <c r="P152" i="5" s="1"/>
  <c r="P152" i="24" s="1"/>
  <c r="AG158" i="13"/>
  <c r="BP152" i="5" s="1"/>
  <c r="W152" i="5" s="1"/>
  <c r="W152" i="24" s="1"/>
  <c r="AE158" i="13"/>
  <c r="BH152" i="5" s="1"/>
  <c r="I152" i="5" s="1"/>
  <c r="I152" i="24" s="1"/>
  <c r="C46" i="11"/>
  <c r="AG156" i="13"/>
  <c r="AF156" i="13"/>
  <c r="AE156" i="13"/>
  <c r="AG89" i="13"/>
  <c r="BP86" i="5" s="1"/>
  <c r="W86" i="5" s="1"/>
  <c r="W86" i="24" s="1"/>
  <c r="AF84" i="13"/>
  <c r="BL81" i="5" s="1"/>
  <c r="P81" i="5" s="1"/>
  <c r="P81" i="24" s="1"/>
  <c r="AE88" i="13"/>
  <c r="BH85" i="5" s="1"/>
  <c r="I85" i="5" s="1"/>
  <c r="I85" i="24" s="1"/>
  <c r="AG83" i="13"/>
  <c r="BP80" i="5" s="1"/>
  <c r="W80" i="5" s="1"/>
  <c r="W80" i="24" s="1"/>
  <c r="AE87" i="13"/>
  <c r="BH84" i="5" s="1"/>
  <c r="I84" i="5" s="1"/>
  <c r="I84" i="24" s="1"/>
  <c r="AF19" i="13"/>
  <c r="BL20" i="5" s="1"/>
  <c r="P20" i="5" s="1"/>
  <c r="P20" i="24" s="1"/>
  <c r="AF87" i="13"/>
  <c r="BL84" i="5" s="1"/>
  <c r="P84" i="5" s="1"/>
  <c r="P84" i="24" s="1"/>
  <c r="AE77" i="13"/>
  <c r="BH75" i="5" s="1"/>
  <c r="I75" i="5" s="1"/>
  <c r="I75" i="24" s="1"/>
  <c r="AE76" i="13"/>
  <c r="BH74" i="5" s="1"/>
  <c r="I74" i="5" s="1"/>
  <c r="I74" i="24" s="1"/>
  <c r="AE26" i="13"/>
  <c r="BH27" i="5" s="1"/>
  <c r="I27" i="5" s="1"/>
  <c r="I27" i="24" s="1"/>
  <c r="AF76" i="13"/>
  <c r="BL74" i="5" s="1"/>
  <c r="P74" i="5" s="1"/>
  <c r="P74" i="24" s="1"/>
  <c r="AJ97" i="13"/>
  <c r="BK92" i="5" s="1"/>
  <c r="AJ221" i="13"/>
  <c r="AJ231" i="13" s="1"/>
  <c r="Q226" i="5" s="1"/>
  <c r="Q226" i="24" s="1"/>
  <c r="AF208" i="13"/>
  <c r="BL203" i="5" s="1"/>
  <c r="P203" i="5" s="1"/>
  <c r="P203" i="24" s="1"/>
  <c r="BJ304" i="13"/>
  <c r="AT59" i="11"/>
  <c r="L59" i="11" s="1"/>
  <c r="AG19" i="13"/>
  <c r="BP20" i="5" s="1"/>
  <c r="W20" i="5" s="1"/>
  <c r="W20" i="24" s="1"/>
  <c r="BG73" i="5"/>
  <c r="BK49" i="5"/>
  <c r="BJ49" i="13"/>
  <c r="BK49" i="13" s="1"/>
  <c r="BQ49" i="5" s="1"/>
  <c r="X49" i="5" s="1"/>
  <c r="X49" i="24" s="1"/>
  <c r="BO49" i="5"/>
  <c r="BG49" i="13"/>
  <c r="BJ305" i="13" s="1"/>
  <c r="H38" i="11"/>
  <c r="I38" i="11" s="1"/>
  <c r="M38" i="11" s="1"/>
  <c r="AF25" i="11" s="1"/>
  <c r="AF49" i="13"/>
  <c r="BL49" i="5" s="1"/>
  <c r="P49" i="5" s="1"/>
  <c r="P49" i="24" s="1"/>
  <c r="BI88" i="5"/>
  <c r="J88" i="5" s="1"/>
  <c r="J88" i="24" s="1"/>
  <c r="AK46" i="13"/>
  <c r="BO46" i="5" s="1"/>
  <c r="I110" i="5"/>
  <c r="I110" i="24" s="1"/>
  <c r="I107" i="5"/>
  <c r="I107" i="24" s="1"/>
  <c r="F107" i="24"/>
  <c r="CR28" i="13"/>
  <c r="CS28" i="13" s="1"/>
  <c r="F29" i="24"/>
  <c r="CR23" i="13"/>
  <c r="CS23" i="13" s="1"/>
  <c r="F24" i="24"/>
  <c r="F140" i="24"/>
  <c r="CR147" i="13"/>
  <c r="CS147" i="13" s="1"/>
  <c r="F31" i="24"/>
  <c r="CR150" i="13"/>
  <c r="CS150" i="13" s="1"/>
  <c r="F143" i="24"/>
  <c r="AJ46" i="13"/>
  <c r="BK46" i="5" s="1"/>
  <c r="I50" i="5"/>
  <c r="I50" i="24" s="1"/>
  <c r="F14" i="24"/>
  <c r="CR13" i="13"/>
  <c r="CS13" i="13" s="1"/>
  <c r="I138" i="5"/>
  <c r="I138" i="24" s="1"/>
  <c r="F49" i="24"/>
  <c r="CR49" i="13"/>
  <c r="CS49" i="13" s="1"/>
  <c r="CR158" i="13"/>
  <c r="CS158" i="13" s="1"/>
  <c r="F152" i="24"/>
  <c r="I52" i="5"/>
  <c r="I52" i="24" s="1"/>
  <c r="CR165" i="13"/>
  <c r="CS165" i="13" s="1"/>
  <c r="F159" i="24"/>
  <c r="F144" i="24"/>
  <c r="CR151" i="13"/>
  <c r="CS151" i="13" s="1"/>
  <c r="CR22" i="13"/>
  <c r="CS22" i="13" s="1"/>
  <c r="F23" i="24"/>
  <c r="F90" i="24"/>
  <c r="I201" i="5"/>
  <c r="I201" i="24" s="1"/>
  <c r="CR32" i="13"/>
  <c r="CS32" i="13" s="1"/>
  <c r="F33" i="24"/>
  <c r="I128" i="5"/>
  <c r="I128" i="24" s="1"/>
  <c r="BH108" i="5"/>
  <c r="CR18" i="13"/>
  <c r="CS18" i="13" s="1"/>
  <c r="F19" i="24"/>
  <c r="I126" i="5"/>
  <c r="I126" i="24" s="1"/>
  <c r="F126" i="24"/>
  <c r="I105" i="5"/>
  <c r="I105" i="24" s="1"/>
  <c r="CR14" i="13"/>
  <c r="CS14" i="13" s="1"/>
  <c r="F15" i="24"/>
  <c r="AE46" i="13"/>
  <c r="BH46" i="5" s="1"/>
  <c r="BK304" i="13"/>
  <c r="BO48" i="5"/>
  <c r="AG48" i="13"/>
  <c r="BP48" i="5" s="1"/>
  <c r="W48" i="5" s="1"/>
  <c r="W48" i="24" s="1"/>
  <c r="F30" i="24"/>
  <c r="CR29" i="13"/>
  <c r="CS29" i="13" s="1"/>
  <c r="F129" i="24"/>
  <c r="CR137" i="13"/>
  <c r="CS137" i="13" s="1"/>
  <c r="CR161" i="13"/>
  <c r="CS161" i="13" s="1"/>
  <c r="F155" i="24"/>
  <c r="F122" i="24"/>
  <c r="F141" i="24"/>
  <c r="BO92" i="5"/>
  <c r="BO50" i="5"/>
  <c r="I79" i="5"/>
  <c r="I79" i="24" s="1"/>
  <c r="AG49" i="13"/>
  <c r="BP49" i="5" s="1"/>
  <c r="W49" i="5" s="1"/>
  <c r="W49" i="24" s="1"/>
  <c r="AF50" i="13"/>
  <c r="BL50" i="5" s="1"/>
  <c r="P50" i="5" s="1"/>
  <c r="P50" i="24" s="1"/>
  <c r="I88" i="5"/>
  <c r="I88" i="24" s="1"/>
  <c r="F97" i="24"/>
  <c r="CR102" i="13"/>
  <c r="CS102" i="13" s="1"/>
  <c r="CR133" i="13"/>
  <c r="CS133" i="13" s="1"/>
  <c r="F125" i="24"/>
  <c r="F53" i="24"/>
  <c r="CR53" i="13"/>
  <c r="CS53" i="13" s="1"/>
  <c r="F20" i="24"/>
  <c r="F69" i="24"/>
  <c r="CR72" i="13"/>
  <c r="CS72" i="13" s="1"/>
  <c r="I60" i="5"/>
  <c r="I60" i="24" s="1"/>
  <c r="I111" i="5"/>
  <c r="I111" i="24" s="1"/>
  <c r="CR71" i="13"/>
  <c r="CS71" i="13" s="1"/>
  <c r="F68" i="24"/>
  <c r="I96" i="5"/>
  <c r="I96" i="24" s="1"/>
  <c r="AG117" i="13"/>
  <c r="BP109" i="5" s="1"/>
  <c r="W109" i="5" s="1"/>
  <c r="W109" i="24" s="1"/>
  <c r="I183" i="5"/>
  <c r="I183" i="24" s="1"/>
  <c r="I205" i="5"/>
  <c r="I205" i="24" s="1"/>
  <c r="I12" i="5"/>
  <c r="I12" i="24" s="1"/>
  <c r="I54" i="5"/>
  <c r="I54" i="24" s="1"/>
  <c r="CR89" i="13"/>
  <c r="CS89" i="13" s="1"/>
  <c r="F86" i="24"/>
  <c r="I21" i="5"/>
  <c r="I21" i="24" s="1"/>
  <c r="F26" i="24"/>
  <c r="CR25" i="13"/>
  <c r="CS25" i="13" s="1"/>
  <c r="CR12" i="13"/>
  <c r="CS12" i="13" s="1"/>
  <c r="F13" i="24"/>
  <c r="I32" i="5"/>
  <c r="I32" i="24" s="1"/>
  <c r="F136" i="24"/>
  <c r="F22" i="24"/>
  <c r="CR21" i="13"/>
  <c r="CS21" i="13" s="1"/>
  <c r="CR209" i="13"/>
  <c r="CS209" i="13" s="1"/>
  <c r="F204" i="24"/>
  <c r="I120" i="5"/>
  <c r="I120" i="24" s="1"/>
  <c r="CR129" i="13"/>
  <c r="CS129" i="13" s="1"/>
  <c r="F121" i="24"/>
  <c r="I28" i="5"/>
  <c r="I28" i="24" s="1"/>
  <c r="CR15" i="13"/>
  <c r="CS15" i="13" s="1"/>
  <c r="F16" i="24"/>
  <c r="F27" i="24"/>
  <c r="I59" i="5"/>
  <c r="I59" i="24" s="1"/>
  <c r="CR156" i="13"/>
  <c r="CS156" i="13" s="1"/>
  <c r="F149" i="24"/>
  <c r="CR48" i="13"/>
  <c r="CS48" i="13" s="1"/>
  <c r="F48" i="24"/>
  <c r="F17" i="24"/>
  <c r="I113" i="5"/>
  <c r="I113" i="24" s="1"/>
  <c r="F113" i="24"/>
  <c r="AF48" i="13"/>
  <c r="BL48" i="5" s="1"/>
  <c r="P48" i="5" s="1"/>
  <c r="P48" i="24" s="1"/>
  <c r="I18" i="5"/>
  <c r="I18" i="24" s="1"/>
  <c r="I114" i="5"/>
  <c r="I114" i="24" s="1"/>
  <c r="AI221" i="13"/>
  <c r="AI231" i="13" s="1"/>
  <c r="AS241" i="11" s="1"/>
  <c r="I82" i="5"/>
  <c r="I82" i="24" s="1"/>
  <c r="Q47" i="5"/>
  <c r="Q47" i="24" s="1"/>
  <c r="J47" i="5"/>
  <c r="J47" i="24" s="1"/>
  <c r="CR24" i="13"/>
  <c r="CS24" i="13" s="1"/>
  <c r="F25" i="24"/>
  <c r="I163" i="5"/>
  <c r="I163" i="24" s="1"/>
  <c r="F163" i="24"/>
  <c r="I124" i="5"/>
  <c r="I124" i="24" s="1"/>
  <c r="AU59" i="11"/>
  <c r="M59" i="11" s="1"/>
  <c r="I164" i="5"/>
  <c r="I164" i="24" s="1"/>
  <c r="F34" i="24"/>
  <c r="CR33" i="13"/>
  <c r="CS33" i="13" s="1"/>
  <c r="I182" i="5"/>
  <c r="I182" i="24" s="1"/>
  <c r="F182" i="24"/>
  <c r="I208" i="5"/>
  <c r="I208" i="24" s="1"/>
  <c r="CR146" i="13"/>
  <c r="CS146" i="13" s="1"/>
  <c r="F139" i="24"/>
  <c r="AG211" i="13"/>
  <c r="BP206" i="5" s="1"/>
  <c r="W206" i="5" s="1"/>
  <c r="W206" i="24" s="1"/>
  <c r="AG204" i="13"/>
  <c r="BP200" i="5" s="1"/>
  <c r="W200" i="5" s="1"/>
  <c r="W200" i="24" s="1"/>
  <c r="AE204" i="13"/>
  <c r="BH200" i="5" s="1"/>
  <c r="BL110" i="5"/>
  <c r="P110" i="5" s="1"/>
  <c r="P110" i="24" s="1"/>
  <c r="AE51" i="13"/>
  <c r="BH51" i="5" s="1"/>
  <c r="AE208" i="13"/>
  <c r="BH203" i="5" s="1"/>
  <c r="AF59" i="13"/>
  <c r="BL58" i="5" s="1"/>
  <c r="P58" i="5" s="1"/>
  <c r="P58" i="24" s="1"/>
  <c r="AC44" i="11"/>
  <c r="AD44" i="11"/>
  <c r="AB44" i="11"/>
  <c r="AE44" i="11"/>
  <c r="AE211" i="13"/>
  <c r="BH206" i="5" s="1"/>
  <c r="Q88" i="5"/>
  <c r="Q88" i="24" s="1"/>
  <c r="AE117" i="13"/>
  <c r="BH109" i="5" s="1"/>
  <c r="AG51" i="13"/>
  <c r="BP51" i="5" s="1"/>
  <c r="W51" i="5" s="1"/>
  <c r="W51" i="24" s="1"/>
  <c r="AG113" i="13"/>
  <c r="BP104" i="5" s="1"/>
  <c r="W104" i="5" s="1"/>
  <c r="W104" i="24" s="1"/>
  <c r="AF51" i="13"/>
  <c r="BL51" i="5" s="1"/>
  <c r="P51" i="5" s="1"/>
  <c r="P51" i="24" s="1"/>
  <c r="BP108" i="5"/>
  <c r="W108" i="5" s="1"/>
  <c r="W108" i="24" s="1"/>
  <c r="AG59" i="13"/>
  <c r="BP58" i="5" s="1"/>
  <c r="W58" i="5" s="1"/>
  <c r="W58" i="24" s="1"/>
  <c r="AE113" i="13"/>
  <c r="AE59" i="13"/>
  <c r="BH58" i="5" s="1"/>
  <c r="AG226" i="13"/>
  <c r="AE226" i="13"/>
  <c r="AF226" i="13"/>
  <c r="BL221" i="5" s="1"/>
  <c r="P221" i="5" s="1"/>
  <c r="P221" i="24" s="1"/>
  <c r="G226" i="24"/>
  <c r="AG221" i="13"/>
  <c r="AU241" i="11"/>
  <c r="H45" i="11"/>
  <c r="I45" i="11" s="1"/>
  <c r="M45" i="11" s="1"/>
  <c r="AF32" i="11" s="1"/>
  <c r="BO226" i="5"/>
  <c r="X226" i="5"/>
  <c r="X226" i="24" s="1"/>
  <c r="AG219" i="13"/>
  <c r="AE219" i="13"/>
  <c r="AF219" i="13"/>
  <c r="BL214" i="5" s="1"/>
  <c r="P214" i="5" s="1"/>
  <c r="P214" i="24" s="1"/>
  <c r="AE225" i="13"/>
  <c r="AF225" i="13"/>
  <c r="BL220" i="5" s="1"/>
  <c r="P220" i="5" s="1"/>
  <c r="P220" i="24" s="1"/>
  <c r="AG225" i="13"/>
  <c r="AF227" i="13"/>
  <c r="BL222" i="5" s="1"/>
  <c r="P222" i="5" s="1"/>
  <c r="P222" i="24" s="1"/>
  <c r="AE227" i="13"/>
  <c r="AG227" i="13"/>
  <c r="AF230" i="13"/>
  <c r="BL225" i="5" s="1"/>
  <c r="P225" i="5" s="1"/>
  <c r="P225" i="24" s="1"/>
  <c r="AG230" i="13"/>
  <c r="AE230" i="13"/>
  <c r="AF218" i="13"/>
  <c r="BL213" i="5" s="1"/>
  <c r="P213" i="5" s="1"/>
  <c r="P213" i="24" s="1"/>
  <c r="AE218" i="13"/>
  <c r="AG218" i="13"/>
  <c r="AG220" i="13"/>
  <c r="AE220" i="13"/>
  <c r="AF220" i="13"/>
  <c r="BL215" i="5" s="1"/>
  <c r="P215" i="5" s="1"/>
  <c r="P215" i="24" s="1"/>
  <c r="AE222" i="13"/>
  <c r="AG222" i="13"/>
  <c r="AF222" i="13"/>
  <c r="BL217" i="5" s="1"/>
  <c r="P217" i="5" s="1"/>
  <c r="P217" i="24" s="1"/>
  <c r="AD231" i="13"/>
  <c r="AF217" i="13"/>
  <c r="AG217" i="13"/>
  <c r="AE217" i="13"/>
  <c r="AG229" i="13"/>
  <c r="AE229" i="13"/>
  <c r="AF229" i="13"/>
  <c r="BL224" i="5" s="1"/>
  <c r="P224" i="5" s="1"/>
  <c r="P224" i="24" s="1"/>
  <c r="AA258" i="13"/>
  <c r="F31" i="3" s="1"/>
  <c r="F32" i="3"/>
  <c r="AG223" i="13"/>
  <c r="AE223" i="13"/>
  <c r="AF223" i="13"/>
  <c r="BL218" i="5" s="1"/>
  <c r="P218" i="5" s="1"/>
  <c r="P218" i="24" s="1"/>
  <c r="AE224" i="13"/>
  <c r="AG224" i="13"/>
  <c r="AF224" i="13"/>
  <c r="BL219" i="5" s="1"/>
  <c r="P219" i="5" s="1"/>
  <c r="P219" i="24" s="1"/>
  <c r="AF228" i="13"/>
  <c r="BL223" i="5" s="1"/>
  <c r="P223" i="5" s="1"/>
  <c r="P223" i="24" s="1"/>
  <c r="AG228" i="13"/>
  <c r="AE228" i="13"/>
  <c r="BH95" i="5"/>
  <c r="BP95" i="5"/>
  <c r="W95" i="5" s="1"/>
  <c r="W95" i="24" s="1"/>
  <c r="BL104" i="5"/>
  <c r="P104" i="5" s="1"/>
  <c r="P104" i="24" s="1"/>
  <c r="BL95" i="5"/>
  <c r="P95" i="5" s="1"/>
  <c r="P95" i="24" s="1"/>
  <c r="BP11" i="5"/>
  <c r="W11" i="5" s="1"/>
  <c r="W11" i="24" s="1"/>
  <c r="AE90" i="13" l="1"/>
  <c r="BH87" i="5" s="1"/>
  <c r="AE79" i="13"/>
  <c r="BH77" i="5" s="1"/>
  <c r="AG79" i="13"/>
  <c r="BP77" i="5" s="1"/>
  <c r="W77" i="5" s="1"/>
  <c r="W77" i="24" s="1"/>
  <c r="BP88" i="5"/>
  <c r="W88" i="5" s="1"/>
  <c r="W88" i="24" s="1"/>
  <c r="AF93" i="13"/>
  <c r="BL90" i="5" s="1"/>
  <c r="P90" i="5" s="1"/>
  <c r="P90" i="24" s="1"/>
  <c r="BH159" i="5"/>
  <c r="I159" i="5" s="1"/>
  <c r="I159" i="24" s="1"/>
  <c r="AG69" i="13"/>
  <c r="BP66" i="5" s="1"/>
  <c r="W66" i="5" s="1"/>
  <c r="W66" i="24" s="1"/>
  <c r="BH91" i="5"/>
  <c r="I91" i="5" s="1"/>
  <c r="I91" i="24" s="1"/>
  <c r="AF123" i="13"/>
  <c r="BL115" i="5" s="1"/>
  <c r="P115" i="5" s="1"/>
  <c r="P115" i="24" s="1"/>
  <c r="AE83" i="13"/>
  <c r="BH80" i="5" s="1"/>
  <c r="I80" i="5" s="1"/>
  <c r="I80" i="24" s="1"/>
  <c r="BH155" i="5"/>
  <c r="I155" i="5" s="1"/>
  <c r="I155" i="24" s="1"/>
  <c r="F38" i="11"/>
  <c r="G38" i="11" s="1"/>
  <c r="L38" i="11" s="1"/>
  <c r="AE25" i="11" s="1"/>
  <c r="AT231" i="11"/>
  <c r="BK216" i="5"/>
  <c r="BK226" i="5"/>
  <c r="Q92" i="5"/>
  <c r="Q92" i="24" s="1"/>
  <c r="AF160" i="13"/>
  <c r="BL154" i="5" s="1"/>
  <c r="P154" i="5" s="1"/>
  <c r="P154" i="24" s="1"/>
  <c r="BL155" i="5"/>
  <c r="P155" i="5" s="1"/>
  <c r="P155" i="24" s="1"/>
  <c r="F45" i="11"/>
  <c r="G45" i="11" s="1"/>
  <c r="L45" i="11" s="1"/>
  <c r="AE32" i="11" s="1"/>
  <c r="AT241" i="11"/>
  <c r="AG160" i="13"/>
  <c r="BP154" i="5" s="1"/>
  <c r="W154" i="5" s="1"/>
  <c r="W154" i="24" s="1"/>
  <c r="BP155" i="5"/>
  <c r="W155" i="5" s="1"/>
  <c r="W155" i="24" s="1"/>
  <c r="AF36" i="13"/>
  <c r="BL35" i="5" s="1"/>
  <c r="P35" i="5" s="1"/>
  <c r="P35" i="24" s="1"/>
  <c r="AF69" i="13"/>
  <c r="BL66" i="5" s="1"/>
  <c r="P66" i="5" s="1"/>
  <c r="P66" i="24" s="1"/>
  <c r="AE36" i="13"/>
  <c r="BH35" i="5" s="1"/>
  <c r="BL159" i="5"/>
  <c r="P159" i="5" s="1"/>
  <c r="P159" i="24" s="1"/>
  <c r="AF164" i="13"/>
  <c r="BL158" i="5" s="1"/>
  <c r="P158" i="5" s="1"/>
  <c r="P158" i="24" s="1"/>
  <c r="AG75" i="13"/>
  <c r="BP73" i="5" s="1"/>
  <c r="W73" i="5" s="1"/>
  <c r="W73" i="24" s="1"/>
  <c r="BP159" i="5"/>
  <c r="W159" i="5" s="1"/>
  <c r="W159" i="24" s="1"/>
  <c r="AG164" i="13"/>
  <c r="BP158" i="5" s="1"/>
  <c r="W158" i="5" s="1"/>
  <c r="W158" i="24" s="1"/>
  <c r="BH149" i="5"/>
  <c r="I149" i="5" s="1"/>
  <c r="I149" i="24" s="1"/>
  <c r="AE155" i="13"/>
  <c r="AF83" i="13"/>
  <c r="BL80" i="5" s="1"/>
  <c r="P80" i="5" s="1"/>
  <c r="P80" i="24" s="1"/>
  <c r="BL149" i="5"/>
  <c r="P149" i="5" s="1"/>
  <c r="P149" i="24" s="1"/>
  <c r="AF155" i="13"/>
  <c r="AE75" i="13"/>
  <c r="BH73" i="5" s="1"/>
  <c r="I73" i="5" s="1"/>
  <c r="I73" i="24" s="1"/>
  <c r="AG36" i="13"/>
  <c r="BP35" i="5" s="1"/>
  <c r="W35" i="5" s="1"/>
  <c r="W35" i="24" s="1"/>
  <c r="AG162" i="13"/>
  <c r="BP156" i="5" s="1"/>
  <c r="W156" i="5" s="1"/>
  <c r="W156" i="24" s="1"/>
  <c r="BP157" i="5"/>
  <c r="W157" i="5" s="1"/>
  <c r="W157" i="24" s="1"/>
  <c r="BP149" i="5"/>
  <c r="W149" i="5" s="1"/>
  <c r="W149" i="24" s="1"/>
  <c r="AG155" i="13"/>
  <c r="AG86" i="13"/>
  <c r="BP83" i="5" s="1"/>
  <c r="W83" i="5" s="1"/>
  <c r="W83" i="24" s="1"/>
  <c r="AE162" i="13"/>
  <c r="BH156" i="5" s="1"/>
  <c r="BH157" i="5"/>
  <c r="I157" i="5" s="1"/>
  <c r="I157" i="24" s="1"/>
  <c r="BL157" i="5"/>
  <c r="P157" i="5" s="1"/>
  <c r="P157" i="24" s="1"/>
  <c r="AF162" i="13"/>
  <c r="BL156" i="5" s="1"/>
  <c r="P156" i="5" s="1"/>
  <c r="P156" i="24" s="1"/>
  <c r="AE86" i="13"/>
  <c r="BH83" i="5" s="1"/>
  <c r="I83" i="5" s="1"/>
  <c r="I83" i="24" s="1"/>
  <c r="AF86" i="13"/>
  <c r="BL83" i="5" s="1"/>
  <c r="P83" i="5" s="1"/>
  <c r="P83" i="24" s="1"/>
  <c r="AF221" i="13"/>
  <c r="BL216" i="5" s="1"/>
  <c r="P216" i="5" s="1"/>
  <c r="P216" i="24" s="1"/>
  <c r="AF75" i="13"/>
  <c r="BL73" i="5" s="1"/>
  <c r="P73" i="5" s="1"/>
  <c r="P73" i="24" s="1"/>
  <c r="BK305" i="13"/>
  <c r="BT300" i="13" s="1"/>
  <c r="AE42" i="11" s="1"/>
  <c r="BS300" i="13"/>
  <c r="AD42" i="11" s="1"/>
  <c r="BG226" i="5"/>
  <c r="AS231" i="11"/>
  <c r="J226" i="5"/>
  <c r="J226" i="24" s="1"/>
  <c r="BH49" i="13"/>
  <c r="BM49" i="5" s="1"/>
  <c r="Q49" i="5" s="1"/>
  <c r="Q49" i="24" s="1"/>
  <c r="BG216" i="5"/>
  <c r="AE221" i="13"/>
  <c r="AE231" i="13" s="1"/>
  <c r="D45" i="11"/>
  <c r="E45" i="11" s="1"/>
  <c r="K45" i="11" s="1"/>
  <c r="AD32" i="11" s="1"/>
  <c r="I109" i="5"/>
  <c r="I109" i="24" s="1"/>
  <c r="F109" i="24"/>
  <c r="CR132" i="13"/>
  <c r="CS132" i="13" s="1"/>
  <c r="F124" i="24"/>
  <c r="CR188" i="13"/>
  <c r="CS188" i="13" s="1"/>
  <c r="F183" i="24"/>
  <c r="CR50" i="13"/>
  <c r="CS50" i="13" s="1"/>
  <c r="F50" i="24"/>
  <c r="CR149" i="13"/>
  <c r="CS149" i="13" s="1"/>
  <c r="F142" i="24"/>
  <c r="F79" i="24"/>
  <c r="CR81" i="13"/>
  <c r="CS81" i="13" s="1"/>
  <c r="CR77" i="13"/>
  <c r="CS77" i="13" s="1"/>
  <c r="F75" i="24"/>
  <c r="I58" i="5"/>
  <c r="I58" i="24" s="1"/>
  <c r="F58" i="24"/>
  <c r="F111" i="24"/>
  <c r="CR119" i="13"/>
  <c r="CS119" i="13" s="1"/>
  <c r="CR74" i="13"/>
  <c r="CS74" i="13" s="1"/>
  <c r="F72" i="24"/>
  <c r="CR76" i="13"/>
  <c r="CS76" i="13" s="1"/>
  <c r="F74" i="24"/>
  <c r="CR61" i="13"/>
  <c r="CS61" i="13" s="1"/>
  <c r="F60" i="24"/>
  <c r="F52" i="24"/>
  <c r="CR52" i="13"/>
  <c r="CS52" i="13" s="1"/>
  <c r="F208" i="24"/>
  <c r="CR213" i="13"/>
  <c r="CS213" i="13" s="1"/>
  <c r="I108" i="5"/>
  <c r="I108" i="24" s="1"/>
  <c r="CR122" i="13"/>
  <c r="CS122" i="13" s="1"/>
  <c r="F114" i="24"/>
  <c r="CR136" i="13"/>
  <c r="CS136" i="13" s="1"/>
  <c r="F128" i="24"/>
  <c r="F54" i="24"/>
  <c r="CR54" i="13"/>
  <c r="CS54" i="13" s="1"/>
  <c r="CR92" i="13"/>
  <c r="CS92" i="13" s="1"/>
  <c r="F89" i="24"/>
  <c r="J49" i="5"/>
  <c r="J49" i="24" s="1"/>
  <c r="I77" i="5"/>
  <c r="I77" i="24" s="1"/>
  <c r="F77" i="24"/>
  <c r="CR31" i="13"/>
  <c r="CS31" i="13" s="1"/>
  <c r="F32" i="24"/>
  <c r="AF46" i="13"/>
  <c r="BL46" i="5" s="1"/>
  <c r="P46" i="5" s="1"/>
  <c r="P46" i="24" s="1"/>
  <c r="CR114" i="13"/>
  <c r="CS114" i="13" s="1"/>
  <c r="F105" i="24"/>
  <c r="I51" i="5"/>
  <c r="I51" i="24" s="1"/>
  <c r="F51" i="24"/>
  <c r="CR128" i="13"/>
  <c r="CS128" i="13" s="1"/>
  <c r="F120" i="24"/>
  <c r="F12" i="24"/>
  <c r="CR11" i="13"/>
  <c r="CS11" i="13" s="1"/>
  <c r="F138" i="24"/>
  <c r="CR145" i="13"/>
  <c r="CS145" i="13" s="1"/>
  <c r="I200" i="5"/>
  <c r="I200" i="24" s="1"/>
  <c r="F200" i="24"/>
  <c r="CR210" i="13"/>
  <c r="CS210" i="13" s="1"/>
  <c r="F205" i="24"/>
  <c r="I87" i="5"/>
  <c r="I87" i="24" s="1"/>
  <c r="F87" i="24"/>
  <c r="CR91" i="13"/>
  <c r="CS91" i="13" s="1"/>
  <c r="F88" i="24"/>
  <c r="I46" i="5"/>
  <c r="I46" i="24" s="1"/>
  <c r="F46" i="24"/>
  <c r="F85" i="24"/>
  <c r="CR88" i="13"/>
  <c r="CS88" i="13" s="1"/>
  <c r="CR101" i="13"/>
  <c r="CS101" i="13" s="1"/>
  <c r="F96" i="24"/>
  <c r="I11" i="5"/>
  <c r="I11" i="24" s="1"/>
  <c r="I203" i="5"/>
  <c r="I203" i="24" s="1"/>
  <c r="F203" i="24"/>
  <c r="F83" i="24"/>
  <c r="CR84" i="13"/>
  <c r="CS84" i="13" s="1"/>
  <c r="F81" i="24"/>
  <c r="F59" i="24"/>
  <c r="CR60" i="13"/>
  <c r="CS60" i="13" s="1"/>
  <c r="I118" i="5"/>
  <c r="I118" i="24" s="1"/>
  <c r="F118" i="24"/>
  <c r="F80" i="24"/>
  <c r="I206" i="5"/>
  <c r="I206" i="24" s="1"/>
  <c r="F206" i="24"/>
  <c r="CR73" i="13"/>
  <c r="CS73" i="13" s="1"/>
  <c r="F71" i="24"/>
  <c r="F148" i="24"/>
  <c r="F82" i="24"/>
  <c r="CR85" i="13"/>
  <c r="CS85" i="13" s="1"/>
  <c r="CR20" i="13"/>
  <c r="CS20" i="13" s="1"/>
  <c r="F21" i="24"/>
  <c r="AG46" i="13"/>
  <c r="BP46" i="5" s="1"/>
  <c r="W46" i="5" s="1"/>
  <c r="W46" i="24" s="1"/>
  <c r="CR27" i="13"/>
  <c r="CS27" i="13" s="1"/>
  <c r="F28" i="24"/>
  <c r="CR17" i="13"/>
  <c r="CS17" i="13" s="1"/>
  <c r="F18" i="24"/>
  <c r="F110" i="24"/>
  <c r="CR118" i="13"/>
  <c r="CS118" i="13" s="1"/>
  <c r="F73" i="24"/>
  <c r="I95" i="5"/>
  <c r="I95" i="24" s="1"/>
  <c r="F95" i="24"/>
  <c r="F164" i="24"/>
  <c r="CR170" i="13"/>
  <c r="CS170" i="13" s="1"/>
  <c r="F84" i="24"/>
  <c r="CR87" i="13"/>
  <c r="CS87" i="13" s="1"/>
  <c r="CR205" i="13"/>
  <c r="CS205" i="13" s="1"/>
  <c r="F201" i="24"/>
  <c r="AE123" i="13"/>
  <c r="I115" i="5" s="1"/>
  <c r="I115" i="24" s="1"/>
  <c r="BH104" i="5"/>
  <c r="AG123" i="13"/>
  <c r="BP115" i="5" s="1"/>
  <c r="W115" i="5" s="1"/>
  <c r="W115" i="24" s="1"/>
  <c r="BH222" i="5"/>
  <c r="I222" i="5"/>
  <c r="I222" i="24" s="1"/>
  <c r="BP214" i="5"/>
  <c r="W214" i="5"/>
  <c r="W214" i="24" s="1"/>
  <c r="BH217" i="5"/>
  <c r="I217" i="5"/>
  <c r="I217" i="24" s="1"/>
  <c r="BP224" i="5"/>
  <c r="W224" i="5"/>
  <c r="W224" i="24" s="1"/>
  <c r="BH212" i="5"/>
  <c r="I212" i="5"/>
  <c r="I212" i="24" s="1"/>
  <c r="BH220" i="5"/>
  <c r="I220" i="5"/>
  <c r="I220" i="24" s="1"/>
  <c r="AG231" i="13"/>
  <c r="BP226" i="5" s="1"/>
  <c r="W226" i="5" s="1"/>
  <c r="W226" i="24" s="1"/>
  <c r="W212" i="5"/>
  <c r="W212" i="24" s="1"/>
  <c r="BP212" i="5"/>
  <c r="BL212" i="5"/>
  <c r="P212" i="5" s="1"/>
  <c r="P212" i="24" s="1"/>
  <c r="BH224" i="5"/>
  <c r="I224" i="5"/>
  <c r="I224" i="24" s="1"/>
  <c r="BH214" i="5"/>
  <c r="I214" i="5"/>
  <c r="I214" i="24" s="1"/>
  <c r="BH223" i="5"/>
  <c r="I223" i="5"/>
  <c r="I223" i="24" s="1"/>
  <c r="I215" i="5"/>
  <c r="I215" i="24" s="1"/>
  <c r="BH215" i="5"/>
  <c r="W217" i="5"/>
  <c r="W217" i="24" s="1"/>
  <c r="BP217" i="5"/>
  <c r="BP223" i="5"/>
  <c r="W223" i="5"/>
  <c r="W223" i="24" s="1"/>
  <c r="BP215" i="5"/>
  <c r="W215" i="5"/>
  <c r="W215" i="24" s="1"/>
  <c r="W216" i="5"/>
  <c r="W216" i="24" s="1"/>
  <c r="BP216" i="5"/>
  <c r="W222" i="5"/>
  <c r="W222" i="24" s="1"/>
  <c r="BP222" i="5"/>
  <c r="BP220" i="5"/>
  <c r="W220" i="5"/>
  <c r="W220" i="24" s="1"/>
  <c r="BP213" i="5"/>
  <c r="W213" i="5"/>
  <c r="W213" i="24" s="1"/>
  <c r="BH213" i="5"/>
  <c r="I213" i="5"/>
  <c r="I213" i="24" s="1"/>
  <c r="BH219" i="5"/>
  <c r="I219" i="5"/>
  <c r="I219" i="24" s="1"/>
  <c r="W219" i="5"/>
  <c r="W219" i="24" s="1"/>
  <c r="BP219" i="5"/>
  <c r="BH225" i="5"/>
  <c r="I225" i="5"/>
  <c r="I225" i="24" s="1"/>
  <c r="I218" i="5"/>
  <c r="I218" i="24" s="1"/>
  <c r="BH218" i="5"/>
  <c r="BP225" i="5"/>
  <c r="W225" i="5"/>
  <c r="W225" i="24" s="1"/>
  <c r="I221" i="5"/>
  <c r="I221" i="24" s="1"/>
  <c r="BH221" i="5"/>
  <c r="BP218" i="5"/>
  <c r="W218" i="5"/>
  <c r="W218" i="24" s="1"/>
  <c r="W221" i="5"/>
  <c r="W221" i="24" s="1"/>
  <c r="BP221" i="5"/>
  <c r="I216" i="5" l="1"/>
  <c r="I216" i="24" s="1"/>
  <c r="BH216" i="5"/>
  <c r="I35" i="5"/>
  <c r="I35" i="24" s="1"/>
  <c r="AF231" i="13"/>
  <c r="BL226" i="5" s="1"/>
  <c r="P226" i="5" s="1"/>
  <c r="P226" i="24" s="1"/>
  <c r="AG97" i="13"/>
  <c r="BP92" i="5" s="1"/>
  <c r="W92" i="5" s="1"/>
  <c r="W92" i="24" s="1"/>
  <c r="AG166" i="13"/>
  <c r="BP160" i="5" s="1"/>
  <c r="W160" i="5" s="1"/>
  <c r="W160" i="24" s="1"/>
  <c r="BP148" i="5"/>
  <c r="W148" i="5" s="1"/>
  <c r="W148" i="24" s="1"/>
  <c r="AF97" i="13"/>
  <c r="BL92" i="5" s="1"/>
  <c r="P92" i="5" s="1"/>
  <c r="P92" i="24" s="1"/>
  <c r="F156" i="24"/>
  <c r="I156" i="5"/>
  <c r="I156" i="24" s="1"/>
  <c r="BL148" i="5"/>
  <c r="P148" i="5" s="1"/>
  <c r="P148" i="24" s="1"/>
  <c r="AF166" i="13"/>
  <c r="BL160" i="5" s="1"/>
  <c r="P160" i="5" s="1"/>
  <c r="P160" i="24" s="1"/>
  <c r="AE166" i="13"/>
  <c r="BH148" i="5"/>
  <c r="I148" i="5" s="1"/>
  <c r="I148" i="24" s="1"/>
  <c r="F212" i="24"/>
  <c r="CR217" i="13"/>
  <c r="CS217" i="13" s="1"/>
  <c r="F225" i="24"/>
  <c r="CR230" i="13"/>
  <c r="CS230" i="13" s="1"/>
  <c r="F216" i="24"/>
  <c r="CR221" i="13"/>
  <c r="CS221" i="13" s="1"/>
  <c r="CR222" i="13"/>
  <c r="CS222" i="13" s="1"/>
  <c r="F217" i="24"/>
  <c r="CR220" i="13"/>
  <c r="CS220" i="13" s="1"/>
  <c r="F215" i="24"/>
  <c r="F222" i="24"/>
  <c r="CR227" i="13"/>
  <c r="CS227" i="13" s="1"/>
  <c r="F213" i="24"/>
  <c r="CR218" i="13"/>
  <c r="CS218" i="13" s="1"/>
  <c r="BH115" i="5"/>
  <c r="CR229" i="13"/>
  <c r="CS229" i="13" s="1"/>
  <c r="F224" i="24"/>
  <c r="BY111" i="13"/>
  <c r="BY159" i="13"/>
  <c r="BX35" i="13"/>
  <c r="BY108" i="13"/>
  <c r="BY215" i="13"/>
  <c r="BY95" i="13"/>
  <c r="BX153" i="13"/>
  <c r="BX37" i="13"/>
  <c r="BX215" i="13"/>
  <c r="BX109" i="13"/>
  <c r="BX106" i="13"/>
  <c r="BY67" i="13"/>
  <c r="BY153" i="13"/>
  <c r="BX98" i="13"/>
  <c r="BY124" i="13"/>
  <c r="BX207" i="13"/>
  <c r="BY106" i="13"/>
  <c r="BY65" i="13"/>
  <c r="BX96" i="13"/>
  <c r="BY167" i="13"/>
  <c r="BY34" i="13"/>
  <c r="BX107" i="13"/>
  <c r="BX198" i="13"/>
  <c r="BX231" i="13"/>
  <c r="BX111" i="13"/>
  <c r="BY198" i="13"/>
  <c r="BY62" i="13"/>
  <c r="BY37" i="13"/>
  <c r="BX55" i="13"/>
  <c r="BX108" i="13"/>
  <c r="BY109" i="13"/>
  <c r="BX67" i="13"/>
  <c r="BX159" i="13"/>
  <c r="BX65" i="13"/>
  <c r="BX82" i="13"/>
  <c r="BY35" i="13"/>
  <c r="BY232" i="13"/>
  <c r="BX124" i="13"/>
  <c r="BX232" i="13"/>
  <c r="BY107" i="13"/>
  <c r="BX62" i="13"/>
  <c r="BX95" i="13"/>
  <c r="F11" i="24"/>
  <c r="BY231" i="13"/>
  <c r="BY55" i="13"/>
  <c r="BY98" i="13"/>
  <c r="BY96" i="13"/>
  <c r="BX167" i="13"/>
  <c r="BY82" i="13"/>
  <c r="BY207" i="13"/>
  <c r="BX34" i="13"/>
  <c r="CR223" i="13"/>
  <c r="CS223" i="13" s="1"/>
  <c r="F218" i="24"/>
  <c r="CR228" i="13"/>
  <c r="CS228" i="13" s="1"/>
  <c r="F223" i="24"/>
  <c r="F221" i="24"/>
  <c r="CR226" i="13"/>
  <c r="CS226" i="13" s="1"/>
  <c r="CR225" i="13"/>
  <c r="CS225" i="13" s="1"/>
  <c r="F220" i="24"/>
  <c r="I104" i="5"/>
  <c r="I104" i="24" s="1"/>
  <c r="F104" i="24"/>
  <c r="CR94" i="13"/>
  <c r="CS94" i="13" s="1"/>
  <c r="F91" i="24"/>
  <c r="CR224" i="13"/>
  <c r="CS224" i="13" s="1"/>
  <c r="F219" i="24"/>
  <c r="F108" i="24"/>
  <c r="CR116" i="13"/>
  <c r="CS116" i="13" s="1"/>
  <c r="CR219" i="13"/>
  <c r="CS219" i="13" s="1"/>
  <c r="F214" i="24"/>
  <c r="I226" i="5"/>
  <c r="I226" i="24" s="1"/>
  <c r="BH226" i="5"/>
  <c r="I160" i="5" l="1"/>
  <c r="I160" i="24" s="1"/>
  <c r="BH160" i="5"/>
  <c r="CC109" i="13"/>
  <c r="BZ109" i="13"/>
  <c r="CA109" i="13"/>
  <c r="BZ67" i="13"/>
  <c r="CC67" i="13"/>
  <c r="CA67" i="13"/>
  <c r="BZ215" i="13"/>
  <c r="CC215" i="13"/>
  <c r="CA215" i="13"/>
  <c r="CC231" i="13"/>
  <c r="BZ231" i="13"/>
  <c r="CA231" i="13"/>
  <c r="CA167" i="13"/>
  <c r="CC167" i="13"/>
  <c r="BZ167" i="13"/>
  <c r="BZ96" i="13"/>
  <c r="CA96" i="13"/>
  <c r="CC96" i="13"/>
  <c r="CC198" i="13"/>
  <c r="BZ198" i="13"/>
  <c r="CA198" i="13"/>
  <c r="BZ232" i="13"/>
  <c r="CC232" i="13"/>
  <c r="CA232" i="13"/>
  <c r="CC35" i="13"/>
  <c r="BZ35" i="13"/>
  <c r="CA35" i="13"/>
  <c r="CA124" i="13"/>
  <c r="BZ124" i="13"/>
  <c r="CC124" i="13"/>
  <c r="CC65" i="13"/>
  <c r="BZ65" i="13"/>
  <c r="CA65" i="13"/>
  <c r="BZ108" i="13"/>
  <c r="CA108" i="13"/>
  <c r="CC108" i="13"/>
  <c r="CA106" i="13"/>
  <c r="BZ106" i="13"/>
  <c r="CC82" i="13"/>
  <c r="BZ82" i="13"/>
  <c r="CA82" i="13"/>
  <c r="CC34" i="13"/>
  <c r="CA34" i="13"/>
  <c r="BZ34" i="13"/>
  <c r="BZ37" i="13"/>
  <c r="CC37" i="13"/>
  <c r="CA37" i="13"/>
  <c r="BZ111" i="13"/>
  <c r="CC111" i="13"/>
  <c r="CA111" i="13"/>
  <c r="BZ153" i="13"/>
  <c r="CA153" i="13"/>
  <c r="CC153" i="13"/>
  <c r="BZ62" i="13"/>
  <c r="CC62" i="13"/>
  <c r="CA62" i="13"/>
  <c r="CC55" i="13"/>
  <c r="BZ55" i="13"/>
  <c r="CC107" i="13"/>
  <c r="BZ107" i="13"/>
  <c r="CA107" i="13"/>
  <c r="CC207" i="13"/>
  <c r="BZ207" i="13"/>
  <c r="CA207" i="13"/>
  <c r="BZ95" i="13"/>
  <c r="CC95" i="13"/>
  <c r="BZ98" i="13"/>
  <c r="CA98" i="13"/>
  <c r="CC98" i="13"/>
  <c r="CA159" i="13"/>
  <c r="BZ159" i="13"/>
  <c r="F191" i="24" l="1"/>
  <c r="F134" i="24"/>
  <c r="CR142" i="13"/>
  <c r="CS142" i="13" s="1"/>
  <c r="F43" i="24"/>
  <c r="CR43" i="13"/>
  <c r="CS43" i="13" s="1"/>
  <c r="F66" i="24"/>
  <c r="CR58" i="13"/>
  <c r="CS58" i="13" s="1"/>
  <c r="F57" i="24"/>
  <c r="F45" i="24"/>
  <c r="CR45" i="13"/>
  <c r="CS45" i="13" s="1"/>
  <c r="F169" i="24"/>
  <c r="CR174" i="13"/>
  <c r="CS174" i="13"/>
  <c r="F166" i="24"/>
  <c r="F67" i="24"/>
  <c r="CR70" i="13"/>
  <c r="CS70" i="13" s="1"/>
  <c r="CR185" i="13"/>
  <c r="CS185" i="13" s="1"/>
  <c r="F180" i="24"/>
  <c r="CR191" i="13"/>
  <c r="CS191" i="13"/>
  <c r="F186" i="24"/>
  <c r="F184" i="24"/>
  <c r="CR189" i="13"/>
  <c r="CS189" i="13" s="1"/>
  <c r="CR173" i="13"/>
  <c r="CS173" i="13"/>
  <c r="F168" i="24"/>
  <c r="F189" i="24"/>
  <c r="CR194" i="13"/>
  <c r="CS194" i="13" s="1"/>
  <c r="CR181" i="13"/>
  <c r="CS181" i="13" s="1"/>
  <c r="F176" i="24"/>
  <c r="CR202" i="13"/>
  <c r="CS202" i="13" s="1"/>
  <c r="F198" i="24"/>
  <c r="F100" i="24"/>
  <c r="CR105" i="13"/>
  <c r="CS105" i="13" s="1"/>
  <c r="CR44" i="13"/>
  <c r="CS44" i="13" s="1"/>
  <c r="F44" i="24"/>
  <c r="F190" i="24"/>
  <c r="CR178" i="13"/>
  <c r="CS178" i="13" s="1"/>
  <c r="F173" i="24"/>
  <c r="F133" i="24"/>
  <c r="CR141" i="13"/>
  <c r="CS141" i="13"/>
  <c r="CR140" i="13"/>
  <c r="CS140" i="13" s="1"/>
  <c r="F132" i="24"/>
  <c r="F174" i="24"/>
  <c r="CR195" i="13"/>
  <c r="CS195" i="13" s="1"/>
  <c r="F38" i="24"/>
  <c r="BY112" i="13"/>
  <c r="BY200" i="13"/>
  <c r="BY63" i="13"/>
  <c r="BY183" i="13"/>
  <c r="BY115" i="13"/>
  <c r="BY10" i="13"/>
  <c r="BY168" i="13"/>
  <c r="BY155" i="13"/>
  <c r="BY69" i="13"/>
  <c r="BY99" i="13"/>
  <c r="BY86" i="13"/>
  <c r="BY160" i="13"/>
  <c r="BY117" i="13"/>
  <c r="BY169" i="13"/>
  <c r="BY197" i="13"/>
  <c r="BY30" i="13"/>
  <c r="BY224" i="13"/>
  <c r="BY39" i="13"/>
  <c r="BY19" i="13"/>
  <c r="BY252" i="13"/>
  <c r="BY68" i="13"/>
  <c r="BY51" i="13"/>
  <c r="BY204" i="13"/>
  <c r="BY90" i="13"/>
  <c r="BY223" i="13"/>
  <c r="BY93" i="13"/>
  <c r="BY59" i="13"/>
  <c r="BY171" i="13"/>
  <c r="BY164" i="13"/>
  <c r="BY216" i="13"/>
  <c r="BY56" i="13"/>
  <c r="BY154" i="13"/>
  <c r="BY225" i="13"/>
  <c r="BY125" i="13"/>
  <c r="BY222" i="13"/>
  <c r="BY152" i="13"/>
  <c r="BY123" i="13"/>
  <c r="BY199" i="13"/>
  <c r="BY113" i="13"/>
  <c r="BY46" i="13"/>
  <c r="BY208" i="13"/>
  <c r="BY83" i="13"/>
  <c r="BY126" i="13"/>
  <c r="BY75" i="13"/>
  <c r="BY26" i="13"/>
  <c r="BY103" i="13"/>
  <c r="BY138" i="13"/>
  <c r="BY121" i="13"/>
  <c r="BY217" i="13"/>
  <c r="BY36" i="13"/>
  <c r="BY110" i="13"/>
  <c r="BY38" i="13"/>
  <c r="BY100" i="13"/>
  <c r="BY16" i="13"/>
  <c r="BY66" i="13"/>
  <c r="BY134" i="13"/>
  <c r="BX46" i="13"/>
  <c r="BZ46" i="13" s="1"/>
  <c r="BY219" i="13"/>
  <c r="BY166" i="13"/>
  <c r="BY218" i="13"/>
  <c r="BY220" i="13"/>
  <c r="BY211" i="13"/>
  <c r="BY236" i="13"/>
  <c r="BY221" i="13"/>
  <c r="BY187" i="13"/>
  <c r="BY179" i="13"/>
  <c r="BY144" i="13"/>
  <c r="BY237" i="13"/>
  <c r="BY97" i="13"/>
  <c r="BY79" i="13"/>
  <c r="BY233" i="13"/>
  <c r="BY214" i="13"/>
  <c r="F181" i="24"/>
  <c r="CR186" i="13"/>
  <c r="CS186" i="13" s="1"/>
  <c r="CR196" i="13"/>
  <c r="CS196" i="13" s="1"/>
  <c r="F41" i="24"/>
  <c r="CR41" i="13"/>
  <c r="CS41" i="13" s="1"/>
  <c r="F135" i="24"/>
  <c r="CR143" i="13"/>
  <c r="CS143" i="13" s="1"/>
  <c r="CR42" i="13"/>
  <c r="CS42" i="13" s="1"/>
  <c r="F42" i="24"/>
  <c r="F170" i="24"/>
  <c r="F187" i="24"/>
  <c r="CR203" i="13"/>
  <c r="CS203" i="13" s="1"/>
  <c r="F199" i="24"/>
  <c r="CR177" i="13"/>
  <c r="CS177" i="13"/>
  <c r="F172" i="24"/>
  <c r="CR182" i="13"/>
  <c r="CS182" i="13" s="1"/>
  <c r="F177" i="24"/>
  <c r="F195" i="24"/>
  <c r="F178" i="24"/>
  <c r="F55" i="24"/>
  <c r="F130" i="24"/>
  <c r="F98" i="24"/>
  <c r="BX90" i="13"/>
  <c r="CA90" i="13" s="1"/>
  <c r="BX97" i="13"/>
  <c r="BZ97" i="13" s="1"/>
  <c r="BX110" i="13"/>
  <c r="BZ110" i="13" s="1"/>
  <c r="BX214" i="13"/>
  <c r="CA214" i="13" s="1"/>
  <c r="BX144" i="13"/>
  <c r="CA144" i="13" s="1"/>
  <c r="BX197" i="13"/>
  <c r="CA197" i="13" s="1"/>
  <c r="BX223" i="13"/>
  <c r="BZ223" i="13" s="1"/>
  <c r="BX30" i="13"/>
  <c r="CA30" i="13" s="1"/>
  <c r="BX83" i="13"/>
  <c r="BZ83" i="13" s="1"/>
  <c r="BX187" i="13"/>
  <c r="BZ187" i="13" s="1"/>
  <c r="BX218" i="13"/>
  <c r="CC218" i="13" s="1"/>
  <c r="BX10" i="13"/>
  <c r="BZ10" i="13" s="1"/>
  <c r="BX123" i="13"/>
  <c r="CC123" i="13" s="1"/>
  <c r="BX66" i="13"/>
  <c r="CC66" i="13" s="1"/>
  <c r="BX224" i="13"/>
  <c r="CA224" i="13" s="1"/>
  <c r="BX217" i="13"/>
  <c r="CA217" i="13" s="1"/>
  <c r="BX155" i="13"/>
  <c r="BZ155" i="13" s="1"/>
  <c r="BX103" i="13"/>
  <c r="CC103" i="13" s="1"/>
  <c r="BX160" i="13"/>
  <c r="BZ160" i="13" s="1"/>
  <c r="BX26" i="13"/>
  <c r="BZ26" i="13" s="1"/>
  <c r="BX51" i="13"/>
  <c r="CC51" i="13" s="1"/>
  <c r="BX121" i="13"/>
  <c r="BZ121" i="13" s="1"/>
  <c r="BX166" i="13"/>
  <c r="CC166" i="13" s="1"/>
  <c r="BX19" i="13"/>
  <c r="CA19" i="13" s="1"/>
  <c r="BX220" i="13"/>
  <c r="CA220" i="13" s="1"/>
  <c r="BX208" i="13"/>
  <c r="CC208" i="13" s="1"/>
  <c r="BX86" i="13"/>
  <c r="CC86" i="13" s="1"/>
  <c r="BX171" i="13"/>
  <c r="CA171" i="13" s="1"/>
  <c r="BX63" i="13"/>
  <c r="CC63" i="13" s="1"/>
  <c r="BX211" i="13"/>
  <c r="CC211" i="13" s="1"/>
  <c r="BX179" i="13"/>
  <c r="CA179" i="13" s="1"/>
  <c r="BX204" i="13"/>
  <c r="CC204" i="13" s="1"/>
  <c r="BX59" i="13"/>
  <c r="BZ59" i="13" s="1"/>
  <c r="BX16" i="13"/>
  <c r="BZ16" i="13" s="1"/>
  <c r="BX126" i="13"/>
  <c r="BZ126" i="13" s="1"/>
  <c r="BX117" i="13"/>
  <c r="CC117" i="13" s="1"/>
  <c r="BX56" i="13"/>
  <c r="BZ56" i="13" s="1"/>
  <c r="BX221" i="13"/>
  <c r="BZ221" i="13" s="1"/>
  <c r="BX36" i="13"/>
  <c r="BZ36" i="13" s="1"/>
  <c r="BX200" i="13"/>
  <c r="BZ200" i="13" s="1"/>
  <c r="BX93" i="13"/>
  <c r="CC93" i="13" s="1"/>
  <c r="BX79" i="13"/>
  <c r="BZ79" i="13" s="1"/>
  <c r="BX115" i="13"/>
  <c r="CC115" i="13" s="1"/>
  <c r="BX225" i="13"/>
  <c r="BZ225" i="13" s="1"/>
  <c r="BX164" i="13"/>
  <c r="CC164" i="13" s="1"/>
  <c r="BX222" i="13"/>
  <c r="BX219" i="13"/>
  <c r="BZ219" i="13" s="1"/>
  <c r="BX75" i="13"/>
  <c r="CC75" i="13" s="1"/>
  <c r="BX100" i="13"/>
  <c r="CC100" i="13" s="1"/>
  <c r="BX69" i="13"/>
  <c r="CA69" i="13" s="1"/>
  <c r="BX183" i="13"/>
  <c r="CA183" i="13" s="1"/>
  <c r="BX134" i="13"/>
  <c r="BX169" i="13"/>
  <c r="CC169" i="13" s="1"/>
  <c r="BX113" i="13"/>
  <c r="BX138" i="13"/>
  <c r="CC138" i="13" s="1"/>
  <c r="BX39" i="13"/>
  <c r="BZ39" i="13" s="1"/>
  <c r="BX152" i="13"/>
  <c r="AJ186" i="13"/>
  <c r="AF186" i="13" s="1"/>
  <c r="BL181" i="5" s="1"/>
  <c r="P181" i="5" s="1"/>
  <c r="P181" i="24" s="1"/>
  <c r="AK195" i="13"/>
  <c r="AU205" i="11" s="1"/>
  <c r="AK182" i="13"/>
  <c r="AU192" i="11" s="1"/>
  <c r="AJ182" i="13"/>
  <c r="BK177" i="5" s="1"/>
  <c r="AI58" i="13"/>
  <c r="AI182" i="13"/>
  <c r="AK196" i="13"/>
  <c r="AG196" i="13" s="1"/>
  <c r="AJ174" i="13"/>
  <c r="BK169" i="5" s="1"/>
  <c r="AI195" i="13"/>
  <c r="AE195" i="13" s="1"/>
  <c r="BH190" i="5" s="1"/>
  <c r="I190" i="5" s="1"/>
  <c r="I190" i="24" s="1"/>
  <c r="AI191" i="13"/>
  <c r="AE191" i="13" s="1"/>
  <c r="AE189" i="13" s="1"/>
  <c r="BH184" i="5" s="1"/>
  <c r="AI186" i="13"/>
  <c r="AJ196" i="13"/>
  <c r="BK191" i="5" s="1"/>
  <c r="AJ203" i="13"/>
  <c r="AT213" i="11" s="1"/>
  <c r="AK203" i="13"/>
  <c r="AU213" i="11" s="1"/>
  <c r="AJ195" i="13"/>
  <c r="BK190" i="5" s="1"/>
  <c r="AI196" i="13"/>
  <c r="AS206" i="11" s="1"/>
  <c r="AI174" i="13"/>
  <c r="AS184" i="11" s="1"/>
  <c r="AK174" i="13"/>
  <c r="AU184" i="11" s="1"/>
  <c r="AI181" i="13"/>
  <c r="AE181" i="13" s="1"/>
  <c r="BH176" i="5" s="1"/>
  <c r="I176" i="5" s="1"/>
  <c r="I176" i="24" s="1"/>
  <c r="AI203" i="13"/>
  <c r="BG199" i="5" s="1"/>
  <c r="AK186" i="13"/>
  <c r="AG186" i="13" s="1"/>
  <c r="BP181" i="5" s="1"/>
  <c r="W181" i="5" s="1"/>
  <c r="W181" i="24" s="1"/>
  <c r="AI185" i="13"/>
  <c r="AJ141" i="13"/>
  <c r="BK133" i="5" s="1"/>
  <c r="AI141" i="13"/>
  <c r="AE141" i="13" s="1"/>
  <c r="BH133" i="5" s="1"/>
  <c r="I133" i="5" s="1"/>
  <c r="I133" i="24" s="1"/>
  <c r="AK141" i="13"/>
  <c r="AG141" i="13" s="1"/>
  <c r="BP133" i="5" s="1"/>
  <c r="W133" i="5" s="1"/>
  <c r="W133" i="24" s="1"/>
  <c r="AI143" i="13"/>
  <c r="AE143" i="13" s="1"/>
  <c r="BH135" i="5" s="1"/>
  <c r="I135" i="5" s="1"/>
  <c r="I135" i="24" s="1"/>
  <c r="AK143" i="13"/>
  <c r="AJ143" i="13"/>
  <c r="BK135" i="5" s="1"/>
  <c r="AI194" i="13"/>
  <c r="AE194" i="13" s="1"/>
  <c r="AJ43" i="13"/>
  <c r="BK43" i="5" s="1"/>
  <c r="AK43" i="13"/>
  <c r="AG43" i="13" s="1"/>
  <c r="BP43" i="5" s="1"/>
  <c r="W43" i="5" s="1"/>
  <c r="W43" i="24" s="1"/>
  <c r="AK181" i="13"/>
  <c r="BO176" i="5" s="1"/>
  <c r="AK42" i="13"/>
  <c r="AG42" i="13" s="1"/>
  <c r="BP42" i="5" s="1"/>
  <c r="W42" i="5" s="1"/>
  <c r="W42" i="24" s="1"/>
  <c r="AI43" i="13"/>
  <c r="AJ194" i="13"/>
  <c r="AF194" i="13" s="1"/>
  <c r="BL189" i="5" s="1"/>
  <c r="P189" i="5" s="1"/>
  <c r="P189" i="24" s="1"/>
  <c r="AJ185" i="13"/>
  <c r="AK191" i="13"/>
  <c r="AG191" i="13" s="1"/>
  <c r="BP186" i="5" s="1"/>
  <c r="W186" i="5" s="1"/>
  <c r="W186" i="24" s="1"/>
  <c r="AI42" i="13"/>
  <c r="BG42" i="5" s="1"/>
  <c r="AK45" i="13"/>
  <c r="AG45" i="13" s="1"/>
  <c r="BP45" i="5" s="1"/>
  <c r="W45" i="5" s="1"/>
  <c r="W45" i="24" s="1"/>
  <c r="AK44" i="13"/>
  <c r="AK194" i="13"/>
  <c r="BO189" i="5" s="1"/>
  <c r="AJ42" i="13"/>
  <c r="BK42" i="5" s="1"/>
  <c r="AJ181" i="13"/>
  <c r="BG181" i="13" s="1"/>
  <c r="AJ45" i="13"/>
  <c r="BK45" i="5" s="1"/>
  <c r="AK185" i="13"/>
  <c r="AU195" i="11" s="1"/>
  <c r="AI45" i="13"/>
  <c r="BG45" i="5" s="1"/>
  <c r="AJ191" i="13"/>
  <c r="AF191" i="13" s="1"/>
  <c r="AI44" i="13"/>
  <c r="AJ44" i="13"/>
  <c r="AF44" i="13" s="1"/>
  <c r="BL44" i="5" s="1"/>
  <c r="P44" i="5" s="1"/>
  <c r="P44" i="24" s="1"/>
  <c r="AK140" i="13"/>
  <c r="AJ140" i="13"/>
  <c r="BK132" i="5" s="1"/>
  <c r="AJ58" i="13"/>
  <c r="BK57" i="5" s="1"/>
  <c r="AK105" i="13"/>
  <c r="AG105" i="13" s="1"/>
  <c r="AG103" i="13" s="1"/>
  <c r="AJ105" i="13"/>
  <c r="BK100" i="5" s="1"/>
  <c r="AK58" i="13"/>
  <c r="BO57" i="5" s="1"/>
  <c r="AI105" i="13"/>
  <c r="AE105" i="13" s="1"/>
  <c r="BH100" i="5" s="1"/>
  <c r="I100" i="5" s="1"/>
  <c r="I100" i="24" s="1"/>
  <c r="AI140" i="13"/>
  <c r="BG132" i="5" s="1"/>
  <c r="AI173" i="13"/>
  <c r="AS80" i="11" s="1"/>
  <c r="K80" i="11" s="1"/>
  <c r="AJ202" i="13"/>
  <c r="AK202" i="13"/>
  <c r="AG202" i="13" s="1"/>
  <c r="BP198" i="5" s="1"/>
  <c r="W198" i="5" s="1"/>
  <c r="W198" i="24" s="1"/>
  <c r="AI70" i="13"/>
  <c r="AI69" i="13" s="1"/>
  <c r="AI202" i="13"/>
  <c r="AJ41" i="13"/>
  <c r="BK41" i="5" s="1"/>
  <c r="AK41" i="13"/>
  <c r="BO41" i="5" s="1"/>
  <c r="AJ173" i="13"/>
  <c r="AI142" i="13"/>
  <c r="AI41" i="13"/>
  <c r="BG41" i="5" s="1"/>
  <c r="AK173" i="13"/>
  <c r="AG173" i="13" s="1"/>
  <c r="BP168" i="5" s="1"/>
  <c r="W168" i="5" s="1"/>
  <c r="W168" i="24" s="1"/>
  <c r="BZ30" i="13" l="1"/>
  <c r="BZ208" i="13"/>
  <c r="AJ183" i="13"/>
  <c r="AT193" i="11" s="1"/>
  <c r="BG133" i="5"/>
  <c r="BZ19" i="13"/>
  <c r="AF140" i="13"/>
  <c r="BL132" i="5" s="1"/>
  <c r="P132" i="5" s="1"/>
  <c r="P132" i="24" s="1"/>
  <c r="BZ214" i="13"/>
  <c r="AE41" i="13"/>
  <c r="BH41" i="5" s="1"/>
  <c r="I41" i="5" s="1"/>
  <c r="I41" i="24" s="1"/>
  <c r="BJ173" i="13"/>
  <c r="BK173" i="13" s="1"/>
  <c r="BQ168" i="5" s="1"/>
  <c r="X168" i="5" s="1"/>
  <c r="X168" i="24" s="1"/>
  <c r="AF42" i="13"/>
  <c r="BL42" i="5" s="1"/>
  <c r="P42" i="5" s="1"/>
  <c r="P42" i="24" s="1"/>
  <c r="AG185" i="13"/>
  <c r="BP180" i="5" s="1"/>
  <c r="W180" i="5" s="1"/>
  <c r="W180" i="24" s="1"/>
  <c r="CC90" i="13"/>
  <c r="AG195" i="13"/>
  <c r="BP190" i="5" s="1"/>
  <c r="W190" i="5" s="1"/>
  <c r="W190" i="24" s="1"/>
  <c r="AI183" i="13"/>
  <c r="BG178" i="5" s="1"/>
  <c r="AJ200" i="13"/>
  <c r="AJ214" i="13" s="1"/>
  <c r="F44" i="11" s="1"/>
  <c r="G44" i="11" s="1"/>
  <c r="L44" i="11" s="1"/>
  <c r="AE31" i="11" s="1"/>
  <c r="AF58" i="13"/>
  <c r="AF56" i="13" s="1"/>
  <c r="BL55" i="5" s="1"/>
  <c r="BZ138" i="13"/>
  <c r="CA59" i="13"/>
  <c r="BL186" i="5"/>
  <c r="P186" i="5" s="1"/>
  <c r="P186" i="24" s="1"/>
  <c r="AF189" i="13"/>
  <c r="BL184" i="5" s="1"/>
  <c r="CC225" i="13"/>
  <c r="AJ243" i="13"/>
  <c r="AT253" i="11" s="1"/>
  <c r="AF185" i="13"/>
  <c r="AG174" i="13"/>
  <c r="BP169" i="5" s="1"/>
  <c r="W169" i="5" s="1"/>
  <c r="W169" i="24" s="1"/>
  <c r="CC36" i="13"/>
  <c r="BZ211" i="13"/>
  <c r="CC187" i="13"/>
  <c r="AG189" i="13"/>
  <c r="BP184" i="5" s="1"/>
  <c r="AF174" i="13"/>
  <c r="BL169" i="5" s="1"/>
  <c r="P169" i="5" s="1"/>
  <c r="P169" i="24" s="1"/>
  <c r="CA16" i="13"/>
  <c r="AG194" i="13"/>
  <c r="BP189" i="5" s="1"/>
  <c r="W189" i="5" s="1"/>
  <c r="W189" i="24" s="1"/>
  <c r="AK200" i="13"/>
  <c r="AU210" i="11" s="1"/>
  <c r="AE173" i="13"/>
  <c r="BH168" i="5" s="1"/>
  <c r="I168" i="5" s="1"/>
  <c r="I168" i="24" s="1"/>
  <c r="AF43" i="13"/>
  <c r="BL43" i="5" s="1"/>
  <c r="P43" i="5" s="1"/>
  <c r="P43" i="24" s="1"/>
  <c r="BZ69" i="13"/>
  <c r="AG182" i="13"/>
  <c r="BP177" i="5" s="1"/>
  <c r="W177" i="5" s="1"/>
  <c r="W177" i="24" s="1"/>
  <c r="AE140" i="13"/>
  <c r="BH132" i="5" s="1"/>
  <c r="I132" i="5" s="1"/>
  <c r="I132" i="24" s="1"/>
  <c r="CA100" i="13"/>
  <c r="CC171" i="13"/>
  <c r="BZ171" i="13"/>
  <c r="AF182" i="13"/>
  <c r="BL177" i="5" s="1"/>
  <c r="P177" i="5" s="1"/>
  <c r="P177" i="24" s="1"/>
  <c r="BK180" i="5"/>
  <c r="AT195" i="11"/>
  <c r="AI179" i="13"/>
  <c r="BG174" i="5" s="1"/>
  <c r="AS201" i="11"/>
  <c r="CC160" i="13"/>
  <c r="BZ164" i="13"/>
  <c r="BG180" i="5"/>
  <c r="BO190" i="5"/>
  <c r="BZ115" i="13"/>
  <c r="CA66" i="13"/>
  <c r="BG186" i="5"/>
  <c r="CC121" i="13"/>
  <c r="BZ103" i="13"/>
  <c r="BG135" i="5"/>
  <c r="AT196" i="11"/>
  <c r="CA123" i="13"/>
  <c r="AU201" i="11"/>
  <c r="AG41" i="13"/>
  <c r="BP41" i="5" s="1"/>
  <c r="W41" i="5" s="1"/>
  <c r="W41" i="24" s="1"/>
  <c r="AT205" i="11"/>
  <c r="AJ56" i="13"/>
  <c r="BK55" i="5" s="1"/>
  <c r="BS173" i="13"/>
  <c r="BS257" i="13" s="1"/>
  <c r="BS258" i="13" s="1"/>
  <c r="F13" i="11" s="1"/>
  <c r="L49" i="11" s="1"/>
  <c r="BZ93" i="13"/>
  <c r="CA86" i="13"/>
  <c r="BP191" i="5"/>
  <c r="W191" i="5" s="1"/>
  <c r="W191" i="24" s="1"/>
  <c r="AU206" i="11"/>
  <c r="CA155" i="13"/>
  <c r="AK192" i="13"/>
  <c r="AU202" i="11" s="1"/>
  <c r="CC224" i="13"/>
  <c r="BZ90" i="13"/>
  <c r="CC200" i="13"/>
  <c r="AG58" i="13"/>
  <c r="BP57" i="5" s="1"/>
  <c r="W57" i="5" s="1"/>
  <c r="W57" i="24" s="1"/>
  <c r="AF45" i="13"/>
  <c r="BL45" i="5" s="1"/>
  <c r="P45" i="5" s="1"/>
  <c r="P45" i="24" s="1"/>
  <c r="AF143" i="13"/>
  <c r="BL135" i="5" s="1"/>
  <c r="P135" i="5" s="1"/>
  <c r="P135" i="24" s="1"/>
  <c r="BG169" i="5"/>
  <c r="CA219" i="13"/>
  <c r="CA36" i="13"/>
  <c r="BZ63" i="13"/>
  <c r="CA121" i="13"/>
  <c r="AE185" i="13"/>
  <c r="BH180" i="5" s="1"/>
  <c r="I180" i="5" s="1"/>
  <c r="I180" i="24" s="1"/>
  <c r="BO199" i="5"/>
  <c r="CC97" i="13"/>
  <c r="BO45" i="5"/>
  <c r="CC183" i="13"/>
  <c r="CC19" i="13"/>
  <c r="AI200" i="13"/>
  <c r="BG195" i="5" s="1"/>
  <c r="CA63" i="13"/>
  <c r="AE182" i="13"/>
  <c r="BH177" i="5" s="1"/>
  <c r="I177" i="5" s="1"/>
  <c r="I177" i="24" s="1"/>
  <c r="BO191" i="5"/>
  <c r="BZ86" i="13"/>
  <c r="AS195" i="11"/>
  <c r="CA225" i="13"/>
  <c r="BZ169" i="13"/>
  <c r="CC59" i="13"/>
  <c r="AI243" i="13"/>
  <c r="AI178" i="13" s="1"/>
  <c r="AT206" i="11"/>
  <c r="BZ179" i="13"/>
  <c r="CC179" i="13"/>
  <c r="BO177" i="5"/>
  <c r="AE174" i="13"/>
  <c r="CA56" i="13"/>
  <c r="AF41" i="13"/>
  <c r="BL41" i="5" s="1"/>
  <c r="P41" i="5" s="1"/>
  <c r="P41" i="24" s="1"/>
  <c r="AJ179" i="13"/>
  <c r="AT189" i="11" s="1"/>
  <c r="AF195" i="13"/>
  <c r="BL190" i="5" s="1"/>
  <c r="P190" i="5" s="1"/>
  <c r="P190" i="24" s="1"/>
  <c r="AJ171" i="13"/>
  <c r="AT181" i="11" s="1"/>
  <c r="BK181" i="5"/>
  <c r="CA164" i="13"/>
  <c r="CC56" i="13"/>
  <c r="CC39" i="13"/>
  <c r="CC16" i="13"/>
  <c r="BZ217" i="13"/>
  <c r="CC217" i="13"/>
  <c r="CA97" i="13"/>
  <c r="BZ220" i="13"/>
  <c r="BR173" i="13"/>
  <c r="BR257" i="13" s="1"/>
  <c r="BR258" i="13" s="1"/>
  <c r="M7" i="5" s="1"/>
  <c r="K7" i="24" s="1"/>
  <c r="CA166" i="13"/>
  <c r="AF202" i="13"/>
  <c r="BL198" i="5" s="1"/>
  <c r="P198" i="5" s="1"/>
  <c r="P198" i="24" s="1"/>
  <c r="BK44" i="5"/>
  <c r="AG181" i="13"/>
  <c r="AT192" i="11"/>
  <c r="CC220" i="13"/>
  <c r="AK39" i="13"/>
  <c r="BO38" i="5" s="1"/>
  <c r="AK189" i="13"/>
  <c r="BG168" i="5"/>
  <c r="BG189" i="5"/>
  <c r="CC219" i="13"/>
  <c r="BO133" i="5"/>
  <c r="BZ117" i="13"/>
  <c r="AG110" i="13"/>
  <c r="BP101" i="5" s="1"/>
  <c r="W101" i="5" s="1"/>
  <c r="W101" i="24" s="1"/>
  <c r="BP98" i="5"/>
  <c r="BH181" i="13"/>
  <c r="BM176" i="5" s="1"/>
  <c r="BJ328" i="13"/>
  <c r="CA134" i="13"/>
  <c r="BZ134" i="13"/>
  <c r="CA223" i="13"/>
  <c r="AE142" i="13"/>
  <c r="BG134" i="5"/>
  <c r="AI39" i="13"/>
  <c r="AJ103" i="13"/>
  <c r="BK198" i="5"/>
  <c r="AT212" i="11"/>
  <c r="BO43" i="5"/>
  <c r="AF141" i="13"/>
  <c r="BL133" i="5" s="1"/>
  <c r="P133" i="5" s="1"/>
  <c r="P133" i="24" s="1"/>
  <c r="AF203" i="13"/>
  <c r="BK199" i="5"/>
  <c r="AT184" i="11"/>
  <c r="BZ204" i="13"/>
  <c r="AT204" i="11"/>
  <c r="AJ192" i="13"/>
  <c r="BK189" i="5"/>
  <c r="BG44" i="5"/>
  <c r="AE44" i="13"/>
  <c r="BH44" i="5" s="1"/>
  <c r="I44" i="5" s="1"/>
  <c r="I44" i="24" s="1"/>
  <c r="CA110" i="13"/>
  <c r="CC110" i="13"/>
  <c r="AF173" i="13"/>
  <c r="BK168" i="5"/>
  <c r="BG173" i="13"/>
  <c r="AE202" i="13"/>
  <c r="BO42" i="5"/>
  <c r="AK179" i="13"/>
  <c r="BJ181" i="13"/>
  <c r="AT80" i="11"/>
  <c r="L80" i="11" s="1"/>
  <c r="BZ100" i="13"/>
  <c r="AG143" i="13"/>
  <c r="BP135" i="5" s="1"/>
  <c r="W135" i="5" s="1"/>
  <c r="W135" i="24" s="1"/>
  <c r="BO135" i="5"/>
  <c r="BO169" i="5"/>
  <c r="BO100" i="5"/>
  <c r="BD173" i="13"/>
  <c r="BZ123" i="13"/>
  <c r="AK171" i="13"/>
  <c r="BT173" i="13"/>
  <c r="AU80" i="11"/>
  <c r="M80" i="11" s="1"/>
  <c r="BO168" i="5"/>
  <c r="AK56" i="13"/>
  <c r="BO55" i="5" s="1"/>
  <c r="AJ39" i="13"/>
  <c r="AS196" i="11"/>
  <c r="AE186" i="13"/>
  <c r="BH181" i="5" s="1"/>
  <c r="I181" i="5" s="1"/>
  <c r="I181" i="24" s="1"/>
  <c r="CA221" i="13"/>
  <c r="CC221" i="13"/>
  <c r="AJ138" i="13"/>
  <c r="BG67" i="5"/>
  <c r="AK138" i="13"/>
  <c r="AG140" i="13"/>
  <c r="AG44" i="13"/>
  <c r="BP44" i="5" s="1"/>
  <c r="W44" i="5" s="1"/>
  <c r="W44" i="24" s="1"/>
  <c r="BO44" i="5"/>
  <c r="AT201" i="11"/>
  <c r="BK186" i="5"/>
  <c r="AF181" i="13"/>
  <c r="BK176" i="5"/>
  <c r="AT191" i="11"/>
  <c r="AE43" i="13"/>
  <c r="BH43" i="5" s="1"/>
  <c r="I43" i="5" s="1"/>
  <c r="I43" i="24" s="1"/>
  <c r="BG43" i="5"/>
  <c r="BO132" i="5"/>
  <c r="BO198" i="5"/>
  <c r="AU212" i="11"/>
  <c r="AI171" i="13"/>
  <c r="AJ189" i="13"/>
  <c r="BP100" i="5"/>
  <c r="W100" i="5" s="1"/>
  <c r="W100" i="24" s="1"/>
  <c r="BG181" i="5"/>
  <c r="BG177" i="5"/>
  <c r="AS192" i="11"/>
  <c r="BZ222" i="13"/>
  <c r="CA222" i="13"/>
  <c r="CC222" i="13"/>
  <c r="AE42" i="13"/>
  <c r="BH42" i="5" s="1"/>
  <c r="I42" i="5" s="1"/>
  <c r="I42" i="24" s="1"/>
  <c r="AE196" i="13"/>
  <c r="BH191" i="5" s="1"/>
  <c r="I191" i="5" s="1"/>
  <c r="I191" i="24" s="1"/>
  <c r="BG191" i="5"/>
  <c r="AE58" i="13"/>
  <c r="AI56" i="13"/>
  <c r="BG55" i="5" s="1"/>
  <c r="BG57" i="5"/>
  <c r="CC152" i="13"/>
  <c r="BZ152" i="13"/>
  <c r="AE45" i="13"/>
  <c r="BH45" i="5" s="1"/>
  <c r="I45" i="5" s="1"/>
  <c r="I45" i="24" s="1"/>
  <c r="AI192" i="13"/>
  <c r="BH189" i="5"/>
  <c r="I189" i="5" s="1"/>
  <c r="I189" i="24" s="1"/>
  <c r="AU191" i="11"/>
  <c r="CA152" i="13"/>
  <c r="AI138" i="13"/>
  <c r="AE70" i="13"/>
  <c r="AE103" i="13"/>
  <c r="BG198" i="5"/>
  <c r="CC26" i="13"/>
  <c r="CA26" i="13"/>
  <c r="AS212" i="11"/>
  <c r="CC83" i="13"/>
  <c r="AK243" i="13"/>
  <c r="AE203" i="13"/>
  <c r="BH199" i="5" s="1"/>
  <c r="I199" i="5" s="1"/>
  <c r="I199" i="24" s="1"/>
  <c r="AS213" i="11"/>
  <c r="AK103" i="13"/>
  <c r="BG190" i="5"/>
  <c r="CA160" i="13"/>
  <c r="CA113" i="13"/>
  <c r="BZ113" i="13"/>
  <c r="BG66" i="5"/>
  <c r="AI97" i="13"/>
  <c r="AI103" i="13"/>
  <c r="BG100" i="5"/>
  <c r="BD142" i="13"/>
  <c r="AF105" i="13"/>
  <c r="AS205" i="11"/>
  <c r="CC223" i="13"/>
  <c r="BH186" i="5"/>
  <c r="I186" i="5" s="1"/>
  <c r="I186" i="24" s="1"/>
  <c r="BO181" i="5"/>
  <c r="BG176" i="5"/>
  <c r="AK183" i="13"/>
  <c r="AU196" i="11"/>
  <c r="AI189" i="13"/>
  <c r="AS191" i="11"/>
  <c r="CC69" i="13"/>
  <c r="BZ66" i="13"/>
  <c r="BO186" i="5"/>
  <c r="AG203" i="13"/>
  <c r="AF196" i="13"/>
  <c r="BL191" i="5" s="1"/>
  <c r="P191" i="5" s="1"/>
  <c r="P191" i="24" s="1"/>
  <c r="CA103" i="13"/>
  <c r="BZ75" i="13"/>
  <c r="CC79" i="13"/>
  <c r="CC10" i="13"/>
  <c r="BZ197" i="13"/>
  <c r="AS204" i="11"/>
  <c r="CA126" i="13"/>
  <c r="BZ166" i="13"/>
  <c r="CA10" i="13"/>
  <c r="CC197" i="13"/>
  <c r="BD181" i="13"/>
  <c r="CA169" i="13"/>
  <c r="BZ218" i="13"/>
  <c r="CC144" i="13"/>
  <c r="BO180" i="5"/>
  <c r="CA218" i="13"/>
  <c r="BZ144" i="13"/>
  <c r="BZ183" i="13"/>
  <c r="BZ51" i="13"/>
  <c r="BZ224" i="13"/>
  <c r="CA187" i="13"/>
  <c r="CC214" i="13"/>
  <c r="AU204" i="11"/>
  <c r="P55" i="5" l="1"/>
  <c r="P55" i="24" s="1"/>
  <c r="BK178" i="5"/>
  <c r="BS315" i="13"/>
  <c r="AD57" i="11" s="1"/>
  <c r="BK326" i="13"/>
  <c r="BT314" i="13" s="1"/>
  <c r="AE56" i="11" s="1"/>
  <c r="BJ259" i="13"/>
  <c r="BK258" i="13" s="1"/>
  <c r="BK209" i="5"/>
  <c r="BK195" i="5"/>
  <c r="AJ177" i="13"/>
  <c r="BK172" i="5" s="1"/>
  <c r="AS193" i="11"/>
  <c r="AS189" i="11"/>
  <c r="BL57" i="5"/>
  <c r="P57" i="5" s="1"/>
  <c r="P57" i="24" s="1"/>
  <c r="AG183" i="13"/>
  <c r="BP178" i="5" s="1"/>
  <c r="AT210" i="11"/>
  <c r="P171" i="5"/>
  <c r="P171" i="24" s="1"/>
  <c r="AJ178" i="13"/>
  <c r="BK173" i="5" s="1"/>
  <c r="Q209" i="5"/>
  <c r="Q209" i="24" s="1"/>
  <c r="AT224" i="11"/>
  <c r="BK171" i="5"/>
  <c r="BK166" i="5"/>
  <c r="BO187" i="5"/>
  <c r="AE179" i="13"/>
  <c r="BH174" i="5" s="1"/>
  <c r="I174" i="5" s="1"/>
  <c r="I174" i="24" s="1"/>
  <c r="AG171" i="13"/>
  <c r="BP166" i="5" s="1"/>
  <c r="AG192" i="13"/>
  <c r="BP187" i="5" s="1"/>
  <c r="AF183" i="13"/>
  <c r="BL178" i="5" s="1"/>
  <c r="BL180" i="5"/>
  <c r="P180" i="5" s="1"/>
  <c r="P180" i="24" s="1"/>
  <c r="AK214" i="13"/>
  <c r="BO209" i="5" s="1"/>
  <c r="BO195" i="5"/>
  <c r="AS210" i="11"/>
  <c r="AI214" i="13"/>
  <c r="BG209" i="5" s="1"/>
  <c r="BK174" i="5"/>
  <c r="T7" i="5"/>
  <c r="T7" i="24" s="1"/>
  <c r="AE192" i="13"/>
  <c r="BH187" i="5" s="1"/>
  <c r="D13" i="11"/>
  <c r="K49" i="11" s="1"/>
  <c r="BP176" i="5"/>
  <c r="W176" i="5" s="1"/>
  <c r="W176" i="24" s="1"/>
  <c r="AG179" i="13"/>
  <c r="BP174" i="5" s="1"/>
  <c r="BG171" i="5"/>
  <c r="AI177" i="13"/>
  <c r="AI175" i="13" s="1"/>
  <c r="I171" i="5"/>
  <c r="I171" i="24" s="1"/>
  <c r="AS253" i="11"/>
  <c r="AG56" i="13"/>
  <c r="BP55" i="5" s="1"/>
  <c r="W55" i="5" s="1"/>
  <c r="W55" i="24" s="1"/>
  <c r="AK66" i="13"/>
  <c r="X63" i="5" s="1"/>
  <c r="X63" i="24" s="1"/>
  <c r="AU199" i="11"/>
  <c r="BO184" i="5"/>
  <c r="W184" i="5" s="1"/>
  <c r="W184" i="24" s="1"/>
  <c r="AE183" i="13"/>
  <c r="BH178" i="5" s="1"/>
  <c r="I178" i="5" s="1"/>
  <c r="I178" i="24" s="1"/>
  <c r="BH169" i="5"/>
  <c r="I169" i="5" s="1"/>
  <c r="I169" i="24" s="1"/>
  <c r="AE171" i="13"/>
  <c r="BH166" i="5" s="1"/>
  <c r="AF192" i="13"/>
  <c r="BL187" i="5" s="1"/>
  <c r="AF138" i="13"/>
  <c r="AF152" i="13" s="1"/>
  <c r="BL145" i="5" s="1"/>
  <c r="P145" i="5" s="1"/>
  <c r="P145" i="24" s="1"/>
  <c r="AF39" i="13"/>
  <c r="BL38" i="5" s="1"/>
  <c r="AT199" i="11"/>
  <c r="BK184" i="5"/>
  <c r="P184" i="5" s="1"/>
  <c r="P184" i="24" s="1"/>
  <c r="AS181" i="11"/>
  <c r="BG166" i="5"/>
  <c r="AJ152" i="13"/>
  <c r="BK130" i="5"/>
  <c r="BG184" i="5"/>
  <c r="I184" i="5" s="1"/>
  <c r="I184" i="24" s="1"/>
  <c r="AS199" i="11"/>
  <c r="BG187" i="5"/>
  <c r="AS202" i="11"/>
  <c r="BL199" i="5"/>
  <c r="P199" i="5" s="1"/>
  <c r="P199" i="24" s="1"/>
  <c r="AF200" i="13"/>
  <c r="BO98" i="5"/>
  <c r="W98" i="5" s="1"/>
  <c r="W98" i="24" s="1"/>
  <c r="AK110" i="13"/>
  <c r="AE178" i="13"/>
  <c r="BH173" i="5" s="1"/>
  <c r="I173" i="5" s="1"/>
  <c r="I173" i="24" s="1"/>
  <c r="BG173" i="5"/>
  <c r="AS188" i="11"/>
  <c r="AU189" i="11"/>
  <c r="BO174" i="5"/>
  <c r="AK178" i="13"/>
  <c r="W171" i="5"/>
  <c r="W171" i="24" s="1"/>
  <c r="AU253" i="11"/>
  <c r="AK177" i="13"/>
  <c r="BO171" i="5"/>
  <c r="BO178" i="5"/>
  <c r="AU193" i="11"/>
  <c r="BH57" i="5"/>
  <c r="I57" i="5" s="1"/>
  <c r="I57" i="24" s="1"/>
  <c r="AE56" i="13"/>
  <c r="BH55" i="5" s="1"/>
  <c r="I55" i="5" s="1"/>
  <c r="I55" i="24" s="1"/>
  <c r="AE200" i="13"/>
  <c r="BH198" i="5"/>
  <c r="I198" i="5" s="1"/>
  <c r="I198" i="24" s="1"/>
  <c r="BK328" i="13"/>
  <c r="BK181" i="13"/>
  <c r="BQ176" i="5" s="1"/>
  <c r="X176" i="5" s="1"/>
  <c r="X176" i="24" s="1"/>
  <c r="AJ66" i="13"/>
  <c r="BK38" i="5"/>
  <c r="BE181" i="13"/>
  <c r="BI328" i="13"/>
  <c r="BL176" i="5"/>
  <c r="P176" i="5" s="1"/>
  <c r="P176" i="24" s="1"/>
  <c r="AF179" i="13"/>
  <c r="BL174" i="5" s="1"/>
  <c r="BH173" i="13"/>
  <c r="BM168" i="5" s="1"/>
  <c r="BG259" i="13"/>
  <c r="BJ326" i="13"/>
  <c r="BS314" i="13" s="1"/>
  <c r="AD56" i="11" s="1"/>
  <c r="AF171" i="13"/>
  <c r="BL168" i="5"/>
  <c r="P168" i="5" s="1"/>
  <c r="P168" i="24" s="1"/>
  <c r="AG39" i="13"/>
  <c r="BH98" i="5"/>
  <c r="AE110" i="13"/>
  <c r="BK98" i="5"/>
  <c r="AJ110" i="13"/>
  <c r="BO166" i="5"/>
  <c r="AU181" i="11"/>
  <c r="AI66" i="13"/>
  <c r="BG38" i="5"/>
  <c r="AF103" i="13"/>
  <c r="BL100" i="5"/>
  <c r="P100" i="5" s="1"/>
  <c r="P100" i="24" s="1"/>
  <c r="BE142" i="13"/>
  <c r="BD259" i="13"/>
  <c r="BI315" i="13"/>
  <c r="BR308" i="13" s="1"/>
  <c r="AC50" i="11" s="1"/>
  <c r="BG92" i="5"/>
  <c r="D38" i="11"/>
  <c r="E38" i="11" s="1"/>
  <c r="K38" i="11" s="1"/>
  <c r="AD25" i="11" s="1"/>
  <c r="J92" i="5"/>
  <c r="J92" i="24" s="1"/>
  <c r="AI152" i="13"/>
  <c r="BG130" i="5"/>
  <c r="AK152" i="13"/>
  <c r="BO130" i="5"/>
  <c r="BE173" i="13"/>
  <c r="BI326" i="13"/>
  <c r="BR314" i="13" s="1"/>
  <c r="AC56" i="11" s="1"/>
  <c r="AE39" i="13"/>
  <c r="AI110" i="13"/>
  <c r="BG98" i="5"/>
  <c r="BH67" i="5"/>
  <c r="I67" i="5" s="1"/>
  <c r="I67" i="24" s="1"/>
  <c r="AE69" i="13"/>
  <c r="BP132" i="5"/>
  <c r="W132" i="5" s="1"/>
  <c r="W132" i="24" s="1"/>
  <c r="AG138" i="13"/>
  <c r="AG200" i="13"/>
  <c r="BP199" i="5"/>
  <c r="W199" i="5" s="1"/>
  <c r="W199" i="24" s="1"/>
  <c r="BK187" i="5"/>
  <c r="AT202" i="11"/>
  <c r="BH134" i="5"/>
  <c r="I134" i="5" s="1"/>
  <c r="I134" i="24" s="1"/>
  <c r="AE138" i="13"/>
  <c r="P178" i="5" l="1"/>
  <c r="P178" i="24" s="1"/>
  <c r="AF178" i="13"/>
  <c r="BL173" i="5" s="1"/>
  <c r="P173" i="5" s="1"/>
  <c r="P173" i="24" s="1"/>
  <c r="AT188" i="11"/>
  <c r="AT187" i="11"/>
  <c r="AF177" i="13"/>
  <c r="BL172" i="5" s="1"/>
  <c r="P172" i="5" s="1"/>
  <c r="P172" i="24" s="1"/>
  <c r="BK259" i="13"/>
  <c r="BL259" i="13" s="1"/>
  <c r="BT315" i="13"/>
  <c r="AE57" i="11" s="1"/>
  <c r="BR315" i="13"/>
  <c r="AC57" i="11" s="1"/>
  <c r="AJ175" i="13"/>
  <c r="AJ197" i="13" s="1"/>
  <c r="AT207" i="11" s="1"/>
  <c r="W178" i="5"/>
  <c r="W178" i="24" s="1"/>
  <c r="H44" i="11"/>
  <c r="I44" i="11" s="1"/>
  <c r="M44" i="11" s="1"/>
  <c r="AF31" i="11" s="1"/>
  <c r="AU224" i="11"/>
  <c r="X209" i="5"/>
  <c r="X209" i="24" s="1"/>
  <c r="W187" i="5"/>
  <c r="W187" i="24" s="1"/>
  <c r="D44" i="11"/>
  <c r="E44" i="11" s="1"/>
  <c r="K44" i="11" s="1"/>
  <c r="AD31" i="11" s="1"/>
  <c r="AS224" i="11"/>
  <c r="J209" i="5"/>
  <c r="J209" i="24" s="1"/>
  <c r="P174" i="5"/>
  <c r="P174" i="24" s="1"/>
  <c r="I187" i="5"/>
  <c r="I187" i="24" s="1"/>
  <c r="H37" i="11"/>
  <c r="I37" i="11" s="1"/>
  <c r="M37" i="11" s="1"/>
  <c r="BO63" i="5"/>
  <c r="BL130" i="5"/>
  <c r="P130" i="5" s="1"/>
  <c r="P130" i="24" s="1"/>
  <c r="P38" i="5"/>
  <c r="P38" i="24" s="1"/>
  <c r="I98" i="5"/>
  <c r="I98" i="24" s="1"/>
  <c r="AF66" i="13"/>
  <c r="BL63" i="5" s="1"/>
  <c r="P63" i="5" s="1"/>
  <c r="P63" i="24" s="1"/>
  <c r="P187" i="5"/>
  <c r="P187" i="24" s="1"/>
  <c r="AS187" i="11"/>
  <c r="AE177" i="13"/>
  <c r="BH172" i="5" s="1"/>
  <c r="I172" i="5" s="1"/>
  <c r="I172" i="24" s="1"/>
  <c r="BG172" i="5"/>
  <c r="W174" i="5"/>
  <c r="W174" i="24" s="1"/>
  <c r="W166" i="5"/>
  <c r="W166" i="24" s="1"/>
  <c r="I166" i="5"/>
  <c r="I166" i="24" s="1"/>
  <c r="BG63" i="5"/>
  <c r="J63" i="5"/>
  <c r="J63" i="24" s="1"/>
  <c r="D37" i="11"/>
  <c r="BL195" i="5"/>
  <c r="P195" i="5" s="1"/>
  <c r="P195" i="24" s="1"/>
  <c r="AF214" i="13"/>
  <c r="BL209" i="5" s="1"/>
  <c r="P209" i="5" s="1"/>
  <c r="P209" i="24" s="1"/>
  <c r="AG178" i="13"/>
  <c r="BP173" i="5" s="1"/>
  <c r="W173" i="5" s="1"/>
  <c r="W173" i="24" s="1"/>
  <c r="AU188" i="11"/>
  <c r="BO173" i="5"/>
  <c r="Q101" i="5"/>
  <c r="Q101" i="24" s="1"/>
  <c r="F39" i="11"/>
  <c r="G39" i="11" s="1"/>
  <c r="L39" i="11" s="1"/>
  <c r="AE26" i="11" s="1"/>
  <c r="BK101" i="5"/>
  <c r="I101" i="5"/>
  <c r="I101" i="24" s="1"/>
  <c r="BH101" i="5"/>
  <c r="D41" i="11"/>
  <c r="E41" i="11" s="1"/>
  <c r="K41" i="11" s="1"/>
  <c r="AD28" i="11" s="1"/>
  <c r="AS162" i="11"/>
  <c r="BG145" i="5"/>
  <c r="J145" i="5"/>
  <c r="J145" i="24" s="1"/>
  <c r="Q145" i="5"/>
  <c r="Q145" i="24" s="1"/>
  <c r="AU162" i="11"/>
  <c r="H41" i="11"/>
  <c r="I41" i="11" s="1"/>
  <c r="M41" i="11" s="1"/>
  <c r="AF28" i="11" s="1"/>
  <c r="BO145" i="5"/>
  <c r="Q168" i="5"/>
  <c r="Q168" i="24" s="1"/>
  <c r="BI168" i="5"/>
  <c r="J168" i="5" s="1"/>
  <c r="J168" i="24" s="1"/>
  <c r="BK145" i="5"/>
  <c r="X145" i="5"/>
  <c r="X145" i="24" s="1"/>
  <c r="F41" i="11"/>
  <c r="G41" i="11" s="1"/>
  <c r="L41" i="11" s="1"/>
  <c r="AE28" i="11" s="1"/>
  <c r="AT162" i="11"/>
  <c r="X101" i="5"/>
  <c r="X101" i="24" s="1"/>
  <c r="H39" i="11"/>
  <c r="I39" i="11" s="1"/>
  <c r="M39" i="11" s="1"/>
  <c r="AF26" i="11" s="1"/>
  <c r="BO101" i="5"/>
  <c r="D39" i="11"/>
  <c r="E39" i="11" s="1"/>
  <c r="K39" i="11" s="1"/>
  <c r="AD26" i="11" s="1"/>
  <c r="BG101" i="5"/>
  <c r="J101" i="5"/>
  <c r="J101" i="24" s="1"/>
  <c r="H12" i="11"/>
  <c r="M48" i="11" s="1"/>
  <c r="AA6" i="5"/>
  <c r="AA6" i="24" s="1"/>
  <c r="BP38" i="5"/>
  <c r="W38" i="5" s="1"/>
  <c r="W38" i="24" s="1"/>
  <c r="AG66" i="13"/>
  <c r="BP63" i="5" s="1"/>
  <c r="W63" i="5" s="1"/>
  <c r="W63" i="24" s="1"/>
  <c r="BK63" i="5"/>
  <c r="F37" i="11"/>
  <c r="Q63" i="5"/>
  <c r="Q63" i="24" s="1"/>
  <c r="AS185" i="11"/>
  <c r="BG170" i="5"/>
  <c r="AI197" i="13"/>
  <c r="BH66" i="5"/>
  <c r="I66" i="5" s="1"/>
  <c r="I66" i="24" s="1"/>
  <c r="AE97" i="13"/>
  <c r="AF110" i="13"/>
  <c r="BL101" i="5" s="1"/>
  <c r="P101" i="5" s="1"/>
  <c r="P101" i="24" s="1"/>
  <c r="BL98" i="5"/>
  <c r="P98" i="5" s="1"/>
  <c r="P98" i="24" s="1"/>
  <c r="BH195" i="5"/>
  <c r="I195" i="5" s="1"/>
  <c r="I195" i="24" s="1"/>
  <c r="AE214" i="13"/>
  <c r="BO172" i="5"/>
  <c r="AU187" i="11"/>
  <c r="AK175" i="13"/>
  <c r="AG177" i="13"/>
  <c r="BH38" i="5"/>
  <c r="I38" i="5" s="1"/>
  <c r="I38" i="24" s="1"/>
  <c r="AE66" i="13"/>
  <c r="BI176" i="5"/>
  <c r="J176" i="5" s="1"/>
  <c r="J176" i="24" s="1"/>
  <c r="Q176" i="5"/>
  <c r="Q176" i="24" s="1"/>
  <c r="AE152" i="13"/>
  <c r="BH130" i="5"/>
  <c r="I130" i="5" s="1"/>
  <c r="I130" i="24" s="1"/>
  <c r="BL166" i="5"/>
  <c r="P166" i="5" s="1"/>
  <c r="P166" i="24" s="1"/>
  <c r="BP195" i="5"/>
  <c r="W195" i="5" s="1"/>
  <c r="W195" i="24" s="1"/>
  <c r="AG214" i="13"/>
  <c r="BP209" i="5" s="1"/>
  <c r="W209" i="5" s="1"/>
  <c r="W209" i="24" s="1"/>
  <c r="BP130" i="5"/>
  <c r="W130" i="5" s="1"/>
  <c r="W130" i="24" s="1"/>
  <c r="AG152" i="13"/>
  <c r="BP145" i="5" s="1"/>
  <c r="W145" i="5" s="1"/>
  <c r="W145" i="24" s="1"/>
  <c r="BE259" i="13"/>
  <c r="BF259" i="13" s="1"/>
  <c r="BE258" i="13"/>
  <c r="Q134" i="5"/>
  <c r="Q134" i="24" s="1"/>
  <c r="BI134" i="5"/>
  <c r="J134" i="5" s="1"/>
  <c r="J134" i="24" s="1"/>
  <c r="BH259" i="13"/>
  <c r="BI259" i="13" s="1"/>
  <c r="BH258" i="13"/>
  <c r="F43" i="11" l="1"/>
  <c r="G43" i="11" s="1"/>
  <c r="L43" i="11" s="1"/>
  <c r="AE30" i="11" s="1"/>
  <c r="BK192" i="5"/>
  <c r="Q192" i="5"/>
  <c r="Q192" i="24" s="1"/>
  <c r="AF175" i="13"/>
  <c r="BL170" i="5" s="1"/>
  <c r="AT185" i="11"/>
  <c r="BK170" i="5"/>
  <c r="AE175" i="13"/>
  <c r="AE197" i="13" s="1"/>
  <c r="AE260" i="13" s="1"/>
  <c r="BH92" i="5"/>
  <c r="I92" i="5"/>
  <c r="I92" i="24" s="1"/>
  <c r="BP172" i="5"/>
  <c r="W172" i="5" s="1"/>
  <c r="W172" i="24" s="1"/>
  <c r="AG175" i="13"/>
  <c r="D12" i="11"/>
  <c r="K48" i="11" s="1"/>
  <c r="M6" i="5"/>
  <c r="K6" i="24" s="1"/>
  <c r="I209" i="5"/>
  <c r="I209" i="24" s="1"/>
  <c r="BH209" i="5"/>
  <c r="I63" i="5"/>
  <c r="I63" i="24" s="1"/>
  <c r="BH63" i="5"/>
  <c r="T6" i="5"/>
  <c r="T6" i="24" s="1"/>
  <c r="F12" i="11"/>
  <c r="L48" i="11" s="1"/>
  <c r="AU185" i="11"/>
  <c r="BO170" i="5"/>
  <c r="AK197" i="13"/>
  <c r="AF24" i="11"/>
  <c r="D43" i="11"/>
  <c r="E43" i="11" s="1"/>
  <c r="K43" i="11" s="1"/>
  <c r="AD30" i="11" s="1"/>
  <c r="BG192" i="5"/>
  <c r="AS207" i="11"/>
  <c r="J192" i="5"/>
  <c r="J192" i="24" s="1"/>
  <c r="I145" i="5"/>
  <c r="I145" i="24" s="1"/>
  <c r="BH145" i="5"/>
  <c r="E37" i="11"/>
  <c r="K37" i="11" s="1"/>
  <c r="G37" i="11"/>
  <c r="L37" i="11" s="1"/>
  <c r="F46" i="11" l="1"/>
  <c r="BG261" i="13" s="1"/>
  <c r="AF197" i="13"/>
  <c r="BL192" i="5" s="1"/>
  <c r="P192" i="5" s="1"/>
  <c r="P192" i="24" s="1"/>
  <c r="P170" i="5"/>
  <c r="P170" i="24" s="1"/>
  <c r="BH170" i="5"/>
  <c r="I170" i="5" s="1"/>
  <c r="I170" i="24" s="1"/>
  <c r="AE24" i="11"/>
  <c r="L46" i="11"/>
  <c r="X192" i="5"/>
  <c r="X192" i="24" s="1"/>
  <c r="AU207" i="11"/>
  <c r="BO192" i="5"/>
  <c r="H43" i="11"/>
  <c r="BH192" i="5"/>
  <c r="I192" i="5"/>
  <c r="I192" i="24" s="1"/>
  <c r="BP170" i="5"/>
  <c r="W170" i="5" s="1"/>
  <c r="W170" i="24" s="1"/>
  <c r="AG197" i="13"/>
  <c r="BP192" i="5" s="1"/>
  <c r="W192" i="5" s="1"/>
  <c r="W192" i="24" s="1"/>
  <c r="AD24" i="11"/>
  <c r="K46" i="11"/>
  <c r="D46" i="11"/>
  <c r="BD261" i="13" s="1"/>
  <c r="BD262" i="13" l="1"/>
  <c r="BE262" i="13" s="1"/>
  <c r="BF262" i="13" s="1"/>
  <c r="BF264" i="13" s="1"/>
  <c r="D11" i="11"/>
  <c r="M5" i="5"/>
  <c r="K5" i="24" s="1"/>
  <c r="I43" i="11"/>
  <c r="M43" i="11" s="1"/>
  <c r="H46" i="11"/>
  <c r="BJ261" i="13" s="1"/>
  <c r="T5" i="5"/>
  <c r="T5" i="24" s="1"/>
  <c r="BG262" i="13"/>
  <c r="BH262" i="13" l="1"/>
  <c r="BI262" i="13" s="1"/>
  <c r="BI264" i="13" s="1"/>
  <c r="F11" i="11"/>
  <c r="AF30" i="11"/>
  <c r="M46" i="11"/>
  <c r="BE264" i="13"/>
  <c r="BE267" i="13"/>
  <c r="D10" i="11" l="1"/>
  <c r="K47" i="11" s="1"/>
  <c r="M4" i="5"/>
  <c r="K4" i="24" s="1"/>
  <c r="BJ262" i="13"/>
  <c r="AA5" i="5"/>
  <c r="AA5" i="24" s="1"/>
  <c r="BH264" i="13"/>
  <c r="BH267" i="13"/>
  <c r="H11" i="11" l="1"/>
  <c r="BK262" i="13"/>
  <c r="BL262" i="13" s="1"/>
  <c r="BL264" i="13" s="1"/>
  <c r="T4" i="5"/>
  <c r="T4" i="24" s="1"/>
  <c r="F10" i="11"/>
  <c r="L47" i="11" s="1"/>
  <c r="BK264" i="13" l="1"/>
  <c r="BK267" i="13"/>
  <c r="K10" i="11"/>
  <c r="F8" i="5"/>
  <c r="F8" i="24" s="1"/>
  <c r="AA4" i="5" l="1"/>
  <c r="AA4" i="24" s="1"/>
  <c r="H10" i="11"/>
  <c r="M4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H9" authorId="0" shapeId="0" xr:uid="{8A11EC44-3E15-41AB-9451-BE2AA1FB2FDC}">
      <text>
        <r>
          <rPr>
            <sz val="9"/>
            <color indexed="81"/>
            <rFont val="Tahoma"/>
            <family val="2"/>
          </rPr>
          <t>OBS: Bruk "lim inn verdier" hvis du skal lime inn verdier og tekst fra andre ark.</t>
        </r>
      </text>
    </comment>
    <comment ref="I9" authorId="0" shapeId="0" xr:uid="{30D6E5A2-4011-4BE2-B4D8-525E7394EDE5}">
      <text>
        <r>
          <rPr>
            <sz val="9"/>
            <color indexed="81"/>
            <rFont val="Tahoma"/>
            <family val="2"/>
          </rPr>
          <t xml:space="preserve">Bidrag til poengsum. 
0 c. 0% betyr antall poeng oppnådd og bidrag til score.
</t>
        </r>
      </text>
    </comment>
    <comment ref="J9" authorId="0" shapeId="0" xr:uid="{F425A9A2-18E4-414B-9BBC-F48CC9B81F78}">
      <text>
        <r>
          <rPr>
            <sz val="9"/>
            <color indexed="81"/>
            <rFont val="Tahoma"/>
            <family val="2"/>
          </rPr>
          <t>Minstekrav oppnådd for hvilket sertifiseringsnivå</t>
        </r>
      </text>
    </comment>
    <comment ref="L9" authorId="0" shapeId="0" xr:uid="{F323149C-5FF4-4108-94F4-B5AE26B4E30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O9" authorId="0" shapeId="0" xr:uid="{E1C57F52-8FB5-4C91-B02D-6DF30931D975}">
      <text>
        <r>
          <rPr>
            <sz val="9"/>
            <color indexed="81"/>
            <rFont val="Tahoma"/>
            <family val="2"/>
          </rPr>
          <t>OBS: Bruk "lim inn verdier" hvis du skal lime inn verdier og tekst fra andre ark.</t>
        </r>
      </text>
    </comment>
    <comment ref="P9" authorId="0" shapeId="0" xr:uid="{CDBA94EF-B076-4C29-801B-5D94DE41430F}">
      <text>
        <r>
          <rPr>
            <sz val="9"/>
            <color indexed="81"/>
            <rFont val="Tahoma"/>
            <family val="2"/>
          </rPr>
          <t xml:space="preserve">Bidrag til poengsum. 
0 c. 0% betyr antall poeng oppnådd og bidrag til score.
</t>
        </r>
      </text>
    </comment>
    <comment ref="Q9" authorId="0" shapeId="0" xr:uid="{23D69521-6E4C-4838-BF2A-2E4AAF70C117}">
      <text>
        <r>
          <rPr>
            <sz val="9"/>
            <color indexed="81"/>
            <rFont val="Tahoma"/>
            <family val="2"/>
          </rPr>
          <t>Minstekrav oppnådd for hvilket sertifiseringsnivå</t>
        </r>
      </text>
    </comment>
    <comment ref="S9" authorId="0" shapeId="0" xr:uid="{DD664D89-3F44-4A8A-8ADD-6CADEA0E67E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V9" authorId="0" shapeId="0" xr:uid="{AFCB4901-E240-4AEB-AE81-72B6552D5754}">
      <text>
        <r>
          <rPr>
            <sz val="9"/>
            <color indexed="81"/>
            <rFont val="Tahoma"/>
            <family val="2"/>
          </rPr>
          <t>OBS: Bruk "lim inn verdier" hvis du skal lime inn verdier og tekst fra andre ark.</t>
        </r>
      </text>
    </comment>
    <comment ref="W9" authorId="0" shapeId="0" xr:uid="{E046E3D9-977A-42AF-A58A-EA440BD14903}">
      <text>
        <r>
          <rPr>
            <sz val="9"/>
            <color indexed="81"/>
            <rFont val="Tahoma"/>
            <family val="2"/>
          </rPr>
          <t xml:space="preserve">Bidrag til poengsum. 
0 c. 0% betyr antall poeng oppnådd og bidrag til score.
</t>
        </r>
      </text>
    </comment>
    <comment ref="X9" authorId="0" shapeId="0" xr:uid="{460741C6-2464-4EA3-8F82-49B358580645}">
      <text>
        <r>
          <rPr>
            <sz val="9"/>
            <color indexed="81"/>
            <rFont val="Tahoma"/>
            <family val="2"/>
          </rPr>
          <t>Minstekrav oppnådd for hvilket sertifiseringsnivå</t>
        </r>
      </text>
    </comment>
    <comment ref="Z9" authorId="0" shapeId="0" xr:uid="{210A1D7D-36EF-4EB6-92E5-C7083DF30A9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BH9" authorId="0" shapeId="0" xr:uid="{05059A20-5B27-4591-87DB-8E037DA10BFC}">
      <text>
        <r>
          <rPr>
            <sz val="9"/>
            <color indexed="81"/>
            <rFont val="Tahoma"/>
            <family val="2"/>
          </rPr>
          <t xml:space="preserve">Bidrag til poengsum. 
0 c. 0% betyr antall poeng oppnådd og bidrag til score.
</t>
        </r>
      </text>
    </comment>
    <comment ref="BI9" authorId="0" shapeId="0" xr:uid="{E5896D5E-1591-4F2C-969C-0B36A54D0F4F}">
      <text>
        <r>
          <rPr>
            <sz val="9"/>
            <color indexed="81"/>
            <rFont val="Tahoma"/>
            <family val="2"/>
          </rPr>
          <t>Minstekrav oppnådd for hvilket sertifiseringsnivå</t>
        </r>
      </text>
    </comment>
    <comment ref="BK9" authorId="0" shapeId="0" xr:uid="{F7377D70-8522-4A51-8D5C-61AB4AF604F9}">
      <text>
        <r>
          <rPr>
            <sz val="9"/>
            <color indexed="81"/>
            <rFont val="Tahoma"/>
            <family val="2"/>
          </rPr>
          <t xml:space="preserve">Bidrag til poengsum. 
0 c. 0% betyr antall poeng oppnådd og bidrag til score.
</t>
        </r>
      </text>
    </comment>
    <comment ref="BM9" authorId="0" shapeId="0" xr:uid="{EE5C9645-12BB-4A10-B457-D5A1DF72BC5E}">
      <text>
        <r>
          <rPr>
            <sz val="9"/>
            <color indexed="81"/>
            <rFont val="Tahoma"/>
            <family val="2"/>
          </rPr>
          <t>Minstekrav oppnådd for hvilket sertifiseringsnivå</t>
        </r>
      </text>
    </comment>
    <comment ref="BO9" authorId="0" shapeId="0" xr:uid="{E0CBC1D9-E75E-41C0-99A4-0D795E20115C}">
      <text>
        <r>
          <rPr>
            <sz val="9"/>
            <color indexed="81"/>
            <rFont val="Tahoma"/>
            <family val="2"/>
          </rPr>
          <t xml:space="preserve">Bidrag til poengsum. 
0 c. 0% betyr antall poeng oppnådd og bidrag til score.
</t>
        </r>
      </text>
    </comment>
    <comment ref="BQ9" authorId="0" shapeId="0" xr:uid="{60E79C10-F878-491D-8EAC-EAE3968AC585}">
      <text>
        <r>
          <rPr>
            <sz val="9"/>
            <color indexed="81"/>
            <rFont val="Tahoma"/>
            <family val="2"/>
          </rPr>
          <t>Minstekrav oppnådd for hvilket sertifiseringsnivå</t>
        </r>
      </text>
    </comment>
    <comment ref="BB11" authorId="0" shapeId="0" xr:uid="{C39A2592-93CC-44CE-AEA8-5CB3D2F43767}">
      <text>
        <r>
          <rPr>
            <sz val="9"/>
            <color indexed="81"/>
            <rFont val="Tahoma"/>
            <family val="2"/>
          </rPr>
          <t>Dra denne ned for å finne rett nummer for
 rad - ved oppdatering</t>
        </r>
      </text>
    </comment>
    <comment ref="F47" authorId="0" shapeId="0" xr:uid="{51A08620-FF42-4637-B659-7656441E58DF}">
      <text>
        <r>
          <rPr>
            <sz val="9"/>
            <color indexed="81"/>
            <rFont val="Tahoma"/>
            <family val="2"/>
          </rPr>
          <t>Requirement: Compliance with</t>
        </r>
        <r>
          <rPr>
            <b/>
            <sz val="9"/>
            <color indexed="81"/>
            <rFont val="Tahoma"/>
            <family val="2"/>
          </rPr>
          <t xml:space="preserve"> Mat 05 criteria 6–8 </t>
        </r>
        <r>
          <rPr>
            <sz val="9"/>
            <color indexed="81"/>
            <rFont val="Tahoma"/>
            <family val="2"/>
          </rPr>
          <t>Control plan and moisture measurements.</t>
        </r>
      </text>
    </comment>
    <comment ref="F52" authorId="0" shapeId="0" xr:uid="{08722E35-1B00-4CF5-9212-42F6BE534E75}">
      <text>
        <r>
          <rPr>
            <sz val="9"/>
            <color indexed="81"/>
            <rFont val="Tahoma"/>
            <family val="2"/>
          </rPr>
          <t>Requirement for</t>
        </r>
        <r>
          <rPr>
            <b/>
            <sz val="9"/>
            <color indexed="81"/>
            <rFont val="Tahoma"/>
            <family val="2"/>
          </rPr>
          <t xml:space="preserve"> Ene 01 Passive design</t>
        </r>
        <r>
          <rPr>
            <sz val="9"/>
            <color indexed="81"/>
            <rFont val="Tahoma"/>
            <family val="2"/>
          </rPr>
          <t>: The assessment will achieve the first credit in Hea 03 Thermal comfort: Thermal modelling</t>
        </r>
      </text>
    </comment>
    <comment ref="F67" authorId="0" shapeId="0" xr:uid="{0105F138-4E5D-4C7E-A447-FD9652860A27}">
      <text>
        <r>
          <rPr>
            <sz val="9"/>
            <color indexed="81"/>
            <rFont val="Tahoma"/>
            <family val="2"/>
          </rPr>
          <t>Requirement: Hea 03 Thermal comfort: Thermal modelling (N/A for shell only. N/A for industrial building without an office area)</t>
        </r>
      </text>
    </comment>
    <comment ref="F134" authorId="0" shapeId="0" xr:uid="{8AC5F229-6D91-49D4-A925-DC48B66A4FB3}">
      <text>
        <r>
          <rPr>
            <sz val="9"/>
            <color indexed="81"/>
            <rFont val="Tahoma"/>
            <family val="2"/>
          </rPr>
          <t xml:space="preserve">Requirement for </t>
        </r>
        <r>
          <rPr>
            <b/>
            <sz val="9"/>
            <color indexed="81"/>
            <rFont val="Tahoma"/>
            <family val="2"/>
          </rPr>
          <t xml:space="preserve">Hea 02 </t>
        </r>
        <r>
          <rPr>
            <sz val="9"/>
            <color indexed="81"/>
            <rFont val="Tahoma"/>
            <family val="2"/>
          </rPr>
          <t xml:space="preserve">Pre-requisite: A site-specific indoor air quality plan has been produced
</t>
        </r>
      </text>
    </comment>
    <comment ref="F171" authorId="0" shapeId="0" xr:uid="{21E725F8-2AF7-46C9-A8E9-CBF0E44A1DAB}">
      <text>
        <r>
          <rPr>
            <sz val="9"/>
            <color indexed="81"/>
            <rFont val="Tahoma"/>
            <family val="2"/>
          </rPr>
          <t>Requirement for LE 03 :Criteria 2–6 in LE 02 must have been achieved</t>
        </r>
      </text>
    </comment>
    <comment ref="F216" authorId="0" shapeId="0" xr:uid="{79EB684F-8E93-4E87-824F-DCFEF4D07D04}">
      <text>
        <r>
          <rPr>
            <sz val="9"/>
            <color indexed="81"/>
            <rFont val="Tahoma"/>
            <family val="2"/>
          </rPr>
          <t>Requirement:
Ene 01: Prediction of operational energy consumption 
Ene 02: Energy monitoring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author>
    <author>Oddbjørn Dahlstrøm Andvik</author>
  </authors>
  <commentList>
    <comment ref="AB62" authorId="0" shapeId="0" xr:uid="{00000000-0006-0000-0300-000001000000}">
      <text>
        <r>
          <rPr>
            <sz val="9"/>
            <color indexed="81"/>
            <rFont val="Tahoma"/>
            <family val="2"/>
          </rPr>
          <t>Må være slik for å få manuell filtrering ved Bespokt til å fungere</t>
        </r>
      </text>
    </comment>
    <comment ref="F79" authorId="1" shapeId="0" xr:uid="{443B899F-3E52-4437-A113-E2063BB823B0}">
      <text>
        <r>
          <rPr>
            <b/>
            <sz val="9"/>
            <color indexed="81"/>
            <rFont val="Tahoma"/>
            <family val="2"/>
          </rPr>
          <t>Skal være 1</t>
        </r>
        <r>
          <rPr>
            <sz val="9"/>
            <color indexed="81"/>
            <rFont val="Tahoma"/>
            <family val="2"/>
          </rPr>
          <t xml:space="preserve">
</t>
        </r>
      </text>
    </comment>
    <comment ref="G79" authorId="1" shapeId="0" xr:uid="{5CF6CBF8-C714-4294-B802-308024A0E07F}">
      <text>
        <r>
          <rPr>
            <b/>
            <sz val="9"/>
            <color indexed="81"/>
            <rFont val="Tahoma"/>
            <family val="2"/>
          </rPr>
          <t>Skal være 1</t>
        </r>
        <r>
          <rPr>
            <sz val="9"/>
            <color indexed="81"/>
            <rFont val="Tahoma"/>
            <family val="2"/>
          </rPr>
          <t xml:space="preserve">
</t>
        </r>
      </text>
    </comment>
    <comment ref="H79" authorId="1" shapeId="0" xr:uid="{A7A24F0F-9C85-4CD8-9F37-A4CA70F9C766}">
      <text>
        <r>
          <rPr>
            <b/>
            <sz val="9"/>
            <color indexed="81"/>
            <rFont val="Tahoma"/>
            <family val="2"/>
          </rPr>
          <t>Skal være 1</t>
        </r>
        <r>
          <rPr>
            <sz val="9"/>
            <color indexed="81"/>
            <rFont val="Tahoma"/>
            <family val="2"/>
          </rPr>
          <t xml:space="preserve">
</t>
        </r>
      </text>
    </comment>
    <comment ref="I79" authorId="1" shapeId="0" xr:uid="{5A397767-B974-492E-BE9E-979C7004A2BC}">
      <text>
        <r>
          <rPr>
            <b/>
            <sz val="9"/>
            <color indexed="81"/>
            <rFont val="Tahoma"/>
            <family val="2"/>
          </rPr>
          <t>Skal være 1</t>
        </r>
        <r>
          <rPr>
            <sz val="9"/>
            <color indexed="81"/>
            <rFont val="Tahoma"/>
            <family val="2"/>
          </rPr>
          <t xml:space="preserve">
</t>
        </r>
      </text>
    </comment>
    <comment ref="J79" authorId="1" shapeId="0" xr:uid="{99A478BC-B705-4717-904C-B484569AD718}">
      <text>
        <r>
          <rPr>
            <b/>
            <sz val="9"/>
            <color indexed="81"/>
            <rFont val="Tahoma"/>
            <family val="2"/>
          </rPr>
          <t>Skal være 1</t>
        </r>
        <r>
          <rPr>
            <sz val="9"/>
            <color indexed="81"/>
            <rFont val="Tahoma"/>
            <family val="2"/>
          </rPr>
          <t xml:space="preserve">
</t>
        </r>
      </text>
    </comment>
    <comment ref="K79" authorId="1" shapeId="0" xr:uid="{33F3245B-923B-4646-AE09-696883125E15}">
      <text>
        <r>
          <rPr>
            <b/>
            <sz val="9"/>
            <color indexed="81"/>
            <rFont val="Tahoma"/>
            <family val="2"/>
          </rPr>
          <t>Skal være 1</t>
        </r>
        <r>
          <rPr>
            <sz val="9"/>
            <color indexed="81"/>
            <rFont val="Tahoma"/>
            <family val="2"/>
          </rPr>
          <t xml:space="preserve">
</t>
        </r>
      </text>
    </comment>
    <comment ref="L79" authorId="1" shapeId="0" xr:uid="{F8A6BD9A-25BD-4749-BAB0-7E28E7D6BC89}">
      <text>
        <r>
          <rPr>
            <b/>
            <sz val="9"/>
            <color indexed="81"/>
            <rFont val="Tahoma"/>
            <family val="2"/>
          </rPr>
          <t>Skal være 1</t>
        </r>
        <r>
          <rPr>
            <sz val="9"/>
            <color indexed="81"/>
            <rFont val="Tahoma"/>
            <family val="2"/>
          </rPr>
          <t xml:space="preserve">
</t>
        </r>
      </text>
    </comment>
    <comment ref="M79" authorId="1" shapeId="0" xr:uid="{60F5FF42-633E-4D84-BB49-9704BF9ED20C}">
      <text>
        <r>
          <rPr>
            <b/>
            <sz val="9"/>
            <color indexed="81"/>
            <rFont val="Tahoma"/>
            <family val="2"/>
          </rPr>
          <t>Skal være 1</t>
        </r>
        <r>
          <rPr>
            <sz val="9"/>
            <color indexed="81"/>
            <rFont val="Tahoma"/>
            <family val="2"/>
          </rPr>
          <t xml:space="preserve">
</t>
        </r>
      </text>
    </comment>
    <comment ref="N79" authorId="1" shapeId="0" xr:uid="{D9769830-0832-49ED-A0B4-571B9B17A365}">
      <text>
        <r>
          <rPr>
            <b/>
            <sz val="9"/>
            <color indexed="81"/>
            <rFont val="Tahoma"/>
            <family val="2"/>
          </rPr>
          <t>Skal være 1</t>
        </r>
        <r>
          <rPr>
            <sz val="9"/>
            <color indexed="81"/>
            <rFont val="Tahoma"/>
            <family val="2"/>
          </rPr>
          <t xml:space="preserve">
</t>
        </r>
      </text>
    </comment>
    <comment ref="O79" authorId="1" shapeId="0" xr:uid="{7E448815-A28D-4AE5-8953-13D2BD3643E0}">
      <text>
        <r>
          <rPr>
            <b/>
            <sz val="9"/>
            <color indexed="81"/>
            <rFont val="Tahoma"/>
            <family val="2"/>
          </rPr>
          <t>Skal være 1</t>
        </r>
        <r>
          <rPr>
            <sz val="9"/>
            <color indexed="81"/>
            <rFont val="Tahoma"/>
            <family val="2"/>
          </rPr>
          <t xml:space="preserve">
</t>
        </r>
      </text>
    </comment>
    <comment ref="P79" authorId="1" shapeId="0" xr:uid="{032BE33F-1AEF-4F1B-B478-7D777E336E32}">
      <text>
        <r>
          <rPr>
            <b/>
            <sz val="9"/>
            <color indexed="81"/>
            <rFont val="Tahoma"/>
            <family val="2"/>
          </rPr>
          <t>Skal være 1</t>
        </r>
        <r>
          <rPr>
            <sz val="9"/>
            <color indexed="81"/>
            <rFont val="Tahoma"/>
            <family val="2"/>
          </rPr>
          <t xml:space="preserve">
</t>
        </r>
      </text>
    </comment>
    <comment ref="Q79" authorId="1" shapeId="0" xr:uid="{BF3967F9-09C2-4604-BB49-7A0551D9B0EE}">
      <text>
        <r>
          <rPr>
            <b/>
            <sz val="9"/>
            <color indexed="81"/>
            <rFont val="Tahoma"/>
            <family val="2"/>
          </rPr>
          <t>Skal være 1</t>
        </r>
        <r>
          <rPr>
            <sz val="9"/>
            <color indexed="81"/>
            <rFont val="Tahoma"/>
            <family val="2"/>
          </rPr>
          <t xml:space="preserve">
</t>
        </r>
      </text>
    </comment>
    <comment ref="R79" authorId="1" shapeId="0" xr:uid="{BB8D662A-8A58-4001-94F7-FEDE9B68BCD7}">
      <text>
        <r>
          <rPr>
            <b/>
            <sz val="9"/>
            <color indexed="81"/>
            <rFont val="Tahoma"/>
            <family val="2"/>
          </rPr>
          <t>Skal være 1</t>
        </r>
        <r>
          <rPr>
            <sz val="9"/>
            <color indexed="81"/>
            <rFont val="Tahoma"/>
            <family val="2"/>
          </rPr>
          <t xml:space="preserve">
</t>
        </r>
      </text>
    </comment>
    <comment ref="U101" authorId="1" shapeId="0" xr:uid="{7A97D175-62DB-4838-A19C-59B6F0991062}">
      <text>
        <r>
          <rPr>
            <sz val="9"/>
            <color indexed="81"/>
            <rFont val="Tahoma"/>
            <family val="2"/>
          </rPr>
          <t>filter kan nok slettes (08.11.21)</t>
        </r>
      </text>
    </comment>
    <comment ref="BP114" authorId="1" shapeId="0" xr:uid="{D613F3BC-1803-4D88-82A8-5D57FEECF737}">
      <text>
        <r>
          <rPr>
            <b/>
            <sz val="9"/>
            <color indexed="81"/>
            <rFont val="Tahoma"/>
            <family val="2"/>
          </rPr>
          <t>Oddbjørn Dahlstrøm Andvik:</t>
        </r>
        <r>
          <rPr>
            <sz val="9"/>
            <color indexed="81"/>
            <rFont val="Tahoma"/>
            <family val="2"/>
          </rPr>
          <t xml:space="preserve">
setter til 0</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<sst xmlns="http://schemas.openxmlformats.org/spreadsheetml/2006/main" count="4632" uniqueCount="1405">
  <si>
    <t>BREEAM-NOR v6.1.1 Nybygg og rehabilitering Pre-analyseverktøy</t>
  </si>
  <si>
    <t>Versjon</t>
  </si>
  <si>
    <r>
      <rPr>
        <b/>
        <sz val="11"/>
        <color theme="1"/>
        <rFont val="Calibri"/>
        <family val="2"/>
        <scheme val="minor"/>
      </rPr>
      <t xml:space="preserve">Ansvarsfraskrivelse 
</t>
    </r>
    <r>
      <rPr>
        <sz val="11"/>
        <color theme="1"/>
        <rFont val="Calibri"/>
        <family val="2"/>
        <scheme val="minor"/>
      </rPr>
      <t>Takk for at du har lastet ned og bruker BREEAM-NOR Versjon 6.1.1 Nybygg preanalyseverktøy. Hvis du bruker preanalyseverktøyet for første gang, vennligst ta tiden til å lese følgende: 
Preanalyseverktøyet er Grønn Byggallianses og BRE Global Ltds eiendom  og gjøres offentlig tilgjengelig kun for informasjonsformål. Bruken av den til testing, vurdering, sertifisering eller godkjenning er ikke tillatt. Resultatene som presenteres er kun indikative for en bygnings potensielle ytelse og er basert på en forenklet, uformell vurdering og ubekreftede forpliktelser. Resultatene representerer ikke en formell sertifisert BREEAM-NOR vurdering eller rangering og må ikke kommuniseres eller presenteres som en BREEAM-NOR rangering. NGBC/BRE Group Ltd. tar ikke ansvar for noen handlinger som følge av informasjon presentert eller tolket av BREEAM-NOR preanalyseverktøy.</t>
    </r>
  </si>
  <si>
    <r>
      <rPr>
        <b/>
        <sz val="11"/>
        <color theme="1"/>
        <rFont val="Calibri"/>
        <family val="2"/>
        <scheme val="minor"/>
      </rPr>
      <t xml:space="preserve">Starte en preanalyse
</t>
    </r>
    <r>
      <rPr>
        <sz val="11"/>
        <color theme="1"/>
        <rFont val="Calibri"/>
        <family val="2"/>
        <scheme val="minor"/>
      </rPr>
      <t>Du har lastet ned og åpnet malversjonen av BREEAM-NOR v6.1.1 preanalyseverktøy. 
Malversjonen må alltid brukes for å starte en ny preanalyse av en bygning. For å starte en preanalyse av en bygning må du først definere noen få egenskaper ved bygningen som krever forhåndsvurdering i vurderingsdetaljarket. Denne informasjonen sikrer at preanalyseverktøyet velger riktig antall BREEAM-NOR kriterier og poeng for bygningen.</t>
    </r>
  </si>
  <si>
    <r>
      <rPr>
        <b/>
        <sz val="11"/>
        <color theme="1"/>
        <rFont val="Calibri"/>
        <family val="2"/>
        <scheme val="minor"/>
      </rPr>
      <t xml:space="preserve">Fullføre en preanalyse 
</t>
    </r>
    <r>
      <rPr>
        <sz val="11"/>
        <color theme="1"/>
        <rFont val="Calibri"/>
        <family val="2"/>
        <scheme val="minor"/>
      </rPr>
      <t>Disse spørsmålene er ordnet etter kategorier. Antall veiledende BREEAM-NOR poeng oppnådd og total ytelse vil avhenge av ditt svar på hvert spørsmål. I de fleste tilfeller besvares spørsmålene ved å angi antall BREEAM-NOR poeng du ønsker å tildele. Før du fortsetter med preanalysen anbefales det at du lagrer en kopi av preanalyseverktøyet  ved å bruke bygningens navn og dato som filnavn, for eksempel: BREEAM-NOR v6.1.1 preanalyseverktøy_v1.0 - Kontor HQ 1/11/16.</t>
    </r>
  </si>
  <si>
    <t>Utarbeidet for Grønn Byggallianse (Norwegian Green Building Council) av Asplan Viak</t>
  </si>
  <si>
    <t>BREEAM-NOR v6.1.1 Nybygg Pre-analyseverktøy: Prosjektdetaljer</t>
  </si>
  <si>
    <t>Generell informasjon</t>
  </si>
  <si>
    <t>Bygningsdetaljer</t>
  </si>
  <si>
    <t>BREEAM prosjekt-ID</t>
  </si>
  <si>
    <t>Bygningskategori (undergruppe)</t>
  </si>
  <si>
    <t>Kontorbygg</t>
  </si>
  <si>
    <t>New Construction</t>
  </si>
  <si>
    <t>Industribygg</t>
  </si>
  <si>
    <t>Handelsbygg</t>
  </si>
  <si>
    <t>Undervisningsbygg</t>
  </si>
  <si>
    <t>Boligbygg</t>
  </si>
  <si>
    <t>Helseinstitusjoner</t>
  </si>
  <si>
    <t>Fengsel</t>
  </si>
  <si>
    <t>Tinghus</t>
  </si>
  <si>
    <t>Institusjoner ikke til boligbruk</t>
  </si>
  <si>
    <t>Møtesteder og fritid</t>
  </si>
  <si>
    <t>Annet</t>
  </si>
  <si>
    <t>Bespoke</t>
  </si>
  <si>
    <t>Tiltakshaver</t>
  </si>
  <si>
    <t>Bygningskategori (hovedtype)</t>
  </si>
  <si>
    <t>Generelle kontorbygg</t>
  </si>
  <si>
    <t>Industrienhet – lager/distribusjonslager</t>
  </si>
  <si>
    <t>Butikker/kjøpesenter</t>
  </si>
  <si>
    <t>Barnehager</t>
  </si>
  <si>
    <t>Enkeltbolig</t>
  </si>
  <si>
    <t>Undervisnings- eller spesialistsykehus</t>
  </si>
  <si>
    <t>Fengsel med høyt sikkerhetsnivå</t>
  </si>
  <si>
    <t>Sykehjem</t>
  </si>
  <si>
    <t>Hotell, ungdomsherberge, pensjonat og gjestgiveri</t>
  </si>
  <si>
    <t>Kunstgallerier, museer</t>
  </si>
  <si>
    <t>Kino</t>
  </si>
  <si>
    <t>Transportknutepunkter (rutebilstasjoner og togstasjoner)</t>
  </si>
  <si>
    <t>Bygningens sluttbruker/leietaker</t>
  </si>
  <si>
    <t>Prosjekttype</t>
  </si>
  <si>
    <t>Nybygg (innredet)</t>
  </si>
  <si>
    <t>Industrienhet – prosess/produksjon/bilservice</t>
  </si>
  <si>
    <t>Kontorer med forsknings- og utviklingsområder (dvs. bare kategori 1-laboratorier)</t>
  </si>
  <si>
    <t>Næringspark/ -lagre</t>
  </si>
  <si>
    <t>Barne- og ungdomsskoler</t>
  </si>
  <si>
    <t>Samling av enkeltboliger</t>
  </si>
  <si>
    <t>Akuttmottak</t>
  </si>
  <si>
    <t>Fengsel med standard sikkerhetsnivå</t>
  </si>
  <si>
    <t>Omsorgsbolig</t>
  </si>
  <si>
    <t>Sikret opplæringssenter</t>
  </si>
  <si>
    <t>Bibliotek</t>
  </si>
  <si>
    <t>Teater og konsertsal</t>
  </si>
  <si>
    <t>Forskning og utvikling (kat. 2- eller 3-laboratorier – ikke høyere utdanning)</t>
  </si>
  <si>
    <t>Revisors navn</t>
  </si>
  <si>
    <t>BREEAM-NOR 2021</t>
  </si>
  <si>
    <t>Tjenesteleverandør som opererer over disk, f.eks. finans-, eiendoms- og arbeidsbyråer og tippekontor</t>
  </si>
  <si>
    <t>Videregående skoler</t>
  </si>
  <si>
    <t>Boligblokker</t>
  </si>
  <si>
    <t>Lokale og psykiatriske sykehus</t>
  </si>
  <si>
    <t>Institusjoner for unge lovbrytere og ungdomsfengsler</t>
  </si>
  <si>
    <t>Internatskole (studenthjem)</t>
  </si>
  <si>
    <t>Opplæringssenter med boliger</t>
  </si>
  <si>
    <t>Dagsentre, haller, rådhus og samfunnshus</t>
  </si>
  <si>
    <t>Messelokal eller konferansesal</t>
  </si>
  <si>
    <t>Barnepark</t>
  </si>
  <si>
    <t>Revisororganisasjon</t>
  </si>
  <si>
    <t>Utstillingslokale</t>
  </si>
  <si>
    <t>Voksenopplæringsskoler eller fagskoler</t>
  </si>
  <si>
    <t>Fastlegekontorer</t>
  </si>
  <si>
    <t>Lokale fengsler</t>
  </si>
  <si>
    <t>Sikrede boliginstitusjoner</t>
  </si>
  <si>
    <t>Gudshus</t>
  </si>
  <si>
    <t>Idretts-, trenings- og rekreasjonssenter (med eller uten svømmebasseng)</t>
  </si>
  <si>
    <t>Brannstasjon</t>
  </si>
  <si>
    <t>Revisor-ID</t>
  </si>
  <si>
    <t>Restaurant, kafé og skjenkested</t>
  </si>
  <si>
    <t>Institusjoner for høyere utdanning</t>
  </si>
  <si>
    <t>Helsentre og klinikker</t>
  </si>
  <si>
    <t>Forvaringssentre</t>
  </si>
  <si>
    <t>Besøkssenter</t>
  </si>
  <si>
    <r>
      <t>Bruksareal, BRA - m</t>
    </r>
    <r>
      <rPr>
        <vertAlign val="superscript"/>
        <sz val="11"/>
        <color indexed="9"/>
        <rFont val="Calibri"/>
        <family val="2"/>
      </rPr>
      <t>2</t>
    </r>
  </si>
  <si>
    <t>Hentematutsalg</t>
  </si>
  <si>
    <t>Familiedomstoler</t>
  </si>
  <si>
    <t>Kaserner</t>
  </si>
  <si>
    <r>
      <t>Bruttoareal, BTA - m</t>
    </r>
    <r>
      <rPr>
        <vertAlign val="superscript"/>
        <sz val="11"/>
        <color indexed="9"/>
        <rFont val="Calibri"/>
        <family val="2"/>
      </rPr>
      <t>2</t>
    </r>
  </si>
  <si>
    <t>Nybygg (uinnredet)</t>
  </si>
  <si>
    <t>Ungdomsdomstoler</t>
  </si>
  <si>
    <t>Prosjektnavn</t>
  </si>
  <si>
    <r>
      <t>Salgbart bruksareal, BRAs - m</t>
    </r>
    <r>
      <rPr>
        <vertAlign val="superscript"/>
        <sz val="11"/>
        <color indexed="9"/>
        <rFont val="Calibri"/>
        <family val="2"/>
      </rPr>
      <t>2</t>
    </r>
  </si>
  <si>
    <t>Synlig (1=ja)</t>
  </si>
  <si>
    <t>Døgninstitusjonsbygg (korttidsopphold)</t>
  </si>
  <si>
    <t>Nybygg (råbygg)</t>
  </si>
  <si>
    <t>Kombinerte domstoler</t>
  </si>
  <si>
    <t>Prosjektets adresse</t>
  </si>
  <si>
    <t>Totalrehabilitering (innredet)</t>
  </si>
  <si>
    <r>
      <rPr>
        <b/>
        <sz val="11"/>
        <color rgb="FFFFFFFF"/>
        <rFont val="Calibri"/>
        <family val="2"/>
      </rPr>
      <t>Wat 03:</t>
    </r>
    <r>
      <rPr>
        <sz val="11"/>
        <color indexed="9"/>
        <rFont val="Calibri"/>
        <family val="2"/>
      </rPr>
      <t xml:space="preserve"> toalettfasiliteterkun i boligområdene?</t>
    </r>
  </si>
  <si>
    <t>Totalrehabilitering (uinnredet)</t>
  </si>
  <si>
    <r>
      <rPr>
        <b/>
        <sz val="11"/>
        <color indexed="9"/>
        <rFont val="Calibri"/>
        <family val="2"/>
      </rPr>
      <t xml:space="preserve">Pol 05: </t>
    </r>
    <r>
      <rPr>
        <sz val="11"/>
        <color indexed="9"/>
        <rFont val="Calibri"/>
        <family val="2"/>
      </rPr>
      <t>Har bygget behov for varme-, ventilasjons- eller klimaanlegg?</t>
    </r>
  </si>
  <si>
    <t xml:space="preserve">Pol 1 poeng går ut hvis det er industri som hverkan har treated operational area OG kontor. Dvs det må være nei på BEGGE spørsmål får å ta ut Pol 1 poeng. </t>
  </si>
  <si>
    <t>Totalrehabilitering (råbygg)</t>
  </si>
  <si>
    <r>
      <rPr>
        <b/>
        <sz val="11"/>
        <color indexed="9"/>
        <rFont val="Calibri"/>
        <family val="2"/>
      </rPr>
      <t xml:space="preserve">Hea 02, Hea 03: </t>
    </r>
    <r>
      <rPr>
        <sz val="11"/>
        <color rgb="FFFFFFFF"/>
        <rFont val="Calibri"/>
        <family val="2"/>
      </rPr>
      <t>Har industribygget kontorer eller oppholdsareal?</t>
    </r>
  </si>
  <si>
    <t>Pol 1 poeng går ut hvis det er industri som hverkan har treated operational area OG kontor. Dvs det må være nei på BEGGE spørsmål får å ta ut Pol 1 poeng. Hea 03 går ut hvis industri ikke har kontor</t>
  </si>
  <si>
    <t>Pol 1 UT. Pol02 og Pol 5 OK</t>
  </si>
  <si>
    <t>Dato for Pre-analyse</t>
  </si>
  <si>
    <r>
      <rPr>
        <b/>
        <sz val="11"/>
        <color rgb="FFFFFFFF"/>
        <rFont val="Calibri"/>
        <family val="2"/>
      </rPr>
      <t>Ene 03, Pol 04:</t>
    </r>
    <r>
      <rPr>
        <sz val="11"/>
        <color indexed="9"/>
        <rFont val="Calibri"/>
        <family val="2"/>
      </rPr>
      <t xml:space="preserve"> Utvendig belysning innenfor utbyggingsområdet?</t>
    </r>
  </si>
  <si>
    <t>OK</t>
  </si>
  <si>
    <t>Pre-assessment</t>
  </si>
  <si>
    <t>Pol 1 UT. Pol 2, Hea 02, Hea 03 OK</t>
  </si>
  <si>
    <t>Dato for prosjekteringsfase</t>
  </si>
  <si>
    <r>
      <rPr>
        <b/>
        <sz val="11"/>
        <color rgb="FFFFFFFF"/>
        <rFont val="Calibri"/>
        <family val="2"/>
      </rPr>
      <t>Ene 05:</t>
    </r>
    <r>
      <rPr>
        <sz val="11"/>
        <color indexed="9"/>
        <rFont val="Calibri"/>
        <family val="2"/>
      </rPr>
      <t xml:space="preserve"> Kommersielle/industrielle kjøle- og fryserom?</t>
    </r>
  </si>
  <si>
    <t>OK. non residential only.</t>
  </si>
  <si>
    <t>Post Construction (Final, as-built)</t>
  </si>
  <si>
    <t>Ferdigstillelsesdato</t>
  </si>
  <si>
    <r>
      <rPr>
        <b/>
        <sz val="11"/>
        <color rgb="FFFFFFFF"/>
        <rFont val="Calibri"/>
        <family val="2"/>
      </rPr>
      <t>Ene 06:</t>
    </r>
    <r>
      <rPr>
        <sz val="11"/>
        <color indexed="9"/>
        <rFont val="Calibri"/>
        <family val="2"/>
      </rPr>
      <t xml:space="preserve"> Inneholder bygningen heiser, rulletrapper eller rullebånd?</t>
    </r>
  </si>
  <si>
    <r>
      <rPr>
        <b/>
        <sz val="11"/>
        <color rgb="FFFFFFFF"/>
        <rFont val="Calibri"/>
        <family val="2"/>
      </rPr>
      <t>Ene 07:</t>
    </r>
    <r>
      <rPr>
        <sz val="11"/>
        <color indexed="9"/>
        <rFont val="Calibri"/>
        <family val="2"/>
      </rPr>
      <t xml:space="preserve"> Laboratoriefunksjon/-område og størrelsesandel</t>
    </r>
    <r>
      <rPr>
        <sz val="11"/>
        <color rgb="FFFFFFFF"/>
        <rFont val="Calibri"/>
        <family val="2"/>
      </rPr>
      <t>:</t>
    </r>
  </si>
  <si>
    <t>Bespoke foreløpig - mulig utgå</t>
  </si>
  <si>
    <t>Prosjekteringsteam detaljer</t>
  </si>
  <si>
    <r>
      <rPr>
        <b/>
        <sz val="11"/>
        <color rgb="FFFFFFFF"/>
        <rFont val="Calibri"/>
        <family val="2"/>
      </rPr>
      <t xml:space="preserve">Ene 08: </t>
    </r>
    <r>
      <rPr>
        <sz val="11"/>
        <color rgb="FFFFFFFF"/>
        <rFont val="Calibri"/>
        <family val="2"/>
      </rPr>
      <t>Har bygget noe uregulert energiforbruk?</t>
    </r>
  </si>
  <si>
    <t>This information will determine, in part, the number of credits available for BREEAM issue Hea02 when the criteria have been finalised for laboratory facilities.</t>
  </si>
  <si>
    <t>Yes</t>
  </si>
  <si>
    <t>WC facilities are only provided within the residential areas</t>
  </si>
  <si>
    <t>Utvikler</t>
  </si>
  <si>
    <r>
      <t xml:space="preserve">Wat 04: </t>
    </r>
    <r>
      <rPr>
        <sz val="11"/>
        <color rgb="FFFFFFFF"/>
        <rFont val="Calibri"/>
        <family val="2"/>
      </rPr>
      <t>Vannbehov i bygget (utenom Wat 01)</t>
    </r>
    <r>
      <rPr>
        <b/>
        <sz val="11"/>
        <color rgb="FFFFFFFF"/>
        <rFont val="Calibri"/>
        <family val="2"/>
      </rPr>
      <t>?</t>
    </r>
  </si>
  <si>
    <t>No</t>
  </si>
  <si>
    <t>Staff WC etc. outside the residential areas</t>
  </si>
  <si>
    <t>Hovedentreprenør</t>
  </si>
  <si>
    <r>
      <rPr>
        <b/>
        <sz val="11"/>
        <color rgb="FFFFFFFF"/>
        <rFont val="Calibri"/>
        <family val="2"/>
      </rPr>
      <t>Pol 01:</t>
    </r>
    <r>
      <rPr>
        <sz val="11"/>
        <color indexed="9"/>
        <rFont val="Calibri"/>
        <family val="2"/>
      </rPr>
      <t xml:space="preserve"> Inneholder bygget kuldemedier?</t>
    </r>
  </si>
  <si>
    <t>1: Office &amp; Industrial. Staff &amp; occasional business visitors</t>
  </si>
  <si>
    <t>Option not applicable to building type</t>
  </si>
  <si>
    <t>Arkitekt (ARK)</t>
  </si>
  <si>
    <r>
      <rPr>
        <b/>
        <sz val="11"/>
        <color rgb="FFFFFFFF"/>
        <rFont val="Calibri"/>
        <family val="2"/>
      </rPr>
      <t xml:space="preserve">Pol 02: </t>
    </r>
    <r>
      <rPr>
        <sz val="11"/>
        <color indexed="9"/>
        <rFont val="Calibri"/>
        <family val="2"/>
      </rPr>
      <t>Varme og varmtvann leveres av:</t>
    </r>
  </si>
  <si>
    <t>2: Bespoke. Staff plus reasonably constant stream of visitors</t>
  </si>
  <si>
    <t>Project management</t>
  </si>
  <si>
    <r>
      <rPr>
        <b/>
        <sz val="11"/>
        <color rgb="FFFFFFFF"/>
        <rFont val="Calibri"/>
        <family val="2"/>
      </rPr>
      <t xml:space="preserve">Mat 06: </t>
    </r>
    <r>
      <rPr>
        <sz val="11"/>
        <color indexed="9"/>
        <rFont val="Calibri"/>
        <family val="2"/>
      </rPr>
      <t>Riving på utbyggingsområdet (ombrukskartlegging)?</t>
    </r>
  </si>
  <si>
    <t>OK. type 3 retail and education, type 6 ta bort dwellings TA UT BESPOKE? Ta ut denne, da poeng er bestemt av bygningstype</t>
  </si>
  <si>
    <t>3: Retail and education. Staff with large numbers of visitors</t>
  </si>
  <si>
    <t>Laboratorium til stede: &lt; 10 % av byggets BRA</t>
  </si>
  <si>
    <t>BREEAM-NOR AP</t>
  </si>
  <si>
    <r>
      <rPr>
        <b/>
        <sz val="11"/>
        <color rgb="FFFFFFFF"/>
        <rFont val="Calibri"/>
        <family val="2"/>
      </rPr>
      <t xml:space="preserve">Pol 05: </t>
    </r>
    <r>
      <rPr>
        <sz val="11"/>
        <color indexed="9"/>
        <rFont val="Calibri"/>
        <family val="2"/>
      </rPr>
      <t>Støysensitive området?</t>
    </r>
  </si>
  <si>
    <t>4: Bespoke. Rural building with few visitors</t>
  </si>
  <si>
    <t>Laboratorium til stede: ≥ 10 % - &lt; 25 % av byggets BRA</t>
  </si>
  <si>
    <t>Rådgivende ingeniør VVS (RIV)</t>
  </si>
  <si>
    <r>
      <t>Ene 02:</t>
    </r>
    <r>
      <rPr>
        <sz val="11"/>
        <color rgb="FFFFFFFF"/>
        <rFont val="Calibri"/>
        <family val="2"/>
      </rPr>
      <t xml:space="preserve"> Delmåling av store energiposter og leietakerareal. Skal Energiledelse i driftsperiode under Ene 01 oppnås?</t>
    </r>
  </si>
  <si>
    <t>5: Bespoke. Rural building with large numbers of visitors</t>
  </si>
  <si>
    <t>Laboratorium til stede: ≥ 25 % av byggets BRA</t>
  </si>
  <si>
    <t>Rådgivende ingeniør Elektro (RIE)</t>
  </si>
  <si>
    <t>6: Residential</t>
  </si>
  <si>
    <t>Rådgivende ingeniør bygg (RIB)</t>
  </si>
  <si>
    <t>Antall tilgjengelige poeng original</t>
  </si>
  <si>
    <t>Systemer uten forbrenning</t>
  </si>
  <si>
    <t>7: Bespoke. Transport Hub</t>
  </si>
  <si>
    <t>Rådgivende ingeniør miljø (RIM)</t>
  </si>
  <si>
    <t>Antall  poeng ikke tilgjengelige</t>
  </si>
  <si>
    <t>Forbrenningsbasert system</t>
  </si>
  <si>
    <t>Cat Level 1 only</t>
  </si>
  <si>
    <t>Andre, prosjektgruppen</t>
  </si>
  <si>
    <t>Antall tilgjengelige poeng</t>
  </si>
  <si>
    <t>Cat Level 2</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</si>
  <si>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t>
  </si>
  <si>
    <t>Cat Level 3</t>
  </si>
  <si>
    <t>Kommentar</t>
  </si>
  <si>
    <t>Beskrivelse av bygg</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</si>
  <si>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</si>
  <si>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Merk: Hvis du starter en ny preanalyse, vennligst sørg for at du bruker den nyeste malversjonen av BREEAM-NOR v6.1.1 preanalyseverktøy og ikke en versjon brukt for en eksisterende/tidligere preanalyse.</t>
  </si>
  <si>
    <t>BREEAM assessor declaration of assessment accuracy and quality</t>
  </si>
  <si>
    <t>UTGÅR</t>
  </si>
  <si>
    <t>BREEAM-NOR revisors signatur</t>
  </si>
  <si>
    <t>Ene 02a</t>
  </si>
  <si>
    <t>Building contains multiple tenants/departments/function areas</t>
  </si>
  <si>
    <t>Dato</t>
  </si>
  <si>
    <t>Fume cupboard(s) and/or other containment devices (Ene 07, Hea 02,? )</t>
  </si>
  <si>
    <t>ikke noe å si for poengfordeling.  Ikke gjør noe med denne</t>
  </si>
  <si>
    <t>Ansvarsfraskrivelse</t>
  </si>
  <si>
    <t>(G)</t>
  </si>
  <si>
    <t xml:space="preserve">Dette preanalyseverktøyet er eid av NGBC og BRE Group Ltd. og gjøres offentlig tilgjengelig kun for informasjonsformål. Bruken av den til testing, vurdering, sertifisering eller godkjenning er ikke tillatt. Resultatene som presenteres er kun indikative for en bygnings potensielle ytelse, basert på en forenklet, uformell vurdering og ubekreftede forpliktelser. Resultatene representerer ikke en formell sertifisert BREEAM-NOR vurdering eller rangering og må ikke kommuniseres som sådan. NGBC/BRE Group Ltd. aksepterer ikke noe ansvar for handlinger som følge av informasjon presentert eller tolket av BREEAM-NOR forhåndsvurderingsestimatoren. For å gjennomføre en formell BREEAM-NOR vurdering, kontakt en lisensiert BREEAM-NOR vurderingsorganisasjon. En liste over lisensierte BREEAM-NOR vurderere er tilgjengelig på www.byggalliansen.no </t>
  </si>
  <si>
    <t>(Y)</t>
  </si>
  <si>
    <t>(R)</t>
  </si>
  <si>
    <t>Copyright</t>
  </si>
  <si>
    <t xml:space="preserve"> </t>
  </si>
  <si>
    <t xml:space="preserve">BREEAM-logoen er et registrert varemerke, og denne må ikke brukes eller reproduseres til noe formål uten forhåndsskriftlig samtykke fra NGBC/BRE Global Ltd. </t>
  </si>
  <si>
    <t>Please select:</t>
  </si>
  <si>
    <t>Ene 06</t>
  </si>
  <si>
    <t>Hea 02</t>
  </si>
  <si>
    <t>Man 03</t>
  </si>
  <si>
    <t>Man04</t>
  </si>
  <si>
    <t>Tra01</t>
  </si>
  <si>
    <t>Mat01</t>
  </si>
  <si>
    <t>Mat06</t>
  </si>
  <si>
    <t>Mat07</t>
  </si>
  <si>
    <t>Wst01</t>
  </si>
  <si>
    <t>Navnet og logoen til BREEAM og BREEAM-NOR er registrerte varemerker tilhørende Building Research Establishment Ltd.</t>
  </si>
  <si>
    <t>Crit. 3</t>
  </si>
  <si>
    <t>Crit. 5-6</t>
  </si>
  <si>
    <t>Crit. 1-4</t>
  </si>
  <si>
    <t>Crit. 1-2</t>
  </si>
  <si>
    <t>Crit. 5</t>
  </si>
  <si>
    <t>Crit. 4</t>
  </si>
  <si>
    <t>Crit. 5-9</t>
  </si>
  <si>
    <t>Crit. 1-8</t>
  </si>
  <si>
    <t>Crit. 1-2, 3 (1 cre.)</t>
  </si>
  <si>
    <t>Crit. 1, 5</t>
  </si>
  <si>
    <t>Unknown</t>
  </si>
  <si>
    <t>Crit. 5-13</t>
  </si>
  <si>
    <t>Crit. 1, 4, 5</t>
  </si>
  <si>
    <t>Preanalyseverktøy, versjon:</t>
  </si>
  <si>
    <t>For assessment details, HEA 07</t>
  </si>
  <si>
    <t>Please select</t>
  </si>
  <si>
    <t>No, confirmed by appropriate person</t>
  </si>
  <si>
    <t>Date</t>
  </si>
  <si>
    <t>N/A</t>
  </si>
  <si>
    <t>What is the building type category (for the purpose of the Transport  section)? (Tra 1)</t>
  </si>
  <si>
    <t>Does the building require the use of refrigerants within its installed plant/systems? (Pol 01)</t>
  </si>
  <si>
    <t>Assessment stage</t>
  </si>
  <si>
    <t>BREEAM-NOR scheme</t>
  </si>
  <si>
    <t>BREEAM-NOR version</t>
  </si>
  <si>
    <t>BREEAM-NOR v6.1.1 Nybygg Pre-analyseverktøy: Byggets ytelse</t>
  </si>
  <si>
    <t>Shell Core</t>
  </si>
  <si>
    <t>Innledende målsetning</t>
  </si>
  <si>
    <t>Prosjekteringsfase progresjon</t>
  </si>
  <si>
    <t>Ferdigstillelse progresjon</t>
  </si>
  <si>
    <t>Shell/core</t>
  </si>
  <si>
    <t>Shell and core</t>
  </si>
  <si>
    <t>Veiledende BREEAM-NOR-sertifiseringsnivå</t>
  </si>
  <si>
    <t>Option 2: Where relevant, 50% of achieved credit is subtracted from score.</t>
  </si>
  <si>
    <t>Veiledende total score</t>
  </si>
  <si>
    <t>Oppnådd nivå minstekrav</t>
  </si>
  <si>
    <t>Næringsbygg</t>
  </si>
  <si>
    <t>Krav i EUs taksonomi</t>
  </si>
  <si>
    <t>Tilgjengelig</t>
  </si>
  <si>
    <t>Velge farge på status</t>
  </si>
  <si>
    <t>N</t>
  </si>
  <si>
    <t>I</t>
  </si>
  <si>
    <t>Krit.</t>
  </si>
  <si>
    <t>BREEAM-NOR v6.1.1 Nybygg preanalyseverktøy: Byggets ytelse</t>
  </si>
  <si>
    <t>Tilgj. Poeng</t>
  </si>
  <si>
    <t>Poeng</t>
  </si>
  <si>
    <t>Bidrag til score</t>
  </si>
  <si>
    <t>Minstekrav nivå</t>
  </si>
  <si>
    <t>Ansvarlig</t>
  </si>
  <si>
    <t>Stat.</t>
  </si>
  <si>
    <t>Kommentarer</t>
  </si>
  <si>
    <t>IT</t>
  </si>
  <si>
    <t>DP</t>
  </si>
  <si>
    <t>CP</t>
  </si>
  <si>
    <t>Påvirker poeng</t>
  </si>
  <si>
    <t>Management</t>
  </si>
  <si>
    <t>LEDELSE</t>
  </si>
  <si>
    <t>MANAGEMENT</t>
  </si>
  <si>
    <t>Man 01</t>
  </si>
  <si>
    <t>Man 01 Project brief and design</t>
  </si>
  <si>
    <t>Man 01a</t>
  </si>
  <si>
    <t>Man 01b</t>
  </si>
  <si>
    <t>2-3</t>
  </si>
  <si>
    <t>Man 01c</t>
  </si>
  <si>
    <t>4-6</t>
  </si>
  <si>
    <t>Man 01d</t>
  </si>
  <si>
    <t>7-9</t>
  </si>
  <si>
    <t>Man 01e</t>
  </si>
  <si>
    <t>10-12</t>
  </si>
  <si>
    <t>Man 02</t>
  </si>
  <si>
    <t>Man 02 Life cycle cost and service life planning</t>
  </si>
  <si>
    <t>Man 02a</t>
  </si>
  <si>
    <t>1-4</t>
  </si>
  <si>
    <t>Man 02b</t>
  </si>
  <si>
    <t>5-6</t>
  </si>
  <si>
    <t>Man 03 Responsible construction practices</t>
  </si>
  <si>
    <t>Man 03a</t>
  </si>
  <si>
    <t>Man 03b</t>
  </si>
  <si>
    <t>2-4</t>
  </si>
  <si>
    <t>Man 03c</t>
  </si>
  <si>
    <t>Man 03d</t>
  </si>
  <si>
    <t>Man 03e</t>
  </si>
  <si>
    <t>10-11</t>
  </si>
  <si>
    <t>Man 03f</t>
  </si>
  <si>
    <t>12-13</t>
  </si>
  <si>
    <t>Man 04</t>
  </si>
  <si>
    <t>Man 04 Commissioning and handover</t>
  </si>
  <si>
    <t>Option 1</t>
  </si>
  <si>
    <t>Option 2</t>
  </si>
  <si>
    <t>Option 3</t>
  </si>
  <si>
    <t>Man 04a</t>
  </si>
  <si>
    <t>Man 04b</t>
  </si>
  <si>
    <t>5-7</t>
  </si>
  <si>
    <t>Man 04c</t>
  </si>
  <si>
    <t>8-9</t>
  </si>
  <si>
    <t>Man 05</t>
  </si>
  <si>
    <t>Man 05 Aftercare</t>
  </si>
  <si>
    <t>Man 05a</t>
  </si>
  <si>
    <t>1-2</t>
  </si>
  <si>
    <t>Man 05b</t>
  </si>
  <si>
    <t>3 or 4</t>
  </si>
  <si>
    <t>Man 05c</t>
  </si>
  <si>
    <t>Man sum</t>
  </si>
  <si>
    <t>Totalsum Ledelse</t>
  </si>
  <si>
    <t>Total performance management</t>
  </si>
  <si>
    <t>Health &amp; Wellbeing</t>
  </si>
  <si>
    <t>HELSE OG INNEMILJØ</t>
  </si>
  <si>
    <t>HEALTH &amp; WELLBEING</t>
  </si>
  <si>
    <t>Hea 01</t>
  </si>
  <si>
    <t>Hea 01 Visual comfort</t>
  </si>
  <si>
    <t>O1: Glare ctrl/artificial light</t>
  </si>
  <si>
    <t>O2: Glare control (-0,5 c)</t>
  </si>
  <si>
    <t>O2: Artificial lighting (-0,5 c)</t>
  </si>
  <si>
    <t>O2: Glare ctrl &amp; artif light (-1,0 c)</t>
  </si>
  <si>
    <t>O3: Glare ctrl/artif lighting</t>
  </si>
  <si>
    <t>Glare ctrl/artif lighting N/A</t>
  </si>
  <si>
    <t>Hea 01a</t>
  </si>
  <si>
    <t>Hea 01g</t>
  </si>
  <si>
    <t>Hea 01b</t>
  </si>
  <si>
    <t>Hea 01c</t>
  </si>
  <si>
    <t>Hea 01d</t>
  </si>
  <si>
    <t>Hea 01e</t>
  </si>
  <si>
    <t>Hea 01f</t>
  </si>
  <si>
    <t>O2: VOC (AC 8-9: -1,0 c)</t>
  </si>
  <si>
    <t>Hea 02 Indoor air quality</t>
  </si>
  <si>
    <t>O1: VOC</t>
  </si>
  <si>
    <t>O2: VOC (AC 6-7: -0,5 c)</t>
  </si>
  <si>
    <t>O3: VOC</t>
  </si>
  <si>
    <t>VOC N/A</t>
  </si>
  <si>
    <t>Hea 02a</t>
  </si>
  <si>
    <t>Hea 02b</t>
  </si>
  <si>
    <t>Hea 02c</t>
  </si>
  <si>
    <t>4 or 5</t>
  </si>
  <si>
    <t>Hea 02d</t>
  </si>
  <si>
    <t>6-11</t>
  </si>
  <si>
    <t>Hea 03</t>
  </si>
  <si>
    <t>Hea 03 Thermal comfort</t>
  </si>
  <si>
    <t>Option 2:  -50% credit</t>
  </si>
  <si>
    <t>Hea 03a</t>
  </si>
  <si>
    <t>Hea 03b</t>
  </si>
  <si>
    <t>5-8</t>
  </si>
  <si>
    <t>Hea 03c</t>
  </si>
  <si>
    <t>9-11</t>
  </si>
  <si>
    <t>Hea 05</t>
  </si>
  <si>
    <t>Hea 05 Acoustic performance</t>
  </si>
  <si>
    <t>Hea 05a</t>
  </si>
  <si>
    <t>Hea 05b</t>
  </si>
  <si>
    <t>Hea 06</t>
  </si>
  <si>
    <t>Hea 06 Safe access</t>
  </si>
  <si>
    <t>Hea 06a</t>
  </si>
  <si>
    <t>1-5</t>
  </si>
  <si>
    <t>Hea 06b</t>
  </si>
  <si>
    <t>6-7</t>
  </si>
  <si>
    <t>Hea 08</t>
  </si>
  <si>
    <t>Hea 08 Private space</t>
  </si>
  <si>
    <t>Hea 08a</t>
  </si>
  <si>
    <t>Hea sum</t>
  </si>
  <si>
    <t>Totalsum Helse og innemiljø</t>
  </si>
  <si>
    <t>Total performance health &amp; wellbeing</t>
  </si>
  <si>
    <t>Energy</t>
  </si>
  <si>
    <t>ENERGI</t>
  </si>
  <si>
    <t>ENERGY</t>
  </si>
  <si>
    <t>Ene 01</t>
  </si>
  <si>
    <t>Ene 01 Energy efficiency</t>
  </si>
  <si>
    <t>Ene 01a</t>
  </si>
  <si>
    <t>Ene 01b</t>
  </si>
  <si>
    <t>Ene 01c</t>
  </si>
  <si>
    <t>9-10</t>
  </si>
  <si>
    <t>Ene 01Tx</t>
  </si>
  <si>
    <t>11-12</t>
  </si>
  <si>
    <t>Ene 01d</t>
  </si>
  <si>
    <t>Ene 01e</t>
  </si>
  <si>
    <t>13-16</t>
  </si>
  <si>
    <t>Ene 02</t>
  </si>
  <si>
    <t>O2: Sub-met. (AC 4-7: -1,0 c)</t>
  </si>
  <si>
    <t>Ene 02 Energy monitoring</t>
  </si>
  <si>
    <t>O1: Sub-metering</t>
  </si>
  <si>
    <t>O2: Sub-met. (AC 1-3: -0,5 c)</t>
  </si>
  <si>
    <t>O3: Sub-metering</t>
  </si>
  <si>
    <t>Sub-metering N/A</t>
  </si>
  <si>
    <t>Ene 02b</t>
  </si>
  <si>
    <t>Ene 02c</t>
  </si>
  <si>
    <t>Ene 03</t>
  </si>
  <si>
    <t>Ene 03 External lighting</t>
  </si>
  <si>
    <t>Ene 03a</t>
  </si>
  <si>
    <t>Ene 03b</t>
  </si>
  <si>
    <t>Ene 05</t>
  </si>
  <si>
    <t>Ene 05 Energy efficient cold storage</t>
  </si>
  <si>
    <t>Ene 05a</t>
  </si>
  <si>
    <t>Ene 05b</t>
  </si>
  <si>
    <t>3-4</t>
  </si>
  <si>
    <t>Ene 06 Energy efficient transportation systems</t>
  </si>
  <si>
    <t>Ene 06a</t>
  </si>
  <si>
    <t>Ene 06b</t>
  </si>
  <si>
    <t>2-5</t>
  </si>
  <si>
    <t>Ene 06c</t>
  </si>
  <si>
    <t>6 or 7</t>
  </si>
  <si>
    <t>Ene 07</t>
  </si>
  <si>
    <t>Ene 07 Energy Efficient Laboratory Systems</t>
  </si>
  <si>
    <t>Ene 07a</t>
  </si>
  <si>
    <t>Ene 07b</t>
  </si>
  <si>
    <t>Ene 08</t>
  </si>
  <si>
    <t>Ene 08 Energy efficient equipment</t>
  </si>
  <si>
    <t>Ene 08a</t>
  </si>
  <si>
    <t>1-3</t>
  </si>
  <si>
    <t>Ene sum</t>
  </si>
  <si>
    <t>Totalsum energi</t>
  </si>
  <si>
    <t>Total performance energy</t>
  </si>
  <si>
    <t>Transport</t>
  </si>
  <si>
    <t>TRANSPORT</t>
  </si>
  <si>
    <t>Tra 01</t>
  </si>
  <si>
    <t>Tra 01 Public transport accessibility</t>
  </si>
  <si>
    <t>Tra 01a</t>
  </si>
  <si>
    <t>Tra 01b</t>
  </si>
  <si>
    <t>Tra 02</t>
  </si>
  <si>
    <t>Tra 02 Proximity to amenities</t>
  </si>
  <si>
    <t>Tra 02a</t>
  </si>
  <si>
    <t>Tra 02b</t>
  </si>
  <si>
    <t>Tra sum</t>
  </si>
  <si>
    <t>Totalsum transport</t>
  </si>
  <si>
    <t>Total performance transport</t>
  </si>
  <si>
    <t>Water</t>
  </si>
  <si>
    <t>VANN</t>
  </si>
  <si>
    <t>WATER</t>
  </si>
  <si>
    <t>Wat 01</t>
  </si>
  <si>
    <t>Wat 01 Water consumption</t>
  </si>
  <si>
    <t>Wat 01a</t>
  </si>
  <si>
    <t>1-7</t>
  </si>
  <si>
    <t>Wat 01Tx</t>
  </si>
  <si>
    <t>Wat 02</t>
  </si>
  <si>
    <t>Wat 02 Water monitoring</t>
  </si>
  <si>
    <t>Wat 02a</t>
  </si>
  <si>
    <t>Wat 03</t>
  </si>
  <si>
    <t>Wat 03 Water leak detection and prevention</t>
  </si>
  <si>
    <t>O1: Flow control</t>
  </si>
  <si>
    <t>O2: Flow control (-0,5 c)</t>
  </si>
  <si>
    <t xml:space="preserve">O3: Flow control </t>
  </si>
  <si>
    <t>Flow control N/A</t>
  </si>
  <si>
    <t>Wat 03a</t>
  </si>
  <si>
    <t>Wat 03b</t>
  </si>
  <si>
    <t>Wat 03c</t>
  </si>
  <si>
    <t>Wat 04</t>
  </si>
  <si>
    <t>Wat 04 Water efficient equipment</t>
  </si>
  <si>
    <t>Wat 04a</t>
  </si>
  <si>
    <t>Wat sum</t>
  </si>
  <si>
    <t>Totalsum vann</t>
  </si>
  <si>
    <t>Total performance water</t>
  </si>
  <si>
    <t>Materials</t>
  </si>
  <si>
    <t>MATERIALER</t>
  </si>
  <si>
    <t>MATERIALS</t>
  </si>
  <si>
    <t>Mat 01</t>
  </si>
  <si>
    <t>Mat 01 Life cycle impacts</t>
  </si>
  <si>
    <t>Mat 01a</t>
  </si>
  <si>
    <t>Mat 01b</t>
  </si>
  <si>
    <t>Mat 01c</t>
  </si>
  <si>
    <t>Mat 02</t>
  </si>
  <si>
    <t>Mat 02a</t>
  </si>
  <si>
    <t>Mat 02b</t>
  </si>
  <si>
    <t>Mat 02c</t>
  </si>
  <si>
    <t>Mat 03</t>
  </si>
  <si>
    <t>Mat 03 Responsible sourcing of materials</t>
  </si>
  <si>
    <t>Mat 03a</t>
  </si>
  <si>
    <t>Mat 03b</t>
  </si>
  <si>
    <t>Mat 03c</t>
  </si>
  <si>
    <t>Mat 05</t>
  </si>
  <si>
    <t>Mat 05 Designing for robustness</t>
  </si>
  <si>
    <t>Mat 05a</t>
  </si>
  <si>
    <t>Mat 05b</t>
  </si>
  <si>
    <t>Mat 05c</t>
  </si>
  <si>
    <t>3-5</t>
  </si>
  <si>
    <t>Mat 05d</t>
  </si>
  <si>
    <t>6-8</t>
  </si>
  <si>
    <t>Mat 05e</t>
  </si>
  <si>
    <t>Mat 06</t>
  </si>
  <si>
    <t>Mat 06d</t>
  </si>
  <si>
    <t>Mat 06a</t>
  </si>
  <si>
    <t>Mat 06b</t>
  </si>
  <si>
    <t>Mat 06c</t>
  </si>
  <si>
    <t>Mat 07</t>
  </si>
  <si>
    <t>Mat 07a</t>
  </si>
  <si>
    <t>Mat 07b</t>
  </si>
  <si>
    <t>Mat 07c</t>
  </si>
  <si>
    <t>Mat sum</t>
  </si>
  <si>
    <t>Totalsum materialer</t>
  </si>
  <si>
    <t>Total performance materials</t>
  </si>
  <si>
    <t>Waste</t>
  </si>
  <si>
    <t>AVFALL</t>
  </si>
  <si>
    <t>WASTE</t>
  </si>
  <si>
    <t>Wst 01</t>
  </si>
  <si>
    <t>Wst 01 Construction waste management</t>
  </si>
  <si>
    <t>Wst 01a</t>
  </si>
  <si>
    <t>Wst 01Tx</t>
  </si>
  <si>
    <t>Wst 01b</t>
  </si>
  <si>
    <t>Wst 01c</t>
  </si>
  <si>
    <t>Wst 01d</t>
  </si>
  <si>
    <t>Wst 03a</t>
  </si>
  <si>
    <t>Wst 03 Operational waste</t>
  </si>
  <si>
    <t>Wst 03aa</t>
  </si>
  <si>
    <t>Wst 03b</t>
  </si>
  <si>
    <t>Wst 03ba</t>
  </si>
  <si>
    <t>Wst 04</t>
  </si>
  <si>
    <t>Wst 04 Speculative floor and ceiling finishes</t>
  </si>
  <si>
    <t>Wst 04a</t>
  </si>
  <si>
    <t>Wst sum</t>
  </si>
  <si>
    <t>Totalsum Avfall</t>
  </si>
  <si>
    <t>Total performance waste</t>
  </si>
  <si>
    <t>Land Use &amp; Ecology</t>
  </si>
  <si>
    <t>AREALBRUK OG ØKOLOGI</t>
  </si>
  <si>
    <t>LAND USE &amp; ECOLOGY</t>
  </si>
  <si>
    <t>LE 01</t>
  </si>
  <si>
    <t>LE 01 Site selection</t>
  </si>
  <si>
    <t>LE 01a</t>
  </si>
  <si>
    <t>LE 01b</t>
  </si>
  <si>
    <t>LE 02</t>
  </si>
  <si>
    <t>LE 02 Ecological value of site and protection of ecological features</t>
  </si>
  <si>
    <t>LE 02a</t>
  </si>
  <si>
    <t>LE 02b</t>
  </si>
  <si>
    <t>LE 02c</t>
  </si>
  <si>
    <t>LE 03</t>
  </si>
  <si>
    <t>LE 03a</t>
  </si>
  <si>
    <t>LE 03b</t>
  </si>
  <si>
    <t>LE 03c</t>
  </si>
  <si>
    <t>LE 04</t>
  </si>
  <si>
    <t>LE 04 Enhancing site ecology</t>
  </si>
  <si>
    <t>LE 04a</t>
  </si>
  <si>
    <t>LE 04b</t>
  </si>
  <si>
    <t>LE 04c</t>
  </si>
  <si>
    <t>LE 05</t>
  </si>
  <si>
    <t>LE 05 Long term impact on biodiversity</t>
  </si>
  <si>
    <t>LE 05a</t>
  </si>
  <si>
    <t>LE 05b</t>
  </si>
  <si>
    <t>LE 05c</t>
  </si>
  <si>
    <t>LE 06</t>
  </si>
  <si>
    <t>LE 06 Building footprint</t>
  </si>
  <si>
    <t>LE 06a</t>
  </si>
  <si>
    <t>1-6</t>
  </si>
  <si>
    <t>LE 07</t>
  </si>
  <si>
    <t>LE 07a</t>
  </si>
  <si>
    <t>LE 07b</t>
  </si>
  <si>
    <t>LE 08</t>
  </si>
  <si>
    <t>LE 08a</t>
  </si>
  <si>
    <t>LE 08b</t>
  </si>
  <si>
    <t>4-5</t>
  </si>
  <si>
    <t>LE 08c</t>
  </si>
  <si>
    <t>LE 08d</t>
  </si>
  <si>
    <t>LE sum</t>
  </si>
  <si>
    <t>Totalsum arealbruk og økologi</t>
  </si>
  <si>
    <t>Total performance land use and ecology</t>
  </si>
  <si>
    <t>Pollution</t>
  </si>
  <si>
    <t>FORURENSING</t>
  </si>
  <si>
    <t>POLLUTION</t>
  </si>
  <si>
    <t>POL 01</t>
  </si>
  <si>
    <t>POL 01 Impacts of refrigerants</t>
  </si>
  <si>
    <t xml:space="preserve">Naturally ventilated </t>
  </si>
  <si>
    <t>POL 01a</t>
  </si>
  <si>
    <t>POL 01b</t>
  </si>
  <si>
    <t>POL 01c</t>
  </si>
  <si>
    <t>3 or 4 or 5</t>
  </si>
  <si>
    <t>POL 01d</t>
  </si>
  <si>
    <t>POL 02</t>
  </si>
  <si>
    <t>POL 02 NOx emissions</t>
  </si>
  <si>
    <t>POL 02a</t>
  </si>
  <si>
    <t>POL 02b</t>
  </si>
  <si>
    <t>POL 04</t>
  </si>
  <si>
    <t>POL 04 Reduction of night time light pollution</t>
  </si>
  <si>
    <t>POL 04a</t>
  </si>
  <si>
    <t>POL 04b</t>
  </si>
  <si>
    <t>POL 05</t>
  </si>
  <si>
    <t>POL 05 Noise attenuation</t>
  </si>
  <si>
    <t>POL 05a</t>
  </si>
  <si>
    <t>POL 05b</t>
  </si>
  <si>
    <t>POL sum</t>
  </si>
  <si>
    <t>Totalsum Forurensing</t>
  </si>
  <si>
    <t>Total performance pollution</t>
  </si>
  <si>
    <t>Exemplary Level</t>
  </si>
  <si>
    <t>MØNSTERGYLDIG NIVÅ OG INNOVASJONSPOENG (maks 10 poeng)</t>
  </si>
  <si>
    <t>EXEMPLARY LEVEL AND INNOVATION (max 10 credits)</t>
  </si>
  <si>
    <t>Inn 01</t>
  </si>
  <si>
    <t>Inn 01 - Man 05 Aftercare</t>
  </si>
  <si>
    <t>Inn 02</t>
  </si>
  <si>
    <t>21-22</t>
  </si>
  <si>
    <t>Inn 02 - Hea 02 Indoor air quality</t>
  </si>
  <si>
    <t>Inn 03</t>
  </si>
  <si>
    <t>Inn 03 - Tra 03 Alternative modes of transport</t>
  </si>
  <si>
    <t>Inn 04</t>
  </si>
  <si>
    <t>Inn 04 - Wat 01 Water consumption</t>
  </si>
  <si>
    <t>Inn 05</t>
  </si>
  <si>
    <t>17-20</t>
  </si>
  <si>
    <t>Inn 05 - Mat 01 Life cycle impacts</t>
  </si>
  <si>
    <t>Inn 06</t>
  </si>
  <si>
    <t>Inn 06 - Mat 03 Responsible sourcing of materials</t>
  </si>
  <si>
    <t>Inn 07</t>
  </si>
  <si>
    <t>Inn 07 - Wst 01 Construction site waste man.</t>
  </si>
  <si>
    <t>Inn 08</t>
  </si>
  <si>
    <t>Inn 08 - Wst 02 Recycled aggregates</t>
  </si>
  <si>
    <t>Inn 09</t>
  </si>
  <si>
    <t xml:space="preserve">Inn 09 - Approved innovation credits </t>
  </si>
  <si>
    <t>Inn 10</t>
  </si>
  <si>
    <t>Inn 11</t>
  </si>
  <si>
    <t>Inn 12</t>
  </si>
  <si>
    <t>Inn 13</t>
  </si>
  <si>
    <t>Inn 14</t>
  </si>
  <si>
    <t>Inn sum</t>
  </si>
  <si>
    <t>Totalsum innovasjon</t>
  </si>
  <si>
    <t>Total indicative environmental section performance</t>
  </si>
  <si>
    <t>Hea 01 Visual comfort - Criteria 1</t>
  </si>
  <si>
    <t>Mat 01 Life cycle impacts  - Criteria 1</t>
  </si>
  <si>
    <t>Mat 03 Responsible sourcing of mat.  - Crit 1.</t>
  </si>
  <si>
    <t>BREEAM REFERANSE</t>
  </si>
  <si>
    <t>BREEAM-Topic EMNE</t>
  </si>
  <si>
    <t>Available credits in all</t>
  </si>
  <si>
    <t>Available credits for this project</t>
  </si>
  <si>
    <t>Is credits relevant for the project? Yes/No POENG AKTUELLE FOR PROSJEKTET? JA/NEI</t>
  </si>
  <si>
    <t>Ledelse:</t>
  </si>
  <si>
    <t>Project brief &amp; design:</t>
  </si>
  <si>
    <t>Third party stakeholder consultation</t>
  </si>
  <si>
    <t>YES</t>
  </si>
  <si>
    <t>BREEAM-NOR AP (stage 2 and 3)</t>
  </si>
  <si>
    <t>BREEAM-NOR AP (stage 4)</t>
  </si>
  <si>
    <t xml:space="preserve">Climate gas calculation for whole building life cycle </t>
  </si>
  <si>
    <t>Life cycle cost and service life planning:</t>
  </si>
  <si>
    <t>Elemental life cycle cost (LCC) and capital cost reporting</t>
  </si>
  <si>
    <t>Component level life option appraisal</t>
  </si>
  <si>
    <t>Responsible construction practices</t>
  </si>
  <si>
    <t>Environmental managment</t>
  </si>
  <si>
    <t>BREEAM-NOR AP and classification level (stage 5 and 6)</t>
  </si>
  <si>
    <t>Considerate construction managment</t>
  </si>
  <si>
    <t xml:space="preserve">Reduction of climate gas emissions from activites assosiated with the construction site </t>
  </si>
  <si>
    <t>Commissioning and handover</t>
  </si>
  <si>
    <t xml:space="preserve">Commissioning - testing schedule and responsibilities </t>
  </si>
  <si>
    <t>Commissioning - design, preperation and implementation</t>
  </si>
  <si>
    <t>Prepare for good handover</t>
  </si>
  <si>
    <t>Aftercare</t>
  </si>
  <si>
    <t>Aftercare support</t>
  </si>
  <si>
    <t>Sesonal commisioning</t>
  </si>
  <si>
    <t>Post-occypancy evaluation</t>
  </si>
  <si>
    <t>Helse og innemiljø:</t>
  </si>
  <si>
    <t>Visual comfort:</t>
  </si>
  <si>
    <t>Daylighting</t>
  </si>
  <si>
    <t xml:space="preserve">Control of glare from sunlight </t>
  </si>
  <si>
    <t xml:space="preserve">View out </t>
  </si>
  <si>
    <t xml:space="preserve">Sunlight </t>
  </si>
  <si>
    <t>-</t>
  </si>
  <si>
    <t>NO</t>
  </si>
  <si>
    <t xml:space="preserve">Internal and external lighting levels, zoning and control </t>
  </si>
  <si>
    <t>Indoor air quality:</t>
  </si>
  <si>
    <t>Ventilation</t>
  </si>
  <si>
    <t xml:space="preserve">Emissions from construction products </t>
  </si>
  <si>
    <t xml:space="preserve">Post-construction indoor air quality measurement </t>
  </si>
  <si>
    <t>Thermal comfort:</t>
  </si>
  <si>
    <t xml:space="preserve">Thermal modelling </t>
  </si>
  <si>
    <t xml:space="preserve">Design for future thermal comfort </t>
  </si>
  <si>
    <t>Thermal zoning and controls</t>
  </si>
  <si>
    <t xml:space="preserve">Sound class requirements </t>
  </si>
  <si>
    <t>Safe and healthy environment:</t>
  </si>
  <si>
    <t>Inclusive design</t>
  </si>
  <si>
    <t>Biofilik design</t>
  </si>
  <si>
    <t>Private space</t>
  </si>
  <si>
    <t>Energi:</t>
  </si>
  <si>
    <t>Building energy performance:</t>
  </si>
  <si>
    <t xml:space="preserve">Passive design </t>
  </si>
  <si>
    <t xml:space="preserve">Low and zero carbon technologies </t>
  </si>
  <si>
    <t xml:space="preserve">Energy performance </t>
  </si>
  <si>
    <t xml:space="preserve">Adaptation to EU taxonomy </t>
  </si>
  <si>
    <t xml:space="preserve">Prediction of operational energy consumption </t>
  </si>
  <si>
    <t>Energy monitoring:</t>
  </si>
  <si>
    <t xml:space="preserve">Sub-metering of end-use categories </t>
  </si>
  <si>
    <t xml:space="preserve">Sub-metering of high energy load and tenancy areas </t>
  </si>
  <si>
    <t xml:space="preserve">Sub-metering of energy consumption in residential buildings </t>
  </si>
  <si>
    <t>External Lighting</t>
  </si>
  <si>
    <t>Energy efficient cold storage</t>
  </si>
  <si>
    <t xml:space="preserve">Design of energy efficient refrigeration- and freezing room </t>
  </si>
  <si>
    <t xml:space="preserve">Indirect greenhouse gas emissions </t>
  </si>
  <si>
    <t>Energy efficient transportation systems</t>
  </si>
  <si>
    <t xml:space="preserve">Energy consumption </t>
  </si>
  <si>
    <t xml:space="preserve">Energy efficient features </t>
  </si>
  <si>
    <t>Energy efficient laboratory systems</t>
  </si>
  <si>
    <t xml:space="preserve">Design specification </t>
  </si>
  <si>
    <t xml:space="preserve">Best practice energy efficient measures </t>
  </si>
  <si>
    <t>Energy efficient equipment</t>
  </si>
  <si>
    <t>Transport:</t>
  </si>
  <si>
    <t>Transport assessment and travel plan</t>
  </si>
  <si>
    <t xml:space="preserve">Transport assessment and travel plan </t>
  </si>
  <si>
    <t xml:space="preserve">Travel plan emissions evaluation </t>
  </si>
  <si>
    <t>Sustainable transport measures</t>
  </si>
  <si>
    <t>Vann:</t>
  </si>
  <si>
    <t>Water consumption</t>
  </si>
  <si>
    <t>Water monitoring</t>
  </si>
  <si>
    <t>Water leak detection and prevention</t>
  </si>
  <si>
    <t>Leak detection system</t>
  </si>
  <si>
    <t>Flow control devices (all buildings except residential)</t>
  </si>
  <si>
    <t>Leak isolation</t>
  </si>
  <si>
    <t>Water efficient equipment</t>
  </si>
  <si>
    <t>Materialer:</t>
  </si>
  <si>
    <t>Environmental impacts from construction products - LCA and greenhouse gas calculations</t>
  </si>
  <si>
    <t>Reduction of greenhouse gas emissions</t>
  </si>
  <si>
    <t>Life cycle assessment of the building</t>
  </si>
  <si>
    <t>Environmental impacts from construction products - EPDs</t>
  </si>
  <si>
    <t xml:space="preserve">EPD for construction products </t>
  </si>
  <si>
    <t xml:space="preserve">Performance requirements for construction products </t>
  </si>
  <si>
    <t>Responsible sourcing of construction products</t>
  </si>
  <si>
    <t>Enabling sustainable procurement</t>
  </si>
  <si>
    <t>Responsible sourcing of relevant materials</t>
  </si>
  <si>
    <t>Designing for robustness</t>
  </si>
  <si>
    <t>Protect vulnerable parts of the building from damage</t>
  </si>
  <si>
    <t xml:space="preserve">Protecting exposed parts of the building from material degradation </t>
  </si>
  <si>
    <t>Moisture protecion on site</t>
  </si>
  <si>
    <t>Material efficency</t>
  </si>
  <si>
    <t>Mapping for component reuse and implementation</t>
  </si>
  <si>
    <t>Reuse of extern building components</t>
  </si>
  <si>
    <t>Disassembly and adaptibility</t>
  </si>
  <si>
    <t>Material bank</t>
  </si>
  <si>
    <t xml:space="preserve">Design for disassembly and functional adaptability - recommendations </t>
  </si>
  <si>
    <t>Disassembly and functional adaptability - implementation</t>
  </si>
  <si>
    <t>Avfall:</t>
  </si>
  <si>
    <t>Construction waste management</t>
  </si>
  <si>
    <t>Resource managment plan</t>
  </si>
  <si>
    <t>Amount of construction waste</t>
  </si>
  <si>
    <t>Waste sorting, reuse and recycling</t>
  </si>
  <si>
    <t>Operational waste</t>
  </si>
  <si>
    <t>Speculative floor &amp; ceiling finishes</t>
  </si>
  <si>
    <t>Arealbruk og økologi:</t>
  </si>
  <si>
    <t>Site selection</t>
  </si>
  <si>
    <t>Ecological risks and opportunities</t>
  </si>
  <si>
    <t>Survey and evaluation</t>
  </si>
  <si>
    <t>Determin ecological possibilities</t>
  </si>
  <si>
    <t>LE03</t>
  </si>
  <si>
    <t>Managing impacts on ecology</t>
  </si>
  <si>
    <t>Planning and measures on site</t>
  </si>
  <si>
    <t>Managing negative impacts</t>
  </si>
  <si>
    <t>Ecological change and enhancement</t>
  </si>
  <si>
    <t>Ecological enhancement</t>
  </si>
  <si>
    <t>Calculation of change in biodiversity</t>
  </si>
  <si>
    <t>Long term impact on biodiversity</t>
  </si>
  <si>
    <t>Management and maintenance throughout the project</t>
  </si>
  <si>
    <t>Landscape and ecology management plan</t>
  </si>
  <si>
    <t>Climate adaption</t>
  </si>
  <si>
    <t>LE07</t>
  </si>
  <si>
    <t>Flooding and storm surge</t>
  </si>
  <si>
    <t>LE08</t>
  </si>
  <si>
    <t>Local surface water handling</t>
  </si>
  <si>
    <t>Maximum run-off</t>
  </si>
  <si>
    <t>Measures for surface-based water management</t>
  </si>
  <si>
    <t>Forurensning:</t>
  </si>
  <si>
    <t>Pol 01</t>
  </si>
  <si>
    <t>Impact of refrigerants</t>
  </si>
  <si>
    <t>Pol 02</t>
  </si>
  <si>
    <t>Local air quality</t>
  </si>
  <si>
    <t>Pol 04</t>
  </si>
  <si>
    <t xml:space="preserve">Reduction of Night Time Light Pollution </t>
  </si>
  <si>
    <t>Pol 05</t>
  </si>
  <si>
    <t>Reduction of noise pollution</t>
  </si>
  <si>
    <t>Innovasjon:</t>
  </si>
  <si>
    <t>Man03</t>
  </si>
  <si>
    <t xml:space="preserve">Reduction of direct emissions from construction sites </t>
  </si>
  <si>
    <t>Hea01</t>
  </si>
  <si>
    <t xml:space="preserve">Daylighting, high level </t>
  </si>
  <si>
    <t xml:space="preserve">View out, high level </t>
  </si>
  <si>
    <t>Hea02</t>
  </si>
  <si>
    <t xml:space="preserve">Emissions from construction products  </t>
  </si>
  <si>
    <t>Ene01</t>
  </si>
  <si>
    <t xml:space="preserve">Post-occupancy stage </t>
  </si>
  <si>
    <t xml:space="preserve">Plus house </t>
  </si>
  <si>
    <t>Wat01</t>
  </si>
  <si>
    <t>Highly water efficient components</t>
  </si>
  <si>
    <t xml:space="preserve">60% reduction of greenhouse gas emission </t>
  </si>
  <si>
    <t>FutureBuilt criteria set for circular buildings, point 2.3 reuse of building components</t>
  </si>
  <si>
    <t xml:space="preserve">Especially low amount of construction waste </t>
  </si>
  <si>
    <t>LE02</t>
  </si>
  <si>
    <t>Wider sustainability for the site</t>
  </si>
  <si>
    <t>LE04</t>
  </si>
  <si>
    <t>Significant net gain of biodiversity</t>
  </si>
  <si>
    <t>LE06</t>
  </si>
  <si>
    <t>Responding to climate change</t>
  </si>
  <si>
    <t>Wider approach to surface water management</t>
  </si>
  <si>
    <t>Felter merket mørk grønn omfattes av filtreringen</t>
  </si>
  <si>
    <t>Lim inn her</t>
  </si>
  <si>
    <t>Available credits TILGJENGELIGE POENG</t>
  </si>
  <si>
    <t>Navn</t>
  </si>
  <si>
    <t>Tilgjengelig poeng</t>
  </si>
  <si>
    <t>Hvor mange poeng skal bort?</t>
  </si>
  <si>
    <t>Sum</t>
  </si>
  <si>
    <t>BESPOKE</t>
  </si>
  <si>
    <t>TEST</t>
  </si>
  <si>
    <t>Planning project delivery</t>
  </si>
  <si>
    <t>a</t>
  </si>
  <si>
    <t>b</t>
  </si>
  <si>
    <t>c</t>
  </si>
  <si>
    <t>d</t>
  </si>
  <si>
    <t>e</t>
  </si>
  <si>
    <t>Ansvarlig byggeledelse: RTB og sjekkliste A1</t>
  </si>
  <si>
    <t>hvis 1 poeng . Sjekk type</t>
  </si>
  <si>
    <t>Ansvarlig byggeledelse: INSTA 800 og sjekkliste A1</t>
  </si>
  <si>
    <t>Energiforbruk fra aktiviteter på byggeplassen (steg 2-4)</t>
  </si>
  <si>
    <t>Hea 04</t>
  </si>
  <si>
    <t>f</t>
  </si>
  <si>
    <t>Energiforbruk tilknyttet transport av masser og avfall  (steg 2-4)</t>
  </si>
  <si>
    <t>Hea 07</t>
  </si>
  <si>
    <t>Hea 09</t>
  </si>
  <si>
    <t>Man 06</t>
  </si>
  <si>
    <t>Man 07</t>
  </si>
  <si>
    <t>Man Sum</t>
  </si>
  <si>
    <t>Ene 04</t>
  </si>
  <si>
    <t>Ene 09</t>
  </si>
  <si>
    <t>Ene 23</t>
  </si>
  <si>
    <t xml:space="preserve">Pre-requisite: indoor air quality </t>
  </si>
  <si>
    <t>Tra 03a</t>
  </si>
  <si>
    <t>Tra 03b</t>
  </si>
  <si>
    <t>Tra 04</t>
  </si>
  <si>
    <t>Tra 05</t>
  </si>
  <si>
    <t>Tra 06</t>
  </si>
  <si>
    <t xml:space="preserve">Thermal zoning and controls </t>
  </si>
  <si>
    <t xml:space="preserve">Pre-requisite: suitably qualified acoustician </t>
  </si>
  <si>
    <t xml:space="preserve">Inclusive design </t>
  </si>
  <si>
    <t xml:space="preserve">Biofilik design </t>
  </si>
  <si>
    <t xml:space="preserve">Private outdoor spaces </t>
  </si>
  <si>
    <t>Wst 02</t>
  </si>
  <si>
    <t>No external lighting within the construction zone</t>
  </si>
  <si>
    <t>External lighting within the construction zone</t>
  </si>
  <si>
    <t>Pol 03</t>
  </si>
  <si>
    <t>Transport needs and usage patterns</t>
  </si>
  <si>
    <t>Energieffektive funksjoner heis</t>
  </si>
  <si>
    <t>Ved 1 poeng, sjekk type</t>
  </si>
  <si>
    <t>Energieffektive funksjoner rulletrapp</t>
  </si>
  <si>
    <t xml:space="preserve">Reduction of the building's significant unregulated energy consumption </t>
  </si>
  <si>
    <t>Tra 01 Transport assessment and travel plan</t>
  </si>
  <si>
    <t>Tra 02 Sustainable transport measures</t>
  </si>
  <si>
    <t>Prerequisite: Transport assessment and travel plan</t>
  </si>
  <si>
    <t xml:space="preserve">Transport options implementation </t>
  </si>
  <si>
    <t>Tra 03</t>
  </si>
  <si>
    <t>Water efficient components</t>
  </si>
  <si>
    <t>Water meter</t>
  </si>
  <si>
    <t>Flow control devices</t>
  </si>
  <si>
    <t>Mat 01 Environmental impacts from construction products - Building life cycle assessment (LCA)</t>
  </si>
  <si>
    <t>Pre-requisite: early stage greenhouse gas calculation</t>
  </si>
  <si>
    <t>Mat 02 Environmental impacts from construction products - Environmental Product Declarations (EPD)</t>
  </si>
  <si>
    <t>Minimum req -  Absence of environmental toxins</t>
  </si>
  <si>
    <t>Mat 03 Responsible sourcing of construction products</t>
  </si>
  <si>
    <t>Minimum req -  legal and sustainable timber</t>
  </si>
  <si>
    <t>Mat 05 Designing for durability and resilience</t>
  </si>
  <si>
    <t>Pre-requisite: risk analysis</t>
  </si>
  <si>
    <t xml:space="preserve">Kontrollplan og fuktmålinger </t>
  </si>
  <si>
    <t>sjekk type og rett poeng</t>
  </si>
  <si>
    <t xml:space="preserve">Bygging under tildekking  </t>
  </si>
  <si>
    <t>Mat 06 Material efficiency</t>
  </si>
  <si>
    <t>Mat 07 Endringsdyktighet og ombrukbarhet</t>
  </si>
  <si>
    <t xml:space="preserve">Disassembly and functional adaptability - implementation </t>
  </si>
  <si>
    <t>Wst 03a Operational waste</t>
  </si>
  <si>
    <t>Wst 03b Operational waste</t>
  </si>
  <si>
    <t>Sorting of waste</t>
  </si>
  <si>
    <t>Wst 04 User involvement surface finishes</t>
  </si>
  <si>
    <t xml:space="preserve">User involvement surface finishes </t>
  </si>
  <si>
    <t>Land &amp; Ecology</t>
  </si>
  <si>
    <t>Previously occupied land</t>
  </si>
  <si>
    <t>LE 02 Ecological risks and opportunities</t>
  </si>
  <si>
    <t>Pre-requisite: statutory obligations</t>
  </si>
  <si>
    <t>LE 03 Managing impacts on ecology</t>
  </si>
  <si>
    <t>Pre-requisite: ecological risks and opportunities</t>
  </si>
  <si>
    <t>LE 04 Ecological change and enhancement</t>
  </si>
  <si>
    <t>Pre-requisite: Managing negative impacts on ecology</t>
  </si>
  <si>
    <t>LE 05 Long term ecology management and maintenance</t>
  </si>
  <si>
    <t>Pre-requisite: statutory obligations, planning and site implementation</t>
  </si>
  <si>
    <t>LE 06 Climate adaption</t>
  </si>
  <si>
    <t>Risk assessment</t>
  </si>
  <si>
    <t>LE 07 Flooding and storm surge</t>
  </si>
  <si>
    <t>Pre-requisite: Flood risk assessment</t>
  </si>
  <si>
    <t>Resilience against flood and storm surge</t>
  </si>
  <si>
    <t>LE 08 Local surface water handling</t>
  </si>
  <si>
    <t>Pre-requisite risk assessment and the "three- step strategy"</t>
  </si>
  <si>
    <t>5 mm precipitation</t>
  </si>
  <si>
    <t>No refrigerants in the building</t>
  </si>
  <si>
    <t>sjekk rett</t>
  </si>
  <si>
    <t>Leak detection</t>
  </si>
  <si>
    <t>POL 02 Local air quality</t>
  </si>
  <si>
    <t>Heating and hot water is supplied by non-combustions system</t>
  </si>
  <si>
    <t>Heating and hot water is supplied by combustions plant</t>
  </si>
  <si>
    <t>POL 03</t>
  </si>
  <si>
    <t xml:space="preserve">No external lighting pollution </t>
  </si>
  <si>
    <t>Minimizing external light pollution</t>
  </si>
  <si>
    <t>POL 05 Reduction of noise pollution</t>
  </si>
  <si>
    <t>No noise-sensitive areas</t>
  </si>
  <si>
    <t>Minimizing noise pollution in noise-sensitive areas</t>
  </si>
  <si>
    <t>BREEAM innovation credits</t>
  </si>
  <si>
    <t xml:space="preserve">Inn 01 - Man 03: Reduction of direct emissions from construction sites </t>
  </si>
  <si>
    <t xml:space="preserve">Inn 02 - Hea 01: Daylighting, high level </t>
  </si>
  <si>
    <t xml:space="preserve">Inn 03 - Hea 01: View out, high level </t>
  </si>
  <si>
    <t xml:space="preserve">Inn 04 - Hea 02: Emissions from construction products  </t>
  </si>
  <si>
    <t xml:space="preserve">Inn 05 - Ene 01: Post-occupancy stage </t>
  </si>
  <si>
    <t xml:space="preserve">Inn 06 - Ene 01: Plus house </t>
  </si>
  <si>
    <t>Inn 07 - Wat 01: Highly water efficient components</t>
  </si>
  <si>
    <t xml:space="preserve">Inn 08 - Mat 01: 60% reduction of greenhouse gas emission </t>
  </si>
  <si>
    <t>Inn 09 - Mat 06: FutureBuilt criteria set for circular buildings, point 2.3 reuse of building components</t>
  </si>
  <si>
    <t xml:space="preserve">Inn 10 - Wst 01: Especially low amount of construction waste </t>
  </si>
  <si>
    <t>Inn 11 - LE 02: Wider sustainability for the site</t>
  </si>
  <si>
    <t>Inn 12 - LE 04: Significant net gain of biodiversity</t>
  </si>
  <si>
    <t>Inn 13 - LE 06: Responding to climate change</t>
  </si>
  <si>
    <t>Inn 14 - LE 08: Wider approach to surface water management</t>
  </si>
  <si>
    <t>Spesialtilfeller</t>
  </si>
  <si>
    <t>Pol 01b</t>
  </si>
  <si>
    <t>Forkrav: 2. Belastning fra kuldemedier</t>
  </si>
  <si>
    <t>Issues in BREEAM-NOR v. 1.1</t>
  </si>
  <si>
    <t>New Construction (fully fitted)</t>
  </si>
  <si>
    <t>Ja</t>
  </si>
  <si>
    <t>Næring</t>
  </si>
  <si>
    <t>S/C</t>
  </si>
  <si>
    <t>Minus</t>
  </si>
  <si>
    <t>Valgt bygg</t>
  </si>
  <si>
    <t>Nei</t>
  </si>
  <si>
    <t>Offentlig bygg (ikke boligformål)</t>
  </si>
  <si>
    <t>Gange</t>
  </si>
  <si>
    <t>Boliger</t>
  </si>
  <si>
    <t>ikke sum med makspoeng</t>
  </si>
  <si>
    <t>Flerboerbygg og omsorgsboliger</t>
  </si>
  <si>
    <t>Total contribution to overall building score</t>
  </si>
  <si>
    <t>Kode</t>
  </si>
  <si>
    <t>Total credits available BREEAM-NOR 2021</t>
  </si>
  <si>
    <t xml:space="preserve">Original no. of BREEAM credits available </t>
  </si>
  <si>
    <t>Div filter</t>
  </si>
  <si>
    <t>No. of BREEAM credits available</t>
  </si>
  <si>
    <t>Available contribution to overall score</t>
  </si>
  <si>
    <t>User credits - INITIAL</t>
  </si>
  <si>
    <t>User credits - DESIGN</t>
  </si>
  <si>
    <t>User credits - CONSTRUCTION</t>
  </si>
  <si>
    <t>Non residential</t>
  </si>
  <si>
    <t>Residential</t>
  </si>
  <si>
    <t>EU Taksonomi</t>
  </si>
  <si>
    <t>Innovasjon</t>
  </si>
  <si>
    <t>S/C bare næring. Ja = bare næring. Nei = kun bolig</t>
  </si>
  <si>
    <t>Hvis ikke S/C</t>
  </si>
  <si>
    <t>Påvirker minimumspoeng</t>
  </si>
  <si>
    <t>Shell core</t>
  </si>
  <si>
    <t>P</t>
  </si>
  <si>
    <t>G</t>
  </si>
  <si>
    <t>VG</t>
  </si>
  <si>
    <t>E</t>
  </si>
  <si>
    <t>O</t>
  </si>
  <si>
    <t>Level</t>
  </si>
  <si>
    <t>Minimum standard(s) level</t>
  </si>
  <si>
    <t xml:space="preserve">Ingen vesentlig skade (DNSH) </t>
  </si>
  <si>
    <t>Bidra vesentlig til å redusere klimaendringer</t>
  </si>
  <si>
    <t>Samlet</t>
  </si>
  <si>
    <t>INITIAL</t>
  </si>
  <si>
    <t>DESIGN</t>
  </si>
  <si>
    <t>CONSTRUCTION</t>
  </si>
  <si>
    <t>Endring</t>
  </si>
  <si>
    <t>Minus elelr gange</t>
  </si>
  <si>
    <t>Ny maksverdi ved nei</t>
  </si>
  <si>
    <t>Juster endring</t>
  </si>
  <si>
    <t>Man 01 Konseptutvikling og prosjektoptimalisering</t>
  </si>
  <si>
    <t>Planlegging av  prosjektering  og utførelse</t>
  </si>
  <si>
    <t>Samlet klimagassregnskap for byggets levetid (EU taksonomi: krit. 2-3)</t>
  </si>
  <si>
    <t>Involvering av eksterne interessenter</t>
  </si>
  <si>
    <t>BREEAM-NOR AP (steg 2 og 3)</t>
  </si>
  <si>
    <t>BREEAM-NOR AP (steg 4)</t>
  </si>
  <si>
    <t>Man 02 Livsløpskostnader og levetidsplanlegging</t>
  </si>
  <si>
    <t>Vurdering av et byggs livsløpskostnader (LCC) og rapportering av investeringskostnader</t>
  </si>
  <si>
    <t>Vurdering av bygningsdelers livssykluskostnader</t>
  </si>
  <si>
    <t>Man 03 Ansvarlig byggepraksis</t>
  </si>
  <si>
    <t>Miljøledelse</t>
  </si>
  <si>
    <t>BREEAM-NOR AP og ytelsesnivå (steg 5 og 6)</t>
  </si>
  <si>
    <t>Ansvarlig byggeledelse: INSTA 800 og sjekkliste A1 (EU taksonomi: krit. 7-9)</t>
  </si>
  <si>
    <t>Reduksjon av klimagassutslipp fra aktiviteter: energibruk fra aktiviteter på utbyggingsområdet (steg 2-4)</t>
  </si>
  <si>
    <t>Reduksjon av klimagassutslipp fra aktiviteter: Energiforbruk fra transport av masser og avfall  (steg 2-4)</t>
  </si>
  <si>
    <t>Man 04  Idriftsetting og overlevering</t>
  </si>
  <si>
    <t>Plan for idriftsetting, testing og ansvar</t>
  </si>
  <si>
    <t>Utarbeidelse, klargjøring og gjennomføring av idriftsetting</t>
  </si>
  <si>
    <t>Planlegging for god overlevering</t>
  </si>
  <si>
    <t>Man 05 Prøvedrift og oppfølging</t>
  </si>
  <si>
    <t>INN</t>
  </si>
  <si>
    <t>Oppfølging etter innflytting</t>
  </si>
  <si>
    <t>Sesongmessig prøvedrift eller kartlegging og utbedring</t>
  </si>
  <si>
    <t>Evaluering etter at bygget er tatt i bruk</t>
  </si>
  <si>
    <t>Helse og velvære</t>
  </si>
  <si>
    <t>Hea 01 Visuell komfort</t>
  </si>
  <si>
    <t>Forkrav: begrensning av flimmer</t>
  </si>
  <si>
    <t>Dagslys</t>
  </si>
  <si>
    <t>Kontroll av blending fra dagslys</t>
  </si>
  <si>
    <t>Utsyn</t>
  </si>
  <si>
    <t>Sollys</t>
  </si>
  <si>
    <t>Innendørs og utendørs belysningsnivåer og soneinndeling</t>
  </si>
  <si>
    <t>Hea 02 Inneluftkvalitet</t>
  </si>
  <si>
    <t>shell core</t>
  </si>
  <si>
    <t>Alle</t>
  </si>
  <si>
    <t>Forkrav: plan for inneluftkvalitet</t>
  </si>
  <si>
    <t>Ventilasjon</t>
  </si>
  <si>
    <t>Emisjoner fra bygningsprodukter (EU taksonomi: krit. 5)</t>
  </si>
  <si>
    <t>Måling av inneluftkvalitet</t>
  </si>
  <si>
    <t>Hea 03 Termisk komfort</t>
  </si>
  <si>
    <t>Termisk modellering</t>
  </si>
  <si>
    <t>Prosjektering for fremtidig termisk komfort</t>
  </si>
  <si>
    <t>Termisk soning og reguleringsfunksjoner</t>
  </si>
  <si>
    <t>Hea 05 Lydforhold</t>
  </si>
  <si>
    <t>Boliger og boliginstitusjoner: 4</t>
  </si>
  <si>
    <t>Forkrav: kvalifisert akustiker</t>
  </si>
  <si>
    <t>Krav til lydklasse</t>
  </si>
  <si>
    <t>Hea 06 Trygge og sunne omgivelser</t>
  </si>
  <si>
    <t>Boliger og omsorgsboliger kan oppnå 2p for Inkluderende design. Alle andre kan oppnå 1p</t>
  </si>
  <si>
    <t>Inkluderende design</t>
  </si>
  <si>
    <t xml:space="preserve">Biofilisk design </t>
  </si>
  <si>
    <t>Hea 08 Privatområde</t>
  </si>
  <si>
    <t>Private uteoppholdsarealer</t>
  </si>
  <si>
    <t>Energi</t>
  </si>
  <si>
    <t>Ene 01 Bygningens energiytelse</t>
  </si>
  <si>
    <t xml:space="preserve">Passivdesign </t>
  </si>
  <si>
    <t>Energiforsyning med lavt klimagassutslipp</t>
  </si>
  <si>
    <t>Energiytelse</t>
  </si>
  <si>
    <t>Tilpasning til EUs taksonomi (EU taksonomi: krit. 12)</t>
  </si>
  <si>
    <t>Forespeiling av reelt energibudsjett</t>
  </si>
  <si>
    <t>Ene 02 Energimåling</t>
  </si>
  <si>
    <t>Formålsdeling</t>
  </si>
  <si>
    <t>Delmåling av store energiposter og leietakerareal</t>
  </si>
  <si>
    <t>Delmåling av energi i boliger</t>
  </si>
  <si>
    <t>Ene 03 Utebelysning</t>
  </si>
  <si>
    <t>VALG BESPOKE</t>
  </si>
  <si>
    <t>Ingen utendørs belysning</t>
  </si>
  <si>
    <t>Utendørs belysning</t>
  </si>
  <si>
    <t>Ene 05 Energieffektive kjøle- og fryserom</t>
  </si>
  <si>
    <t>Utforming av energieffektivt kjøle- og fryserom</t>
  </si>
  <si>
    <t>Indirekte klimagassutslipp</t>
  </si>
  <si>
    <t>Ene 06 Energieffektive transportsystemer</t>
  </si>
  <si>
    <t>Energiforbruk</t>
  </si>
  <si>
    <t>Energieffektive funksjoner: heiser</t>
  </si>
  <si>
    <t>Energieffektive funksjoner: rulletrapper eller rullefortau</t>
  </si>
  <si>
    <t>Ene 07 Energieffektive laboratoriesystemer</t>
  </si>
  <si>
    <t>Prosjekteringsspesifikasjoner</t>
  </si>
  <si>
    <t>Beste praksis for energieffektiviseringstiltak</t>
  </si>
  <si>
    <t>Ene 08 Energieffektivt utstyr</t>
  </si>
  <si>
    <t>Reduksjon av byggets betydelige uregulerte energiforbruk</t>
  </si>
  <si>
    <t>Transportkartlegging og mobilitetsplan</t>
  </si>
  <si>
    <t>Mobilitetsplan med klimagassutslipp</t>
  </si>
  <si>
    <t>Tra 02 Bærekraftige transporttiltak</t>
  </si>
  <si>
    <t>Forkrav: Transportkartlegging og mobilitetsplan</t>
  </si>
  <si>
    <t>Implementering av transporttiltak</t>
  </si>
  <si>
    <t>Vann</t>
  </si>
  <si>
    <t>Wat 01 Vannforbruk</t>
  </si>
  <si>
    <t>Vanneffektivt sanitærutstyr</t>
  </si>
  <si>
    <t>Wat 02 Vannmåling</t>
  </si>
  <si>
    <t>Vannmåler og delmåler</t>
  </si>
  <si>
    <t>Wat 03 Detektering og forebygging av vannlekkasjer</t>
  </si>
  <si>
    <t>Lekkasjedetekteringssystem</t>
  </si>
  <si>
    <t>Vannmengderegulator i toalettkjerne</t>
  </si>
  <si>
    <t>Lekkasjeisolering</t>
  </si>
  <si>
    <t>Wat 04 Vannbesparende utstyr</t>
  </si>
  <si>
    <t>Reduksjon av vannforbruk</t>
  </si>
  <si>
    <t>Materialer</t>
  </si>
  <si>
    <t>Mat 01 Bærekraftige materialvalg LCA og klimagassberegninger</t>
  </si>
  <si>
    <t>Forkrav: Tidligfase klimagassberegninger</t>
  </si>
  <si>
    <t>Reduksjon av klimagassutslipp</t>
  </si>
  <si>
    <t>Livsløpsvurderinger av bygget</t>
  </si>
  <si>
    <t>Mat 02 Bærekraftige materialvalg - produktkrav</t>
  </si>
  <si>
    <t>Minstekrav: Fravær av miljøgifter (EU taksonomi: krit. 1)</t>
  </si>
  <si>
    <t>EPD for bygningsprodukter</t>
  </si>
  <si>
    <t>Ytelseskrav til bygningsprodukter</t>
  </si>
  <si>
    <t>Mat 03 Ansvarlig innkjøp av materialer</t>
  </si>
  <si>
    <t>Minstekrav: Lovlig hugget og bærekraftig tre</t>
  </si>
  <si>
    <t xml:space="preserve">	
Tilrettelegge for bærekraftig innkjøp</t>
  </si>
  <si>
    <t>Ansvarlig innkjøp av relevante materialer</t>
  </si>
  <si>
    <t>Mat 05 Materialeffektivitet og ombruk</t>
  </si>
  <si>
    <t>Forkrav: Risikoanalyse</t>
  </si>
  <si>
    <t>Beskytte utsatte deler av bygget mot skade</t>
  </si>
  <si>
    <t>Beskytte utsatte deler av bygget mot materialnedbrytelse</t>
  </si>
  <si>
    <t>Fuktsikkerhet i byggeperioden: kontrollplan og fuktmåling</t>
  </si>
  <si>
    <t>Fuktsikkerhet i byggeperioden: bygge under tak</t>
  </si>
  <si>
    <t>Mat 06 Materialeffektivitet og ombruk</t>
  </si>
  <si>
    <t>Minstekrav: ombrukskartlegging og ombruk</t>
  </si>
  <si>
    <t>Materialeffektivitet</t>
  </si>
  <si>
    <t>Ombruk av eksterne bygningskomponenter</t>
  </si>
  <si>
    <t>Ressursoversikt</t>
  </si>
  <si>
    <t>Endringsdyktighet og ombrukbarhet - anbefalinger (EU taksonomi: krit 2-3)</t>
  </si>
  <si>
    <t>Endringsdyktighet og ombrukbarhet - gjennomføring (EU taksonomi: krit 4-6)</t>
  </si>
  <si>
    <t>Avfall</t>
  </si>
  <si>
    <t xml:space="preserve">	
Wst 01 Avfallshåndtering på byggeplass</t>
  </si>
  <si>
    <t>Ressursstyringsplan</t>
  </si>
  <si>
    <t>Avfallsmengder</t>
  </si>
  <si>
    <t>Avfallssortering, ombruk og materialgjenvinning</t>
  </si>
  <si>
    <t>Wst 03a Avfall i driftsfase</t>
  </si>
  <si>
    <t>Avfall i driftsfase</t>
  </si>
  <si>
    <t>Wst 03b Avfall i driftsfase</t>
  </si>
  <si>
    <t>Sortering av avfall</t>
  </si>
  <si>
    <t>Wst 04 Brukerinvolvering innvendige overflater</t>
  </si>
  <si>
    <t>Brukerinvolvering innvendige overflater</t>
  </si>
  <si>
    <t>Arealbruk og økologi</t>
  </si>
  <si>
    <t>LE 01 Valg av tomt</t>
  </si>
  <si>
    <t>Tidligere utbygget areal</t>
  </si>
  <si>
    <t>LE 02 Økologisk risiko og muligheter</t>
  </si>
  <si>
    <t>Forkrav: Lovfestede plikter</t>
  </si>
  <si>
    <t>Kartlegging og vurdering (EU taksonomi: krit 2-4)</t>
  </si>
  <si>
    <t>Fastsette økologiske muligheter</t>
  </si>
  <si>
    <t>LE 03 Håndtering av påvirkning på økologi</t>
  </si>
  <si>
    <t>Forkrav: økologisk risiko og muligheter</t>
  </si>
  <si>
    <t>Planlegging og tiltak på utbyggingsområdet</t>
  </si>
  <si>
    <t>Håndtering av negativ påvirkning</t>
  </si>
  <si>
    <t>LE 04 Økologisk endring og forbedring</t>
  </si>
  <si>
    <t>Forkrav: håndtering av negativ påvirkning på økologi</t>
  </si>
  <si>
    <t>Økologisk forbedring</t>
  </si>
  <si>
    <t>Beregning av endring i biologisk mangfold</t>
  </si>
  <si>
    <t>LE 05 Langsiktig økologisk forvaltning og vedlikehold</t>
  </si>
  <si>
    <t>Forkrav: Lovkrav, planlegging og iverksettelse i utbyggingsområdet</t>
  </si>
  <si>
    <t>Forvaltning og ledelse under hele prosjektet</t>
  </si>
  <si>
    <t>Forvaltningsplan for landskap og økologi</t>
  </si>
  <si>
    <t>LE 06 Klimatilpasning</t>
  </si>
  <si>
    <t>Risikovurdering (EU taksonomi: krit. 1-6)</t>
  </si>
  <si>
    <t>LE 07 Sikkerhet mot flom og stormflo</t>
  </si>
  <si>
    <t>Forkrav: flomrisikoanalyse</t>
  </si>
  <si>
    <t>Robusthet mot flom og stormflo</t>
  </si>
  <si>
    <t>LE 08 Lokal overvannshåndtering</t>
  </si>
  <si>
    <t>Forkrav: risikokartlegging og tretrinnsstrategi</t>
  </si>
  <si>
    <t>Håndtering av 5 mm nedbør</t>
  </si>
  <si>
    <t>Maksimal avrenningsmengde</t>
  </si>
  <si>
    <t>Tiltak for overflatebasert overvannshåndtering</t>
  </si>
  <si>
    <t>Forurensing</t>
  </si>
  <si>
    <t>POL 01 Påvirkning fra kuldemedier</t>
  </si>
  <si>
    <t>Ingen kuldemedier i bygget</t>
  </si>
  <si>
    <t>Belastning fra kuldemedier</t>
  </si>
  <si>
    <t>Lekkasjedeteksjon</t>
  </si>
  <si>
    <t>POL 02 Lokal luftkvalitet</t>
  </si>
  <si>
    <t>Oppvarmings- og varmtvannssystemer uten forbrenning</t>
  </si>
  <si>
    <t>Forbrenningsbasert oppvarmings- og varmtvannssystem</t>
  </si>
  <si>
    <t>POL 04 Reduksjon av lysforurensing</t>
  </si>
  <si>
    <t>Ingen ekstern lysforurensning</t>
  </si>
  <si>
    <t>Minimert ekstern lysforurensning</t>
  </si>
  <si>
    <t>POL 05 Støydemping</t>
  </si>
  <si>
    <t>Ingen støysensitive områder</t>
  </si>
  <si>
    <t>Minimert støyforurensning for sensitive områder</t>
  </si>
  <si>
    <t>Yes/No</t>
  </si>
  <si>
    <t>Forkrav: dagslysvurdering</t>
  </si>
  <si>
    <t>Forkrav - Belastning fra kuldemedier</t>
  </si>
  <si>
    <t>Minstekrav: ombrukskartlegging (EU taksonomi: krit. 1)</t>
  </si>
  <si>
    <t>EU taksonomi:krit.  4, &gt; 90 % sortert og &gt; 70 % klargjort for ombruk og materialgjenvinning</t>
  </si>
  <si>
    <t>Minstekrav: utbygging på jordbruksareal eller dyrkbar jord (EU taksonomi: krit. 2)</t>
  </si>
  <si>
    <t>EU taksonomi: krit. 9 og 10 - Energiytelse</t>
  </si>
  <si>
    <t>EU taksonomi: krit. 2</t>
  </si>
  <si>
    <t>Wst 01TX</t>
  </si>
  <si>
    <t>EU taksonomi: krit. 1</t>
  </si>
  <si>
    <t>Endret til YES i BP250, BQ250 poeng</t>
  </si>
  <si>
    <t>kopiert inn =IF(AB145=0; forran BR:BT 250</t>
  </si>
  <si>
    <t>Oppfyller taksonomi = nei</t>
  </si>
  <si>
    <t>Tatt bort BP144:BT144</t>
  </si>
  <si>
    <t>Samlet poeng</t>
  </si>
  <si>
    <t>Endret navn poeng Mat 06 og Mat 06 min req</t>
  </si>
  <si>
    <t>Samlet minimumstandard</t>
  </si>
  <si>
    <t>Endret navn summary C70</t>
  </si>
  <si>
    <t>Emner med mønstergyldig nivå</t>
  </si>
  <si>
    <t>Samlet sum tilgjengelig</t>
  </si>
  <si>
    <t>Endret til MAt06dA70 summary</t>
  </si>
  <si>
    <t>Man 03: begrensning av direkte klimagassutslipp fra aktiviteter tilknyttet utbyggingsområdet</t>
  </si>
  <si>
    <t>Samlet sum oppnådd</t>
  </si>
  <si>
    <t xml:space="preserve">Hea 01:  høyeste krav til utsyn </t>
  </si>
  <si>
    <t>Samlet prosent</t>
  </si>
  <si>
    <t>&lt;</t>
  </si>
  <si>
    <t>Unclassified</t>
  </si>
  <si>
    <t>U</t>
  </si>
  <si>
    <t>Hea 02: emisjoner fra byggeprodukter</t>
  </si>
  <si>
    <t>&gt;=</t>
  </si>
  <si>
    <t>Pass</t>
  </si>
  <si>
    <t xml:space="preserve">Hea 06: Biofilisk design </t>
  </si>
  <si>
    <t>Skal minimumstandard styre?</t>
  </si>
  <si>
    <t>1=ja, 0=nei</t>
  </si>
  <si>
    <t>Good</t>
  </si>
  <si>
    <t>Ene 01:  energiledelse i driftsperiode</t>
  </si>
  <si>
    <t>Mat 02 - Checklist A20 - Criteria 1</t>
  </si>
  <si>
    <t>Very Good</t>
  </si>
  <si>
    <t>Ene 01: plusshus</t>
  </si>
  <si>
    <t>Man 01 - Criteria 11</t>
  </si>
  <si>
    <t>The rating has been limited to the min. standards level achieved</t>
  </si>
  <si>
    <t>Excellent</t>
  </si>
  <si>
    <t>Wat 01: svært vanneffektivt sanitærutstyr</t>
  </si>
  <si>
    <t>Ene 01 - Kriterium 9-10</t>
  </si>
  <si>
    <t>Outstanding</t>
  </si>
  <si>
    <t>Mat 01: 60 % reduksjon av klimagassutslipp</t>
  </si>
  <si>
    <t>Mat 06: FutureBuilt-kriterier under 2.3 Ombruk av bygningsdeler for sirkulære bygg</t>
  </si>
  <si>
    <t>Man 05 - Criteria 3</t>
  </si>
  <si>
    <t>Wst 01: svært lave avfallsmengder</t>
  </si>
  <si>
    <t>Tra 01 - Mobilitetsplan Criteria 6</t>
  </si>
  <si>
    <t>LE 02:  helhetlig bærekraft for utbyggingsområdet</t>
  </si>
  <si>
    <t>LE 04: betydelig netto forbedring av biodiversitet</t>
  </si>
  <si>
    <t>Mat 06 - Materialeffektivitet Criteria 1</t>
  </si>
  <si>
    <t>LE 06: helhetlig respons på klimaendringer</t>
  </si>
  <si>
    <t>Mat 07 - Criteria 2-6</t>
  </si>
  <si>
    <t>LE 08: helhetlig til nærming til overvannshåndtering</t>
  </si>
  <si>
    <t>Godkjent innovasjonspoeng</t>
  </si>
  <si>
    <t>Mat 03 - Responsible sourcing of mat. - Crit 1.</t>
  </si>
  <si>
    <t>Indicative BREEAM-NOR rating</t>
  </si>
  <si>
    <t>To activate select YES in cell S8</t>
  </si>
  <si>
    <t>To activate select YES in cell Z8</t>
  </si>
  <si>
    <t>til bruk for hea 02</t>
  </si>
  <si>
    <t>Control plan and moisture measurements</t>
  </si>
  <si>
    <t>O: Outstanding</t>
  </si>
  <si>
    <t>Outstanding ≥85%</t>
  </si>
  <si>
    <t>E: Excellent</t>
  </si>
  <si>
    <t>Excellent ≥70%</t>
  </si>
  <si>
    <t>VG: Very Good</t>
  </si>
  <si>
    <t>Very Good ≥55%</t>
  </si>
  <si>
    <t>Good ≥45%</t>
  </si>
  <si>
    <t>Pass ≥30%</t>
  </si>
  <si>
    <t>Unclassified &lt;30%</t>
  </si>
  <si>
    <t>Faktor</t>
  </si>
  <si>
    <t>Hva</t>
  </si>
  <si>
    <t>Maks</t>
  </si>
  <si>
    <t>HEA 01</t>
  </si>
  <si>
    <t>minus</t>
  </si>
  <si>
    <t>Initial</t>
  </si>
  <si>
    <t>Design</t>
  </si>
  <si>
    <t>Construction</t>
  </si>
  <si>
    <t>Søke navn</t>
  </si>
  <si>
    <t>Man01</t>
  </si>
  <si>
    <t>Man05</t>
  </si>
  <si>
    <t>Man 05: Non residential</t>
  </si>
  <si>
    <t>HEA 02</t>
  </si>
  <si>
    <t>Ene07</t>
  </si>
  <si>
    <t>ENE 02a</t>
  </si>
  <si>
    <t>Mat02</t>
  </si>
  <si>
    <t>Mat03</t>
  </si>
  <si>
    <t>Mat05</t>
  </si>
  <si>
    <t>WAT 03</t>
  </si>
  <si>
    <t>Wst03</t>
  </si>
  <si>
    <t>Wst 03</t>
  </si>
  <si>
    <t>gange</t>
  </si>
  <si>
    <t>ledig</t>
  </si>
  <si>
    <t>Option 2: - 50% credit</t>
  </si>
  <si>
    <t>Tidligere navn:</t>
  </si>
  <si>
    <t>Hea 02 Emisjoner fra byggeprodukter - Criteria 3-4</t>
  </si>
  <si>
    <t>Mat 02 Checklist A20 - Criteria 1</t>
  </si>
  <si>
    <t>Man 01 Criteria 11</t>
  </si>
  <si>
    <t>Ene 01 Kriterium 9-10</t>
  </si>
  <si>
    <t>Man 03 Criteria 5-13</t>
  </si>
  <si>
    <t>Fully fitted</t>
  </si>
  <si>
    <t>Shell only</t>
  </si>
  <si>
    <t>Man 05 Criteria 3</t>
  </si>
  <si>
    <t>Innredet</t>
  </si>
  <si>
    <t>Uinnredet</t>
  </si>
  <si>
    <t>Råbygg</t>
  </si>
  <si>
    <t>Valg</t>
  </si>
  <si>
    <t>Tra 01 Mobilitetsplan Criteria 6</t>
  </si>
  <si>
    <t>Vekting</t>
  </si>
  <si>
    <t>Mat 01 Criteria 1 - 3</t>
  </si>
  <si>
    <t>Mat 06 Materialeffektivitet Criteria 1</t>
  </si>
  <si>
    <t>Mat 07 Criteria 2-6</t>
  </si>
  <si>
    <t>Wst 01 Criteria 1, 4, 5</t>
  </si>
  <si>
    <t>Mat 03 Responsible sourcing of mat. - Crit 1.</t>
  </si>
  <si>
    <t>Innovation</t>
  </si>
  <si>
    <t>Reduction of night time light pollution</t>
  </si>
  <si>
    <t>BREEAM-NOR v6.1.1 Nybygg Pre-analyseverktøy: Sammendrag av byggets ytelse</t>
  </si>
  <si>
    <t>Total bygningsytelse</t>
  </si>
  <si>
    <t>Prosjekteringsfase</t>
  </si>
  <si>
    <t>Ferdigstillelse</t>
  </si>
  <si>
    <t>Vis resultater</t>
  </si>
  <si>
    <t>Veiledende BREEAM-NOR sertifiseringsnivå</t>
  </si>
  <si>
    <t>Byggets ytelse per kategori</t>
  </si>
  <si>
    <t>Man</t>
  </si>
  <si>
    <t>Hea</t>
  </si>
  <si>
    <t>Ene</t>
  </si>
  <si>
    <t>Tra</t>
  </si>
  <si>
    <t>Wat</t>
  </si>
  <si>
    <t>Mat</t>
  </si>
  <si>
    <t>Wst</t>
  </si>
  <si>
    <t>LE</t>
  </si>
  <si>
    <t>Pol</t>
  </si>
  <si>
    <t>Inn</t>
  </si>
  <si>
    <t>Score</t>
  </si>
  <si>
    <t>Miljøkategori</t>
  </si>
  <si>
    <t>Ant. Tilgj. poeng</t>
  </si>
  <si>
    <t>Poeng oppnådd</t>
  </si>
  <si>
    <t>% poeng oppnådd</t>
  </si>
  <si>
    <t>Credits Achieved</t>
  </si>
  <si>
    <t>% credits achieved</t>
  </si>
  <si>
    <t>Ledelse</t>
  </si>
  <si>
    <t>Helse og innemiljø</t>
  </si>
  <si>
    <t>Minimums-krav</t>
  </si>
  <si>
    <t>Samlet klimagassregnskap for byggets levetid: krit. 2-3</t>
  </si>
  <si>
    <t>Ansvarlig byggeledelse: rent tørt bygg og sjekkliste A1: krit. 5-6</t>
  </si>
  <si>
    <t>Ansvarlig byggeledelse: INSTA 800 og sjekkliste A1: krit. 7-9</t>
  </si>
  <si>
    <t/>
  </si>
  <si>
    <t>Emisjoner fra bygningsprodukter: krit. 5</t>
  </si>
  <si>
    <t>Achieved</t>
  </si>
  <si>
    <t>Energiytelse: krit. 9 og 10</t>
  </si>
  <si>
    <t>Not achieved</t>
  </si>
  <si>
    <t>Tilpasning til EUs taksonomi: Kriterium 11 og 12</t>
  </si>
  <si>
    <t>Vannforbrukende komponenter: krit. 2</t>
  </si>
  <si>
    <t>Minstekrav: fravær av miljøgifter: krit. 1</t>
  </si>
  <si>
    <t>Ombrukskartlegging: krit. 1</t>
  </si>
  <si>
    <t>Endringsdyktighet og ombrukbarhet: anbefalinger: krit. 2-3</t>
  </si>
  <si>
    <t>Endringsdyktighet og ombrukbarhet: gjennomføring: krit. 4-6</t>
  </si>
  <si>
    <t>Ressursstyringsplan: krit. 1</t>
  </si>
  <si>
    <t>Andel klargjort for ombruk eller materialgjenvinning ≥ 70%: krit. 4</t>
  </si>
  <si>
    <t>Minstekrav: unngå bygging på jordbruksareal og skog: krit. 2</t>
  </si>
  <si>
    <t>Kartlegging og vurdering: krit. 2-4</t>
  </si>
  <si>
    <t>Risikovurdering: krit. 1-6</t>
  </si>
  <si>
    <t>BREEAM-NOR v6.1.1 New Construction Pre-Assessment Estimator: Building Performance</t>
  </si>
  <si>
    <t>Use this sheet if you need to copy the Pre-Assessment Estimator to new Excel Workbook</t>
  </si>
  <si>
    <t>Initial target setting</t>
  </si>
  <si>
    <t>Design phase progression</t>
  </si>
  <si>
    <t>Construction phase progression</t>
  </si>
  <si>
    <t>Building name:</t>
  </si>
  <si>
    <t>(G) - Green - OK</t>
  </si>
  <si>
    <t>Indicative total score</t>
  </si>
  <si>
    <t>(Y) - Yellow - Unsure</t>
  </si>
  <si>
    <t>Min. standards level achieved</t>
  </si>
  <si>
    <t>(R) - Red - Not OK</t>
  </si>
  <si>
    <t xml:space="preserve">Requirements for EU taxonomy </t>
  </si>
  <si>
    <t>Available credits</t>
  </si>
  <si>
    <t>Credits</t>
  </si>
  <si>
    <t>Contribution to score</t>
  </si>
  <si>
    <t>Minimum standards level achieved</t>
  </si>
  <si>
    <t>Respon-sible</t>
  </si>
  <si>
    <t>General comments</t>
  </si>
  <si>
    <t>Contr. to score</t>
  </si>
  <si>
    <t>Comments</t>
  </si>
  <si>
    <t>Land use &amp; Ecology</t>
  </si>
  <si>
    <t>Exemplary Level (Innovation)</t>
  </si>
  <si>
    <t>Exemplary level and innovation (max 10 credits)</t>
  </si>
  <si>
    <t>BREEAM-NOR v6.1.1 New Construction Pre-Assessment Estimator: Version Control</t>
  </si>
  <si>
    <t>Current Version</t>
  </si>
  <si>
    <t>Release Date</t>
  </si>
  <si>
    <t>Description of changes/additions made to the BREEAM Assessment Pre-Assessment Estimator</t>
  </si>
  <si>
    <t>1.0</t>
  </si>
  <si>
    <t>BREEAM-NOR v6.1.1 New Construction Pre-Assessment Tool oversatt til norsk</t>
  </si>
  <si>
    <t>endret tabell F253R253 for tax ene, wat og wst</t>
  </si>
  <si>
    <t>endret ene 01.  Adaptation to EU taxonomy (criterion 12) til Adaptation to EU taxonomy. Både under poeng og tax tabell</t>
  </si>
  <si>
    <t>la inn under tabell tax at hvis poeng høyere enn krav, så sort</t>
  </si>
  <si>
    <t>fikset tekst mat 07 (2-3 og 4-6)</t>
  </si>
  <si>
    <t>fikset - tatt bort tax le 03</t>
  </si>
  <si>
    <t>Fikset, celle Z91, 92, z 94 under poeng. 
2.	I manualen står det på både Ene 07 og Ene 08 at gjeldende vurderingskriterier er «Ikke tilgjengelig» om man har et uinnredet bygg. Men i pre-analysen er det mulig å velge både Ene 07 og Ene 08 selv om man har valgt prosjekt-type «New Construction (shell and core). You fix?</t>
  </si>
  <si>
    <t>H16 assessment details. Bytta ADIND_option02 uder poeng med ADIND_option02n</t>
  </si>
  <si>
    <t>N60 poeng - hea 06 short term 1 poeng. U 60 poeng er filter</t>
  </si>
  <si>
    <t>legg inn rad på LE03 - pre req under pre ass estimatro og pae availabe fo ropy</t>
  </si>
  <si>
    <t>Ene 087 indiustri er tilgjengelig</t>
  </si>
  <si>
    <t>lagt til ene 07 på industri. Både unde poeng og juster filter under aa details</t>
  </si>
  <si>
    <t>Må fikses bespoke og sr</t>
  </si>
  <si>
    <t>Assessmet issue scoringE823 mat 05 control plan må ikke være grået ut selv om no er valgt</t>
  </si>
  <si>
    <t>endre navn under poeng fanen hea 02 pre : Pre-requisite: A site-specific indoor air quality plan has been produced</t>
  </si>
  <si>
    <t>i ass iss scor. Hea 02. når pre req er no ller please blir likevel summen og poeng tilgjengelig. Mpå rettes</t>
  </si>
  <si>
    <t>hea 06 incluseinve poeng fane, celle U60. endre fra Z6 til Z7. skal gi 2 poeng for sheltered - omsorgsbolig</t>
  </si>
  <si>
    <t>wat 01 For boligbygg så kommer det ikke opp samsvar med EU taks fordi krit 2 kun er for næringsbygg. Fikset under poeg taks fane og summary building fase</t>
  </si>
  <si>
    <t>mat 06 ved filter ut pga ikke oråde som skal kartelgges filterres ikke taks ut. Fikset under poeg taks fane og summary building fase</t>
  </si>
  <si>
    <t>hea 02 ved filter ut pga ikke industri - ta ut fra taksonomi . Fikset under poeg taks fane og summary building fase</t>
  </si>
  <si>
    <t>wat 03Skal kun være mulig å oppnå kriterium 3 for enebolig. Pt går det an å oppfylle kriterium 1 også.</t>
  </si>
  <si>
    <t>Oppdatert kommentar Ene 01 under ore assesment estimator</t>
  </si>
  <si>
    <t>oppdatert ai70 til ak70 under poeng - nå bør det fubgere ene 01 hea 03</t>
  </si>
  <si>
    <t>flyttet spørsmål ass det opp et hakk e11</t>
  </si>
  <si>
    <t>la til spørsmål wat 03 ass det for langtid bolig</t>
  </si>
  <si>
    <t>V1.6</t>
  </si>
  <si>
    <t>legg til yes no under adaptio to eu tax</t>
  </si>
  <si>
    <t>oppdater tabell poeng</t>
  </si>
  <si>
    <t>fiks kobling mot krav taksonomi</t>
  </si>
  <si>
    <t>I dag filtreres kriteriene for control of glare from sunlight og internal and external lighting levels, zoning and control ut for en rekke bygningskategorier. Dette skal kun filtreres ut for bygningskategori residential.</t>
  </si>
  <si>
    <t>rette opp under fane poeng</t>
  </si>
  <si>
    <r>
      <t xml:space="preserve">Poengoppnåelse i Hea 02 er avhengig av at prosjektene har gjennomført forkravet, som inkluderer kriterier for </t>
    </r>
    <r>
      <rPr>
        <i/>
        <sz val="11"/>
        <color theme="1"/>
        <rFont val="Calibri"/>
        <family val="2"/>
      </rPr>
      <t xml:space="preserve">Control plan and moisture measurements </t>
    </r>
    <r>
      <rPr>
        <sz val="11"/>
        <color theme="1"/>
        <rFont val="Calibri"/>
        <family val="2"/>
      </rPr>
      <t>(uten poengoppnåelse)</t>
    </r>
    <r>
      <rPr>
        <i/>
        <sz val="11"/>
        <color theme="1"/>
        <rFont val="Calibri"/>
        <family val="2"/>
      </rPr>
      <t xml:space="preserve">. </t>
    </r>
    <r>
      <rPr>
        <sz val="11"/>
        <color theme="1"/>
        <rFont val="Calibri"/>
        <family val="2"/>
      </rPr>
      <t xml:space="preserve">I Construction phase progression er det koblet feil, slik at det det er kriteriet </t>
    </r>
    <r>
      <rPr>
        <i/>
        <sz val="11"/>
        <color theme="1"/>
        <rFont val="Calibri"/>
        <family val="2"/>
      </rPr>
      <t xml:space="preserve">Construction under cover </t>
    </r>
    <r>
      <rPr>
        <sz val="11"/>
        <color theme="1"/>
        <rFont val="Calibri"/>
        <family val="2"/>
      </rPr>
      <t>som er knyttet til forkravet. Initial target og design phase har riktig kriterium.</t>
    </r>
  </si>
  <si>
    <t>fane poeng: AK281 rettet til 35 og ikke 36</t>
  </si>
  <si>
    <r>
      <t xml:space="preserve">Hvis man skal ta forkravet i HEA02, dvs </t>
    </r>
    <r>
      <rPr>
        <i/>
        <sz val="11"/>
        <color theme="1"/>
        <rFont val="Calibri"/>
        <family val="2"/>
        <scheme val="minor"/>
      </rPr>
      <t>indoor air quality plan</t>
    </r>
    <r>
      <rPr>
        <sz val="11"/>
        <color theme="1"/>
        <rFont val="Calibri"/>
        <family val="2"/>
        <scheme val="minor"/>
      </rPr>
      <t xml:space="preserve"> og kriteriene 6-8 </t>
    </r>
    <r>
      <rPr>
        <i/>
        <sz val="11"/>
        <color theme="1"/>
        <rFont val="Calibri"/>
        <family val="2"/>
        <scheme val="minor"/>
      </rPr>
      <t>Control plan and moisture measurements</t>
    </r>
    <r>
      <rPr>
        <sz val="11"/>
        <color theme="1"/>
        <rFont val="Calibri"/>
        <family val="2"/>
        <scheme val="minor"/>
      </rPr>
      <t xml:space="preserve"> i MAT05, men ikke forkravet, må man slik det er nå aktivt velge «No» i spørsmålet om forkrav, og så legge inn 1 poeng i krit 6-8. Poenget blir da ikke telt med i scoren.</t>
    </r>
  </si>
  <si>
    <t>Hvis man derimot ikke skriver noe i forkravet, men fortsatt legger inn 1 poeng i krit 6-8 blir poenget tellende med. Dette er uheldig. Vi ønsker dette endret til at poenget kun tildeles dersom det aktivt velges «yes» under forkravet i Mat 05. Slik kan man legge inn 1 under kriterium 6-8 for å vise samsvar med forkravet i Hea 02, men ikke ta poenget i Mat 05.</t>
  </si>
  <si>
    <t>Gir det mening?</t>
  </si>
  <si>
    <t>EU taxonomy requirements skal ikke filtreres ut for bygningskategori Residential. Kriteriet gjelder alle bygningskategorier</t>
  </si>
  <si>
    <t>Fane poeng, H254 - la til Yes/nop</t>
  </si>
  <si>
    <t>Waste sorting, reuse, and recycling</t>
  </si>
  <si>
    <t>endret BD, BF og BJ i rad 158 poeng</t>
  </si>
  <si>
    <t>endret rad 251 BD til BK poeng</t>
  </si>
  <si>
    <t>endret navn til ready for reuse &gt;70%”</t>
  </si>
  <si>
    <t>Mat 05 og Hea 02</t>
  </si>
  <si>
    <t>Sammenhengen mellom forkravet i Hea 02 og Mat 05 skurrer:</t>
  </si>
  <si>
    <t>endret i fane poeng: ai48:ak50 - lagt til =0 i OR</t>
  </si>
  <si>
    <t>Considerate contruction: clean and tidy building process and checklist A1 (EU taxonomy requirement: criterion 7-9)</t>
  </si>
  <si>
    <t>Endre til Considerate contruction: clean and tidy building process and checklist A1 (EU taxonomy requirement: criterion 5-6)</t>
  </si>
  <si>
    <t xml:space="preserve">I Hea 02 er det en feilkobling av poeng og sertifiseringsnivå. For emissions from construction products (EU taxonomy requirement: criterion 5) skal 0 poeng tilsvare sertifiseringsnivå Good, 1 poeng Very Good og 2 poeng Outstanding. </t>
  </si>
  <si>
    <t>lagt til clle BA 49 poeng</t>
  </si>
  <si>
    <t>assessment details</t>
  </si>
  <si>
    <t>R22 R23 endre til</t>
  </si>
  <si>
    <t>Ene 01 – nZEB trenger ikke to celler for å vise samsvar med taksonomien lenger. Poengoppnåelse = taksonomisamsvar.</t>
  </si>
  <si>
    <t>Endret navn sum building pref: C63. endret A63 til Ene 01d</t>
  </si>
  <si>
    <t>lagt til 1 under BO73 poeng</t>
  </si>
  <si>
    <t>slettet rad 256 poeng</t>
  </si>
  <si>
    <t>BR257-BT27 - ta bort nede rad</t>
  </si>
  <si>
    <t>slettet rad med adaption under pre ass estim</t>
  </si>
  <si>
    <t>slettet rad med adaption pae available for copy</t>
  </si>
  <si>
    <t>E253 poent til EU taxonomy requirements: criterion 9 and 10 - Energy performance</t>
  </si>
  <si>
    <t>C62 til Energy performance: riterion 9 and 10 summary of building</t>
  </si>
  <si>
    <t>C63 til Adaptation to EU taxonomy: criterion 12</t>
  </si>
  <si>
    <t>endret E73 poeng til Adaptation to EU taxonomy (EU taxonomy requirements: criterion 12)</t>
  </si>
  <si>
    <t>endret pre assessment til kun 0 eller 3 poeng</t>
  </si>
  <si>
    <t>Endret C63 summary of til Adaptation to EU taxonomy: criterion 11 and 12</t>
  </si>
  <si>
    <t>Endret til v1.0</t>
  </si>
  <si>
    <t>Endret C56 summary til Considerate contruction: clean and tidy building process and checklist A1: criterion 5-6</t>
  </si>
  <si>
    <t>Endret over tabell på PAE available: tall i rad 2</t>
  </si>
  <si>
    <t>kopiert inn =IF(AB145=0;9; forran BR:BT 250</t>
  </si>
  <si>
    <t>sjekk alle eu rwq tabell. Noen design og construction har ikke med hvis N/A</t>
  </si>
  <si>
    <t>Added project type: Major Refurbishment</t>
  </si>
  <si>
    <t>Torun Eggan Skjerve</t>
  </si>
  <si>
    <t>Oversatt til norsk</t>
  </si>
  <si>
    <t>(sorry Oddbjørn)</t>
  </si>
  <si>
    <t>Oppdatert EU-kravet på Wst 01</t>
  </si>
  <si>
    <t>Ansvarlig byggeledelse: rent tørt bygg og sjekkliste A1 (EU taksonomi: krit. 5-6)</t>
  </si>
  <si>
    <t>11-20</t>
  </si>
  <si>
    <t>Tilgjengelig score kategori</t>
  </si>
  <si>
    <t xml:space="preserve">Noe rart skjedde på Tra 01a. Skjønner virkelig ikke hva, så jeg måtte trikse det til. Celle AE101-AG101 har derfor en egen formel som kutter ut VLOOKUP som henviste til AI-AK. Virker som om disse ikke merker at man legger inn poeng under pre-analyseverktøy-fanen? aner ikke </t>
  </si>
  <si>
    <t>Justisbygg</t>
  </si>
  <si>
    <t>Toalett for ansatte o.l. utenfor boområdene</t>
  </si>
  <si>
    <t>Ingen laboratorier</t>
  </si>
  <si>
    <t>Ja - heiser og rulletrapp/rullebånd</t>
  </si>
  <si>
    <t>Ja - heiser</t>
  </si>
  <si>
    <t>Ja - rulletrapp/rullebånd</t>
  </si>
  <si>
    <t>Toalettfasiliteter er kun i boområdene</t>
  </si>
  <si>
    <t>1.01</t>
  </si>
  <si>
    <t>Rettet opp i feil poengberegning Tra 01.</t>
  </si>
  <si>
    <t>BREEAM-NOR v6.1.1 Issue</t>
  </si>
  <si>
    <t>1.02</t>
  </si>
  <si>
    <t>Rettet opp feil i filtrering for Ene 06. Rettet opp feil i visning i PAE available for copy.</t>
  </si>
  <si>
    <t>Previous versions</t>
  </si>
  <si>
    <t>Poeng fra preanalyse fane</t>
  </si>
  <si>
    <t>Døgninstitusjonsbygg (langtidsopphold)</t>
  </si>
  <si>
    <t>ta bort vllokup, fra ca 8000 celler til 800</t>
  </si>
  <si>
    <t>I fanen «Pre-analyseverktøy» i celle J-175 så står det «N/A». Her skulle det stått «Excellent» som default. Når man velger «Yes» i celle H-175 så skal det oppdatere seg i J-175 til Outstanding</t>
  </si>
  <si>
    <t>Tilsvarende i celle J-96. Her skal det stå «Very Good» som default. Når man fyller inn «2» i celle H-96 så skal det oppdatere seg i J-96 til «Outstanding» .</t>
  </si>
  <si>
    <t>oppdatert  tabell i poeng BH294 også</t>
  </si>
  <si>
    <t>Gjennomgått verktøyet for effektivisering av beregninger og feilsøking ifb med at verktøyet er tregt og "låser seg".
Oppdatert minstekravnivå for LE04 (Excellent) og for Tra01  (Very Good).</t>
  </si>
  <si>
    <t>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</si>
</sst>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F800]dddd\,\ mmmm\ dd\,\ yyyy"/>
    <numFmt numFmtId="166" formatCode="0.0"/>
  </numFmts>
  <fonts count="98">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1"/>
      <color indexed="57"/>
      <name val="Calibri"/>
      <family val="2"/>
    </font>
    <font>
      <i/>
      <sz val="11"/>
      <color indexed="23"/>
      <name val="Calibri"/>
      <family val="2"/>
    </font>
    <font>
      <b/>
      <sz val="11"/>
      <color indexed="10"/>
      <name val="Calibri"/>
      <family val="2"/>
    </font>
    <font>
      <sz val="12"/>
      <color indexed="9"/>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b/>
      <sz val="14"/>
      <color rgb="FF406564"/>
      <name val="Calibri"/>
      <family val="2"/>
      <scheme val="minor"/>
    </font>
    <font>
      <b/>
      <sz val="11"/>
      <name val="Calibri"/>
      <family val="2"/>
      <scheme val="minor"/>
    </font>
    <font>
      <i/>
      <sz val="11"/>
      <color theme="1" tint="0.499984740745262"/>
      <name val="Calibri"/>
      <family val="2"/>
      <scheme val="minor"/>
    </font>
    <font>
      <b/>
      <sz val="11"/>
      <color theme="0"/>
      <name val="Calibri"/>
      <family val="2"/>
    </font>
    <font>
      <i/>
      <sz val="11"/>
      <color indexed="9"/>
      <name val="Calibri"/>
      <family val="2"/>
    </font>
    <font>
      <b/>
      <sz val="11"/>
      <color rgb="FF406564"/>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sz val="10"/>
      <color rgb="FF006100"/>
      <name val="Calibri Light"/>
      <family val="2"/>
    </font>
    <font>
      <sz val="9"/>
      <color theme="1"/>
      <name val="Calibri"/>
      <family val="2"/>
      <scheme val="minor"/>
    </font>
    <font>
      <b/>
      <sz val="9"/>
      <color theme="1"/>
      <name val="Calibri"/>
      <family val="2"/>
      <scheme val="minor"/>
    </font>
    <font>
      <sz val="18"/>
      <color theme="1"/>
      <name val="Calibri"/>
      <family val="2"/>
      <scheme val="minor"/>
    </font>
    <font>
      <sz val="14"/>
      <color theme="1"/>
      <name val="Calibri"/>
      <family val="2"/>
      <scheme val="minor"/>
    </font>
    <font>
      <sz val="11"/>
      <color theme="1"/>
      <name val="Calibri"/>
      <family val="2"/>
      <scheme val="minor"/>
    </font>
    <font>
      <b/>
      <sz val="12"/>
      <color indexed="9"/>
      <name val="Calibri"/>
      <family val="2"/>
    </font>
    <font>
      <sz val="12"/>
      <color rgb="FF3D6864"/>
      <name val="Calibri"/>
      <family val="2"/>
    </font>
    <font>
      <sz val="11"/>
      <color rgb="FF3D6864"/>
      <name val="Calibri"/>
      <family val="2"/>
      <scheme val="minor"/>
    </font>
    <font>
      <sz val="12"/>
      <color theme="1"/>
      <name val="Calibri"/>
      <family val="2"/>
      <scheme val="minor"/>
    </font>
    <font>
      <b/>
      <sz val="12"/>
      <color rgb="FF3D6864"/>
      <name val="Calibri"/>
      <family val="2"/>
    </font>
    <font>
      <sz val="12"/>
      <color rgb="FF406564"/>
      <name val="Calibri"/>
      <family val="2"/>
    </font>
    <font>
      <sz val="11"/>
      <name val="Calibri"/>
      <family val="2"/>
      <scheme val="minor"/>
    </font>
    <font>
      <sz val="12"/>
      <color theme="1"/>
      <name val="Calibri"/>
      <family val="2"/>
    </font>
    <font>
      <sz val="9"/>
      <color indexed="8"/>
      <name val="Calibri"/>
      <family val="2"/>
    </font>
    <font>
      <sz val="9"/>
      <color theme="1"/>
      <name val="Calibri"/>
      <family val="2"/>
    </font>
    <font>
      <sz val="8"/>
      <color indexed="8"/>
      <name val="Calibri"/>
      <family val="2"/>
    </font>
    <font>
      <b/>
      <sz val="14"/>
      <color theme="0"/>
      <name val="Calibri"/>
      <family val="2"/>
    </font>
    <font>
      <sz val="9"/>
      <color indexed="81"/>
      <name val="Tahoma"/>
      <family val="2"/>
    </font>
    <font>
      <sz val="11"/>
      <color theme="1"/>
      <name val="Calibri"/>
      <family val="2"/>
      <scheme val="minor"/>
    </font>
    <font>
      <b/>
      <sz val="16"/>
      <color theme="0"/>
      <name val="Calibri"/>
      <family val="2"/>
    </font>
    <font>
      <b/>
      <sz val="11"/>
      <color theme="0"/>
      <name val="Calibri"/>
      <family val="2"/>
      <scheme val="minor"/>
    </font>
    <font>
      <sz val="18"/>
      <color theme="0"/>
      <name val="Calibri"/>
      <family val="2"/>
      <scheme val="minor"/>
    </font>
    <font>
      <sz val="9"/>
      <name val="Calibri"/>
      <family val="2"/>
      <scheme val="minor"/>
    </font>
    <font>
      <sz val="12"/>
      <color rgb="FFFF0000"/>
      <name val="Calibri"/>
      <family val="2"/>
    </font>
    <font>
      <sz val="11"/>
      <color rgb="FF00B050"/>
      <name val="Calibri"/>
      <family val="2"/>
      <scheme val="minor"/>
    </font>
    <font>
      <sz val="11"/>
      <color rgb="FFFFFFFF"/>
      <name val="Calibri"/>
      <family val="2"/>
    </font>
    <font>
      <sz val="14"/>
      <color theme="0"/>
      <name val="Calibri"/>
      <family val="2"/>
      <scheme val="minor"/>
    </font>
    <font>
      <sz val="8"/>
      <color theme="0" tint="-0.34998626667073579"/>
      <name val="Calibri"/>
      <family val="2"/>
      <scheme val="minor"/>
    </font>
    <font>
      <b/>
      <sz val="8"/>
      <color theme="0" tint="-0.34998626667073579"/>
      <name val="Calibri"/>
      <family val="2"/>
      <scheme val="minor"/>
    </font>
    <font>
      <sz val="10"/>
      <color theme="0" tint="-0.34998626667073579"/>
      <name val="Calibri Light"/>
      <family val="2"/>
    </font>
    <font>
      <b/>
      <sz val="10"/>
      <color rgb="FF006100"/>
      <name val="Calibri Light"/>
      <family val="2"/>
    </font>
    <font>
      <b/>
      <sz val="10"/>
      <color rgb="FFFF0000"/>
      <name val="Calibri Light"/>
      <family val="2"/>
    </font>
    <font>
      <b/>
      <sz val="8"/>
      <name val="Calibri"/>
      <family val="2"/>
      <scheme val="minor"/>
    </font>
    <font>
      <sz val="11"/>
      <color theme="0" tint="-0.14999847407452621"/>
      <name val="Calibri"/>
      <family val="2"/>
      <scheme val="minor"/>
    </font>
    <font>
      <b/>
      <sz val="11"/>
      <color theme="0" tint="-0.14999847407452621"/>
      <name val="Calibri"/>
      <family val="2"/>
      <scheme val="minor"/>
    </font>
    <font>
      <b/>
      <sz val="9"/>
      <color indexed="81"/>
      <name val="Tahoma"/>
      <family val="2"/>
    </font>
    <font>
      <b/>
      <sz val="11"/>
      <color rgb="FFFFFFFF"/>
      <name val="Calibri"/>
      <family val="2"/>
    </font>
    <font>
      <b/>
      <sz val="14"/>
      <color rgb="FFFF0000"/>
      <name val="Calibri"/>
      <family val="2"/>
    </font>
    <font>
      <sz val="9"/>
      <color rgb="FF00B050"/>
      <name val="Calibri"/>
      <family val="2"/>
      <scheme val="minor"/>
    </font>
    <font>
      <b/>
      <sz val="9"/>
      <color rgb="FF00B050"/>
      <name val="Calibri"/>
      <family val="2"/>
      <scheme val="minor"/>
    </font>
    <font>
      <sz val="11"/>
      <color rgb="FF56B146"/>
      <name val="Calibri"/>
      <family val="2"/>
      <scheme val="minor"/>
    </font>
    <font>
      <b/>
      <sz val="11"/>
      <color rgb="FF000000"/>
      <name val="Calibri"/>
      <family val="2"/>
    </font>
    <font>
      <sz val="11"/>
      <color rgb="FF000000"/>
      <name val="Calibri"/>
      <family val="2"/>
    </font>
    <font>
      <b/>
      <u/>
      <sz val="11"/>
      <color theme="1"/>
      <name val="Calibri"/>
      <family val="2"/>
    </font>
    <font>
      <sz val="9"/>
      <color rgb="FF000000"/>
      <name val="Calibri"/>
      <family val="2"/>
      <scheme val="minor"/>
    </font>
    <font>
      <sz val="11"/>
      <color rgb="FF000000"/>
      <name val="WordVisi_MSFontService"/>
    </font>
    <font>
      <sz val="12"/>
      <color theme="1"/>
      <name val="Aptos"/>
      <family val="2"/>
    </font>
  </fonts>
  <fills count="28">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249977111117893"/>
        <bgColor indexed="64"/>
      </patternFill>
    </fill>
  </fills>
  <borders count="1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style="medium">
        <color rgb="FF3D6864"/>
      </left>
      <right style="thin">
        <color theme="0"/>
      </right>
      <top style="thin">
        <color theme="0"/>
      </top>
      <bottom style="thin">
        <color theme="0"/>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medium">
        <color indexed="64"/>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style="thin">
        <color rgb="FF3D6864"/>
      </right>
      <top/>
      <bottom/>
      <diagonal/>
    </border>
    <border>
      <left style="thin">
        <color rgb="FF3D6864"/>
      </left>
      <right style="thin">
        <color indexed="64"/>
      </right>
      <top/>
      <bottom/>
      <diagonal/>
    </border>
    <border>
      <left style="thin">
        <color rgb="FF3D6864"/>
      </left>
      <right/>
      <top/>
      <bottom/>
      <diagonal/>
    </border>
    <border>
      <left style="thin">
        <color theme="0"/>
      </left>
      <right/>
      <top style="thin">
        <color theme="0" tint="-0.14996795556505021"/>
      </top>
      <bottom style="thin">
        <color indexed="64"/>
      </bottom>
      <diagonal/>
    </border>
    <border>
      <left style="medium">
        <color rgb="FF3D6864"/>
      </left>
      <right/>
      <top style="thin">
        <color indexed="64"/>
      </top>
      <bottom style="medium">
        <color rgb="FF3D68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3D6864"/>
      </left>
      <right style="medium">
        <color rgb="FF3D6864"/>
      </right>
      <top/>
      <bottom/>
      <diagonal/>
    </border>
    <border>
      <left style="medium">
        <color rgb="FF3D6864"/>
      </left>
      <right style="medium">
        <color rgb="FF3D6864"/>
      </right>
      <top style="thin">
        <color indexed="64"/>
      </top>
      <bottom style="medium">
        <color rgb="FF3D6864"/>
      </bottom>
      <diagonal/>
    </border>
    <border>
      <left style="medium">
        <color rgb="FF3D6864"/>
      </left>
      <right style="medium">
        <color rgb="FF3D6864"/>
      </right>
      <top style="thin">
        <color indexed="64"/>
      </top>
      <bottom/>
      <diagonal/>
    </border>
    <border>
      <left style="thin">
        <color theme="0"/>
      </left>
      <right style="thin">
        <color theme="0"/>
      </right>
      <top style="thin">
        <color theme="0"/>
      </top>
      <bottom/>
      <diagonal/>
    </border>
    <border>
      <left style="thin">
        <color theme="0"/>
      </left>
      <right style="medium">
        <color rgb="FF3D6864"/>
      </right>
      <top style="thin">
        <color theme="0"/>
      </top>
      <bottom/>
      <diagonal/>
    </border>
    <border>
      <left style="thin">
        <color indexed="64"/>
      </left>
      <right style="medium">
        <color rgb="FF3D6864"/>
      </right>
      <top style="thin">
        <color theme="0"/>
      </top>
      <bottom style="thin">
        <color indexed="64"/>
      </bottom>
      <diagonal/>
    </border>
    <border>
      <left style="medium">
        <color rgb="FF3D6864"/>
      </left>
      <right style="thin">
        <color theme="0"/>
      </right>
      <top style="thin">
        <color indexed="64"/>
      </top>
      <bottom style="thin">
        <color indexed="64"/>
      </bottom>
      <diagonal/>
    </border>
    <border>
      <left style="medium">
        <color rgb="FF3D6864"/>
      </left>
      <right style="thin">
        <color theme="0"/>
      </right>
      <top style="thin">
        <color theme="0"/>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style="thin">
        <color indexed="64"/>
      </left>
      <right/>
      <top style="medium">
        <color indexed="64"/>
      </top>
      <bottom/>
      <diagonal/>
    </border>
    <border>
      <left/>
      <right style="thin">
        <color theme="0"/>
      </right>
      <top style="thin">
        <color indexed="64"/>
      </top>
      <bottom style="thin">
        <color theme="0"/>
      </bottom>
      <diagonal/>
    </border>
    <border>
      <left/>
      <right/>
      <top/>
      <bottom style="thin">
        <color theme="0" tint="-0.249977111117893"/>
      </bottom>
      <diagonal/>
    </border>
    <border>
      <left style="medium">
        <color indexed="64"/>
      </left>
      <right style="medium">
        <color indexed="64"/>
      </right>
      <top style="thin">
        <color indexed="64"/>
      </top>
      <bottom/>
      <diagonal/>
    </border>
    <border>
      <left style="thin">
        <color indexed="64"/>
      </left>
      <right style="medium">
        <color rgb="FF3D6864"/>
      </right>
      <top/>
      <bottom style="thin">
        <color indexed="64"/>
      </bottom>
      <diagonal/>
    </border>
    <border>
      <left/>
      <right style="thin">
        <color theme="1"/>
      </right>
      <top style="thin">
        <color indexed="64"/>
      </top>
      <bottom style="thin">
        <color theme="0"/>
      </bottom>
      <diagonal/>
    </border>
    <border>
      <left/>
      <right style="thin">
        <color theme="1"/>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0" fontId="2" fillId="0" borderId="0"/>
    <xf numFmtId="9" fontId="6" fillId="0" borderId="0" applyFont="0" applyFill="0" applyBorder="0" applyAlignment="0" applyProtection="0"/>
    <xf numFmtId="0" fontId="50" fillId="17" borderId="0" applyNumberFormat="0" applyBorder="0" applyAlignment="0" applyProtection="0"/>
    <xf numFmtId="9" fontId="1" fillId="0" borderId="0" applyFont="0" applyFill="0" applyBorder="0" applyAlignment="0" applyProtection="0"/>
  </cellStyleXfs>
  <cellXfs count="1204">
    <xf numFmtId="0" fontId="0" fillId="0" borderId="0" xfId="0"/>
    <xf numFmtId="0" fontId="0" fillId="2" borderId="0" xfId="0" applyFill="1" applyProtection="1">
      <protection hidden="1"/>
    </xf>
    <xf numFmtId="0" fontId="9" fillId="2" borderId="0" xfId="0" applyFont="1" applyFill="1" applyProtection="1">
      <protection hidden="1"/>
    </xf>
    <xf numFmtId="0" fontId="11" fillId="2" borderId="0" xfId="0" applyFont="1" applyFill="1" applyAlignment="1" applyProtection="1">
      <alignment horizontal="center" wrapText="1"/>
      <protection hidden="1"/>
    </xf>
    <xf numFmtId="0" fontId="0" fillId="2" borderId="1" xfId="0" applyFill="1" applyBorder="1" applyProtection="1">
      <protection hidden="1"/>
    </xf>
    <xf numFmtId="0" fontId="0" fillId="2" borderId="0" xfId="0" applyFill="1" applyAlignment="1" applyProtection="1">
      <alignment wrapText="1"/>
      <protection hidden="1"/>
    </xf>
    <xf numFmtId="0" fontId="9" fillId="2" borderId="0" xfId="0" applyFont="1" applyFill="1" applyAlignment="1" applyProtection="1">
      <alignment vertical="top" wrapText="1"/>
      <protection hidden="1"/>
    </xf>
    <xf numFmtId="0" fontId="0" fillId="2" borderId="0" xfId="0" applyFill="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5" fillId="2" borderId="0" xfId="0" applyFont="1" applyFill="1" applyProtection="1">
      <protection hidden="1"/>
    </xf>
    <xf numFmtId="0" fontId="15" fillId="2" borderId="0" xfId="0" applyFont="1" applyFill="1" applyAlignment="1" applyProtection="1">
      <alignment vertical="top" wrapText="1"/>
      <protection hidden="1"/>
    </xf>
    <xf numFmtId="0" fontId="15" fillId="2" borderId="0" xfId="0" applyFont="1" applyFill="1" applyAlignment="1" applyProtection="1">
      <alignment horizontal="left" vertical="top" wrapText="1"/>
      <protection hidden="1"/>
    </xf>
    <xf numFmtId="0" fontId="0" fillId="0" borderId="0" xfId="0" applyProtection="1">
      <protection hidden="1"/>
    </xf>
    <xf numFmtId="0" fontId="0" fillId="4" borderId="0" xfId="0" applyFill="1" applyProtection="1">
      <protection hidden="1"/>
    </xf>
    <xf numFmtId="0" fontId="21" fillId="2" borderId="0" xfId="0" applyFont="1" applyFill="1" applyProtection="1">
      <protection hidden="1"/>
    </xf>
    <xf numFmtId="0" fontId="1" fillId="4" borderId="0" xfId="0" applyFont="1" applyFill="1" applyProtection="1">
      <protection hidden="1"/>
    </xf>
    <xf numFmtId="0" fontId="4" fillId="2" borderId="0" xfId="0" applyFont="1" applyFill="1" applyAlignment="1" applyProtection="1">
      <alignment vertical="top" wrapText="1"/>
      <protection hidden="1"/>
    </xf>
    <xf numFmtId="0" fontId="0" fillId="4" borderId="0" xfId="0" applyFill="1"/>
    <xf numFmtId="0" fontId="9" fillId="8" borderId="2" xfId="0" applyFont="1" applyFill="1" applyBorder="1" applyProtection="1">
      <protection hidden="1"/>
    </xf>
    <xf numFmtId="0" fontId="20" fillId="4" borderId="0" xfId="0" applyFont="1" applyFill="1" applyAlignment="1" applyProtection="1">
      <alignment horizontal="right"/>
      <protection hidden="1"/>
    </xf>
    <xf numFmtId="0" fontId="20"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4" fillId="4" borderId="0" xfId="0" applyFont="1" applyFill="1" applyAlignment="1" applyProtection="1">
      <alignment horizontal="right" vertical="center"/>
      <protection hidden="1"/>
    </xf>
    <xf numFmtId="0" fontId="0" fillId="4" borderId="0" xfId="0" applyFill="1" applyAlignment="1" applyProtection="1">
      <alignment horizontal="left" vertical="top" wrapText="1"/>
      <protection hidden="1"/>
    </xf>
    <xf numFmtId="0" fontId="9" fillId="4" borderId="0" xfId="0" applyFont="1" applyFill="1" applyAlignment="1" applyProtection="1">
      <alignment horizontal="left" vertical="center" wrapText="1"/>
      <protection hidden="1"/>
    </xf>
    <xf numFmtId="0" fontId="30" fillId="2" borderId="0" xfId="0" applyFont="1" applyFill="1" applyProtection="1">
      <protection hidden="1"/>
    </xf>
    <xf numFmtId="0" fontId="0" fillId="2" borderId="0" xfId="0" applyFill="1" applyAlignment="1" applyProtection="1">
      <alignment vertical="top"/>
      <protection hidden="1"/>
    </xf>
    <xf numFmtId="0" fontId="30" fillId="2" borderId="0" xfId="0" applyFont="1" applyFill="1" applyAlignment="1" applyProtection="1">
      <alignment vertical="top" wrapText="1"/>
      <protection hidden="1"/>
    </xf>
    <xf numFmtId="0" fontId="20" fillId="6" borderId="34" xfId="0" applyFont="1" applyFill="1" applyBorder="1" applyProtection="1">
      <protection hidden="1"/>
    </xf>
    <xf numFmtId="0" fontId="23" fillId="4" borderId="7" xfId="0" applyFont="1" applyFill="1" applyBorder="1" applyAlignment="1" applyProtection="1">
      <alignment horizontal="center" vertical="center"/>
      <protection locked="0"/>
    </xf>
    <xf numFmtId="0" fontId="0" fillId="5" borderId="0" xfId="0" applyFill="1" applyAlignment="1" applyProtection="1">
      <alignment horizontal="center" vertical="center"/>
      <protection hidden="1"/>
    </xf>
    <xf numFmtId="0" fontId="0" fillId="2" borderId="0" xfId="0" applyFill="1" applyAlignment="1" applyProtection="1">
      <alignment horizontal="left"/>
      <protection hidden="1"/>
    </xf>
    <xf numFmtId="0" fontId="0" fillId="8" borderId="0" xfId="0" applyFill="1" applyProtection="1">
      <protection hidden="1"/>
    </xf>
    <xf numFmtId="0" fontId="7" fillId="3" borderId="27" xfId="0" applyFont="1" applyFill="1" applyBorder="1" applyAlignment="1" applyProtection="1">
      <alignment horizontal="right" vertical="center"/>
      <protection hidden="1"/>
    </xf>
    <xf numFmtId="0" fontId="7" fillId="3" borderId="27" xfId="0" applyFont="1" applyFill="1" applyBorder="1" applyAlignment="1" applyProtection="1">
      <alignment horizontal="right" vertical="center" wrapText="1"/>
      <protection hidden="1"/>
    </xf>
    <xf numFmtId="0" fontId="0" fillId="0" borderId="2" xfId="0" applyBorder="1"/>
    <xf numFmtId="0" fontId="0" fillId="12" borderId="2" xfId="0" applyFill="1" applyBorder="1"/>
    <xf numFmtId="0" fontId="0" fillId="0" borderId="5" xfId="0" applyBorder="1"/>
    <xf numFmtId="0" fontId="0" fillId="12" borderId="5" xfId="0" applyFill="1" applyBorder="1"/>
    <xf numFmtId="0" fontId="20" fillId="10" borderId="64" xfId="0" applyFont="1" applyFill="1" applyBorder="1"/>
    <xf numFmtId="0" fontId="0" fillId="0" borderId="3" xfId="0" applyBorder="1"/>
    <xf numFmtId="0" fontId="0" fillId="12" borderId="3" xfId="0" applyFill="1" applyBorder="1"/>
    <xf numFmtId="0" fontId="29" fillId="13" borderId="64" xfId="0" applyFont="1" applyFill="1" applyBorder="1"/>
    <xf numFmtId="0" fontId="20" fillId="10" borderId="52" xfId="0" applyFont="1" applyFill="1" applyBorder="1" applyAlignment="1" applyProtection="1">
      <alignment wrapText="1"/>
      <protection hidden="1"/>
    </xf>
    <xf numFmtId="0" fontId="0" fillId="8" borderId="63" xfId="0" applyFill="1" applyBorder="1"/>
    <xf numFmtId="0" fontId="20" fillId="10" borderId="10" xfId="0" applyFont="1" applyFill="1" applyBorder="1" applyAlignment="1" applyProtection="1">
      <alignment wrapText="1"/>
      <protection hidden="1"/>
    </xf>
    <xf numFmtId="0" fontId="20" fillId="6" borderId="0" xfId="0" applyFont="1" applyFill="1" applyProtection="1">
      <protection hidden="1"/>
    </xf>
    <xf numFmtId="0" fontId="0" fillId="8" borderId="64" xfId="0" applyFill="1" applyBorder="1"/>
    <xf numFmtId="0" fontId="1" fillId="5" borderId="52" xfId="0" applyFont="1" applyFill="1" applyBorder="1" applyAlignment="1" applyProtection="1">
      <alignment vertical="center"/>
      <protection hidden="1"/>
    </xf>
    <xf numFmtId="0" fontId="1" fillId="5" borderId="65" xfId="0" applyFont="1" applyFill="1" applyBorder="1" applyAlignment="1" applyProtection="1">
      <alignment horizontal="left" vertical="center"/>
      <protection hidden="1"/>
    </xf>
    <xf numFmtId="0" fontId="20" fillId="2" borderId="0" xfId="0" applyFont="1" applyFill="1" applyProtection="1">
      <protection hidden="1"/>
    </xf>
    <xf numFmtId="0" fontId="20" fillId="10" borderId="84" xfId="0" applyFont="1" applyFill="1" applyBorder="1"/>
    <xf numFmtId="0" fontId="0" fillId="8" borderId="65" xfId="0" applyFill="1" applyBorder="1"/>
    <xf numFmtId="0" fontId="0" fillId="8" borderId="2" xfId="0" applyFill="1" applyBorder="1"/>
    <xf numFmtId="0" fontId="0" fillId="8" borderId="0" xfId="0" applyFill="1"/>
    <xf numFmtId="0" fontId="0" fillId="0" borderId="15" xfId="0" applyBorder="1"/>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40" xfId="0" applyFill="1" applyBorder="1" applyAlignment="1" applyProtection="1">
      <alignment horizontal="center"/>
      <protection hidden="1"/>
    </xf>
    <xf numFmtId="0" fontId="0" fillId="2" borderId="55" xfId="0" applyFill="1" applyBorder="1" applyProtection="1">
      <protection hidden="1"/>
    </xf>
    <xf numFmtId="0" fontId="0" fillId="2" borderId="57" xfId="0" applyFill="1" applyBorder="1" applyProtection="1">
      <protection hidden="1"/>
    </xf>
    <xf numFmtId="0" fontId="0" fillId="2" borderId="58" xfId="0" applyFill="1" applyBorder="1" applyProtection="1">
      <protection hidden="1"/>
    </xf>
    <xf numFmtId="0" fontId="0" fillId="2" borderId="60" xfId="0" applyFill="1" applyBorder="1" applyProtection="1">
      <protection hidden="1"/>
    </xf>
    <xf numFmtId="0" fontId="20" fillId="6" borderId="98" xfId="0" applyFont="1" applyFill="1" applyBorder="1" applyProtection="1">
      <protection hidden="1"/>
    </xf>
    <xf numFmtId="0" fontId="23" fillId="5" borderId="34" xfId="0" applyFont="1" applyFill="1" applyBorder="1" applyAlignment="1" applyProtection="1">
      <alignment horizontal="center" vertical="center"/>
      <protection hidden="1"/>
    </xf>
    <xf numFmtId="0" fontId="3" fillId="4" borderId="2" xfId="0" applyFont="1" applyFill="1" applyBorder="1" applyProtection="1">
      <protection hidden="1"/>
    </xf>
    <xf numFmtId="0" fontId="23" fillId="4" borderId="2"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0" fillId="4" borderId="0" xfId="0" applyFill="1" applyAlignment="1">
      <alignment wrapText="1"/>
    </xf>
    <xf numFmtId="0" fontId="23" fillId="4" borderId="43" xfId="0" applyFont="1" applyFill="1" applyBorder="1" applyAlignment="1" applyProtection="1">
      <alignment horizontal="center" vertical="center" wrapText="1"/>
      <protection locked="0"/>
    </xf>
    <xf numFmtId="0" fontId="1" fillId="5" borderId="54" xfId="0" applyFont="1" applyFill="1" applyBorder="1" applyAlignment="1" applyProtection="1">
      <alignment vertical="center"/>
      <protection hidden="1"/>
    </xf>
    <xf numFmtId="0" fontId="1" fillId="5" borderId="55" xfId="0" applyFont="1" applyFill="1" applyBorder="1" applyAlignment="1" applyProtection="1">
      <alignment vertical="center"/>
      <protection hidden="1"/>
    </xf>
    <xf numFmtId="0" fontId="1" fillId="5" borderId="59" xfId="0" applyFont="1" applyFill="1" applyBorder="1" applyAlignment="1" applyProtection="1">
      <alignment horizontal="left" vertical="center"/>
      <protection hidden="1"/>
    </xf>
    <xf numFmtId="0" fontId="1" fillId="5" borderId="60" xfId="0" applyFont="1" applyFill="1" applyBorder="1" applyAlignment="1" applyProtection="1">
      <alignment vertical="center"/>
      <protection hidden="1"/>
    </xf>
    <xf numFmtId="10" fontId="9" fillId="5" borderId="99" xfId="2" applyNumberFormat="1" applyFont="1" applyFill="1" applyBorder="1" applyAlignment="1" applyProtection="1">
      <alignment horizontal="left" vertical="center"/>
      <protection hidden="1"/>
    </xf>
    <xf numFmtId="0" fontId="29" fillId="0" borderId="0" xfId="0" applyFont="1" applyProtection="1">
      <protection hidden="1"/>
    </xf>
    <xf numFmtId="0" fontId="37" fillId="3" borderId="101" xfId="0" applyFont="1" applyFill="1" applyBorder="1" applyAlignment="1" applyProtection="1">
      <alignment horizontal="left" vertical="center"/>
      <protection hidden="1"/>
    </xf>
    <xf numFmtId="0" fontId="0" fillId="8" borderId="2" xfId="0" applyFill="1" applyBorder="1" applyProtection="1">
      <protection hidden="1"/>
    </xf>
    <xf numFmtId="0" fontId="12" fillId="0" borderId="0" xfId="0" applyFont="1" applyAlignment="1" applyProtection="1">
      <alignment vertical="center"/>
      <protection hidden="1"/>
    </xf>
    <xf numFmtId="0" fontId="0" fillId="2" borderId="0" xfId="0" applyFill="1"/>
    <xf numFmtId="0" fontId="27" fillId="2" borderId="0" xfId="0" applyFont="1" applyFill="1" applyAlignment="1">
      <alignment horizontal="left" vertical="center"/>
    </xf>
    <xf numFmtId="0" fontId="36" fillId="2" borderId="0" xfId="0" applyFont="1" applyFill="1" applyAlignment="1">
      <alignment horizontal="left" vertical="center"/>
    </xf>
    <xf numFmtId="0" fontId="7" fillId="3" borderId="34" xfId="0" applyFont="1" applyFill="1" applyBorder="1" applyAlignment="1">
      <alignment horizontal="left" vertical="center"/>
    </xf>
    <xf numFmtId="0" fontId="7" fillId="3" borderId="42" xfId="0" applyFont="1" applyFill="1" applyBorder="1" applyAlignment="1">
      <alignment horizontal="left" vertical="center"/>
    </xf>
    <xf numFmtId="0" fontId="7" fillId="3" borderId="31" xfId="0" applyFont="1" applyFill="1" applyBorder="1" applyAlignment="1">
      <alignment horizontal="left" vertical="center"/>
    </xf>
    <xf numFmtId="0" fontId="1" fillId="5" borderId="31" xfId="0" applyFont="1" applyFill="1" applyBorder="1" applyAlignment="1">
      <alignment horizontal="left" vertical="center"/>
    </xf>
    <xf numFmtId="0" fontId="1" fillId="5" borderId="27" xfId="0" applyFont="1" applyFill="1" applyBorder="1" applyAlignment="1">
      <alignment horizontal="left" vertical="center"/>
    </xf>
    <xf numFmtId="0" fontId="7" fillId="3" borderId="44" xfId="0" applyFont="1" applyFill="1" applyBorder="1" applyAlignment="1">
      <alignment horizontal="left" vertical="center"/>
    </xf>
    <xf numFmtId="0" fontId="7" fillId="3" borderId="26" xfId="0" applyFont="1" applyFill="1" applyBorder="1" applyAlignment="1">
      <alignment horizontal="left" vertical="center"/>
    </xf>
    <xf numFmtId="0" fontId="7" fillId="3" borderId="28" xfId="0" applyFont="1" applyFill="1" applyBorder="1" applyAlignment="1">
      <alignment horizontal="left" vertical="center"/>
    </xf>
    <xf numFmtId="0" fontId="1" fillId="5" borderId="26" xfId="0" applyFont="1" applyFill="1" applyBorder="1" applyAlignment="1">
      <alignment vertical="center"/>
    </xf>
    <xf numFmtId="0" fontId="35" fillId="2" borderId="40" xfId="0" applyFont="1" applyFill="1" applyBorder="1"/>
    <xf numFmtId="0" fontId="26" fillId="2" borderId="0" xfId="0" applyFont="1" applyFill="1" applyAlignment="1">
      <alignment horizontal="left" wrapText="1"/>
    </xf>
    <xf numFmtId="0" fontId="26" fillId="2" borderId="97" xfId="0" applyFont="1" applyFill="1" applyBorder="1" applyAlignment="1">
      <alignment horizontal="left" wrapText="1"/>
    </xf>
    <xf numFmtId="0" fontId="0" fillId="4" borderId="0" xfId="0" applyFill="1" applyAlignment="1">
      <alignment vertical="top" wrapText="1"/>
    </xf>
    <xf numFmtId="0" fontId="23" fillId="5" borderId="37" xfId="0" applyFont="1" applyFill="1" applyBorder="1" applyAlignment="1">
      <alignment horizontal="center" vertical="center"/>
    </xf>
    <xf numFmtId="164" fontId="23" fillId="5" borderId="24" xfId="0" applyNumberFormat="1" applyFont="1" applyFill="1" applyBorder="1" applyAlignment="1">
      <alignment horizontal="center" vertical="center"/>
    </xf>
    <xf numFmtId="0" fontId="0" fillId="5" borderId="24" xfId="0" applyFill="1" applyBorder="1" applyAlignment="1">
      <alignment vertical="center"/>
    </xf>
    <xf numFmtId="0" fontId="34" fillId="5" borderId="89" xfId="0" applyFont="1" applyFill="1" applyBorder="1" applyAlignment="1">
      <alignment horizontal="center" vertical="center"/>
    </xf>
    <xf numFmtId="164" fontId="34" fillId="5" borderId="88" xfId="0" applyNumberFormat="1" applyFont="1" applyFill="1" applyBorder="1" applyAlignment="1">
      <alignment horizontal="center" vertical="center"/>
    </xf>
    <xf numFmtId="0" fontId="0" fillId="5" borderId="26" xfId="0" applyFill="1" applyBorder="1" applyAlignment="1">
      <alignment horizontal="left" vertical="center"/>
    </xf>
    <xf numFmtId="0" fontId="23" fillId="5" borderId="26" xfId="0" applyFont="1" applyFill="1" applyBorder="1" applyAlignment="1">
      <alignment vertical="center"/>
    </xf>
    <xf numFmtId="0" fontId="0" fillId="5" borderId="26" xfId="0" applyFill="1" applyBorder="1" applyAlignment="1">
      <alignment vertical="center"/>
    </xf>
    <xf numFmtId="0" fontId="34" fillId="5" borderId="90" xfId="0" applyFont="1" applyFill="1" applyBorder="1" applyAlignment="1" applyProtection="1">
      <alignment horizontal="center" vertical="center"/>
      <protection locked="0"/>
    </xf>
    <xf numFmtId="0" fontId="0" fillId="4" borderId="0" xfId="0" applyFill="1" applyProtection="1">
      <protection locked="0"/>
    </xf>
    <xf numFmtId="0" fontId="0" fillId="4" borderId="0" xfId="0" applyFill="1" applyAlignment="1" applyProtection="1">
      <alignment wrapText="1"/>
      <protection locked="0"/>
    </xf>
    <xf numFmtId="0" fontId="23" fillId="5" borderId="93" xfId="0" applyFont="1" applyFill="1" applyBorder="1" applyAlignment="1" applyProtection="1">
      <alignment horizontal="left" vertical="center" wrapText="1"/>
      <protection locked="0"/>
    </xf>
    <xf numFmtId="0" fontId="23" fillId="5" borderId="94" xfId="0" applyFont="1" applyFill="1" applyBorder="1" applyAlignment="1" applyProtection="1">
      <alignment horizontal="center" vertical="center" wrapText="1"/>
      <protection locked="0"/>
    </xf>
    <xf numFmtId="0" fontId="23" fillId="5" borderId="93" xfId="0" applyFont="1" applyFill="1" applyBorder="1" applyAlignment="1" applyProtection="1">
      <alignment horizontal="center" vertical="center" wrapText="1"/>
      <protection locked="0"/>
    </xf>
    <xf numFmtId="0" fontId="29" fillId="0" borderId="0" xfId="0" applyFont="1"/>
    <xf numFmtId="0" fontId="20" fillId="10" borderId="52" xfId="0" applyFont="1" applyFill="1" applyBorder="1"/>
    <xf numFmtId="1" fontId="0" fillId="0" borderId="0" xfId="0" applyNumberFormat="1"/>
    <xf numFmtId="0" fontId="29" fillId="9" borderId="52" xfId="0" applyFont="1" applyFill="1" applyBorder="1" applyAlignment="1">
      <alignment horizontal="center"/>
    </xf>
    <xf numFmtId="0" fontId="0" fillId="0" borderId="0" xfId="0" applyAlignment="1">
      <alignment horizontal="right"/>
    </xf>
    <xf numFmtId="0" fontId="0" fillId="8" borderId="52" xfId="0" applyFill="1" applyBorder="1" applyAlignment="1">
      <alignment horizontal="center" vertical="center"/>
    </xf>
    <xf numFmtId="0" fontId="20" fillId="10" borderId="63" xfId="0" applyFont="1" applyFill="1" applyBorder="1"/>
    <xf numFmtId="0" fontId="20" fillId="10" borderId="72" xfId="0" applyFont="1" applyFill="1" applyBorder="1"/>
    <xf numFmtId="0" fontId="0" fillId="10" borderId="53" xfId="0" applyFill="1" applyBorder="1"/>
    <xf numFmtId="0" fontId="0" fillId="10" borderId="54" xfId="0" applyFill="1" applyBorder="1"/>
    <xf numFmtId="0" fontId="0" fillId="8" borderId="68" xfId="0" applyFill="1" applyBorder="1"/>
    <xf numFmtId="0" fontId="20" fillId="10" borderId="80" xfId="0" applyFont="1" applyFill="1" applyBorder="1"/>
    <xf numFmtId="0" fontId="20" fillId="10" borderId="81" xfId="0" applyFont="1" applyFill="1" applyBorder="1"/>
    <xf numFmtId="0" fontId="20" fillId="10" borderId="82" xfId="0" applyFont="1" applyFill="1" applyBorder="1"/>
    <xf numFmtId="0" fontId="20" fillId="10" borderId="65" xfId="0" applyFont="1" applyFill="1" applyBorder="1"/>
    <xf numFmtId="0" fontId="20" fillId="10" borderId="83" xfId="0" applyFont="1" applyFill="1" applyBorder="1"/>
    <xf numFmtId="0" fontId="20" fillId="10" borderId="66" xfId="0" applyFont="1" applyFill="1" applyBorder="1"/>
    <xf numFmtId="0" fontId="20" fillId="10" borderId="9" xfId="0" applyFont="1" applyFill="1" applyBorder="1"/>
    <xf numFmtId="0" fontId="20" fillId="10" borderId="58" xfId="0" applyFont="1" applyFill="1" applyBorder="1"/>
    <xf numFmtId="0" fontId="20" fillId="10" borderId="59" xfId="0" applyFont="1" applyFill="1" applyBorder="1"/>
    <xf numFmtId="0" fontId="0" fillId="10" borderId="60" xfId="0" applyFill="1" applyBorder="1"/>
    <xf numFmtId="0" fontId="20" fillId="10" borderId="99" xfId="0" applyFont="1" applyFill="1" applyBorder="1"/>
    <xf numFmtId="0" fontId="20" fillId="10" borderId="60" xfId="0" applyFont="1" applyFill="1" applyBorder="1"/>
    <xf numFmtId="0" fontId="0" fillId="0" borderId="61" xfId="0" applyBorder="1"/>
    <xf numFmtId="0" fontId="0" fillId="0" borderId="75" xfId="0" applyBorder="1"/>
    <xf numFmtId="0" fontId="0" fillId="0" borderId="56" xfId="0" applyBorder="1"/>
    <xf numFmtId="0" fontId="0" fillId="0" borderId="4" xfId="0" applyBorder="1"/>
    <xf numFmtId="0" fontId="0" fillId="0" borderId="69" xfId="0" applyBorder="1"/>
    <xf numFmtId="0" fontId="0" fillId="0" borderId="76" xfId="0" applyBorder="1"/>
    <xf numFmtId="10" fontId="0" fillId="12" borderId="0" xfId="0" applyNumberFormat="1" applyFill="1"/>
    <xf numFmtId="0" fontId="23" fillId="12" borderId="2" xfId="0" applyFont="1" applyFill="1" applyBorder="1" applyAlignment="1">
      <alignment horizontal="center" vertical="center"/>
    </xf>
    <xf numFmtId="1" fontId="0" fillId="12" borderId="53" xfId="0" applyNumberFormat="1" applyFill="1" applyBorder="1" applyAlignment="1">
      <alignment horizontal="right"/>
    </xf>
    <xf numFmtId="0" fontId="0" fillId="0" borderId="53" xfId="0" applyBorder="1" applyAlignment="1">
      <alignment horizontal="right"/>
    </xf>
    <xf numFmtId="0" fontId="0" fillId="0" borderId="54" xfId="0" applyBorder="1" applyAlignment="1">
      <alignment horizontal="right"/>
    </xf>
    <xf numFmtId="1" fontId="0" fillId="0" borderId="4" xfId="0" applyNumberFormat="1" applyBorder="1" applyAlignment="1">
      <alignment horizontal="right"/>
    </xf>
    <xf numFmtId="0" fontId="0" fillId="0" borderId="54" xfId="0" applyBorder="1"/>
    <xf numFmtId="0" fontId="0" fillId="0" borderId="55" xfId="0" applyBorder="1"/>
    <xf numFmtId="0" fontId="0" fillId="12" borderId="57" xfId="0" applyFill="1" applyBorder="1"/>
    <xf numFmtId="1" fontId="0" fillId="12" borderId="2" xfId="0" applyNumberFormat="1" applyFill="1" applyBorder="1" applyAlignment="1">
      <alignment horizontal="right"/>
    </xf>
    <xf numFmtId="0" fontId="0" fillId="0" borderId="56" xfId="0" applyBorder="1" applyAlignment="1">
      <alignment horizontal="right"/>
    </xf>
    <xf numFmtId="0" fontId="0" fillId="0" borderId="2" xfId="0" applyBorder="1" applyAlignment="1">
      <alignment horizontal="right"/>
    </xf>
    <xf numFmtId="1" fontId="0" fillId="0" borderId="4" xfId="0" applyNumberFormat="1" applyBorder="1"/>
    <xf numFmtId="0" fontId="0" fillId="0" borderId="57" xfId="0" applyBorder="1"/>
    <xf numFmtId="1" fontId="0" fillId="12" borderId="57" xfId="0" applyNumberFormat="1" applyFill="1" applyBorder="1" applyAlignment="1">
      <alignment horizontal="right"/>
    </xf>
    <xf numFmtId="0" fontId="0" fillId="0" borderId="4" xfId="0" applyBorder="1" applyAlignment="1">
      <alignment horizontal="right"/>
    </xf>
    <xf numFmtId="10" fontId="0" fillId="0" borderId="2" xfId="0" applyNumberFormat="1" applyBorder="1"/>
    <xf numFmtId="0" fontId="0" fillId="0" borderId="66" xfId="0" applyBorder="1"/>
    <xf numFmtId="0" fontId="0" fillId="0" borderId="58" xfId="0" applyBorder="1"/>
    <xf numFmtId="10" fontId="0" fillId="0" borderId="59" xfId="0" applyNumberFormat="1" applyBorder="1"/>
    <xf numFmtId="0" fontId="0" fillId="0" borderId="59" xfId="0" applyBorder="1"/>
    <xf numFmtId="0" fontId="0" fillId="0" borderId="78" xfId="0" applyBorder="1"/>
    <xf numFmtId="0" fontId="0" fillId="0" borderId="58" xfId="0" applyBorder="1" applyAlignment="1">
      <alignment horizontal="right"/>
    </xf>
    <xf numFmtId="0" fontId="0" fillId="0" borderId="60" xfId="0" applyBorder="1"/>
    <xf numFmtId="0" fontId="29" fillId="13" borderId="63" xfId="0" applyFont="1" applyFill="1" applyBorder="1"/>
    <xf numFmtId="0" fontId="29" fillId="13" borderId="72" xfId="0" applyFont="1" applyFill="1" applyBorder="1"/>
    <xf numFmtId="0" fontId="0" fillId="13" borderId="58" xfId="0" applyFill="1" applyBorder="1"/>
    <xf numFmtId="0" fontId="0" fillId="13" borderId="59" xfId="0" applyFill="1" applyBorder="1"/>
    <xf numFmtId="0" fontId="0" fillId="13" borderId="78" xfId="0" applyFill="1" applyBorder="1"/>
    <xf numFmtId="0" fontId="0" fillId="13" borderId="70" xfId="0" applyFill="1" applyBorder="1"/>
    <xf numFmtId="10" fontId="0" fillId="13" borderId="0" xfId="0" applyNumberFormat="1" applyFill="1"/>
    <xf numFmtId="10" fontId="0" fillId="0" borderId="0" xfId="0" applyNumberFormat="1"/>
    <xf numFmtId="0" fontId="0" fillId="9" borderId="53" xfId="0" applyFill="1" applyBorder="1"/>
    <xf numFmtId="0" fontId="0" fillId="9" borderId="54" xfId="0" applyFill="1" applyBorder="1"/>
    <xf numFmtId="0" fontId="0" fillId="0" borderId="71" xfId="0" applyBorder="1"/>
    <xf numFmtId="0" fontId="23" fillId="12" borderId="7" xfId="0" applyFont="1" applyFill="1" applyBorder="1" applyAlignment="1">
      <alignment horizontal="center" vertical="center"/>
    </xf>
    <xf numFmtId="0" fontId="0" fillId="12" borderId="53" xfId="0" applyFill="1" applyBorder="1"/>
    <xf numFmtId="0" fontId="0" fillId="12" borderId="54" xfId="0" applyFill="1" applyBorder="1"/>
    <xf numFmtId="0" fontId="0" fillId="12" borderId="55" xfId="0" applyFill="1" applyBorder="1"/>
    <xf numFmtId="0" fontId="0" fillId="0" borderId="53" xfId="0" applyBorder="1"/>
    <xf numFmtId="0" fontId="0" fillId="0" borderId="77" xfId="0" applyBorder="1"/>
    <xf numFmtId="0" fontId="0" fillId="8" borderId="56" xfId="0" applyFill="1" applyBorder="1"/>
    <xf numFmtId="0" fontId="39" fillId="0" borderId="0" xfId="0" applyFont="1"/>
    <xf numFmtId="0" fontId="0" fillId="0" borderId="59" xfId="0" applyBorder="1" applyAlignment="1">
      <alignment horizontal="right"/>
    </xf>
    <xf numFmtId="0" fontId="0" fillId="0" borderId="78" xfId="0" applyBorder="1" applyAlignment="1">
      <alignment horizontal="right"/>
    </xf>
    <xf numFmtId="0" fontId="29" fillId="13" borderId="52" xfId="0" applyFont="1" applyFill="1" applyBorder="1"/>
    <xf numFmtId="0" fontId="0" fillId="8" borderId="52" xfId="0" applyFill="1" applyBorder="1"/>
    <xf numFmtId="0" fontId="0" fillId="0" borderId="77" xfId="0" applyBorder="1" applyAlignment="1">
      <alignment horizontal="right"/>
    </xf>
    <xf numFmtId="0" fontId="0" fillId="0" borderId="85" xfId="0" applyBorder="1"/>
    <xf numFmtId="0" fontId="0" fillId="12" borderId="15" xfId="0" applyFill="1" applyBorder="1"/>
    <xf numFmtId="0" fontId="0" fillId="12" borderId="86" xfId="0" applyFill="1" applyBorder="1"/>
    <xf numFmtId="10" fontId="0" fillId="11" borderId="0" xfId="0" applyNumberFormat="1" applyFill="1"/>
    <xf numFmtId="0" fontId="0" fillId="9" borderId="68" xfId="0" applyFill="1" applyBorder="1"/>
    <xf numFmtId="0" fontId="0" fillId="9" borderId="79" xfId="0" applyFill="1" applyBorder="1"/>
    <xf numFmtId="0" fontId="0" fillId="0" borderId="7" xfId="0" applyBorder="1"/>
    <xf numFmtId="10" fontId="0" fillId="12" borderId="0" xfId="0" applyNumberFormat="1" applyFill="1" applyAlignment="1">
      <alignment horizontal="center"/>
    </xf>
    <xf numFmtId="0" fontId="0" fillId="0" borderId="70" xfId="0" applyBorder="1"/>
    <xf numFmtId="0" fontId="0" fillId="8" borderId="79" xfId="0" applyFill="1" applyBorder="1"/>
    <xf numFmtId="0" fontId="0" fillId="0" borderId="21" xfId="0" applyBorder="1"/>
    <xf numFmtId="9" fontId="0" fillId="0" borderId="22" xfId="0" applyNumberFormat="1" applyBorder="1"/>
    <xf numFmtId="0" fontId="0" fillId="0" borderId="22" xfId="0" applyBorder="1"/>
    <xf numFmtId="0" fontId="0" fillId="0" borderId="23" xfId="0" applyBorder="1"/>
    <xf numFmtId="0" fontId="0" fillId="0" borderId="16" xfId="0" applyBorder="1"/>
    <xf numFmtId="9" fontId="0" fillId="0" borderId="0" xfId="0" applyNumberFormat="1"/>
    <xf numFmtId="0" fontId="0" fillId="0" borderId="17" xfId="0" applyBorder="1"/>
    <xf numFmtId="0" fontId="20" fillId="10" borderId="0" xfId="0" applyFont="1" applyFill="1"/>
    <xf numFmtId="0" fontId="0" fillId="0" borderId="72" xfId="0" applyBorder="1"/>
    <xf numFmtId="0" fontId="0" fillId="0" borderId="73" xfId="0" applyBorder="1"/>
    <xf numFmtId="0" fontId="0" fillId="0" borderId="74" xfId="0" applyBorder="1"/>
    <xf numFmtId="0" fontId="0" fillId="0" borderId="52" xfId="0" applyBorder="1"/>
    <xf numFmtId="0" fontId="0" fillId="0" borderId="18" xfId="0" applyBorder="1"/>
    <xf numFmtId="9" fontId="0" fillId="0" borderId="19" xfId="0" applyNumberFormat="1" applyBorder="1"/>
    <xf numFmtId="0" fontId="0" fillId="0" borderId="19" xfId="0" applyBorder="1"/>
    <xf numFmtId="0" fontId="0" fillId="0" borderId="20" xfId="0" applyBorder="1"/>
    <xf numFmtId="0" fontId="0" fillId="10" borderId="0" xfId="0" applyFill="1"/>
    <xf numFmtId="0" fontId="0" fillId="2" borderId="0" xfId="0" applyFill="1" applyProtection="1">
      <protection locked="0" hidden="1"/>
    </xf>
    <xf numFmtId="0" fontId="0" fillId="2" borderId="0" xfId="0" applyFill="1" applyAlignment="1" applyProtection="1">
      <alignment wrapText="1"/>
      <protection locked="0" hidden="1"/>
    </xf>
    <xf numFmtId="0" fontId="11"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16" fillId="3" borderId="1" xfId="0" applyFont="1" applyFill="1" applyBorder="1" applyAlignment="1">
      <alignment vertical="top"/>
    </xf>
    <xf numFmtId="0" fontId="16" fillId="3" borderId="1" xfId="0" applyFont="1" applyFill="1" applyBorder="1" applyAlignment="1">
      <alignment vertical="top" wrapText="1"/>
    </xf>
    <xf numFmtId="0" fontId="26" fillId="2" borderId="112" xfId="0" applyFont="1" applyFill="1" applyBorder="1" applyAlignment="1">
      <alignment horizontal="left" wrapText="1"/>
    </xf>
    <xf numFmtId="164" fontId="9" fillId="5" borderId="26" xfId="2" applyNumberFormat="1" applyFont="1" applyFill="1" applyBorder="1" applyAlignment="1" applyProtection="1">
      <alignment horizontal="left" vertical="center"/>
    </xf>
    <xf numFmtId="0" fontId="9" fillId="4" borderId="0" xfId="0" applyFont="1" applyFill="1" applyAlignment="1">
      <alignment horizontal="left" vertical="top" wrapText="1"/>
    </xf>
    <xf numFmtId="0" fontId="20" fillId="6" borderId="0" xfId="0" applyFont="1" applyFill="1" applyAlignment="1" applyProtection="1">
      <alignment horizontal="right"/>
      <protection hidden="1"/>
    </xf>
    <xf numFmtId="0" fontId="23" fillId="5" borderId="93" xfId="0" applyFont="1" applyFill="1" applyBorder="1" applyAlignment="1" applyProtection="1">
      <alignment horizontal="right" vertical="center"/>
      <protection hidden="1"/>
    </xf>
    <xf numFmtId="0" fontId="0" fillId="2" borderId="0" xfId="0" applyFill="1" applyAlignment="1" applyProtection="1">
      <alignment horizontal="right"/>
      <protection hidden="1"/>
    </xf>
    <xf numFmtId="0" fontId="0" fillId="2" borderId="0" xfId="0" applyFill="1" applyAlignment="1" applyProtection="1">
      <alignment horizontal="left" wrapText="1"/>
      <protection hidden="1"/>
    </xf>
    <xf numFmtId="0" fontId="23" fillId="4" borderId="6" xfId="0" applyFont="1" applyFill="1" applyBorder="1" applyAlignment="1" applyProtection="1">
      <alignment horizontal="left" vertical="center"/>
      <protection locked="0"/>
    </xf>
    <xf numFmtId="0" fontId="23" fillId="5" borderId="93" xfId="0" applyFont="1" applyFill="1" applyBorder="1" applyAlignment="1" applyProtection="1">
      <alignment horizontal="center" vertical="center"/>
      <protection locked="0"/>
    </xf>
    <xf numFmtId="0" fontId="45" fillId="4" borderId="1" xfId="0" applyFont="1" applyFill="1" applyBorder="1" applyAlignment="1">
      <alignment horizontal="left"/>
    </xf>
    <xf numFmtId="0" fontId="43" fillId="4" borderId="0" xfId="0" applyFont="1" applyFill="1" applyAlignment="1" applyProtection="1">
      <alignment horizontal="left"/>
      <protection hidden="1"/>
    </xf>
    <xf numFmtId="0" fontId="21" fillId="0" borderId="2" xfId="0" applyFont="1" applyBorder="1"/>
    <xf numFmtId="0" fontId="21" fillId="0" borderId="5" xfId="0" applyFont="1" applyBorder="1"/>
    <xf numFmtId="1" fontId="0" fillId="12" borderId="54" xfId="0" applyNumberFormat="1" applyFill="1" applyBorder="1" applyAlignment="1">
      <alignment horizontal="right"/>
    </xf>
    <xf numFmtId="1" fontId="0" fillId="12" borderId="56" xfId="0" applyNumberFormat="1" applyFill="1" applyBorder="1" applyAlignment="1">
      <alignment horizontal="right"/>
    </xf>
    <xf numFmtId="1" fontId="0" fillId="12" borderId="56" xfId="0" applyNumberFormat="1" applyFill="1" applyBorder="1"/>
    <xf numFmtId="1" fontId="0" fillId="12" borderId="2" xfId="0" applyNumberFormat="1" applyFill="1" applyBorder="1"/>
    <xf numFmtId="1" fontId="0" fillId="12" borderId="57" xfId="0" applyNumberFormat="1" applyFill="1" applyBorder="1"/>
    <xf numFmtId="1" fontId="0" fillId="12" borderId="58" xfId="0" applyNumberFormat="1" applyFill="1" applyBorder="1"/>
    <xf numFmtId="1" fontId="0" fillId="12" borderId="59" xfId="0" applyNumberFormat="1" applyFill="1" applyBorder="1"/>
    <xf numFmtId="1" fontId="0" fillId="12" borderId="60" xfId="0" applyNumberFormat="1" applyFill="1" applyBorder="1"/>
    <xf numFmtId="1" fontId="0" fillId="12" borderId="53" xfId="0" applyNumberFormat="1" applyFill="1" applyBorder="1"/>
    <xf numFmtId="1" fontId="0" fillId="12" borderId="54" xfId="0" applyNumberFormat="1" applyFill="1" applyBorder="1"/>
    <xf numFmtId="1" fontId="0" fillId="12" borderId="55" xfId="0" applyNumberFormat="1" applyFill="1" applyBorder="1"/>
    <xf numFmtId="1" fontId="0" fillId="12" borderId="58" xfId="0" applyNumberFormat="1" applyFill="1" applyBorder="1" applyAlignment="1">
      <alignment horizontal="right"/>
    </xf>
    <xf numFmtId="1" fontId="0" fillId="12" borderId="59" xfId="0" applyNumberFormat="1" applyFill="1" applyBorder="1" applyAlignment="1">
      <alignment horizontal="right"/>
    </xf>
    <xf numFmtId="1" fontId="0" fillId="12" borderId="60" xfId="0" applyNumberFormat="1" applyFill="1" applyBorder="1" applyAlignment="1">
      <alignment horizontal="right"/>
    </xf>
    <xf numFmtId="1" fontId="21" fillId="12" borderId="2" xfId="0" applyNumberFormat="1" applyFont="1" applyFill="1" applyBorder="1" applyAlignment="1">
      <alignment horizontal="right"/>
    </xf>
    <xf numFmtId="1" fontId="21" fillId="12" borderId="56" xfId="0" applyNumberFormat="1" applyFont="1" applyFill="1" applyBorder="1"/>
    <xf numFmtId="1" fontId="21" fillId="12" borderId="2" xfId="0" applyNumberFormat="1" applyFont="1" applyFill="1" applyBorder="1"/>
    <xf numFmtId="1" fontId="21" fillId="12" borderId="57" xfId="0" applyNumberFormat="1" applyFont="1" applyFill="1" applyBorder="1"/>
    <xf numFmtId="1" fontId="21" fillId="12" borderId="54" xfId="0" applyNumberFormat="1" applyFont="1" applyFill="1" applyBorder="1"/>
    <xf numFmtId="0" fontId="0" fillId="12" borderId="116" xfId="0" applyFill="1" applyBorder="1"/>
    <xf numFmtId="0" fontId="0" fillId="12" borderId="84" xfId="0" applyFill="1" applyBorder="1"/>
    <xf numFmtId="0" fontId="0" fillId="12" borderId="117" xfId="0" applyFill="1" applyBorder="1"/>
    <xf numFmtId="0" fontId="0" fillId="12" borderId="56" xfId="0" applyFill="1" applyBorder="1"/>
    <xf numFmtId="0" fontId="20" fillId="6" borderId="45" xfId="0" applyFont="1" applyFill="1" applyBorder="1" applyAlignment="1">
      <alignment vertical="center"/>
    </xf>
    <xf numFmtId="0" fontId="20" fillId="6" borderId="45" xfId="0" applyFont="1" applyFill="1" applyBorder="1" applyAlignment="1" applyProtection="1">
      <alignment vertical="center"/>
      <protection locked="0"/>
    </xf>
    <xf numFmtId="0" fontId="20" fillId="6" borderId="48" xfId="0" applyFont="1" applyFill="1" applyBorder="1" applyAlignment="1" applyProtection="1">
      <alignment horizontal="left" vertical="center"/>
      <protection locked="0"/>
    </xf>
    <xf numFmtId="0" fontId="0" fillId="5" borderId="24" xfId="0" applyFill="1" applyBorder="1" applyAlignment="1">
      <alignment horizontal="left" vertical="center"/>
    </xf>
    <xf numFmtId="0" fontId="0" fillId="4" borderId="0" xfId="0" applyFill="1" applyAlignment="1" applyProtection="1">
      <alignment vertical="center" wrapText="1"/>
      <protection locked="0"/>
    </xf>
    <xf numFmtId="0" fontId="29" fillId="5" borderId="88" xfId="0" applyFont="1"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0" fontId="25" fillId="6" borderId="0" xfId="0" applyFont="1" applyFill="1" applyAlignment="1">
      <alignment horizontal="left" vertical="center"/>
    </xf>
    <xf numFmtId="0" fontId="20" fillId="6" borderId="45" xfId="0" applyFont="1" applyFill="1" applyBorder="1" applyAlignment="1" applyProtection="1">
      <alignment horizontal="left" vertical="center" wrapText="1"/>
      <protection locked="0"/>
    </xf>
    <xf numFmtId="0" fontId="20" fillId="6" borderId="39" xfId="0" applyFont="1" applyFill="1" applyBorder="1" applyAlignment="1" applyProtection="1">
      <alignment vertical="center"/>
      <protection locked="0"/>
    </xf>
    <xf numFmtId="0" fontId="20" fillId="6" borderId="48" xfId="0" applyFont="1" applyFill="1" applyBorder="1" applyAlignment="1" applyProtection="1">
      <alignment horizontal="left" vertical="center" wrapText="1"/>
      <protection locked="0"/>
    </xf>
    <xf numFmtId="0" fontId="20" fillId="6" borderId="1" xfId="0" applyFont="1" applyFill="1" applyBorder="1" applyAlignment="1" applyProtection="1">
      <alignment horizontal="left" vertical="center" wrapText="1"/>
      <protection locked="0"/>
    </xf>
    <xf numFmtId="0" fontId="20" fillId="6" borderId="1" xfId="0" applyFont="1" applyFill="1" applyBorder="1" applyAlignment="1" applyProtection="1">
      <alignment vertical="center" wrapText="1"/>
      <protection locked="0"/>
    </xf>
    <xf numFmtId="0" fontId="20" fillId="6" borderId="51" xfId="0" applyFont="1" applyFill="1" applyBorder="1" applyAlignment="1" applyProtection="1">
      <alignment vertical="center" wrapText="1"/>
      <protection locked="0"/>
    </xf>
    <xf numFmtId="0" fontId="0" fillId="2" borderId="0" xfId="0" applyFill="1" applyAlignment="1">
      <alignment horizontal="left" vertical="center" wrapText="1"/>
    </xf>
    <xf numFmtId="0" fontId="25" fillId="6" borderId="0" xfId="0" applyFont="1" applyFill="1" applyAlignment="1">
      <alignment horizontal="left" vertical="center" wrapText="1"/>
    </xf>
    <xf numFmtId="164" fontId="20" fillId="6" borderId="45" xfId="0" applyNumberFormat="1" applyFont="1" applyFill="1" applyBorder="1" applyAlignment="1">
      <alignment vertical="center"/>
    </xf>
    <xf numFmtId="0" fontId="20" fillId="6" borderId="49" xfId="0" applyFont="1" applyFill="1" applyBorder="1" applyAlignment="1" applyProtection="1">
      <alignment horizontal="left" vertical="center" wrapText="1"/>
      <protection locked="0"/>
    </xf>
    <xf numFmtId="0" fontId="20" fillId="6" borderId="45" xfId="0" applyFont="1" applyFill="1" applyBorder="1" applyAlignment="1" applyProtection="1">
      <alignment vertical="center" wrapText="1"/>
      <protection locked="0"/>
    </xf>
    <xf numFmtId="0" fontId="20" fillId="6" borderId="46" xfId="0" applyFont="1" applyFill="1" applyBorder="1" applyAlignment="1" applyProtection="1">
      <alignment vertical="center" wrapText="1"/>
      <protection locked="0"/>
    </xf>
    <xf numFmtId="0" fontId="0" fillId="5" borderId="24" xfId="0" applyFill="1" applyBorder="1" applyAlignment="1">
      <alignment horizontal="left" vertical="center" wrapText="1"/>
    </xf>
    <xf numFmtId="0" fontId="29" fillId="5" borderId="88" xfId="0" applyFont="1" applyFill="1" applyBorder="1" applyAlignment="1">
      <alignment horizontal="left" vertical="center" wrapText="1"/>
    </xf>
    <xf numFmtId="0" fontId="0" fillId="0" borderId="2" xfId="0" applyBorder="1" applyProtection="1">
      <protection hidden="1"/>
    </xf>
    <xf numFmtId="0" fontId="23" fillId="4" borderId="74" xfId="0" applyFont="1" applyFill="1" applyBorder="1" applyAlignment="1" applyProtection="1">
      <alignment horizontal="center" vertical="center"/>
      <protection locked="0"/>
    </xf>
    <xf numFmtId="0" fontId="0" fillId="18" borderId="72" xfId="0" applyFill="1" applyBorder="1"/>
    <xf numFmtId="0" fontId="0" fillId="18" borderId="74" xfId="0" applyFill="1" applyBorder="1"/>
    <xf numFmtId="0" fontId="20" fillId="10" borderId="77" xfId="0" applyFont="1" applyFill="1" applyBorder="1"/>
    <xf numFmtId="0" fontId="48" fillId="4" borderId="0" xfId="0" applyFont="1" applyFill="1" applyAlignment="1">
      <alignment horizontal="left" vertical="top" wrapText="1"/>
    </xf>
    <xf numFmtId="0" fontId="47" fillId="0" borderId="0" xfId="0" applyFont="1"/>
    <xf numFmtId="0" fontId="48" fillId="0" borderId="0" xfId="0" applyFont="1"/>
    <xf numFmtId="0" fontId="51" fillId="0" borderId="119" xfId="0" applyFont="1" applyBorder="1" applyProtection="1">
      <protection locked="0"/>
    </xf>
    <xf numFmtId="0" fontId="51" fillId="0" borderId="123" xfId="0" applyFont="1" applyBorder="1" applyProtection="1">
      <protection locked="0"/>
    </xf>
    <xf numFmtId="49" fontId="51" fillId="0" borderId="123" xfId="0" applyNumberFormat="1" applyFont="1" applyBorder="1" applyProtection="1">
      <protection locked="0"/>
    </xf>
    <xf numFmtId="0" fontId="51" fillId="0" borderId="120" xfId="0" applyFont="1" applyBorder="1" applyAlignment="1" applyProtection="1">
      <alignment horizontal="left" vertical="center"/>
      <protection locked="0"/>
    </xf>
    <xf numFmtId="0" fontId="51" fillId="0" borderId="121" xfId="0" applyFont="1" applyBorder="1" applyAlignment="1" applyProtection="1">
      <alignment horizontal="left" vertical="center"/>
      <protection locked="0"/>
    </xf>
    <xf numFmtId="0" fontId="51" fillId="0" borderId="122" xfId="0" applyFont="1" applyBorder="1" applyAlignment="1" applyProtection="1">
      <alignment horizontal="left" vertical="center"/>
      <protection locked="0"/>
    </xf>
    <xf numFmtId="0" fontId="48" fillId="19" borderId="63" xfId="0" applyFont="1" applyFill="1" applyBorder="1" applyAlignment="1">
      <alignment horizontal="center" vertical="top" wrapText="1"/>
    </xf>
    <xf numFmtId="0" fontId="48" fillId="19" borderId="64" xfId="0" applyFont="1" applyFill="1" applyBorder="1" applyAlignment="1">
      <alignment horizontal="left" vertical="top" wrapText="1"/>
    </xf>
    <xf numFmtId="0" fontId="48" fillId="19" borderId="65" xfId="0" applyFont="1" applyFill="1" applyBorder="1" applyAlignment="1">
      <alignment horizontal="center" vertical="top" wrapText="1"/>
    </xf>
    <xf numFmtId="0" fontId="0" fillId="8" borderId="108" xfId="0" applyFill="1" applyBorder="1"/>
    <xf numFmtId="0" fontId="0" fillId="8" borderId="72" xfId="0" applyFill="1" applyBorder="1"/>
    <xf numFmtId="0" fontId="16" fillId="3" borderId="0" xfId="0" applyFont="1" applyFill="1" applyAlignment="1" applyProtection="1">
      <alignment vertical="top"/>
      <protection hidden="1"/>
    </xf>
    <xf numFmtId="0" fontId="0" fillId="0" borderId="0" xfId="0" applyAlignment="1">
      <alignment horizontal="center" vertical="center"/>
    </xf>
    <xf numFmtId="0" fontId="0" fillId="18" borderId="5" xfId="0" applyFill="1" applyBorder="1"/>
    <xf numFmtId="0" fontId="53" fillId="2" borderId="1" xfId="0" applyFont="1" applyFill="1" applyBorder="1" applyAlignment="1" applyProtection="1">
      <alignment horizontal="left"/>
      <protection hidden="1"/>
    </xf>
    <xf numFmtId="0" fontId="1" fillId="5" borderId="2" xfId="0" applyFont="1" applyFill="1" applyBorder="1" applyAlignment="1" applyProtection="1">
      <alignment horizontal="left" vertical="center"/>
      <protection hidden="1"/>
    </xf>
    <xf numFmtId="0" fontId="32" fillId="4" borderId="4" xfId="0" applyFont="1" applyFill="1" applyBorder="1" applyAlignment="1" applyProtection="1">
      <alignment horizontal="left" vertical="center"/>
      <protection hidden="1"/>
    </xf>
    <xf numFmtId="0" fontId="32" fillId="4" borderId="6" xfId="0" applyFont="1" applyFill="1" applyBorder="1" applyAlignment="1" applyProtection="1">
      <alignment horizontal="left" vertical="center"/>
      <protection hidden="1"/>
    </xf>
    <xf numFmtId="0" fontId="32" fillId="4" borderId="7" xfId="0" applyFont="1" applyFill="1" applyBorder="1" applyAlignment="1" applyProtection="1">
      <alignment horizontal="left" vertical="center"/>
      <protection hidden="1"/>
    </xf>
    <xf numFmtId="0" fontId="1" fillId="5" borderId="4" xfId="0" applyFont="1" applyFill="1" applyBorder="1" applyAlignment="1" applyProtection="1">
      <alignment horizontal="left" vertical="center"/>
      <protection hidden="1"/>
    </xf>
    <xf numFmtId="0" fontId="1" fillId="5" borderId="7" xfId="0" applyFont="1" applyFill="1" applyBorder="1" applyAlignment="1" applyProtection="1">
      <alignment horizontal="left" vertical="center"/>
      <protection hidden="1"/>
    </xf>
    <xf numFmtId="164" fontId="9" fillId="5" borderId="4" xfId="2" applyNumberFormat="1" applyFont="1" applyFill="1" applyBorder="1" applyAlignment="1" applyProtection="1">
      <alignment horizontal="left" vertical="center"/>
      <protection hidden="1"/>
    </xf>
    <xf numFmtId="10" fontId="9" fillId="5" borderId="7" xfId="2" applyNumberFormat="1" applyFont="1" applyFill="1" applyBorder="1" applyAlignment="1" applyProtection="1">
      <alignment horizontal="left" vertical="center"/>
      <protection hidden="1"/>
    </xf>
    <xf numFmtId="0" fontId="1" fillId="5" borderId="7" xfId="0" applyFont="1" applyFill="1" applyBorder="1" applyAlignment="1" applyProtection="1">
      <alignment vertical="center"/>
      <protection hidden="1"/>
    </xf>
    <xf numFmtId="0" fontId="0" fillId="4" borderId="6" xfId="0" applyFill="1" applyBorder="1" applyAlignment="1" applyProtection="1">
      <alignment horizontal="center"/>
      <protection hidden="1"/>
    </xf>
    <xf numFmtId="0" fontId="23" fillId="5" borderId="94" xfId="0" applyFont="1" applyFill="1" applyBorder="1" applyAlignment="1" applyProtection="1">
      <alignment horizontal="left" vertical="center" wrapText="1"/>
      <protection locked="0"/>
    </xf>
    <xf numFmtId="0" fontId="34" fillId="5" borderId="129" xfId="0" applyFont="1" applyFill="1" applyBorder="1" applyAlignment="1" applyProtection="1">
      <alignment horizontal="center" vertical="center" wrapText="1"/>
      <protection locked="0"/>
    </xf>
    <xf numFmtId="0" fontId="16" fillId="4" borderId="0" xfId="0" applyFont="1" applyFill="1" applyAlignment="1" applyProtection="1">
      <alignment vertical="top"/>
      <protection hidden="1"/>
    </xf>
    <xf numFmtId="0" fontId="53" fillId="2" borderId="1" xfId="0" applyFont="1" applyFill="1" applyBorder="1" applyAlignment="1" applyProtection="1">
      <alignment horizontal="center"/>
      <protection hidden="1"/>
    </xf>
    <xf numFmtId="0" fontId="41" fillId="2" borderId="1" xfId="0" applyFont="1" applyFill="1" applyBorder="1" applyAlignment="1" applyProtection="1">
      <alignment horizontal="center"/>
      <protection hidden="1"/>
    </xf>
    <xf numFmtId="0" fontId="46" fillId="2" borderId="1" xfId="0" applyFont="1" applyFill="1" applyBorder="1" applyAlignment="1" applyProtection="1">
      <alignment horizontal="center"/>
      <protection hidden="1"/>
    </xf>
    <xf numFmtId="0" fontId="41" fillId="2" borderId="5" xfId="0" applyFont="1" applyFill="1" applyBorder="1" applyAlignment="1" applyProtection="1">
      <alignment horizontal="center"/>
      <protection hidden="1"/>
    </xf>
    <xf numFmtId="0" fontId="53" fillId="2" borderId="14" xfId="0" applyFont="1" applyFill="1" applyBorder="1" applyAlignment="1" applyProtection="1">
      <alignment horizontal="center"/>
      <protection hidden="1"/>
    </xf>
    <xf numFmtId="0" fontId="0" fillId="2" borderId="12" xfId="0" applyFill="1" applyBorder="1" applyProtection="1">
      <protection hidden="1"/>
    </xf>
    <xf numFmtId="0" fontId="0" fillId="4" borderId="15" xfId="0" applyFill="1" applyBorder="1" applyProtection="1">
      <protection hidden="1"/>
    </xf>
    <xf numFmtId="0" fontId="35" fillId="2" borderId="0" xfId="0" applyFont="1" applyFill="1" applyProtection="1">
      <protection hidden="1"/>
    </xf>
    <xf numFmtId="0" fontId="54" fillId="2" borderId="0" xfId="0" applyFont="1" applyFill="1" applyAlignment="1" applyProtection="1">
      <alignment horizontal="left"/>
      <protection hidden="1"/>
    </xf>
    <xf numFmtId="0" fontId="3" fillId="4" borderId="0" xfId="0" applyFont="1" applyFill="1" applyProtection="1">
      <protection hidden="1"/>
    </xf>
    <xf numFmtId="0" fontId="20" fillId="5" borderId="14" xfId="0" applyFont="1" applyFill="1" applyBorder="1" applyAlignment="1" applyProtection="1">
      <alignment horizontal="left" vertical="center"/>
      <protection hidden="1"/>
    </xf>
    <xf numFmtId="0" fontId="0" fillId="2" borderId="0" xfId="0" applyFill="1" applyAlignment="1" applyProtection="1">
      <alignment horizontal="left" vertical="top"/>
      <protection hidden="1"/>
    </xf>
    <xf numFmtId="0" fontId="20" fillId="4" borderId="0" xfId="0" applyFont="1" applyFill="1" applyProtection="1">
      <protection hidden="1"/>
    </xf>
    <xf numFmtId="0" fontId="11" fillId="2" borderId="0" xfId="0" applyFont="1" applyFill="1" applyAlignment="1" applyProtection="1">
      <alignment horizontal="center"/>
      <protection hidden="1"/>
    </xf>
    <xf numFmtId="0" fontId="13" fillId="2" borderId="0" xfId="0" applyFont="1" applyFill="1" applyAlignment="1" applyProtection="1">
      <alignment vertical="center" wrapText="1"/>
      <protection hidden="1"/>
    </xf>
    <xf numFmtId="0" fontId="55" fillId="2" borderId="0" xfId="0" applyFont="1" applyFill="1" applyProtection="1">
      <protection hidden="1"/>
    </xf>
    <xf numFmtId="0" fontId="55" fillId="4" borderId="0" xfId="0" applyFont="1" applyFill="1"/>
    <xf numFmtId="0" fontId="56" fillId="3" borderId="6" xfId="0" applyFont="1" applyFill="1" applyBorder="1" applyProtection="1">
      <protection hidden="1"/>
    </xf>
    <xf numFmtId="0" fontId="55" fillId="5" borderId="6" xfId="0" applyFont="1" applyFill="1" applyBorder="1" applyProtection="1">
      <protection hidden="1"/>
    </xf>
    <xf numFmtId="0" fontId="55" fillId="5" borderId="7" xfId="0" applyFont="1" applyFill="1" applyBorder="1" applyProtection="1">
      <protection hidden="1"/>
    </xf>
    <xf numFmtId="0" fontId="55" fillId="5" borderId="4" xfId="0" applyFont="1" applyFill="1" applyBorder="1" applyAlignment="1" applyProtection="1">
      <alignment horizontal="right"/>
      <protection hidden="1"/>
    </xf>
    <xf numFmtId="0" fontId="55" fillId="5" borderId="6" xfId="0" applyFont="1" applyFill="1" applyBorder="1" applyAlignment="1" applyProtection="1">
      <alignment horizontal="right"/>
      <protection hidden="1"/>
    </xf>
    <xf numFmtId="14" fontId="55" fillId="5" borderId="7" xfId="0" applyNumberFormat="1" applyFont="1" applyFill="1" applyBorder="1" applyAlignment="1" applyProtection="1">
      <alignment horizontal="left"/>
      <protection hidden="1"/>
    </xf>
    <xf numFmtId="0" fontId="56" fillId="4" borderId="0" xfId="0" applyFont="1" applyFill="1" applyProtection="1">
      <protection hidden="1"/>
    </xf>
    <xf numFmtId="0" fontId="55" fillId="4" borderId="0" xfId="0" applyFont="1" applyFill="1" applyProtection="1">
      <protection hidden="1"/>
    </xf>
    <xf numFmtId="0" fontId="55" fillId="2" borderId="11" xfId="0" applyFont="1" applyFill="1" applyBorder="1" applyProtection="1">
      <protection hidden="1"/>
    </xf>
    <xf numFmtId="0" fontId="55" fillId="2" borderId="53" xfId="0" applyFont="1" applyFill="1" applyBorder="1" applyProtection="1">
      <protection hidden="1"/>
    </xf>
    <xf numFmtId="0" fontId="55" fillId="4" borderId="54" xfId="0" applyFont="1" applyFill="1" applyBorder="1"/>
    <xf numFmtId="0" fontId="55" fillId="4" borderId="55" xfId="0" applyFont="1" applyFill="1" applyBorder="1"/>
    <xf numFmtId="0" fontId="55" fillId="2" borderId="56" xfId="0" applyFont="1" applyFill="1" applyBorder="1" applyProtection="1">
      <protection hidden="1"/>
    </xf>
    <xf numFmtId="9" fontId="55" fillId="4" borderId="2" xfId="0" applyNumberFormat="1" applyFont="1" applyFill="1" applyBorder="1"/>
    <xf numFmtId="9" fontId="55" fillId="4" borderId="57" xfId="0" applyNumberFormat="1" applyFont="1" applyFill="1" applyBorder="1"/>
    <xf numFmtId="0" fontId="55" fillId="2" borderId="58" xfId="0" applyFont="1" applyFill="1" applyBorder="1" applyProtection="1">
      <protection hidden="1"/>
    </xf>
    <xf numFmtId="9" fontId="55" fillId="4" borderId="59" xfId="0" applyNumberFormat="1" applyFont="1" applyFill="1" applyBorder="1"/>
    <xf numFmtId="9" fontId="55" fillId="4" borderId="60" xfId="0" applyNumberFormat="1" applyFont="1" applyFill="1" applyBorder="1"/>
    <xf numFmtId="0" fontId="60" fillId="2" borderId="15" xfId="0" applyFont="1" applyFill="1" applyBorder="1" applyAlignment="1" applyProtection="1">
      <alignment horizontal="center" wrapText="1"/>
      <protection hidden="1"/>
    </xf>
    <xf numFmtId="0" fontId="61" fillId="2" borderId="14" xfId="0" applyFont="1" applyFill="1" applyBorder="1" applyAlignment="1" applyProtection="1">
      <alignment horizontal="left"/>
      <protection hidden="1"/>
    </xf>
    <xf numFmtId="0" fontId="57" fillId="2" borderId="1" xfId="0" applyFont="1" applyFill="1" applyBorder="1" applyAlignment="1" applyProtection="1">
      <alignment horizontal="center" wrapText="1"/>
      <protection hidden="1"/>
    </xf>
    <xf numFmtId="0" fontId="57" fillId="2" borderId="13" xfId="0" applyFont="1" applyFill="1" applyBorder="1" applyAlignment="1" applyProtection="1">
      <alignment horizontal="center" wrapText="1"/>
      <protection hidden="1"/>
    </xf>
    <xf numFmtId="0" fontId="57" fillId="2" borderId="14" xfId="0" applyFont="1" applyFill="1" applyBorder="1" applyAlignment="1" applyProtection="1">
      <alignment horizontal="center" wrapText="1"/>
      <protection hidden="1"/>
    </xf>
    <xf numFmtId="0" fontId="60" fillId="2" borderId="5" xfId="0" applyFont="1" applyFill="1" applyBorder="1" applyAlignment="1" applyProtection="1">
      <alignment horizontal="center" wrapText="1"/>
      <protection hidden="1"/>
    </xf>
    <xf numFmtId="0" fontId="57" fillId="2" borderId="5" xfId="0" applyFont="1" applyFill="1" applyBorder="1" applyAlignment="1" applyProtection="1">
      <alignment horizontal="center" vertical="top" wrapText="1"/>
      <protection hidden="1"/>
    </xf>
    <xf numFmtId="0" fontId="55" fillId="4" borderId="108" xfId="0" applyFont="1" applyFill="1" applyBorder="1"/>
    <xf numFmtId="0" fontId="55" fillId="4" borderId="77" xfId="0" applyFont="1" applyFill="1" applyBorder="1"/>
    <xf numFmtId="0" fontId="55" fillId="4" borderId="109" xfId="0" applyFont="1" applyFill="1" applyBorder="1"/>
    <xf numFmtId="0" fontId="55" fillId="4" borderId="56" xfId="0" applyFont="1" applyFill="1" applyBorder="1"/>
    <xf numFmtId="0" fontId="55" fillId="4" borderId="2" xfId="0" applyFont="1" applyFill="1" applyBorder="1"/>
    <xf numFmtId="0" fontId="55" fillId="4" borderId="57" xfId="0" applyFont="1" applyFill="1" applyBorder="1"/>
    <xf numFmtId="0" fontId="62" fillId="4" borderId="0" xfId="0" applyFont="1" applyFill="1"/>
    <xf numFmtId="0" fontId="56" fillId="3" borderId="24" xfId="0" applyFont="1" applyFill="1" applyBorder="1" applyAlignment="1" applyProtection="1">
      <alignment horizontal="left" vertical="center"/>
      <protection hidden="1"/>
    </xf>
    <xf numFmtId="0" fontId="63" fillId="2" borderId="0" xfId="0" applyFont="1" applyFill="1" applyAlignment="1" applyProtection="1">
      <alignment horizontal="left" vertical="top" wrapText="1"/>
      <protection hidden="1"/>
    </xf>
    <xf numFmtId="0" fontId="64" fillId="4" borderId="0" xfId="0" applyFont="1" applyFill="1" applyProtection="1">
      <protection hidden="1"/>
    </xf>
    <xf numFmtId="0" fontId="65" fillId="4" borderId="0" xfId="0" applyFont="1" applyFill="1" applyProtection="1">
      <protection hidden="1"/>
    </xf>
    <xf numFmtId="0" fontId="55" fillId="2" borderId="1" xfId="0" applyFont="1" applyFill="1" applyBorder="1" applyProtection="1">
      <protection hidden="1"/>
    </xf>
    <xf numFmtId="0" fontId="66" fillId="4" borderId="0" xfId="0" applyFont="1" applyFill="1" applyProtection="1">
      <protection hidden="1"/>
    </xf>
    <xf numFmtId="0" fontId="67" fillId="3" borderId="1" xfId="0" applyFont="1" applyFill="1" applyBorder="1" applyAlignment="1" applyProtection="1">
      <alignment vertical="top"/>
      <protection hidden="1"/>
    </xf>
    <xf numFmtId="0" fontId="67" fillId="3" borderId="41" xfId="0" applyFont="1" applyFill="1" applyBorder="1" applyAlignment="1" applyProtection="1">
      <alignment horizontal="left" vertical="top"/>
      <protection hidden="1"/>
    </xf>
    <xf numFmtId="0" fontId="28" fillId="3" borderId="0" xfId="0" applyFont="1" applyFill="1" applyAlignment="1" applyProtection="1">
      <alignment vertical="top"/>
      <protection hidden="1"/>
    </xf>
    <xf numFmtId="0" fontId="28" fillId="3" borderId="0" xfId="0" applyFont="1" applyFill="1" applyAlignment="1" applyProtection="1">
      <alignment vertical="top" wrapText="1"/>
      <protection hidden="1"/>
    </xf>
    <xf numFmtId="0" fontId="13" fillId="4" borderId="0" xfId="0" applyFont="1" applyFill="1" applyAlignment="1" applyProtection="1">
      <alignment vertical="center" wrapText="1"/>
      <protection hidden="1"/>
    </xf>
    <xf numFmtId="0" fontId="43" fillId="2" borderId="0" xfId="0" applyFont="1" applyFill="1" applyAlignment="1" applyProtection="1">
      <alignment horizontal="right"/>
      <protection hidden="1"/>
    </xf>
    <xf numFmtId="0" fontId="22" fillId="4" borderId="1" xfId="0" applyFont="1" applyFill="1" applyBorder="1" applyAlignment="1" applyProtection="1">
      <alignment horizontal="left"/>
      <protection hidden="1"/>
    </xf>
    <xf numFmtId="0" fontId="7" fillId="3" borderId="132"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7" fillId="3" borderId="100" xfId="0" applyFont="1" applyFill="1" applyBorder="1" applyAlignment="1" applyProtection="1">
      <alignment horizontal="right" vertical="center"/>
      <protection hidden="1"/>
    </xf>
    <xf numFmtId="0" fontId="7" fillId="3" borderId="130" xfId="0" applyFont="1" applyFill="1" applyBorder="1" applyAlignment="1" applyProtection="1">
      <alignment horizontal="right" vertical="center"/>
      <protection hidden="1"/>
    </xf>
    <xf numFmtId="0" fontId="7" fillId="3" borderId="101" xfId="0" applyFont="1" applyFill="1" applyBorder="1" applyAlignment="1" applyProtection="1">
      <alignment horizontal="right" vertical="center"/>
      <protection hidden="1"/>
    </xf>
    <xf numFmtId="0" fontId="1" fillId="0" borderId="2" xfId="0" applyFont="1" applyBorder="1" applyAlignment="1" applyProtection="1">
      <alignment vertical="center" wrapText="1"/>
      <protection locked="0" hidden="1"/>
    </xf>
    <xf numFmtId="0" fontId="9" fillId="0" borderId="2" xfId="0" applyFont="1" applyBorder="1" applyAlignment="1" applyProtection="1">
      <alignment vertical="center" wrapText="1"/>
      <protection locked="0" hidden="1"/>
    </xf>
    <xf numFmtId="0" fontId="7" fillId="3" borderId="131" xfId="0" applyFont="1" applyFill="1" applyBorder="1" applyAlignment="1" applyProtection="1">
      <alignment horizontal="right" vertical="center"/>
      <protection hidden="1"/>
    </xf>
    <xf numFmtId="0" fontId="7" fillId="3" borderId="114" xfId="0" applyFont="1" applyFill="1" applyBorder="1" applyAlignment="1" applyProtection="1">
      <alignment horizontal="right" vertical="center"/>
      <protection hidden="1"/>
    </xf>
    <xf numFmtId="0" fontId="7" fillId="3" borderId="9" xfId="0" applyFont="1" applyFill="1" applyBorder="1" applyAlignment="1" applyProtection="1">
      <alignment horizontal="right" vertical="center"/>
      <protection hidden="1"/>
    </xf>
    <xf numFmtId="0" fontId="7" fillId="3" borderId="133" xfId="0" applyFont="1" applyFill="1" applyBorder="1" applyAlignment="1" applyProtection="1">
      <alignment horizontal="right" vertical="top"/>
      <protection hidden="1"/>
    </xf>
    <xf numFmtId="0" fontId="8" fillId="3" borderId="15" xfId="0" applyFont="1" applyFill="1" applyBorder="1" applyAlignment="1" applyProtection="1">
      <alignment horizontal="right" vertical="top"/>
      <protection hidden="1"/>
    </xf>
    <xf numFmtId="0" fontId="1" fillId="0" borderId="15" xfId="0" applyFont="1" applyBorder="1" applyAlignment="1" applyProtection="1">
      <alignment vertical="center" wrapText="1"/>
      <protection locked="0" hidden="1"/>
    </xf>
    <xf numFmtId="0" fontId="0" fillId="0" borderId="0" xfId="0" applyProtection="1">
      <protection locked="0" hidden="1"/>
    </xf>
    <xf numFmtId="0" fontId="8" fillId="3" borderId="15" xfId="0" applyFont="1" applyFill="1" applyBorder="1" applyAlignment="1" applyProtection="1">
      <alignment horizontal="left" vertical="center" wrapText="1"/>
      <protection hidden="1"/>
    </xf>
    <xf numFmtId="0" fontId="7" fillId="3" borderId="134" xfId="0" applyFont="1" applyFill="1" applyBorder="1" applyAlignment="1" applyProtection="1">
      <alignment horizontal="right" vertical="top"/>
      <protection hidden="1"/>
    </xf>
    <xf numFmtId="0" fontId="7" fillId="3" borderId="132" xfId="0" applyFont="1" applyFill="1" applyBorder="1" applyAlignment="1" applyProtection="1">
      <alignment horizontal="right" vertical="top"/>
      <protection hidden="1"/>
    </xf>
    <xf numFmtId="0" fontId="7" fillId="3" borderId="130" xfId="0" applyFont="1" applyFill="1" applyBorder="1" applyAlignment="1" applyProtection="1">
      <alignment horizontal="right" vertical="top"/>
      <protection hidden="1"/>
    </xf>
    <xf numFmtId="0" fontId="7" fillId="3" borderId="101" xfId="0" applyFont="1" applyFill="1" applyBorder="1" applyAlignment="1" applyProtection="1">
      <alignment horizontal="right" vertical="center" wrapText="1"/>
      <protection hidden="1"/>
    </xf>
    <xf numFmtId="0" fontId="7" fillId="3" borderId="100" xfId="0" applyFont="1" applyFill="1" applyBorder="1" applyAlignment="1" applyProtection="1">
      <alignment horizontal="right" wrapText="1"/>
      <protection hidden="1"/>
    </xf>
    <xf numFmtId="0" fontId="1" fillId="0" borderId="2" xfId="0" applyFont="1" applyBorder="1" applyAlignment="1" applyProtection="1">
      <alignment vertical="center" wrapText="1"/>
      <protection hidden="1"/>
    </xf>
    <xf numFmtId="0" fontId="7" fillId="3" borderId="131" xfId="0" applyFont="1" applyFill="1" applyBorder="1" applyAlignment="1" applyProtection="1">
      <alignment horizontal="right" vertical="top" wrapText="1"/>
      <protection hidden="1"/>
    </xf>
    <xf numFmtId="0" fontId="22" fillId="4" borderId="0" xfId="0" applyFont="1" applyFill="1" applyAlignment="1" applyProtection="1">
      <alignment horizontal="left"/>
      <protection hidden="1"/>
    </xf>
    <xf numFmtId="0" fontId="43" fillId="2" borderId="1" xfId="0" applyFont="1" applyFill="1" applyBorder="1" applyAlignment="1" applyProtection="1">
      <alignment horizontal="right"/>
      <protection hidden="1"/>
    </xf>
    <xf numFmtId="0" fontId="32" fillId="4" borderId="0" xfId="0" applyFont="1" applyFill="1" applyAlignment="1" applyProtection="1">
      <alignment horizontal="left" vertical="top" wrapText="1"/>
      <protection hidden="1"/>
    </xf>
    <xf numFmtId="0" fontId="0" fillId="0" borderId="0" xfId="0" applyAlignment="1" applyProtection="1">
      <alignment horizontal="right"/>
      <protection hidden="1"/>
    </xf>
    <xf numFmtId="0" fontId="9" fillId="2" borderId="0" xfId="0" applyFont="1" applyFill="1" applyProtection="1">
      <protection locked="0" hidden="1"/>
    </xf>
    <xf numFmtId="0" fontId="30" fillId="2" borderId="0" xfId="0" applyFont="1" applyFill="1" applyProtection="1">
      <protection locked="0" hidden="1"/>
    </xf>
    <xf numFmtId="0" fontId="9" fillId="2" borderId="0" xfId="0" applyFont="1" applyFill="1" applyAlignment="1" applyProtection="1">
      <alignment vertical="top" wrapText="1"/>
      <protection locked="0" hidden="1"/>
    </xf>
    <xf numFmtId="0" fontId="0" fillId="8" borderId="53" xfId="0" applyFill="1" applyBorder="1" applyProtection="1">
      <protection hidden="1"/>
    </xf>
    <xf numFmtId="0" fontId="0" fillId="7" borderId="56" xfId="0" applyFill="1" applyBorder="1" applyProtection="1">
      <protection hidden="1"/>
    </xf>
    <xf numFmtId="0" fontId="12" fillId="2" borderId="0" xfId="0" applyFont="1" applyFill="1" applyAlignment="1" applyProtection="1">
      <alignment vertical="top" wrapText="1"/>
      <protection hidden="1"/>
    </xf>
    <xf numFmtId="0" fontId="0" fillId="9" borderId="56" xfId="0" applyFill="1" applyBorder="1" applyProtection="1">
      <protection hidden="1"/>
    </xf>
    <xf numFmtId="0" fontId="44" fillId="2" borderId="1" xfId="0" applyFont="1" applyFill="1" applyBorder="1" applyAlignment="1" applyProtection="1">
      <alignment horizontal="right" vertical="top" wrapText="1"/>
      <protection hidden="1"/>
    </xf>
    <xf numFmtId="0" fontId="32" fillId="2" borderId="0" xfId="0" applyFont="1" applyFill="1" applyProtection="1">
      <protection hidden="1"/>
    </xf>
    <xf numFmtId="0" fontId="42" fillId="2" borderId="0" xfId="0" applyFont="1" applyFill="1" applyProtection="1">
      <protection hidden="1"/>
    </xf>
    <xf numFmtId="0" fontId="24" fillId="2" borderId="0" xfId="0" applyFont="1" applyFill="1" applyProtection="1">
      <protection hidden="1"/>
    </xf>
    <xf numFmtId="0" fontId="40" fillId="2" borderId="0" xfId="0" applyFont="1" applyFill="1" applyProtection="1">
      <protection hidden="1"/>
    </xf>
    <xf numFmtId="0" fontId="9" fillId="2" borderId="0" xfId="0" applyFont="1" applyFill="1" applyAlignment="1" applyProtection="1">
      <alignment horizontal="right" vertical="center"/>
      <protection hidden="1"/>
    </xf>
    <xf numFmtId="2" fontId="9" fillId="2" borderId="0" xfId="0" applyNumberFormat="1" applyFont="1" applyFill="1" applyAlignment="1" applyProtection="1">
      <alignment horizontal="left" vertical="top"/>
      <protection hidden="1"/>
    </xf>
    <xf numFmtId="14" fontId="9" fillId="2" borderId="0" xfId="0" applyNumberFormat="1" applyFont="1" applyFill="1" applyAlignment="1" applyProtection="1">
      <alignment horizontal="left"/>
      <protection hidden="1"/>
    </xf>
    <xf numFmtId="0" fontId="9" fillId="4" borderId="0" xfId="0" applyFont="1" applyFill="1" applyAlignment="1" applyProtection="1">
      <alignment vertical="center" wrapText="1"/>
      <protection hidden="1"/>
    </xf>
    <xf numFmtId="0" fontId="29" fillId="2" borderId="125" xfId="0" applyFont="1" applyFill="1" applyBorder="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54" fillId="5" borderId="124" xfId="0" applyFont="1" applyFill="1" applyBorder="1" applyAlignment="1" applyProtection="1">
      <alignment vertical="center" wrapText="1"/>
      <protection hidden="1"/>
    </xf>
    <xf numFmtId="0" fontId="20" fillId="5" borderId="0" xfId="0" applyFont="1" applyFill="1" applyAlignment="1" applyProtection="1">
      <alignment vertical="center" wrapText="1"/>
      <protection hidden="1"/>
    </xf>
    <xf numFmtId="0" fontId="20" fillId="5" borderId="0" xfId="0" applyFont="1" applyFill="1" applyAlignment="1" applyProtection="1">
      <alignment horizontal="left" vertical="center" wrapText="1"/>
      <protection hidden="1"/>
    </xf>
    <xf numFmtId="0" fontId="20" fillId="4" borderId="3" xfId="0" applyFont="1"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23" fillId="4" borderId="2" xfId="0" applyFont="1" applyFill="1" applyBorder="1" applyAlignment="1" applyProtection="1">
      <alignment horizontal="center" vertical="center" wrapText="1"/>
      <protection hidden="1"/>
    </xf>
    <xf numFmtId="164" fontId="23" fillId="4" borderId="2" xfId="0" applyNumberFormat="1" applyFont="1" applyFill="1" applyBorder="1" applyAlignment="1" applyProtection="1">
      <alignment horizontal="center" vertical="center" wrapText="1"/>
      <protection hidden="1"/>
    </xf>
    <xf numFmtId="0" fontId="0" fillId="4" borderId="2" xfId="0" applyFill="1" applyBorder="1" applyAlignment="1" applyProtection="1">
      <alignment vertical="center" wrapText="1"/>
      <protection hidden="1"/>
    </xf>
    <xf numFmtId="0" fontId="23" fillId="4" borderId="2" xfId="0" applyFont="1" applyFill="1" applyBorder="1" applyAlignment="1" applyProtection="1">
      <alignment horizontal="left" vertical="center" wrapText="1"/>
      <protection hidden="1"/>
    </xf>
    <xf numFmtId="0" fontId="23" fillId="4" borderId="4" xfId="0" applyFont="1" applyFill="1" applyBorder="1" applyAlignment="1" applyProtection="1">
      <alignment horizontal="left" vertical="center" wrapText="1"/>
      <protection hidden="1"/>
    </xf>
    <xf numFmtId="0" fontId="20" fillId="4" borderId="15" xfId="0" applyFont="1" applyFill="1" applyBorder="1" applyAlignment="1" applyProtection="1">
      <alignment vertical="center" wrapText="1"/>
      <protection hidden="1"/>
    </xf>
    <xf numFmtId="0" fontId="23" fillId="4" borderId="7" xfId="0" applyFont="1" applyFill="1" applyBorder="1" applyAlignment="1" applyProtection="1">
      <alignment horizontal="center" vertical="center" wrapText="1"/>
      <protection hidden="1"/>
    </xf>
    <xf numFmtId="0" fontId="0" fillId="4" borderId="15" xfId="0" applyFill="1" applyBorder="1" applyAlignment="1" applyProtection="1">
      <alignment vertical="center" wrapText="1"/>
      <protection hidden="1"/>
    </xf>
    <xf numFmtId="0" fontId="34" fillId="4" borderId="2" xfId="0" applyFont="1" applyFill="1" applyBorder="1" applyAlignment="1" applyProtection="1">
      <alignment horizontal="center" vertical="center" wrapText="1"/>
      <protection hidden="1"/>
    </xf>
    <xf numFmtId="164" fontId="34" fillId="4" borderId="2" xfId="0" applyNumberFormat="1" applyFont="1" applyFill="1" applyBorder="1" applyAlignment="1" applyProtection="1">
      <alignment horizontal="center" vertical="center" wrapText="1"/>
      <protection hidden="1"/>
    </xf>
    <xf numFmtId="0" fontId="34" fillId="4" borderId="7" xfId="0" applyFont="1" applyFill="1" applyBorder="1" applyAlignment="1" applyProtection="1">
      <alignment horizontal="center" vertical="center" wrapText="1"/>
      <protection hidden="1"/>
    </xf>
    <xf numFmtId="0" fontId="0" fillId="2" borderId="0" xfId="0" applyFill="1" applyAlignment="1" applyProtection="1">
      <alignment horizontal="left" vertical="center" wrapText="1"/>
      <protection hidden="1"/>
    </xf>
    <xf numFmtId="0" fontId="0" fillId="2" borderId="0" xfId="0" applyFill="1" applyAlignment="1" applyProtection="1">
      <alignment vertical="center" wrapText="1"/>
      <protection hidden="1"/>
    </xf>
    <xf numFmtId="0" fontId="54" fillId="5" borderId="128" xfId="0" applyFont="1" applyFill="1" applyBorder="1" applyAlignment="1" applyProtection="1">
      <alignment vertical="center" wrapText="1"/>
      <protection hidden="1"/>
    </xf>
    <xf numFmtId="0" fontId="18" fillId="3" borderId="106" xfId="0" applyFont="1" applyFill="1" applyBorder="1" applyAlignment="1" applyProtection="1">
      <alignment vertical="top"/>
      <protection hidden="1"/>
    </xf>
    <xf numFmtId="0" fontId="17" fillId="3" borderId="106" xfId="0" applyFont="1" applyFill="1" applyBorder="1" applyProtection="1">
      <protection hidden="1"/>
    </xf>
    <xf numFmtId="0" fontId="13" fillId="2" borderId="8" xfId="0" applyFont="1" applyFill="1" applyBorder="1" applyAlignment="1" applyProtection="1">
      <alignment horizontal="left" vertical="center"/>
      <protection hidden="1"/>
    </xf>
    <xf numFmtId="0" fontId="13" fillId="2" borderId="0" xfId="0" applyFont="1" applyFill="1" applyAlignment="1" applyProtection="1">
      <alignment horizontal="left" vertical="center" wrapText="1"/>
      <protection hidden="1"/>
    </xf>
    <xf numFmtId="0" fontId="7" fillId="3" borderId="2" xfId="0" applyFont="1" applyFill="1" applyBorder="1" applyAlignment="1" applyProtection="1">
      <alignment horizontal="center"/>
      <protection hidden="1"/>
    </xf>
    <xf numFmtId="14" fontId="1" fillId="2" borderId="2" xfId="0" applyNumberFormat="1" applyFont="1" applyFill="1" applyBorder="1" applyAlignment="1" applyProtection="1">
      <alignment horizontal="center" vertical="center"/>
      <protection hidden="1"/>
    </xf>
    <xf numFmtId="49" fontId="0" fillId="4" borderId="2" xfId="0" applyNumberFormat="1" applyFill="1" applyBorder="1" applyAlignment="1" applyProtection="1">
      <alignment horizontal="center" vertical="center"/>
      <protection hidden="1"/>
    </xf>
    <xf numFmtId="14" fontId="0" fillId="4" borderId="2" xfId="0" applyNumberForma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vertical="center" wrapText="1"/>
      <protection locked="0"/>
    </xf>
    <xf numFmtId="0" fontId="0" fillId="0" borderId="1" xfId="0" applyBorder="1"/>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horizontal="left" vertical="center" wrapText="1"/>
      <protection locked="0"/>
    </xf>
    <xf numFmtId="0" fontId="1" fillId="0" borderId="5" xfId="0" applyFont="1" applyBorder="1" applyAlignment="1" applyProtection="1">
      <alignment vertical="center" wrapText="1"/>
      <protection locked="0"/>
    </xf>
    <xf numFmtId="0" fontId="0" fillId="0" borderId="2" xfId="0" applyBorder="1" applyProtection="1">
      <protection locked="0"/>
    </xf>
    <xf numFmtId="0" fontId="0" fillId="2" borderId="2" xfId="0" applyFill="1" applyBorder="1" applyProtection="1">
      <protection locked="0"/>
    </xf>
    <xf numFmtId="0" fontId="0" fillId="4" borderId="1" xfId="0" applyFill="1" applyBorder="1"/>
    <xf numFmtId="0" fontId="0" fillId="2" borderId="0" xfId="0" applyFill="1" applyProtection="1">
      <protection locked="0"/>
    </xf>
    <xf numFmtId="0" fontId="69" fillId="0" borderId="0" xfId="0" applyFont="1"/>
    <xf numFmtId="0" fontId="16" fillId="3" borderId="0" xfId="0" applyFont="1" applyFill="1" applyAlignment="1" applyProtection="1">
      <alignment horizontal="right" vertical="top"/>
      <protection hidden="1"/>
    </xf>
    <xf numFmtId="0" fontId="67" fillId="3" borderId="1" xfId="0" applyFont="1" applyFill="1" applyBorder="1" applyAlignment="1" applyProtection="1">
      <alignment horizontal="right" vertical="top"/>
      <protection hidden="1"/>
    </xf>
    <xf numFmtId="0" fontId="18" fillId="3" borderId="79" xfId="0" applyFont="1" applyFill="1" applyBorder="1" applyAlignment="1" applyProtection="1">
      <alignment horizontal="right" vertical="top"/>
      <protection hidden="1"/>
    </xf>
    <xf numFmtId="0" fontId="70" fillId="3" borderId="0" xfId="0" applyFont="1" applyFill="1" applyAlignment="1">
      <alignment horizontal="right" vertical="top"/>
    </xf>
    <xf numFmtId="0" fontId="28" fillId="3" borderId="0" xfId="0" applyFont="1" applyFill="1" applyAlignment="1" applyProtection="1">
      <alignment horizontal="right" vertical="top" wrapText="1"/>
      <protection hidden="1"/>
    </xf>
    <xf numFmtId="0" fontId="16" fillId="3" borderId="1" xfId="0" applyFont="1" applyFill="1" applyBorder="1" applyAlignment="1">
      <alignment horizontal="right" vertical="top" wrapText="1"/>
    </xf>
    <xf numFmtId="0" fontId="41" fillId="2" borderId="1" xfId="0" applyFont="1" applyFill="1" applyBorder="1" applyAlignment="1">
      <alignment wrapText="1"/>
    </xf>
    <xf numFmtId="0" fontId="41" fillId="2" borderId="41" xfId="0" applyFont="1" applyFill="1" applyBorder="1" applyAlignment="1">
      <alignment wrapText="1"/>
    </xf>
    <xf numFmtId="0" fontId="23" fillId="4" borderId="50" xfId="0" applyFont="1" applyFill="1" applyBorder="1" applyAlignment="1" applyProtection="1">
      <alignment horizontal="left" vertical="center" wrapText="1"/>
      <protection locked="0"/>
    </xf>
    <xf numFmtId="0" fontId="23" fillId="5" borderId="136" xfId="0" applyFont="1" applyFill="1" applyBorder="1" applyAlignment="1" applyProtection="1">
      <alignment horizontal="left" vertical="center" wrapText="1"/>
      <protection locked="0"/>
    </xf>
    <xf numFmtId="0" fontId="23" fillId="4" borderId="48" xfId="0" applyFont="1" applyFill="1" applyBorder="1" applyAlignment="1" applyProtection="1">
      <alignment horizontal="left" vertical="center" wrapText="1"/>
      <protection locked="0"/>
    </xf>
    <xf numFmtId="0" fontId="55" fillId="0" borderId="5" xfId="0" applyFont="1" applyBorder="1"/>
    <xf numFmtId="0" fontId="20" fillId="10" borderId="2" xfId="0" applyFont="1" applyFill="1" applyBorder="1"/>
    <xf numFmtId="0" fontId="20" fillId="6" borderId="48" xfId="0" applyFont="1" applyFill="1" applyBorder="1" applyAlignment="1" applyProtection="1">
      <alignment horizontal="center" vertical="center"/>
      <protection locked="0"/>
    </xf>
    <xf numFmtId="0" fontId="0" fillId="12" borderId="2" xfId="0" applyFill="1" applyBorder="1" applyProtection="1">
      <protection hidden="1"/>
    </xf>
    <xf numFmtId="0" fontId="0" fillId="18" borderId="2" xfId="0" applyFill="1" applyBorder="1" applyProtection="1">
      <protection hidden="1"/>
    </xf>
    <xf numFmtId="0" fontId="3" fillId="12" borderId="2" xfId="0" applyFont="1" applyFill="1" applyBorder="1" applyProtection="1">
      <protection hidden="1"/>
    </xf>
    <xf numFmtId="0" fontId="0" fillId="18" borderId="0" xfId="0" applyFill="1"/>
    <xf numFmtId="0" fontId="0" fillId="12" borderId="0" xfId="0" applyFill="1"/>
    <xf numFmtId="0" fontId="0" fillId="2" borderId="5" xfId="0" applyFill="1" applyBorder="1" applyProtection="1">
      <protection hidden="1"/>
    </xf>
    <xf numFmtId="0" fontId="0" fillId="2" borderId="59" xfId="0" applyFill="1" applyBorder="1" applyProtection="1">
      <protection hidden="1"/>
    </xf>
    <xf numFmtId="0" fontId="39" fillId="0" borderId="2" xfId="0" applyFont="1" applyBorder="1"/>
    <xf numFmtId="0" fontId="71" fillId="10" borderId="64" xfId="0" applyFont="1" applyFill="1" applyBorder="1"/>
    <xf numFmtId="0" fontId="0" fillId="2" borderId="54" xfId="0" applyFill="1" applyBorder="1" applyProtection="1">
      <protection hidden="1"/>
    </xf>
    <xf numFmtId="0" fontId="0" fillId="2" borderId="3" xfId="0" applyFill="1" applyBorder="1" applyProtection="1">
      <protection hidden="1"/>
    </xf>
    <xf numFmtId="0" fontId="39" fillId="0" borderId="5" xfId="0" applyFont="1" applyBorder="1"/>
    <xf numFmtId="0" fontId="39" fillId="0" borderId="3" xfId="0" applyFont="1" applyBorder="1"/>
    <xf numFmtId="0" fontId="39" fillId="0" borderId="54" xfId="0" applyFont="1" applyBorder="1"/>
    <xf numFmtId="0" fontId="0" fillId="0" borderId="80" xfId="0" applyBorder="1"/>
    <xf numFmtId="0" fontId="0" fillId="2" borderId="81" xfId="0" applyFill="1" applyBorder="1" applyProtection="1">
      <protection hidden="1"/>
    </xf>
    <xf numFmtId="0" fontId="29" fillId="9" borderId="54" xfId="0" applyFont="1" applyFill="1" applyBorder="1"/>
    <xf numFmtId="0" fontId="21" fillId="0" borderId="0" xfId="0" applyFont="1"/>
    <xf numFmtId="0" fontId="72" fillId="3" borderId="0" xfId="0" applyFont="1" applyFill="1" applyAlignment="1" applyProtection="1">
      <alignment horizontal="center"/>
      <protection hidden="1"/>
    </xf>
    <xf numFmtId="0" fontId="72" fillId="3" borderId="0" xfId="0" applyFont="1" applyFill="1" applyAlignment="1" applyProtection="1">
      <alignment horizontal="left"/>
      <protection hidden="1"/>
    </xf>
    <xf numFmtId="0" fontId="0" fillId="12" borderId="7" xfId="0" applyFill="1" applyBorder="1" applyProtection="1">
      <protection hidden="1"/>
    </xf>
    <xf numFmtId="0" fontId="0" fillId="2" borderId="7" xfId="0" applyFill="1" applyBorder="1" applyProtection="1">
      <protection hidden="1"/>
    </xf>
    <xf numFmtId="0" fontId="0" fillId="20" borderId="5" xfId="0" applyFill="1" applyBorder="1"/>
    <xf numFmtId="0" fontId="0" fillId="20" borderId="0" xfId="0" applyFill="1"/>
    <xf numFmtId="0" fontId="0" fillId="8" borderId="5" xfId="0" applyFill="1" applyBorder="1"/>
    <xf numFmtId="0" fontId="41" fillId="2" borderId="1" xfId="0" applyFont="1" applyFill="1" applyBorder="1" applyAlignment="1">
      <alignment horizontal="center" wrapText="1"/>
    </xf>
    <xf numFmtId="0" fontId="20" fillId="10" borderId="21" xfId="0" applyFont="1" applyFill="1" applyBorder="1"/>
    <xf numFmtId="0" fontId="20" fillId="10" borderId="68" xfId="0" applyFont="1" applyFill="1" applyBorder="1"/>
    <xf numFmtId="0" fontId="0" fillId="21" borderId="0" xfId="0" applyFill="1"/>
    <xf numFmtId="0" fontId="20" fillId="10" borderId="2" xfId="0" applyFont="1" applyFill="1" applyBorder="1" applyAlignment="1">
      <alignment wrapText="1"/>
    </xf>
    <xf numFmtId="0" fontId="49" fillId="4" borderId="50" xfId="0" applyFont="1" applyFill="1" applyBorder="1" applyAlignment="1" applyProtection="1">
      <alignment horizontal="left" vertical="center" wrapText="1"/>
      <protection locked="0"/>
    </xf>
    <xf numFmtId="0" fontId="73" fillId="4" borderId="50" xfId="0" applyFont="1" applyFill="1" applyBorder="1" applyAlignment="1" applyProtection="1">
      <alignment horizontal="left" vertical="center" wrapText="1"/>
      <protection locked="0"/>
    </xf>
    <xf numFmtId="0" fontId="41" fillId="2" borderId="48" xfId="0" applyFont="1" applyFill="1" applyBorder="1" applyAlignment="1">
      <alignment horizontal="center" vertical="top" wrapText="1"/>
    </xf>
    <xf numFmtId="0" fontId="20" fillId="10" borderId="0" xfId="0" applyFont="1" applyFill="1" applyAlignment="1">
      <alignment wrapText="1"/>
    </xf>
    <xf numFmtId="1" fontId="0" fillId="0" borderId="56" xfId="0" applyNumberFormat="1" applyBorder="1" applyAlignment="1">
      <alignment horizontal="right"/>
    </xf>
    <xf numFmtId="0" fontId="20" fillId="5" borderId="12" xfId="0" applyFont="1" applyFill="1" applyBorder="1" applyAlignment="1" applyProtection="1">
      <alignment horizontal="left" vertical="center" wrapText="1"/>
      <protection hidden="1"/>
    </xf>
    <xf numFmtId="0" fontId="0" fillId="18" borderId="2" xfId="0" applyFill="1" applyBorder="1"/>
    <xf numFmtId="0" fontId="0" fillId="18" borderId="56" xfId="0" applyFill="1" applyBorder="1"/>
    <xf numFmtId="0" fontId="21" fillId="18" borderId="2" xfId="0" applyFont="1" applyFill="1" applyBorder="1"/>
    <xf numFmtId="0" fontId="0" fillId="18" borderId="66" xfId="0" applyFill="1" applyBorder="1"/>
    <xf numFmtId="0" fontId="0" fillId="18" borderId="3" xfId="0" applyFill="1" applyBorder="1"/>
    <xf numFmtId="0" fontId="0" fillId="18" borderId="85" xfId="0" applyFill="1" applyBorder="1"/>
    <xf numFmtId="0" fontId="0" fillId="18" borderId="15" xfId="0" applyFill="1" applyBorder="1"/>
    <xf numFmtId="0" fontId="21" fillId="0" borderId="15" xfId="0" applyFont="1" applyBorder="1"/>
    <xf numFmtId="0" fontId="29" fillId="13" borderId="84" xfId="0" applyFont="1" applyFill="1" applyBorder="1"/>
    <xf numFmtId="0" fontId="29" fillId="13" borderId="116" xfId="0" applyFont="1" applyFill="1" applyBorder="1"/>
    <xf numFmtId="0" fontId="0" fillId="5" borderId="138" xfId="0" applyFill="1" applyBorder="1" applyAlignment="1">
      <alignment horizontal="left" vertical="center"/>
    </xf>
    <xf numFmtId="0" fontId="23" fillId="5" borderId="139" xfId="0" applyFont="1" applyFill="1" applyBorder="1" applyAlignment="1">
      <alignment horizontal="center" vertical="center"/>
    </xf>
    <xf numFmtId="0" fontId="23" fillId="4" borderId="137" xfId="0" applyFont="1" applyFill="1" applyBorder="1" applyAlignment="1" applyProtection="1">
      <alignment horizontal="left" vertical="center" wrapText="1"/>
      <protection locked="0"/>
    </xf>
    <xf numFmtId="0" fontId="23" fillId="4" borderId="135" xfId="0" applyFont="1" applyFill="1" applyBorder="1" applyAlignment="1" applyProtection="1">
      <alignment horizontal="left" vertical="center" wrapText="1"/>
      <protection locked="0"/>
    </xf>
    <xf numFmtId="0" fontId="0" fillId="8" borderId="58" xfId="0" applyFill="1" applyBorder="1"/>
    <xf numFmtId="0" fontId="23" fillId="18" borderId="2" xfId="0" applyFont="1" applyFill="1" applyBorder="1" applyAlignment="1">
      <alignment horizontal="center" vertical="center"/>
    </xf>
    <xf numFmtId="1" fontId="0" fillId="18" borderId="55" xfId="0" applyNumberFormat="1" applyFill="1" applyBorder="1"/>
    <xf numFmtId="1" fontId="0" fillId="18" borderId="57" xfId="0" applyNumberFormat="1" applyFill="1" applyBorder="1"/>
    <xf numFmtId="1" fontId="0" fillId="18" borderId="60" xfId="0" applyNumberFormat="1" applyFill="1" applyBorder="1"/>
    <xf numFmtId="0" fontId="74" fillId="2" borderId="1" xfId="0" applyFont="1" applyFill="1" applyBorder="1" applyProtection="1">
      <protection hidden="1"/>
    </xf>
    <xf numFmtId="0" fontId="28" fillId="3" borderId="0" xfId="0" applyFont="1" applyFill="1" applyAlignment="1">
      <alignment vertical="center"/>
    </xf>
    <xf numFmtId="0" fontId="16" fillId="3" borderId="0" xfId="0" applyFont="1" applyFill="1" applyAlignment="1" applyProtection="1">
      <alignment horizontal="left" vertical="top"/>
      <protection hidden="1"/>
    </xf>
    <xf numFmtId="0" fontId="0" fillId="12" borderId="0" xfId="0" applyFill="1" applyProtection="1">
      <protection hidden="1"/>
    </xf>
    <xf numFmtId="0" fontId="0" fillId="8" borderId="66" xfId="0" applyFill="1" applyBorder="1"/>
    <xf numFmtId="0" fontId="0" fillId="12" borderId="85" xfId="0" applyFill="1" applyBorder="1"/>
    <xf numFmtId="0" fontId="29" fillId="0" borderId="2" xfId="0" applyFont="1" applyBorder="1" applyProtection="1">
      <protection hidden="1"/>
    </xf>
    <xf numFmtId="0" fontId="0" fillId="8" borderId="53" xfId="0" applyFill="1" applyBorder="1"/>
    <xf numFmtId="0" fontId="23" fillId="4" borderId="7" xfId="0" applyFont="1" applyFill="1" applyBorder="1" applyAlignment="1" applyProtection="1">
      <alignment horizontal="center" vertical="center" wrapText="1"/>
      <protection locked="0"/>
    </xf>
    <xf numFmtId="0" fontId="67" fillId="4" borderId="0" xfId="0" applyFont="1" applyFill="1" applyAlignment="1" applyProtection="1">
      <alignment vertical="top" wrapText="1"/>
      <protection hidden="1"/>
    </xf>
    <xf numFmtId="0" fontId="77" fillId="2" borderId="0" xfId="0" applyFont="1" applyFill="1" applyAlignment="1" applyProtection="1">
      <alignment horizontal="left" wrapText="1"/>
      <protection locked="0" hidden="1"/>
    </xf>
    <xf numFmtId="0" fontId="23" fillId="4" borderId="36" xfId="0" applyFont="1" applyFill="1" applyBorder="1" applyAlignment="1" applyProtection="1">
      <alignment horizontal="left" vertical="top" wrapText="1"/>
      <protection locked="0"/>
    </xf>
    <xf numFmtId="0" fontId="46" fillId="2" borderId="41" xfId="0" applyFont="1" applyFill="1" applyBorder="1" applyAlignment="1">
      <alignment horizontal="center" vertical="top" wrapText="1"/>
    </xf>
    <xf numFmtId="0" fontId="0" fillId="4" borderId="40" xfId="0" applyFill="1" applyBorder="1" applyAlignment="1">
      <alignment vertical="top" wrapText="1"/>
    </xf>
    <xf numFmtId="0" fontId="20" fillId="6" borderId="48"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41" xfId="0" applyFont="1" applyFill="1" applyBorder="1" applyAlignment="1" applyProtection="1">
      <alignment horizontal="left" vertical="top" wrapText="1"/>
      <protection locked="0"/>
    </xf>
    <xf numFmtId="0" fontId="23" fillId="4" borderId="4" xfId="0" applyFont="1" applyFill="1" applyBorder="1" applyAlignment="1" applyProtection="1">
      <alignment horizontal="left" vertical="top" wrapText="1"/>
      <protection locked="0"/>
    </xf>
    <xf numFmtId="0" fontId="23" fillId="4" borderId="2" xfId="0" applyFont="1" applyFill="1" applyBorder="1" applyAlignment="1" applyProtection="1">
      <alignment horizontal="left" vertical="top" wrapText="1"/>
      <protection locked="0"/>
    </xf>
    <xf numFmtId="0" fontId="23" fillId="5" borderId="95" xfId="0" applyFont="1" applyFill="1" applyBorder="1" applyAlignment="1" applyProtection="1">
      <alignment horizontal="left" vertical="top" wrapText="1"/>
      <protection locked="0"/>
    </xf>
    <xf numFmtId="0" fontId="23" fillId="5" borderId="94" xfId="0" applyFont="1" applyFill="1" applyBorder="1" applyAlignment="1" applyProtection="1">
      <alignment horizontal="left" vertical="top" wrapText="1"/>
      <protection locked="0"/>
    </xf>
    <xf numFmtId="0" fontId="23" fillId="5" borderId="94" xfId="0" applyFont="1" applyFill="1" applyBorder="1" applyAlignment="1" applyProtection="1">
      <alignment horizontal="center" vertical="top" wrapText="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vertical="top" wrapText="1"/>
      <protection locked="0"/>
    </xf>
    <xf numFmtId="0" fontId="20" fillId="6" borderId="1" xfId="0" applyFont="1" applyFill="1" applyBorder="1" applyAlignment="1" applyProtection="1">
      <alignment vertical="top" wrapText="1"/>
      <protection locked="0"/>
    </xf>
    <xf numFmtId="0" fontId="20" fillId="6" borderId="49" xfId="0" applyFont="1" applyFill="1" applyBorder="1" applyAlignment="1" applyProtection="1">
      <alignment horizontal="left" vertical="top" wrapText="1"/>
      <protection locked="0"/>
    </xf>
    <xf numFmtId="0" fontId="20" fillId="6" borderId="45" xfId="0" applyFont="1" applyFill="1" applyBorder="1" applyAlignment="1" applyProtection="1">
      <alignment horizontal="left" vertical="top" wrapText="1"/>
      <protection locked="0"/>
    </xf>
    <xf numFmtId="0" fontId="20" fillId="6" borderId="45" xfId="0" applyFont="1" applyFill="1" applyBorder="1" applyAlignment="1" applyProtection="1">
      <alignment vertical="top" wrapText="1"/>
      <protection locked="0"/>
    </xf>
    <xf numFmtId="0" fontId="20" fillId="6" borderId="39" xfId="0" applyFont="1" applyFill="1" applyBorder="1" applyAlignment="1" applyProtection="1">
      <alignment horizontal="left" vertical="top" wrapText="1"/>
      <protection locked="0"/>
    </xf>
    <xf numFmtId="0" fontId="23" fillId="5" borderId="92" xfId="0" applyFont="1" applyFill="1" applyBorder="1" applyAlignment="1" applyProtection="1">
      <alignment horizontal="center" vertical="top" wrapText="1"/>
      <protection locked="0"/>
    </xf>
    <xf numFmtId="0" fontId="0" fillId="2" borderId="0" xfId="0" applyFill="1" applyAlignment="1" applyProtection="1">
      <alignment vertical="top" wrapText="1"/>
      <protection hidden="1"/>
    </xf>
    <xf numFmtId="0" fontId="20" fillId="4" borderId="0" xfId="0" applyFont="1" applyFill="1" applyAlignment="1" applyProtection="1">
      <alignment horizontal="right" vertical="top" wrapText="1"/>
      <protection hidden="1"/>
    </xf>
    <xf numFmtId="0" fontId="0" fillId="4" borderId="0" xfId="0" applyFill="1" applyAlignment="1" applyProtection="1">
      <alignment vertical="top" wrapText="1"/>
      <protection hidden="1"/>
    </xf>
    <xf numFmtId="0" fontId="0" fillId="2" borderId="0" xfId="0" applyFill="1" applyAlignment="1" applyProtection="1">
      <alignment vertical="top" wrapText="1"/>
      <protection locked="0" hidden="1"/>
    </xf>
    <xf numFmtId="0" fontId="11" fillId="2" borderId="0" xfId="0" applyFont="1" applyFill="1" applyAlignment="1" applyProtection="1">
      <alignment horizontal="center" vertical="top" wrapText="1"/>
      <protection locked="0" hidden="1"/>
    </xf>
    <xf numFmtId="0" fontId="0" fillId="0" borderId="0" xfId="0" applyAlignment="1">
      <alignment wrapText="1"/>
    </xf>
    <xf numFmtId="0" fontId="29" fillId="0" borderId="0" xfId="0" applyFont="1" applyAlignment="1">
      <alignment wrapText="1"/>
    </xf>
    <xf numFmtId="1" fontId="0" fillId="0" borderId="0" xfId="0" applyNumberFormat="1" applyAlignment="1">
      <alignment wrapText="1"/>
    </xf>
    <xf numFmtId="14" fontId="0" fillId="0" borderId="0" xfId="0" applyNumberFormat="1" applyAlignment="1">
      <alignment wrapText="1"/>
    </xf>
    <xf numFmtId="0" fontId="75" fillId="12" borderId="2" xfId="0" applyFont="1" applyFill="1" applyBorder="1" applyAlignment="1">
      <alignment wrapText="1"/>
    </xf>
    <xf numFmtId="0" fontId="75" fillId="12" borderId="57" xfId="0" applyFont="1" applyFill="1" applyBorder="1" applyAlignment="1">
      <alignment wrapText="1"/>
    </xf>
    <xf numFmtId="0" fontId="0" fillId="12" borderId="2" xfId="0" applyFill="1" applyBorder="1" applyAlignment="1">
      <alignment wrapText="1"/>
    </xf>
    <xf numFmtId="0" fontId="0" fillId="12" borderId="57" xfId="0" applyFill="1" applyBorder="1" applyAlignment="1">
      <alignment wrapText="1"/>
    </xf>
    <xf numFmtId="0" fontId="0" fillId="12" borderId="3" xfId="0" applyFill="1" applyBorder="1" applyAlignment="1">
      <alignment wrapText="1"/>
    </xf>
    <xf numFmtId="0" fontId="0" fillId="12" borderId="67" xfId="0" applyFill="1" applyBorder="1" applyAlignment="1">
      <alignment wrapText="1"/>
    </xf>
    <xf numFmtId="0" fontId="29" fillId="13" borderId="64" xfId="0" applyFont="1" applyFill="1" applyBorder="1" applyAlignment="1">
      <alignment wrapText="1"/>
    </xf>
    <xf numFmtId="0" fontId="29" fillId="13" borderId="84" xfId="0" applyFont="1" applyFill="1" applyBorder="1" applyAlignment="1">
      <alignment wrapText="1"/>
    </xf>
    <xf numFmtId="0" fontId="0" fillId="12" borderId="54" xfId="0" applyFill="1" applyBorder="1" applyAlignment="1">
      <alignment wrapText="1"/>
    </xf>
    <xf numFmtId="0" fontId="0" fillId="12" borderId="55" xfId="0" applyFill="1" applyBorder="1" applyAlignment="1">
      <alignment wrapText="1"/>
    </xf>
    <xf numFmtId="0" fontId="0" fillId="12" borderId="59" xfId="0" applyFill="1" applyBorder="1" applyAlignment="1">
      <alignment wrapText="1"/>
    </xf>
    <xf numFmtId="0" fontId="0" fillId="12" borderId="60" xfId="0" applyFill="1" applyBorder="1" applyAlignment="1">
      <alignment wrapText="1"/>
    </xf>
    <xf numFmtId="0" fontId="21" fillId="0" borderId="0" xfId="0" applyFont="1" applyAlignment="1">
      <alignment wrapText="1"/>
    </xf>
    <xf numFmtId="0" fontId="20" fillId="10" borderId="64" xfId="0" applyFont="1" applyFill="1" applyBorder="1" applyAlignment="1">
      <alignment wrapText="1"/>
    </xf>
    <xf numFmtId="0" fontId="20" fillId="10" borderId="65" xfId="0" applyFont="1" applyFill="1" applyBorder="1" applyAlignment="1">
      <alignment wrapText="1"/>
    </xf>
    <xf numFmtId="0" fontId="0" fillId="0" borderId="5" xfId="0" applyBorder="1" applyAlignment="1">
      <alignment wrapText="1"/>
    </xf>
    <xf numFmtId="0" fontId="0" fillId="0" borderId="62" xfId="0" applyBorder="1" applyAlignment="1">
      <alignment wrapText="1"/>
    </xf>
    <xf numFmtId="0" fontId="0" fillId="0" borderId="2" xfId="0" applyBorder="1" applyAlignment="1">
      <alignment wrapText="1"/>
    </xf>
    <xf numFmtId="0" fontId="0" fillId="0" borderId="57" xfId="0" applyBorder="1" applyAlignment="1">
      <alignment wrapText="1"/>
    </xf>
    <xf numFmtId="0" fontId="0" fillId="0" borderId="59" xfId="0" applyBorder="1" applyAlignment="1">
      <alignment wrapText="1"/>
    </xf>
    <xf numFmtId="0" fontId="0" fillId="0" borderId="60" xfId="0" applyBorder="1" applyAlignment="1">
      <alignment wrapText="1"/>
    </xf>
    <xf numFmtId="0" fontId="0" fillId="0" borderId="3" xfId="0" applyBorder="1" applyAlignment="1">
      <alignment wrapText="1"/>
    </xf>
    <xf numFmtId="0" fontId="0" fillId="0" borderId="67"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81" xfId="0" applyBorder="1" applyAlignment="1">
      <alignment wrapText="1"/>
    </xf>
    <xf numFmtId="0" fontId="0" fillId="0" borderId="23" xfId="0" applyBorder="1" applyAlignment="1">
      <alignment wrapText="1"/>
    </xf>
    <xf numFmtId="0" fontId="21" fillId="0" borderId="0" xfId="0" applyFont="1" applyAlignment="1">
      <alignment vertical="top" wrapText="1"/>
    </xf>
    <xf numFmtId="0" fontId="23" fillId="0" borderId="36" xfId="0" applyFont="1" applyBorder="1" applyAlignment="1" applyProtection="1">
      <alignment horizontal="left" vertical="top" wrapText="1"/>
      <protection locked="0"/>
    </xf>
    <xf numFmtId="0" fontId="41" fillId="2" borderId="51" xfId="0" applyFont="1" applyFill="1" applyBorder="1" applyAlignment="1">
      <alignment horizontal="center" vertical="top" wrapText="1"/>
    </xf>
    <xf numFmtId="0" fontId="7" fillId="3" borderId="45" xfId="0" applyFont="1" applyFill="1" applyBorder="1" applyAlignment="1">
      <alignment horizontal="left" vertical="top" wrapText="1"/>
    </xf>
    <xf numFmtId="0" fontId="1" fillId="5" borderId="38" xfId="0" applyFont="1" applyFill="1" applyBorder="1" applyAlignment="1">
      <alignment horizontal="left" vertical="top" wrapText="1"/>
    </xf>
    <xf numFmtId="0" fontId="7" fillId="3" borderId="45" xfId="0" applyFont="1" applyFill="1" applyBorder="1" applyAlignment="1">
      <alignment horizontal="left" vertical="center" wrapText="1"/>
    </xf>
    <xf numFmtId="0" fontId="7" fillId="3" borderId="27" xfId="0" applyFont="1" applyFill="1" applyBorder="1" applyAlignment="1">
      <alignment horizontal="left" vertical="top" wrapText="1"/>
    </xf>
    <xf numFmtId="164" fontId="9" fillId="5" borderId="37" xfId="2" applyNumberFormat="1" applyFont="1" applyFill="1" applyBorder="1" applyAlignment="1" applyProtection="1">
      <alignment horizontal="left" vertical="top" wrapText="1"/>
    </xf>
    <xf numFmtId="0" fontId="7" fillId="3" borderId="27" xfId="0" applyFont="1" applyFill="1" applyBorder="1" applyAlignment="1">
      <alignment horizontal="left" vertical="center" wrapText="1"/>
    </xf>
    <xf numFmtId="0" fontId="1" fillId="5" borderId="37" xfId="0" applyFont="1" applyFill="1" applyBorder="1" applyAlignment="1">
      <alignment vertical="top" wrapText="1"/>
    </xf>
    <xf numFmtId="0" fontId="1" fillId="5" borderId="37" xfId="0" applyFont="1" applyFill="1" applyBorder="1" applyAlignment="1" applyProtection="1">
      <alignment vertical="top" wrapText="1"/>
      <protection locked="0"/>
    </xf>
    <xf numFmtId="0" fontId="20" fillId="4" borderId="40" xfId="0" applyFont="1" applyFill="1" applyBorder="1" applyAlignment="1" applyProtection="1">
      <alignment vertical="top" wrapText="1"/>
      <protection locked="0"/>
    </xf>
    <xf numFmtId="0" fontId="20" fillId="6" borderId="51" xfId="0" applyFont="1" applyFill="1" applyBorder="1" applyAlignment="1" applyProtection="1">
      <alignment vertical="top" wrapText="1"/>
      <protection locked="0"/>
    </xf>
    <xf numFmtId="0" fontId="23" fillId="3" borderId="6" xfId="0" applyFont="1" applyFill="1" applyBorder="1" applyAlignment="1" applyProtection="1">
      <alignment horizontal="center" vertical="top" wrapText="1"/>
      <protection locked="0"/>
    </xf>
    <xf numFmtId="0" fontId="23" fillId="3" borderId="6" xfId="0" applyFont="1" applyFill="1" applyBorder="1" applyAlignment="1" applyProtection="1">
      <alignment horizontal="center" vertical="center" wrapText="1"/>
      <protection locked="0"/>
    </xf>
    <xf numFmtId="0" fontId="20" fillId="6" borderId="41" xfId="0" applyFont="1" applyFill="1" applyBorder="1" applyAlignment="1" applyProtection="1">
      <alignment vertical="top" wrapText="1"/>
      <protection locked="0"/>
    </xf>
    <xf numFmtId="0" fontId="20" fillId="4" borderId="0" xfId="0" applyFont="1" applyFill="1" applyAlignment="1" applyProtection="1">
      <alignment vertical="top" wrapText="1"/>
      <protection locked="0"/>
    </xf>
    <xf numFmtId="0" fontId="20" fillId="4" borderId="0" xfId="0" applyFont="1" applyFill="1" applyAlignment="1">
      <alignment vertical="top" wrapText="1"/>
    </xf>
    <xf numFmtId="0" fontId="0" fillId="2" borderId="0" xfId="0" applyFill="1" applyAlignment="1" applyProtection="1">
      <alignment vertical="center" wrapText="1"/>
      <protection locked="0" hidden="1"/>
    </xf>
    <xf numFmtId="0" fontId="0" fillId="5" borderId="138" xfId="0" applyFill="1" applyBorder="1" applyAlignment="1">
      <alignment horizontal="left" vertical="center" wrapText="1"/>
    </xf>
    <xf numFmtId="0" fontId="21" fillId="4" borderId="0" xfId="0" applyFont="1" applyFill="1" applyAlignment="1" applyProtection="1">
      <alignment horizontal="left" vertical="center"/>
      <protection hidden="1"/>
    </xf>
    <xf numFmtId="0" fontId="21" fillId="4" borderId="0" xfId="0" applyFont="1" applyFill="1" applyAlignment="1">
      <alignment vertical="center"/>
    </xf>
    <xf numFmtId="0" fontId="21" fillId="4" borderId="0" xfId="0" applyFont="1" applyFill="1" applyProtection="1">
      <protection hidden="1"/>
    </xf>
    <xf numFmtId="1" fontId="0" fillId="12" borderId="61" xfId="0" applyNumberFormat="1" applyFill="1" applyBorder="1" applyAlignment="1">
      <alignment horizontal="right"/>
    </xf>
    <xf numFmtId="1" fontId="0" fillId="12" borderId="5" xfId="0" applyNumberFormat="1" applyFill="1" applyBorder="1" applyAlignment="1">
      <alignment horizontal="right"/>
    </xf>
    <xf numFmtId="0" fontId="0" fillId="0" borderId="61" xfId="0" applyBorder="1" applyAlignment="1">
      <alignment horizontal="right"/>
    </xf>
    <xf numFmtId="0" fontId="0" fillId="0" borderId="5" xfId="0" applyBorder="1" applyAlignment="1">
      <alignment horizontal="right"/>
    </xf>
    <xf numFmtId="0" fontId="0" fillId="0" borderId="62" xfId="0" applyBorder="1"/>
    <xf numFmtId="0" fontId="29" fillId="8" borderId="5" xfId="0" applyFont="1" applyFill="1" applyBorder="1"/>
    <xf numFmtId="0" fontId="29" fillId="8" borderId="2" xfId="0" applyFont="1" applyFill="1" applyBorder="1"/>
    <xf numFmtId="0" fontId="29" fillId="0" borderId="61" xfId="0" applyFont="1" applyBorder="1"/>
    <xf numFmtId="0" fontId="29" fillId="0" borderId="56" xfId="0" applyFont="1" applyBorder="1"/>
    <xf numFmtId="1" fontId="0" fillId="12" borderId="61" xfId="0" applyNumberFormat="1" applyFill="1" applyBorder="1"/>
    <xf numFmtId="1" fontId="0" fillId="12" borderId="5" xfId="0" applyNumberFormat="1" applyFill="1" applyBorder="1"/>
    <xf numFmtId="1" fontId="0" fillId="12" borderId="62" xfId="0" applyNumberFormat="1" applyFill="1" applyBorder="1"/>
    <xf numFmtId="0" fontId="0" fillId="0" borderId="13" xfId="0" applyBorder="1"/>
    <xf numFmtId="1" fontId="0" fillId="12" borderId="66" xfId="0" applyNumberFormat="1" applyFill="1" applyBorder="1" applyAlignment="1">
      <alignment horizontal="right"/>
    </xf>
    <xf numFmtId="1" fontId="0" fillId="12" borderId="3" xfId="0" applyNumberFormat="1" applyFill="1" applyBorder="1" applyAlignment="1">
      <alignment horizontal="right"/>
    </xf>
    <xf numFmtId="1" fontId="0" fillId="12" borderId="67" xfId="0" applyNumberFormat="1" applyFill="1" applyBorder="1" applyAlignment="1">
      <alignment horizontal="right"/>
    </xf>
    <xf numFmtId="1" fontId="0" fillId="12" borderId="67" xfId="0" applyNumberFormat="1" applyFill="1" applyBorder="1"/>
    <xf numFmtId="0" fontId="0" fillId="0" borderId="66" xfId="0" applyBorder="1" applyAlignment="1">
      <alignment horizontal="right"/>
    </xf>
    <xf numFmtId="0" fontId="0" fillId="0" borderId="3" xfId="0" applyBorder="1" applyAlignment="1">
      <alignment horizontal="right"/>
    </xf>
    <xf numFmtId="0" fontId="0" fillId="0" borderId="9" xfId="0" applyBorder="1" applyAlignment="1">
      <alignment horizontal="right"/>
    </xf>
    <xf numFmtId="0" fontId="0" fillId="0" borderId="67" xfId="0" applyBorder="1"/>
    <xf numFmtId="0" fontId="0" fillId="0" borderId="13" xfId="0" applyBorder="1" applyAlignment="1">
      <alignment horizontal="right"/>
    </xf>
    <xf numFmtId="1" fontId="21" fillId="12" borderId="5" xfId="0" applyNumberFormat="1" applyFont="1" applyFill="1" applyBorder="1"/>
    <xf numFmtId="1" fontId="0" fillId="12" borderId="66" xfId="0" applyNumberFormat="1" applyFill="1" applyBorder="1"/>
    <xf numFmtId="1" fontId="0" fillId="12" borderId="3" xfId="0" applyNumberFormat="1" applyFill="1" applyBorder="1"/>
    <xf numFmtId="0" fontId="0" fillId="0" borderId="9" xfId="0" applyBorder="1"/>
    <xf numFmtId="0" fontId="0" fillId="8" borderId="15" xfId="0" applyFill="1" applyBorder="1"/>
    <xf numFmtId="0" fontId="0" fillId="0" borderId="87" xfId="0" applyBorder="1"/>
    <xf numFmtId="0" fontId="20" fillId="10" borderId="82" xfId="0" applyFont="1" applyFill="1" applyBorder="1" applyAlignment="1">
      <alignment horizontal="center" wrapText="1"/>
    </xf>
    <xf numFmtId="0" fontId="29" fillId="0" borderId="53" xfId="0" applyFont="1" applyBorder="1"/>
    <xf numFmtId="0" fontId="29" fillId="8" borderId="54" xfId="0" applyFont="1" applyFill="1" applyBorder="1"/>
    <xf numFmtId="0" fontId="29" fillId="5" borderId="24" xfId="0" applyFont="1" applyFill="1" applyBorder="1" applyAlignment="1">
      <alignment horizontal="left" vertical="center"/>
    </xf>
    <xf numFmtId="0" fontId="0" fillId="5" borderId="24" xfId="0" applyFill="1" applyBorder="1" applyAlignment="1">
      <alignment horizontal="left" vertical="center" indent="2"/>
    </xf>
    <xf numFmtId="164" fontId="23" fillId="5" borderId="138" xfId="0" applyNumberFormat="1" applyFont="1" applyFill="1" applyBorder="1" applyAlignment="1">
      <alignment horizontal="center" vertical="center"/>
    </xf>
    <xf numFmtId="0" fontId="0" fillId="5" borderId="124" xfId="0" applyFill="1" applyBorder="1" applyAlignment="1">
      <alignment vertical="center"/>
    </xf>
    <xf numFmtId="0" fontId="23" fillId="4" borderId="0" xfId="0" applyFont="1" applyFill="1" applyAlignment="1" applyProtection="1">
      <alignment horizontal="left" vertical="center" wrapText="1"/>
      <protection locked="0"/>
    </xf>
    <xf numFmtId="0" fontId="34" fillId="5" borderId="37" xfId="0" applyFont="1" applyFill="1" applyBorder="1" applyAlignment="1">
      <alignment horizontal="center" vertical="center"/>
    </xf>
    <xf numFmtId="164" fontId="34" fillId="5" borderId="24" xfId="0" applyNumberFormat="1" applyFont="1" applyFill="1" applyBorder="1" applyAlignment="1">
      <alignment horizontal="center" vertical="center"/>
    </xf>
    <xf numFmtId="0" fontId="34" fillId="5" borderId="91" xfId="0" applyFont="1" applyFill="1" applyBorder="1" applyAlignment="1">
      <alignment horizontal="left" vertical="center"/>
    </xf>
    <xf numFmtId="0" fontId="20" fillId="6" borderId="0" xfId="0" applyFont="1" applyFill="1" applyAlignment="1">
      <alignment vertical="center"/>
    </xf>
    <xf numFmtId="0" fontId="20" fillId="6" borderId="0" xfId="0" applyFont="1" applyFill="1" applyAlignment="1" applyProtection="1">
      <alignment vertical="center"/>
      <protection locked="0"/>
    </xf>
    <xf numFmtId="0" fontId="23" fillId="3" borderId="11" xfId="0" applyFont="1" applyFill="1" applyBorder="1" applyAlignment="1" applyProtection="1">
      <alignment horizontal="center" vertical="center"/>
      <protection locked="0"/>
    </xf>
    <xf numFmtId="0" fontId="23" fillId="3" borderId="115" xfId="0" applyFont="1" applyFill="1" applyBorder="1" applyAlignment="1" applyProtection="1">
      <alignment horizontal="center" vertical="center"/>
      <protection locked="0"/>
    </xf>
    <xf numFmtId="0" fontId="20" fillId="6" borderId="135" xfId="0" applyFont="1" applyFill="1" applyBorder="1" applyAlignment="1" applyProtection="1">
      <alignment horizontal="left" vertical="top" wrapText="1"/>
      <protection locked="0"/>
    </xf>
    <xf numFmtId="0" fontId="23" fillId="4" borderId="131" xfId="0" applyFont="1" applyFill="1" applyBorder="1" applyAlignment="1" applyProtection="1">
      <alignment horizontal="left" vertical="center" wrapText="1"/>
      <protection locked="0"/>
    </xf>
    <xf numFmtId="0" fontId="23" fillId="4" borderId="103" xfId="0" applyFont="1" applyFill="1" applyBorder="1" applyAlignment="1" applyProtection="1">
      <alignment horizontal="left" vertical="center"/>
      <protection locked="0"/>
    </xf>
    <xf numFmtId="0" fontId="23" fillId="0" borderId="140" xfId="0" applyFont="1" applyBorder="1" applyAlignment="1" applyProtection="1">
      <alignment horizontal="left" vertical="top" wrapText="1"/>
      <protection locked="0"/>
    </xf>
    <xf numFmtId="164" fontId="34" fillId="5" borderId="28" xfId="0" applyNumberFormat="1" applyFont="1" applyFill="1" applyBorder="1" applyAlignment="1">
      <alignment horizontal="center" vertical="center"/>
    </xf>
    <xf numFmtId="0" fontId="23" fillId="4" borderId="6" xfId="0" applyFont="1" applyFill="1" applyBorder="1" applyAlignment="1" applyProtection="1">
      <alignment horizontal="center" vertical="center" wrapText="1"/>
      <protection locked="0"/>
    </xf>
    <xf numFmtId="0" fontId="48" fillId="4" borderId="0" xfId="0" applyFont="1" applyFill="1" applyAlignment="1">
      <alignment horizontal="center" vertical="top" wrapText="1"/>
    </xf>
    <xf numFmtId="0" fontId="51" fillId="0" borderId="123" xfId="0" applyFont="1" applyBorder="1" applyAlignment="1" applyProtection="1">
      <alignment wrapText="1"/>
      <protection locked="0"/>
    </xf>
    <xf numFmtId="0" fontId="79" fillId="4" borderId="0" xfId="0" applyFont="1" applyFill="1" applyAlignment="1">
      <alignment horizontal="center" vertical="center" wrapText="1"/>
    </xf>
    <xf numFmtId="0" fontId="80" fillId="0" borderId="2" xfId="3" applyFont="1" applyFill="1" applyBorder="1" applyAlignment="1">
      <alignment horizontal="center" vertical="center"/>
    </xf>
    <xf numFmtId="0" fontId="78" fillId="0" borderId="0" xfId="0" applyFont="1" applyAlignment="1">
      <alignment horizontal="center" vertical="center"/>
    </xf>
    <xf numFmtId="0" fontId="51" fillId="0" borderId="0" xfId="0" applyFont="1" applyProtection="1">
      <protection locked="0"/>
    </xf>
    <xf numFmtId="0" fontId="52" fillId="0" borderId="123" xfId="0" applyFont="1" applyBorder="1" applyProtection="1">
      <protection locked="0"/>
    </xf>
    <xf numFmtId="0" fontId="80" fillId="0" borderId="0" xfId="3" applyFont="1" applyFill="1" applyBorder="1" applyAlignment="1">
      <alignment horizontal="center" vertical="center"/>
    </xf>
    <xf numFmtId="0" fontId="52" fillId="0" borderId="0" xfId="0" applyFont="1" applyProtection="1">
      <protection locked="0"/>
    </xf>
    <xf numFmtId="0" fontId="52" fillId="0" borderId="147" xfId="0" applyFont="1" applyBorder="1" applyProtection="1">
      <protection locked="0"/>
    </xf>
    <xf numFmtId="0" fontId="81" fillId="0" borderId="2" xfId="3" applyFont="1" applyFill="1" applyBorder="1"/>
    <xf numFmtId="0" fontId="48" fillId="0" borderId="2" xfId="0" applyFont="1" applyBorder="1" applyAlignment="1">
      <alignment horizontal="center"/>
    </xf>
    <xf numFmtId="0" fontId="81" fillId="0" borderId="2" xfId="3" applyFont="1" applyFill="1" applyBorder="1" applyAlignment="1">
      <alignment vertical="top"/>
    </xf>
    <xf numFmtId="0" fontId="48" fillId="0" borderId="0" xfId="0" applyFont="1" applyAlignment="1">
      <alignment horizontal="center"/>
    </xf>
    <xf numFmtId="0" fontId="82" fillId="0" borderId="2" xfId="3" applyFont="1" applyFill="1" applyBorder="1"/>
    <xf numFmtId="0" fontId="83" fillId="0" borderId="2" xfId="0" applyFont="1" applyBorder="1" applyAlignment="1">
      <alignment horizontal="center"/>
    </xf>
    <xf numFmtId="0" fontId="82" fillId="0" borderId="2" xfId="3" applyFont="1" applyFill="1" applyBorder="1" applyAlignment="1">
      <alignment vertical="top"/>
    </xf>
    <xf numFmtId="0" fontId="83" fillId="0" borderId="2" xfId="0" applyFont="1" applyBorder="1" applyAlignment="1">
      <alignment horizontal="center" vertical="top"/>
    </xf>
    <xf numFmtId="0" fontId="81" fillId="0" borderId="2" xfId="3" applyFont="1" applyFill="1" applyBorder="1" applyAlignment="1">
      <alignment horizontal="right"/>
    </xf>
    <xf numFmtId="0" fontId="83" fillId="0" borderId="2" xfId="0" applyFont="1" applyBorder="1" applyAlignment="1">
      <alignment horizontal="center" wrapText="1"/>
    </xf>
    <xf numFmtId="0" fontId="48" fillId="0" borderId="2" xfId="0" applyFont="1" applyBorder="1" applyAlignment="1">
      <alignment horizontal="center" wrapText="1"/>
    </xf>
    <xf numFmtId="0" fontId="48" fillId="0" borderId="2" xfId="0" applyFont="1" applyBorder="1" applyAlignment="1">
      <alignment horizontal="center" vertical="top"/>
    </xf>
    <xf numFmtId="0" fontId="81" fillId="0" borderId="4" xfId="3" applyFont="1" applyFill="1" applyBorder="1"/>
    <xf numFmtId="0" fontId="48" fillId="0" borderId="4" xfId="0" applyFont="1" applyBorder="1" applyAlignment="1">
      <alignment horizontal="center"/>
    </xf>
    <xf numFmtId="0" fontId="81" fillId="0" borderId="0" xfId="3" applyFont="1" applyFill="1" applyBorder="1"/>
    <xf numFmtId="0" fontId="0" fillId="0" borderId="2" xfId="0" applyBorder="1" applyAlignment="1">
      <alignment horizontal="left" indent="2"/>
    </xf>
    <xf numFmtId="0" fontId="20" fillId="10" borderId="148" xfId="0" applyFont="1" applyFill="1" applyBorder="1" applyAlignment="1">
      <alignment horizontal="center" wrapText="1"/>
    </xf>
    <xf numFmtId="0" fontId="0" fillId="8" borderId="75" xfId="0" applyFill="1" applyBorder="1"/>
    <xf numFmtId="0" fontId="0" fillId="8" borderId="76" xfId="0" applyFill="1" applyBorder="1"/>
    <xf numFmtId="10" fontId="0" fillId="8" borderId="0" xfId="0" applyNumberFormat="1" applyFill="1"/>
    <xf numFmtId="0" fontId="0" fillId="8" borderId="2" xfId="0" applyFill="1" applyBorder="1" applyAlignment="1">
      <alignment horizontal="center" wrapText="1"/>
    </xf>
    <xf numFmtId="0" fontId="29" fillId="5" borderId="29" xfId="0" applyFont="1" applyFill="1" applyBorder="1" applyAlignment="1">
      <alignment vertical="center"/>
    </xf>
    <xf numFmtId="0" fontId="29" fillId="5" borderId="24" xfId="0" applyFont="1" applyFill="1" applyBorder="1" applyAlignment="1">
      <alignment vertical="center"/>
    </xf>
    <xf numFmtId="0" fontId="85" fillId="5" borderId="90" xfId="0" applyFont="1" applyFill="1" applyBorder="1" applyAlignment="1" applyProtection="1">
      <alignment horizontal="center" vertical="center"/>
      <protection locked="0"/>
    </xf>
    <xf numFmtId="0" fontId="20" fillId="10" borderId="11" xfId="0" applyFont="1" applyFill="1" applyBorder="1" applyAlignment="1" applyProtection="1">
      <alignment wrapText="1"/>
      <protection hidden="1"/>
    </xf>
    <xf numFmtId="0" fontId="20" fillId="10" borderId="2" xfId="0" applyFont="1" applyFill="1" applyBorder="1" applyAlignment="1" applyProtection="1">
      <alignment wrapText="1"/>
      <protection hidden="1"/>
    </xf>
    <xf numFmtId="0" fontId="9" fillId="4" borderId="35" xfId="0" applyFont="1" applyFill="1" applyBorder="1" applyAlignment="1">
      <alignment horizontal="left" vertical="top" wrapText="1"/>
    </xf>
    <xf numFmtId="0" fontId="7" fillId="3" borderId="47" xfId="0" applyFont="1" applyFill="1" applyBorder="1" applyAlignment="1">
      <alignment horizontal="left" vertical="top"/>
    </xf>
    <xf numFmtId="0" fontId="7" fillId="3" borderId="47" xfId="0" applyFont="1" applyFill="1" applyBorder="1" applyAlignment="1">
      <alignment horizontal="left" vertical="center"/>
    </xf>
    <xf numFmtId="0" fontId="29" fillId="8" borderId="2" xfId="0" applyFont="1" applyFill="1" applyBorder="1" applyAlignment="1">
      <alignment wrapText="1"/>
    </xf>
    <xf numFmtId="0" fontId="0" fillId="18" borderId="2" xfId="0" applyFill="1" applyBorder="1" applyAlignment="1">
      <alignment wrapText="1"/>
    </xf>
    <xf numFmtId="0" fontId="75" fillId="18" borderId="2" xfId="0" applyFont="1" applyFill="1" applyBorder="1" applyAlignment="1">
      <alignment wrapText="1"/>
    </xf>
    <xf numFmtId="0" fontId="75" fillId="18" borderId="3" xfId="0" applyFont="1" applyFill="1" applyBorder="1" applyAlignment="1">
      <alignment wrapText="1"/>
    </xf>
    <xf numFmtId="0" fontId="0" fillId="18" borderId="15" xfId="0" applyFill="1" applyBorder="1" applyAlignment="1">
      <alignment wrapText="1"/>
    </xf>
    <xf numFmtId="0" fontId="0" fillId="12" borderId="5" xfId="0" applyFill="1" applyBorder="1" applyAlignment="1">
      <alignment wrapText="1"/>
    </xf>
    <xf numFmtId="0" fontId="0" fillId="9" borderId="2" xfId="0" applyFill="1" applyBorder="1" applyAlignment="1">
      <alignment horizontal="left" indent="2"/>
    </xf>
    <xf numFmtId="0" fontId="29" fillId="9" borderId="56" xfId="0" applyFont="1" applyFill="1" applyBorder="1"/>
    <xf numFmtId="0" fontId="0" fillId="12" borderId="15" xfId="0" applyFill="1" applyBorder="1" applyAlignment="1">
      <alignment wrapText="1"/>
    </xf>
    <xf numFmtId="0" fontId="0" fillId="0" borderId="59" xfId="0" applyBorder="1" applyAlignment="1">
      <alignment horizontal="left" indent="2"/>
    </xf>
    <xf numFmtId="0" fontId="29" fillId="20" borderId="2" xfId="0" applyFont="1" applyFill="1" applyBorder="1" applyAlignment="1">
      <alignment wrapText="1"/>
    </xf>
    <xf numFmtId="0" fontId="0" fillId="18" borderId="75" xfId="0" applyFill="1" applyBorder="1"/>
    <xf numFmtId="0" fontId="0" fillId="18" borderId="4" xfId="0" applyFill="1" applyBorder="1"/>
    <xf numFmtId="0" fontId="0" fillId="18" borderId="69" xfId="0" applyFill="1" applyBorder="1"/>
    <xf numFmtId="0" fontId="0" fillId="18" borderId="76" xfId="0" applyFill="1" applyBorder="1"/>
    <xf numFmtId="0" fontId="29" fillId="8" borderId="2" xfId="0" applyFont="1" applyFill="1" applyBorder="1" applyAlignment="1">
      <alignment horizontal="center" wrapText="1"/>
    </xf>
    <xf numFmtId="0" fontId="21" fillId="0" borderId="0" xfId="0" applyFont="1" applyAlignment="1">
      <alignment vertical="top"/>
    </xf>
    <xf numFmtId="10" fontId="0" fillId="18" borderId="0" xfId="0" applyNumberFormat="1" applyFill="1"/>
    <xf numFmtId="0" fontId="0" fillId="8" borderId="71" xfId="0" applyFill="1" applyBorder="1"/>
    <xf numFmtId="0" fontId="0" fillId="18" borderId="71" xfId="0" applyFill="1" applyBorder="1"/>
    <xf numFmtId="0" fontId="0" fillId="8" borderId="69" xfId="0" applyFill="1" applyBorder="1"/>
    <xf numFmtId="0" fontId="0" fillId="8" borderId="3" xfId="0" applyFill="1" applyBorder="1"/>
    <xf numFmtId="0" fontId="29" fillId="12" borderId="85" xfId="0" applyFont="1" applyFill="1" applyBorder="1"/>
    <xf numFmtId="0" fontId="29" fillId="12" borderId="15" xfId="0" applyFont="1" applyFill="1" applyBorder="1"/>
    <xf numFmtId="0" fontId="29" fillId="12" borderId="86" xfId="0" applyFont="1" applyFill="1" applyBorder="1"/>
    <xf numFmtId="0" fontId="0" fillId="9" borderId="3" xfId="0" applyFill="1" applyBorder="1"/>
    <xf numFmtId="0" fontId="29" fillId="0" borderId="3" xfId="0" applyFont="1" applyBorder="1"/>
    <xf numFmtId="0" fontId="29" fillId="0" borderId="54" xfId="0" applyFont="1" applyBorder="1"/>
    <xf numFmtId="1" fontId="29" fillId="12" borderId="2" xfId="0" applyNumberFormat="1" applyFont="1" applyFill="1" applyBorder="1"/>
    <xf numFmtId="1" fontId="29" fillId="12" borderId="57" xfId="0" applyNumberFormat="1" applyFont="1" applyFill="1" applyBorder="1"/>
    <xf numFmtId="1" fontId="29" fillId="12" borderId="56" xfId="0" applyNumberFormat="1" applyFont="1" applyFill="1" applyBorder="1"/>
    <xf numFmtId="0" fontId="29" fillId="0" borderId="2" xfId="0" applyFont="1" applyBorder="1"/>
    <xf numFmtId="0" fontId="29" fillId="2" borderId="0" xfId="0" applyFont="1" applyFill="1" applyAlignment="1">
      <alignment vertical="center"/>
    </xf>
    <xf numFmtId="0" fontId="0" fillId="20" borderId="4" xfId="0" applyFill="1" applyBorder="1"/>
    <xf numFmtId="0" fontId="84" fillId="5" borderId="142" xfId="0" applyFont="1" applyFill="1" applyBorder="1" applyProtection="1">
      <protection locked="0"/>
    </xf>
    <xf numFmtId="0" fontId="84" fillId="5" borderId="141" xfId="0" applyFont="1" applyFill="1" applyBorder="1" applyProtection="1">
      <protection locked="0"/>
    </xf>
    <xf numFmtId="1" fontId="29" fillId="12" borderId="57" xfId="0" applyNumberFormat="1" applyFont="1" applyFill="1" applyBorder="1" applyAlignment="1">
      <alignment horizontal="right"/>
    </xf>
    <xf numFmtId="1" fontId="29" fillId="12" borderId="56" xfId="0" applyNumberFormat="1" applyFont="1" applyFill="1" applyBorder="1" applyAlignment="1">
      <alignment horizontal="right"/>
    </xf>
    <xf numFmtId="1" fontId="29" fillId="12" borderId="2" xfId="0" applyNumberFormat="1" applyFont="1" applyFill="1" applyBorder="1" applyAlignment="1">
      <alignment horizontal="right"/>
    </xf>
    <xf numFmtId="0" fontId="0" fillId="20" borderId="56" xfId="0" applyFill="1" applyBorder="1" applyAlignment="1">
      <alignment horizontal="right"/>
    </xf>
    <xf numFmtId="1" fontId="29" fillId="12" borderId="61" xfId="0" applyNumberFormat="1" applyFont="1" applyFill="1" applyBorder="1" applyAlignment="1">
      <alignment horizontal="right"/>
    </xf>
    <xf numFmtId="1" fontId="29" fillId="12" borderId="5" xfId="0" applyNumberFormat="1" applyFont="1" applyFill="1" applyBorder="1" applyAlignment="1">
      <alignment horizontal="right"/>
    </xf>
    <xf numFmtId="0" fontId="21" fillId="0" borderId="2" xfId="0" applyFont="1" applyBorder="1" applyAlignment="1">
      <alignment horizontal="left" indent="2"/>
    </xf>
    <xf numFmtId="0" fontId="0" fillId="0" borderId="86" xfId="0" applyBorder="1"/>
    <xf numFmtId="0" fontId="43" fillId="0" borderId="3" xfId="0" applyFont="1" applyBorder="1"/>
    <xf numFmtId="0" fontId="21" fillId="2" borderId="1" xfId="0" applyFont="1" applyFill="1" applyBorder="1" applyProtection="1">
      <protection hidden="1"/>
    </xf>
    <xf numFmtId="0" fontId="7" fillId="3" borderId="102" xfId="0" applyFont="1" applyFill="1" applyBorder="1" applyAlignment="1">
      <alignment horizontal="left" vertical="center"/>
    </xf>
    <xf numFmtId="0" fontId="7" fillId="3" borderId="149" xfId="0" applyFont="1" applyFill="1" applyBorder="1" applyAlignment="1">
      <alignment horizontal="left" vertical="center"/>
    </xf>
    <xf numFmtId="0" fontId="7" fillId="3" borderId="27" xfId="0" applyFont="1" applyFill="1" applyBorder="1" applyAlignment="1">
      <alignment horizontal="left" vertical="center"/>
    </xf>
    <xf numFmtId="0" fontId="0" fillId="0" borderId="7" xfId="0" applyBorder="1" applyAlignment="1">
      <alignment horizontal="right"/>
    </xf>
    <xf numFmtId="1" fontId="29" fillId="20" borderId="2" xfId="0" applyNumberFormat="1" applyFont="1" applyFill="1" applyBorder="1" applyAlignment="1">
      <alignment horizontal="right"/>
    </xf>
    <xf numFmtId="1" fontId="29" fillId="20" borderId="57" xfId="0" applyNumberFormat="1" applyFont="1" applyFill="1" applyBorder="1" applyAlignment="1">
      <alignment horizontal="right"/>
    </xf>
    <xf numFmtId="0" fontId="0" fillId="22" borderId="2" xfId="0" applyFill="1" applyBorder="1" applyAlignment="1">
      <alignment wrapText="1"/>
    </xf>
    <xf numFmtId="0" fontId="0" fillId="20" borderId="71" xfId="0" applyFill="1" applyBorder="1"/>
    <xf numFmtId="0" fontId="0" fillId="9" borderId="56" xfId="0" applyFill="1" applyBorder="1"/>
    <xf numFmtId="0" fontId="52" fillId="0" borderId="147" xfId="0" applyFont="1" applyBorder="1" applyAlignment="1" applyProtection="1">
      <alignment vertical="top"/>
      <protection locked="0"/>
    </xf>
    <xf numFmtId="0" fontId="52" fillId="0" borderId="0" xfId="0" applyFont="1" applyAlignment="1" applyProtection="1">
      <alignment vertical="top"/>
      <protection locked="0"/>
    </xf>
    <xf numFmtId="0" fontId="52" fillId="0" borderId="12" xfId="0" applyFont="1" applyBorder="1" applyAlignment="1" applyProtection="1">
      <alignment vertical="top"/>
      <protection locked="0"/>
    </xf>
    <xf numFmtId="0" fontId="52" fillId="0" borderId="147" xfId="0" applyFont="1" applyBorder="1" applyAlignment="1" applyProtection="1">
      <alignment vertical="top" wrapText="1"/>
      <protection locked="0"/>
    </xf>
    <xf numFmtId="0" fontId="52" fillId="0" borderId="12" xfId="0" applyFont="1" applyBorder="1" applyAlignment="1" applyProtection="1">
      <alignment vertical="top" wrapText="1"/>
      <protection locked="0"/>
    </xf>
    <xf numFmtId="0" fontId="48" fillId="0" borderId="147" xfId="0" applyFont="1" applyBorder="1" applyAlignment="1">
      <alignment vertical="top"/>
    </xf>
    <xf numFmtId="0" fontId="48" fillId="0" borderId="0" xfId="0" applyFont="1" applyAlignment="1">
      <alignment vertical="top"/>
    </xf>
    <xf numFmtId="0" fontId="48" fillId="0" borderId="12" xfId="0" applyFont="1" applyBorder="1" applyAlignment="1">
      <alignment vertical="top"/>
    </xf>
    <xf numFmtId="0" fontId="0" fillId="20" borderId="69" xfId="0" applyFill="1" applyBorder="1"/>
    <xf numFmtId="0" fontId="0" fillId="20" borderId="76" xfId="0" applyFill="1" applyBorder="1"/>
    <xf numFmtId="0" fontId="0" fillId="20" borderId="75" xfId="0" applyFill="1" applyBorder="1"/>
    <xf numFmtId="166" fontId="0" fillId="20" borderId="69" xfId="0" applyNumberFormat="1" applyFill="1" applyBorder="1"/>
    <xf numFmtId="166" fontId="0" fillId="8" borderId="69" xfId="0" applyNumberFormat="1" applyFill="1" applyBorder="1"/>
    <xf numFmtId="166" fontId="0" fillId="18" borderId="69" xfId="0" applyNumberFormat="1" applyFill="1" applyBorder="1"/>
    <xf numFmtId="0" fontId="52" fillId="0" borderId="0" xfId="0" applyFont="1" applyAlignment="1" applyProtection="1">
      <alignment vertical="top" wrapText="1"/>
      <protection locked="0"/>
    </xf>
    <xf numFmtId="0" fontId="52" fillId="0" borderId="12" xfId="0" applyFont="1" applyBorder="1" applyProtection="1">
      <protection locked="0"/>
    </xf>
    <xf numFmtId="0" fontId="29" fillId="8" borderId="2" xfId="0" applyFont="1" applyFill="1" applyBorder="1" applyAlignment="1">
      <alignment horizontal="right" wrapText="1"/>
    </xf>
    <xf numFmtId="0" fontId="23" fillId="20" borderId="2" xfId="0" applyFont="1" applyFill="1" applyBorder="1" applyAlignment="1">
      <alignment horizontal="center" vertical="center"/>
    </xf>
    <xf numFmtId="0" fontId="88" fillId="4" borderId="0" xfId="0" applyFont="1" applyFill="1" applyAlignment="1" applyProtection="1">
      <alignment vertical="top" wrapText="1"/>
      <protection hidden="1"/>
    </xf>
    <xf numFmtId="0" fontId="21" fillId="4" borderId="0" xfId="0" applyFont="1" applyFill="1" applyAlignment="1" applyProtection="1">
      <alignment horizontal="left" vertical="center" wrapText="1"/>
      <protection hidden="1"/>
    </xf>
    <xf numFmtId="0" fontId="23" fillId="20" borderId="7" xfId="0" applyFont="1" applyFill="1" applyBorder="1" applyAlignment="1">
      <alignment horizontal="center" vertical="center"/>
    </xf>
    <xf numFmtId="0" fontId="0" fillId="5" borderId="24" xfId="0" applyFill="1" applyBorder="1" applyAlignment="1">
      <alignment horizontal="left" vertical="center" wrapText="1" indent="2"/>
    </xf>
    <xf numFmtId="0" fontId="20" fillId="4" borderId="0" xfId="0" applyFont="1" applyFill="1" applyAlignment="1">
      <alignment vertical="center"/>
    </xf>
    <xf numFmtId="0" fontId="23" fillId="0" borderId="7" xfId="0" applyFont="1" applyBorder="1" applyAlignment="1" applyProtection="1">
      <alignment horizontal="center" vertical="center"/>
      <protection locked="0"/>
    </xf>
    <xf numFmtId="0" fontId="22" fillId="6" borderId="124" xfId="0" applyFont="1" applyFill="1" applyBorder="1" applyAlignment="1">
      <alignment vertical="center"/>
    </xf>
    <xf numFmtId="0" fontId="20" fillId="4" borderId="0" xfId="0" applyFont="1" applyFill="1" applyAlignment="1" applyProtection="1">
      <alignment horizontal="right" vertical="center"/>
      <protection hidden="1"/>
    </xf>
    <xf numFmtId="0" fontId="20" fillId="4" borderId="0" xfId="0" applyFont="1" applyFill="1" applyAlignment="1" applyProtection="1">
      <alignment horizontal="right" vertical="center" wrapText="1"/>
      <protection hidden="1"/>
    </xf>
    <xf numFmtId="0" fontId="20" fillId="4" borderId="0" xfId="0" applyFont="1" applyFill="1" applyAlignment="1">
      <alignment horizontal="right" vertical="center"/>
    </xf>
    <xf numFmtId="0" fontId="21" fillId="4" borderId="0" xfId="0" applyFont="1" applyFill="1" applyAlignment="1" applyProtection="1">
      <alignment horizontal="right" wrapText="1"/>
      <protection hidden="1"/>
    </xf>
    <xf numFmtId="0" fontId="21" fillId="4" borderId="0" xfId="0" applyFont="1" applyFill="1" applyAlignment="1" applyProtection="1">
      <alignment horizontal="right"/>
      <protection hidden="1"/>
    </xf>
    <xf numFmtId="0" fontId="29" fillId="5" borderId="88" xfId="0" applyFont="1" applyFill="1" applyBorder="1" applyAlignment="1">
      <alignment vertical="center"/>
    </xf>
    <xf numFmtId="0" fontId="25" fillId="6" borderId="0" xfId="0" applyFont="1" applyFill="1" applyAlignment="1">
      <alignment vertical="center"/>
    </xf>
    <xf numFmtId="0" fontId="0" fillId="2" borderId="0" xfId="0" applyFill="1" applyAlignment="1">
      <alignment vertical="center" wrapText="1"/>
    </xf>
    <xf numFmtId="0" fontId="25" fillId="6" borderId="0" xfId="0" applyFont="1" applyFill="1" applyAlignment="1">
      <alignment vertical="center" wrapText="1"/>
    </xf>
    <xf numFmtId="0" fontId="0" fillId="5" borderId="24" xfId="0" applyFill="1" applyBorder="1" applyAlignment="1">
      <alignment vertical="center" wrapText="1"/>
    </xf>
    <xf numFmtId="0" fontId="29" fillId="5" borderId="24" xfId="0" applyFont="1" applyFill="1" applyBorder="1" applyAlignment="1">
      <alignment vertical="center" wrapText="1"/>
    </xf>
    <xf numFmtId="0" fontId="29" fillId="5" borderId="88" xfId="0" applyFont="1" applyFill="1" applyBorder="1" applyAlignment="1">
      <alignment vertical="center" wrapText="1"/>
    </xf>
    <xf numFmtId="0" fontId="23" fillId="0" borderId="2" xfId="0" applyFont="1" applyBorder="1" applyAlignment="1" applyProtection="1">
      <alignment horizontal="left" vertical="center" wrapText="1"/>
      <protection locked="0"/>
    </xf>
    <xf numFmtId="0" fontId="0" fillId="4" borderId="0" xfId="0" applyFill="1" applyAlignment="1" applyProtection="1">
      <alignment vertical="top" wrapText="1"/>
      <protection locked="0"/>
    </xf>
    <xf numFmtId="0" fontId="0" fillId="8" borderId="4" xfId="0" applyFill="1" applyBorder="1"/>
    <xf numFmtId="0" fontId="0" fillId="8" borderId="7" xfId="0" applyFill="1" applyBorder="1"/>
    <xf numFmtId="0" fontId="0" fillId="8" borderId="9" xfId="0" applyFill="1" applyBorder="1"/>
    <xf numFmtId="0" fontId="0" fillId="18" borderId="7" xfId="0" applyFill="1" applyBorder="1"/>
    <xf numFmtId="0" fontId="0" fillId="0" borderId="10" xfId="0" applyBorder="1"/>
    <xf numFmtId="0" fontId="0" fillId="13" borderId="99" xfId="0" applyFill="1" applyBorder="1"/>
    <xf numFmtId="0" fontId="0" fillId="9" borderId="81" xfId="0" applyFill="1" applyBorder="1"/>
    <xf numFmtId="0" fontId="0" fillId="8" borderId="151" xfId="0" applyFill="1" applyBorder="1"/>
    <xf numFmtId="0" fontId="75" fillId="0" borderId="2" xfId="0" applyFont="1" applyBorder="1" applyAlignment="1">
      <alignment horizontal="left" indent="2"/>
    </xf>
    <xf numFmtId="0" fontId="75" fillId="0" borderId="0" xfId="0" applyFont="1"/>
    <xf numFmtId="0" fontId="89" fillId="0" borderId="119" xfId="0" applyFont="1" applyBorder="1" applyProtection="1">
      <protection locked="0"/>
    </xf>
    <xf numFmtId="0" fontId="90" fillId="0" borderId="147" xfId="0" applyFont="1" applyBorder="1" applyAlignment="1" applyProtection="1">
      <alignment vertical="top"/>
      <protection locked="0"/>
    </xf>
    <xf numFmtId="0" fontId="0" fillId="8" borderId="61" xfId="0" applyFill="1" applyBorder="1"/>
    <xf numFmtId="0" fontId="29" fillId="0" borderId="5" xfId="0" applyFont="1" applyBorder="1"/>
    <xf numFmtId="0" fontId="0" fillId="12" borderId="62" xfId="0" applyFill="1" applyBorder="1" applyAlignment="1">
      <alignment wrapText="1"/>
    </xf>
    <xf numFmtId="0" fontId="0" fillId="12" borderId="61" xfId="0" applyFill="1" applyBorder="1"/>
    <xf numFmtId="0" fontId="0" fillId="12" borderId="62" xfId="0" applyFill="1" applyBorder="1"/>
    <xf numFmtId="0" fontId="0" fillId="0" borderId="55" xfId="0" applyBorder="1" applyAlignment="1">
      <alignment horizontal="right"/>
    </xf>
    <xf numFmtId="0" fontId="23" fillId="4" borderId="5" xfId="0" applyFont="1" applyFill="1" applyBorder="1" applyAlignment="1" applyProtection="1">
      <alignment horizontal="left" vertical="center" wrapText="1"/>
      <protection locked="0"/>
    </xf>
    <xf numFmtId="0" fontId="23" fillId="4" borderId="1" xfId="0" applyFont="1" applyFill="1" applyBorder="1" applyAlignment="1" applyProtection="1">
      <alignment horizontal="left" vertical="center"/>
      <protection locked="0"/>
    </xf>
    <xf numFmtId="0" fontId="23" fillId="0" borderId="152" xfId="0" applyFont="1" applyBorder="1" applyAlignment="1" applyProtection="1">
      <alignment horizontal="left" vertical="top" wrapText="1"/>
      <protection locked="0"/>
    </xf>
    <xf numFmtId="0" fontId="0" fillId="23" borderId="56" xfId="0" applyFill="1" applyBorder="1" applyAlignment="1">
      <alignment horizontal="right"/>
    </xf>
    <xf numFmtId="0" fontId="91" fillId="0" borderId="2" xfId="0" applyFont="1" applyBorder="1" applyAlignment="1">
      <alignment horizontal="left" indent="2"/>
    </xf>
    <xf numFmtId="0" fontId="87" fillId="3" borderId="101" xfId="0" applyFont="1" applyFill="1" applyBorder="1" applyAlignment="1" applyProtection="1">
      <alignment horizontal="right" vertical="center" wrapText="1"/>
      <protection hidden="1"/>
    </xf>
    <xf numFmtId="0" fontId="0" fillId="22" borderId="15" xfId="0" applyFill="1" applyBorder="1" applyAlignment="1">
      <alignment wrapText="1"/>
    </xf>
    <xf numFmtId="0" fontId="29" fillId="13" borderId="65" xfId="0" applyFont="1" applyFill="1" applyBorder="1" applyAlignment="1">
      <alignment wrapText="1"/>
    </xf>
    <xf numFmtId="0" fontId="75" fillId="0" borderId="3" xfId="0" applyFont="1" applyBorder="1" applyAlignment="1">
      <alignment horizontal="left" indent="2"/>
    </xf>
    <xf numFmtId="0" fontId="75" fillId="0" borderId="2" xfId="0" applyFont="1" applyBorder="1"/>
    <xf numFmtId="9" fontId="0" fillId="0" borderId="2" xfId="0" applyNumberFormat="1" applyBorder="1"/>
    <xf numFmtId="0" fontId="0" fillId="19" borderId="2" xfId="0" applyFill="1" applyBorder="1"/>
    <xf numFmtId="164" fontId="0" fillId="0" borderId="2" xfId="0" applyNumberFormat="1" applyBorder="1"/>
    <xf numFmtId="9" fontId="63" fillId="5" borderId="153" xfId="2" applyFont="1" applyFill="1" applyBorder="1" applyAlignment="1" applyProtection="1">
      <alignment horizontal="center" vertical="center"/>
      <protection hidden="1"/>
    </xf>
    <xf numFmtId="9" fontId="63" fillId="5" borderId="154" xfId="2" applyFont="1" applyFill="1" applyBorder="1" applyAlignment="1" applyProtection="1">
      <alignment horizontal="center" vertical="center"/>
      <protection hidden="1"/>
    </xf>
    <xf numFmtId="0" fontId="71" fillId="10" borderId="2" xfId="0" applyFont="1" applyFill="1" applyBorder="1"/>
    <xf numFmtId="0" fontId="7" fillId="3" borderId="40" xfId="0" applyFont="1" applyFill="1" applyBorder="1" applyAlignment="1">
      <alignment horizontal="left" vertical="center"/>
    </xf>
    <xf numFmtId="0" fontId="7" fillId="3" borderId="0" xfId="0" applyFont="1" applyFill="1" applyAlignment="1">
      <alignment horizontal="left" vertical="center"/>
    </xf>
    <xf numFmtId="0" fontId="1" fillId="5" borderId="0" xfId="0" applyFont="1" applyFill="1" applyAlignment="1">
      <alignment vertical="center"/>
    </xf>
    <xf numFmtId="165" fontId="7" fillId="3" borderId="156" xfId="0" applyNumberFormat="1" applyFont="1" applyFill="1" applyBorder="1" applyAlignment="1">
      <alignment horizontal="left" vertical="center"/>
    </xf>
    <xf numFmtId="0" fontId="0" fillId="0" borderId="27" xfId="0" applyBorder="1"/>
    <xf numFmtId="0" fontId="14" fillId="3" borderId="105" xfId="0" applyFont="1" applyFill="1" applyBorder="1" applyAlignment="1" applyProtection="1">
      <alignment horizontal="right" vertical="center"/>
      <protection hidden="1"/>
    </xf>
    <xf numFmtId="0" fontId="0" fillId="24" borderId="56" xfId="0" applyFill="1" applyBorder="1" applyAlignment="1">
      <alignment horizontal="right"/>
    </xf>
    <xf numFmtId="0" fontId="29" fillId="0" borderId="15" xfId="0" applyFont="1" applyBorder="1"/>
    <xf numFmtId="0" fontId="29" fillId="0" borderId="3" xfId="0" applyFont="1" applyBorder="1" applyAlignment="1">
      <alignment wrapText="1"/>
    </xf>
    <xf numFmtId="0" fontId="16" fillId="3" borderId="41" xfId="0" applyFont="1" applyFill="1" applyBorder="1" applyAlignment="1">
      <alignment vertical="top"/>
    </xf>
    <xf numFmtId="0" fontId="0" fillId="0" borderId="6" xfId="0" applyBorder="1"/>
    <xf numFmtId="0" fontId="0" fillId="8" borderId="6" xfId="0" applyFill="1" applyBorder="1"/>
    <xf numFmtId="0" fontId="0" fillId="18" borderId="6" xfId="0" applyFill="1" applyBorder="1"/>
    <xf numFmtId="0" fontId="0" fillId="13" borderId="157" xfId="0" applyFill="1" applyBorder="1"/>
    <xf numFmtId="0" fontId="0" fillId="10" borderId="77" xfId="0" applyFill="1" applyBorder="1"/>
    <xf numFmtId="0" fontId="0" fillId="9" borderId="77" xfId="0" applyFill="1" applyBorder="1"/>
    <xf numFmtId="0" fontId="20" fillId="10" borderId="77" xfId="0" applyFont="1" applyFill="1" applyBorder="1" applyAlignment="1">
      <alignment wrapText="1"/>
    </xf>
    <xf numFmtId="0" fontId="0" fillId="0" borderId="158" xfId="0" applyBorder="1"/>
    <xf numFmtId="0" fontId="29" fillId="13" borderId="118" xfId="0" applyFont="1" applyFill="1" applyBorder="1" applyAlignment="1">
      <alignment wrapText="1"/>
    </xf>
    <xf numFmtId="0" fontId="0" fillId="8" borderId="159" xfId="0" applyFill="1" applyBorder="1"/>
    <xf numFmtId="0" fontId="20" fillId="10" borderId="55" xfId="0" applyFont="1" applyFill="1" applyBorder="1"/>
    <xf numFmtId="0" fontId="29" fillId="8" borderId="57" xfId="0" applyFont="1" applyFill="1" applyBorder="1" applyAlignment="1">
      <alignment horizontal="right" wrapText="1"/>
    </xf>
    <xf numFmtId="0" fontId="0" fillId="18" borderId="57" xfId="0" applyFill="1" applyBorder="1"/>
    <xf numFmtId="0" fontId="29" fillId="13" borderId="60" xfId="0" applyFont="1" applyFill="1" applyBorder="1" applyAlignment="1">
      <alignment wrapText="1"/>
    </xf>
    <xf numFmtId="0" fontId="20" fillId="10" borderId="106" xfId="0" applyFont="1" applyFill="1" applyBorder="1"/>
    <xf numFmtId="0" fontId="0" fillId="8" borderId="7" xfId="0" applyFill="1" applyBorder="1" applyAlignment="1">
      <alignment horizontal="center" wrapText="1"/>
    </xf>
    <xf numFmtId="0" fontId="20" fillId="10" borderId="68" xfId="0" applyFont="1" applyFill="1" applyBorder="1" applyAlignment="1">
      <alignment wrapText="1"/>
    </xf>
    <xf numFmtId="0" fontId="29" fillId="8" borderId="7" xfId="0" applyFont="1" applyFill="1" applyBorder="1" applyAlignment="1">
      <alignment horizontal="center" wrapText="1"/>
    </xf>
    <xf numFmtId="0" fontId="0" fillId="13" borderId="118" xfId="0" applyFill="1" applyBorder="1"/>
    <xf numFmtId="0" fontId="0" fillId="18" borderId="70" xfId="0" applyFill="1" applyBorder="1"/>
    <xf numFmtId="0" fontId="0" fillId="0" borderId="151" xfId="0" applyBorder="1"/>
    <xf numFmtId="0" fontId="0" fillId="20" borderId="2" xfId="0" applyFill="1" applyBorder="1"/>
    <xf numFmtId="0" fontId="0" fillId="0" borderId="81" xfId="0" applyBorder="1"/>
    <xf numFmtId="0" fontId="0" fillId="8" borderId="19" xfId="0" applyFill="1" applyBorder="1"/>
    <xf numFmtId="0" fontId="0" fillId="8" borderId="73" xfId="0" applyFill="1" applyBorder="1"/>
    <xf numFmtId="0" fontId="0" fillId="8" borderId="22" xfId="0" applyFill="1" applyBorder="1"/>
    <xf numFmtId="0" fontId="0" fillId="20" borderId="0" xfId="0" applyFill="1" applyAlignment="1">
      <alignment horizontal="right"/>
    </xf>
    <xf numFmtId="1" fontId="0" fillId="20" borderId="2" xfId="0" applyNumberFormat="1" applyFill="1" applyBorder="1"/>
    <xf numFmtId="1" fontId="0" fillId="20" borderId="57" xfId="0" applyNumberFormat="1" applyFill="1" applyBorder="1"/>
    <xf numFmtId="1" fontId="29" fillId="20" borderId="57" xfId="0" applyNumberFormat="1" applyFont="1" applyFill="1" applyBorder="1"/>
    <xf numFmtId="1" fontId="0" fillId="20" borderId="56" xfId="0" applyNumberFormat="1" applyFill="1" applyBorder="1"/>
    <xf numFmtId="0" fontId="29" fillId="2" borderId="0" xfId="0" applyFont="1" applyFill="1" applyProtection="1">
      <protection hidden="1"/>
    </xf>
    <xf numFmtId="0" fontId="0" fillId="8" borderId="7" xfId="0" applyFill="1" applyBorder="1" applyProtection="1">
      <protection hidden="1"/>
    </xf>
    <xf numFmtId="0" fontId="87" fillId="3" borderId="131" xfId="0" applyFont="1" applyFill="1" applyBorder="1" applyAlignment="1" applyProtection="1">
      <alignment horizontal="right" vertical="center"/>
      <protection hidden="1"/>
    </xf>
    <xf numFmtId="0" fontId="7" fillId="3" borderId="134" xfId="0" applyFont="1" applyFill="1" applyBorder="1" applyAlignment="1" applyProtection="1">
      <alignment horizontal="right" vertical="center"/>
      <protection hidden="1"/>
    </xf>
    <xf numFmtId="0" fontId="34" fillId="4" borderId="2" xfId="0" applyFont="1" applyFill="1" applyBorder="1" applyAlignment="1" applyProtection="1">
      <alignment horizontal="left" vertical="center" wrapText="1"/>
      <protection hidden="1"/>
    </xf>
    <xf numFmtId="0" fontId="29" fillId="2" borderId="126" xfId="0" applyFont="1" applyFill="1" applyBorder="1" applyAlignment="1" applyProtection="1">
      <alignment horizontal="left" wrapText="1"/>
      <protection hidden="1"/>
    </xf>
    <xf numFmtId="0" fontId="29" fillId="2" borderId="0" xfId="0" applyFont="1" applyFill="1" applyAlignment="1" applyProtection="1">
      <alignment horizontal="left" wrapText="1"/>
      <protection hidden="1"/>
    </xf>
    <xf numFmtId="0" fontId="29" fillId="2" borderId="97" xfId="0" applyFont="1" applyFill="1" applyBorder="1" applyAlignment="1" applyProtection="1">
      <alignment horizontal="left" wrapText="1"/>
      <protection hidden="1"/>
    </xf>
    <xf numFmtId="0" fontId="29" fillId="2" borderId="111" xfId="0" applyFont="1" applyFill="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29" fillId="2" borderId="127" xfId="0" applyFont="1" applyFill="1" applyBorder="1" applyAlignment="1" applyProtection="1">
      <alignment horizontal="center" vertical="top" wrapText="1"/>
      <protection hidden="1"/>
    </xf>
    <xf numFmtId="0" fontId="29" fillId="4" borderId="5" xfId="0" applyFont="1" applyFill="1" applyBorder="1" applyAlignment="1" applyProtection="1">
      <alignment wrapText="1"/>
      <protection hidden="1"/>
    </xf>
    <xf numFmtId="0" fontId="29" fillId="2" borderId="97" xfId="0" applyFont="1" applyFill="1" applyBorder="1" applyAlignment="1" applyProtection="1">
      <alignment vertical="top" wrapText="1"/>
      <protection hidden="1"/>
    </xf>
    <xf numFmtId="0" fontId="29" fillId="2" borderId="0" xfId="0" applyFont="1" applyFill="1" applyAlignment="1" applyProtection="1">
      <alignment horizontal="center" vertical="top" wrapText="1"/>
      <protection hidden="1"/>
    </xf>
    <xf numFmtId="0" fontId="29" fillId="4" borderId="5" xfId="0" applyFont="1" applyFill="1" applyBorder="1" applyAlignment="1" applyProtection="1">
      <alignment vertical="top" wrapText="1"/>
      <protection hidden="1"/>
    </xf>
    <xf numFmtId="0" fontId="29" fillId="2" borderId="12" xfId="0" applyFont="1" applyFill="1" applyBorder="1" applyAlignment="1" applyProtection="1">
      <alignment horizontal="center" vertical="top" wrapText="1"/>
      <protection hidden="1"/>
    </xf>
    <xf numFmtId="0" fontId="67" fillId="3" borderId="1" xfId="0" applyFont="1" applyFill="1" applyBorder="1" applyAlignment="1" applyProtection="1">
      <alignment vertical="top" wrapText="1"/>
      <protection hidden="1"/>
    </xf>
    <xf numFmtId="0" fontId="45" fillId="4" borderId="1" xfId="0" applyFont="1" applyFill="1" applyBorder="1" applyAlignment="1" applyProtection="1">
      <alignment horizontal="left" wrapText="1"/>
      <protection hidden="1"/>
    </xf>
    <xf numFmtId="0" fontId="32" fillId="4" borderId="34" xfId="0" applyFont="1" applyFill="1" applyBorder="1" applyAlignment="1" applyProtection="1">
      <alignment horizontal="left" vertical="center" wrapText="1"/>
      <protection hidden="1"/>
    </xf>
    <xf numFmtId="0" fontId="1" fillId="4" borderId="27" xfId="0" applyFont="1" applyFill="1" applyBorder="1" applyAlignment="1" applyProtection="1">
      <alignment horizontal="left" vertical="center" wrapText="1"/>
      <protection hidden="1"/>
    </xf>
    <xf numFmtId="165" fontId="32" fillId="4" borderId="28" xfId="0" applyNumberFormat="1" applyFont="1" applyFill="1" applyBorder="1" applyAlignment="1" applyProtection="1">
      <alignment horizontal="left" vertical="center" wrapText="1"/>
      <protection hidden="1"/>
    </xf>
    <xf numFmtId="0" fontId="54" fillId="2" borderId="0" xfId="0" applyFont="1" applyFill="1" applyAlignment="1" applyProtection="1">
      <alignment horizontal="left" wrapText="1"/>
      <protection hidden="1"/>
    </xf>
    <xf numFmtId="10" fontId="23" fillId="4" borderId="2" xfId="0" applyNumberFormat="1" applyFont="1" applyFill="1" applyBorder="1" applyAlignment="1" applyProtection="1">
      <alignment horizontal="center" vertical="center" wrapText="1"/>
      <protection hidden="1"/>
    </xf>
    <xf numFmtId="0" fontId="34" fillId="4" borderId="4" xfId="0" applyFont="1" applyFill="1" applyBorder="1" applyAlignment="1" applyProtection="1">
      <alignment horizontal="left" vertical="center" wrapText="1"/>
      <protection hidden="1"/>
    </xf>
    <xf numFmtId="0" fontId="71" fillId="4" borderId="15" xfId="0" applyFont="1" applyFill="1" applyBorder="1" applyAlignment="1" applyProtection="1">
      <alignment vertical="center" wrapText="1"/>
      <protection hidden="1"/>
    </xf>
    <xf numFmtId="0" fontId="29" fillId="4" borderId="15" xfId="0" applyFont="1" applyFill="1" applyBorder="1" applyAlignment="1" applyProtection="1">
      <alignment vertical="center" wrapText="1"/>
      <protection hidden="1"/>
    </xf>
    <xf numFmtId="0" fontId="27" fillId="2" borderId="0" xfId="0" applyFont="1" applyFill="1" applyAlignment="1" applyProtection="1">
      <alignment horizontal="left" vertical="center" wrapText="1"/>
      <protection hidden="1"/>
    </xf>
    <xf numFmtId="0" fontId="0" fillId="20" borderId="56" xfId="0" applyFill="1" applyBorder="1"/>
    <xf numFmtId="0" fontId="0" fillId="22" borderId="59" xfId="0" applyFill="1" applyBorder="1" applyAlignment="1">
      <alignment wrapText="1"/>
    </xf>
    <xf numFmtId="0" fontId="29" fillId="22" borderId="2" xfId="0" applyFont="1" applyFill="1" applyBorder="1" applyAlignment="1">
      <alignment wrapText="1"/>
    </xf>
    <xf numFmtId="0" fontId="21" fillId="0" borderId="0" xfId="0" applyFont="1" applyAlignment="1">
      <alignment horizontal="right"/>
    </xf>
    <xf numFmtId="0" fontId="21" fillId="4" borderId="0" xfId="0" applyFont="1" applyFill="1" applyAlignment="1" applyProtection="1">
      <alignment vertical="center"/>
      <protection hidden="1"/>
    </xf>
    <xf numFmtId="0" fontId="0" fillId="0" borderId="156" xfId="0" applyBorder="1" applyAlignment="1" applyProtection="1">
      <alignment wrapText="1"/>
      <protection hidden="1"/>
    </xf>
    <xf numFmtId="0" fontId="0" fillId="0" borderId="138" xfId="0" applyBorder="1" applyAlignment="1" applyProtection="1">
      <alignment wrapText="1"/>
      <protection hidden="1"/>
    </xf>
    <xf numFmtId="0" fontId="20" fillId="4" borderId="0" xfId="0" applyFont="1" applyFill="1"/>
    <xf numFmtId="0" fontId="29" fillId="8" borderId="0" xfId="0" applyFont="1" applyFill="1" applyProtection="1">
      <protection hidden="1"/>
    </xf>
    <xf numFmtId="0" fontId="0" fillId="21" borderId="0" xfId="0" applyFill="1" applyAlignment="1">
      <alignment wrapText="1"/>
    </xf>
    <xf numFmtId="0" fontId="20" fillId="21" borderId="81" xfId="0" applyFont="1" applyFill="1" applyBorder="1" applyAlignment="1">
      <alignment horizontal="center" wrapText="1"/>
    </xf>
    <xf numFmtId="0" fontId="0" fillId="25" borderId="0" xfId="0" applyFill="1"/>
    <xf numFmtId="0" fontId="20" fillId="25" borderId="148" xfId="0" applyFont="1" applyFill="1" applyBorder="1" applyAlignment="1">
      <alignment horizontal="center" wrapText="1"/>
    </xf>
    <xf numFmtId="0" fontId="0" fillId="26" borderId="0" xfId="0" applyFill="1" applyAlignment="1">
      <alignment wrapText="1"/>
    </xf>
    <xf numFmtId="0" fontId="20" fillId="26" borderId="81" xfId="0" applyFont="1" applyFill="1" applyBorder="1" applyAlignment="1">
      <alignment horizontal="center" wrapText="1"/>
    </xf>
    <xf numFmtId="0" fontId="0" fillId="27" borderId="0" xfId="0" applyFill="1"/>
    <xf numFmtId="0" fontId="20" fillId="27" borderId="148" xfId="0" applyFont="1" applyFill="1" applyBorder="1" applyAlignment="1">
      <alignment horizontal="center" wrapText="1"/>
    </xf>
    <xf numFmtId="0" fontId="75" fillId="25" borderId="2" xfId="0" applyFont="1" applyFill="1" applyBorder="1" applyAlignment="1">
      <alignment horizontal="left" indent="2"/>
    </xf>
    <xf numFmtId="0" fontId="29" fillId="25" borderId="53" xfId="0" applyFont="1" applyFill="1" applyBorder="1"/>
    <xf numFmtId="0" fontId="29" fillId="25" borderId="56" xfId="0" applyFont="1" applyFill="1" applyBorder="1"/>
    <xf numFmtId="0" fontId="29" fillId="25" borderId="58" xfId="0" applyFont="1" applyFill="1" applyBorder="1"/>
    <xf numFmtId="0" fontId="29" fillId="25" borderId="3" xfId="0" applyFont="1" applyFill="1" applyBorder="1"/>
    <xf numFmtId="0" fontId="91" fillId="25" borderId="2" xfId="0" applyFont="1" applyFill="1" applyBorder="1" applyAlignment="1">
      <alignment horizontal="left" indent="2"/>
    </xf>
    <xf numFmtId="0" fontId="91" fillId="25" borderId="59" xfId="0" applyFont="1" applyFill="1" applyBorder="1" applyAlignment="1">
      <alignment horizontal="left" indent="2"/>
    </xf>
    <xf numFmtId="0" fontId="29" fillId="5" borderId="24" xfId="0" applyFont="1"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indent="2"/>
      <protection hidden="1"/>
    </xf>
    <xf numFmtId="0" fontId="29" fillId="5" borderId="88" xfId="0" applyFont="1"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indent="4"/>
      <protection hidden="1"/>
    </xf>
    <xf numFmtId="0" fontId="0" fillId="5" borderId="24" xfId="0" applyFill="1" applyBorder="1" applyAlignment="1" applyProtection="1">
      <alignment horizontal="left" vertical="center"/>
      <protection hidden="1"/>
    </xf>
    <xf numFmtId="0" fontId="55" fillId="4" borderId="12" xfId="0" applyFont="1" applyFill="1" applyBorder="1" applyProtection="1">
      <protection hidden="1"/>
    </xf>
    <xf numFmtId="0" fontId="55" fillId="0" borderId="0" xfId="0" applyFont="1" applyProtection="1">
      <protection hidden="1"/>
    </xf>
    <xf numFmtId="0" fontId="0" fillId="5" borderId="25" xfId="0" applyFill="1" applyBorder="1" applyAlignment="1" applyProtection="1">
      <alignment horizontal="left"/>
      <protection hidden="1"/>
    </xf>
    <xf numFmtId="0" fontId="0" fillId="5" borderId="31" xfId="0" applyFill="1" applyBorder="1" applyAlignment="1" applyProtection="1">
      <alignment horizontal="left"/>
      <protection hidden="1"/>
    </xf>
    <xf numFmtId="0" fontId="0" fillId="5" borderId="45" xfId="0" applyFill="1" applyBorder="1" applyAlignment="1" applyProtection="1">
      <alignment horizontal="left"/>
      <protection hidden="1"/>
    </xf>
    <xf numFmtId="0" fontId="29" fillId="5" borderId="25" xfId="0" applyFont="1" applyFill="1" applyBorder="1" applyAlignment="1" applyProtection="1">
      <alignment horizontal="center"/>
      <protection hidden="1"/>
    </xf>
    <xf numFmtId="0" fontId="0" fillId="5" borderId="25" xfId="0" applyFill="1" applyBorder="1" applyAlignment="1" applyProtection="1">
      <alignment horizontal="center"/>
      <protection hidden="1"/>
    </xf>
    <xf numFmtId="0" fontId="0" fillId="5" borderId="24" xfId="0" applyFill="1" applyBorder="1" applyAlignment="1" applyProtection="1">
      <alignment horizontal="left"/>
      <protection hidden="1"/>
    </xf>
    <xf numFmtId="0" fontId="29" fillId="4" borderId="0" xfId="0" applyFont="1" applyFill="1" applyProtection="1">
      <protection hidden="1"/>
    </xf>
    <xf numFmtId="16" fontId="0" fillId="0" borderId="2" xfId="0" applyNumberFormat="1" applyBorder="1"/>
    <xf numFmtId="16" fontId="0" fillId="8" borderId="2" xfId="0" applyNumberFormat="1" applyFill="1" applyBorder="1"/>
    <xf numFmtId="0" fontId="0" fillId="8" borderId="2" xfId="0" applyFill="1" applyBorder="1" applyAlignment="1">
      <alignment wrapText="1"/>
    </xf>
    <xf numFmtId="0" fontId="7" fillId="3" borderId="5" xfId="0" applyFont="1" applyFill="1" applyBorder="1" applyAlignment="1" applyProtection="1">
      <alignment horizontal="right" vertical="center"/>
      <protection hidden="1"/>
    </xf>
    <xf numFmtId="0" fontId="0" fillId="2" borderId="11" xfId="0" applyFill="1" applyBorder="1" applyProtection="1">
      <protection hidden="1"/>
    </xf>
    <xf numFmtId="0" fontId="29" fillId="25" borderId="12" xfId="0" applyFont="1" applyFill="1" applyBorder="1"/>
    <xf numFmtId="0" fontId="32" fillId="0" borderId="0" xfId="0" applyFont="1" applyAlignment="1">
      <alignment vertical="center"/>
    </xf>
    <xf numFmtId="0" fontId="94" fillId="0" borderId="0" xfId="0" applyFont="1" applyAlignment="1">
      <alignment vertical="center"/>
    </xf>
    <xf numFmtId="0" fontId="0" fillId="8" borderId="0" xfId="0" applyFill="1" applyAlignment="1">
      <alignment vertical="center"/>
    </xf>
    <xf numFmtId="14" fontId="0" fillId="8" borderId="0" xfId="0" applyNumberFormat="1" applyFill="1"/>
    <xf numFmtId="0" fontId="0" fillId="5" borderId="24" xfId="0" applyFill="1" applyBorder="1" applyAlignment="1" applyProtection="1">
      <alignment horizontal="left" vertical="center" indent="2"/>
      <protection hidden="1"/>
    </xf>
    <xf numFmtId="0" fontId="0" fillId="2" borderId="2" xfId="0" applyFill="1" applyBorder="1" applyProtection="1">
      <protection locked="0" hidden="1"/>
    </xf>
    <xf numFmtId="0" fontId="1" fillId="18" borderId="2" xfId="0" applyFont="1" applyFill="1" applyBorder="1" applyAlignment="1" applyProtection="1">
      <alignment vertical="center" wrapText="1"/>
      <protection locked="0" hidden="1"/>
    </xf>
    <xf numFmtId="14" fontId="0" fillId="0" borderId="0" xfId="0" applyNumberFormat="1"/>
    <xf numFmtId="0" fontId="25" fillId="6" borderId="155" xfId="0" applyFont="1" applyFill="1" applyBorder="1" applyAlignment="1">
      <alignment vertical="center"/>
    </xf>
    <xf numFmtId="0" fontId="25" fillId="6" borderId="0" xfId="0" applyFont="1" applyFill="1" applyAlignment="1">
      <alignment horizontal="center" vertical="center"/>
    </xf>
    <xf numFmtId="0" fontId="29" fillId="5" borderId="24" xfId="0" applyFont="1" applyFill="1" applyBorder="1" applyAlignment="1">
      <alignment horizontal="center" vertical="center"/>
    </xf>
    <xf numFmtId="0" fontId="0" fillId="5" borderId="24" xfId="0" applyFill="1" applyBorder="1" applyAlignment="1">
      <alignment horizontal="center" vertical="center"/>
    </xf>
    <xf numFmtId="0" fontId="0" fillId="5" borderId="24" xfId="0" quotePrefix="1" applyFill="1" applyBorder="1" applyAlignment="1">
      <alignment horizontal="center" vertical="center"/>
    </xf>
    <xf numFmtId="0" fontId="0" fillId="5" borderId="88" xfId="0" applyFill="1" applyBorder="1" applyAlignment="1">
      <alignment horizontal="center" vertical="center"/>
    </xf>
    <xf numFmtId="0" fontId="21" fillId="4" borderId="0" xfId="0" applyFont="1" applyFill="1" applyAlignment="1">
      <alignment horizontal="center" vertical="center"/>
    </xf>
    <xf numFmtId="0" fontId="29" fillId="5" borderId="88" xfId="0" applyFont="1" applyFill="1" applyBorder="1" applyAlignment="1">
      <alignment horizontal="center" vertical="center"/>
    </xf>
    <xf numFmtId="0" fontId="25" fillId="6" borderId="0" xfId="0" applyFont="1" applyFill="1" applyAlignment="1">
      <alignment horizontal="center" vertical="center" wrapText="1"/>
    </xf>
    <xf numFmtId="0" fontId="29" fillId="5" borderId="24" xfId="0" applyFont="1" applyFill="1" applyBorder="1" applyAlignment="1">
      <alignment horizontal="center" vertical="center" wrapText="1"/>
    </xf>
    <xf numFmtId="0" fontId="29" fillId="5" borderId="88" xfId="0" applyFont="1" applyFill="1" applyBorder="1" applyAlignment="1">
      <alignment horizontal="center" vertical="center" wrapText="1"/>
    </xf>
    <xf numFmtId="0" fontId="67" fillId="4"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21" fillId="4" borderId="0" xfId="0" applyFont="1" applyFill="1" applyAlignment="1" applyProtection="1">
      <alignment horizontal="center" vertical="center"/>
      <protection hidden="1"/>
    </xf>
    <xf numFmtId="0" fontId="21" fillId="2" borderId="0" xfId="0" applyFont="1" applyFill="1" applyAlignment="1" applyProtection="1">
      <alignment horizontal="center" vertical="center"/>
      <protection hidden="1"/>
    </xf>
    <xf numFmtId="16" fontId="0" fillId="5" borderId="24" xfId="0" quotePrefix="1" applyNumberFormat="1" applyFill="1" applyBorder="1" applyAlignment="1">
      <alignment horizontal="center" vertical="center"/>
    </xf>
    <xf numFmtId="0" fontId="0" fillId="5" borderId="24" xfId="0" quotePrefix="1" applyFill="1" applyBorder="1" applyAlignment="1">
      <alignment horizontal="center" vertical="center" wrapText="1"/>
    </xf>
    <xf numFmtId="0" fontId="23" fillId="5" borderId="24" xfId="0" applyFont="1" applyFill="1" applyBorder="1" applyAlignment="1">
      <alignment vertical="center"/>
    </xf>
    <xf numFmtId="0" fontId="23" fillId="5" borderId="24" xfId="0" applyFont="1" applyFill="1" applyBorder="1" applyAlignment="1">
      <alignment vertical="center" wrapText="1"/>
    </xf>
    <xf numFmtId="0" fontId="23" fillId="5" borderId="24" xfId="0" applyFont="1" applyFill="1" applyBorder="1" applyAlignment="1">
      <alignment horizontal="left" vertical="center"/>
    </xf>
    <xf numFmtId="0" fontId="34" fillId="5" borderId="88" xfId="0" applyFont="1" applyFill="1" applyBorder="1" applyAlignment="1">
      <alignment horizontal="left" vertical="center" wrapText="1"/>
    </xf>
    <xf numFmtId="0" fontId="23" fillId="5" borderId="24" xfId="0" quotePrefix="1" applyFont="1" applyFill="1" applyBorder="1" applyAlignment="1">
      <alignment horizontal="center" vertical="center"/>
    </xf>
    <xf numFmtId="0" fontId="23" fillId="5" borderId="24" xfId="0" applyFont="1" applyFill="1" applyBorder="1" applyAlignment="1">
      <alignment horizontal="center" vertical="center"/>
    </xf>
    <xf numFmtId="0" fontId="23" fillId="5" borderId="24" xfId="0" applyFont="1" applyFill="1" applyBorder="1" applyAlignment="1">
      <alignment horizontal="center" vertical="center" wrapText="1"/>
    </xf>
    <xf numFmtId="0" fontId="34" fillId="5" borderId="88" xfId="0" applyFont="1" applyFill="1" applyBorder="1" applyAlignment="1">
      <alignment horizontal="center" vertical="center" wrapText="1"/>
    </xf>
    <xf numFmtId="0" fontId="29" fillId="8" borderId="54" xfId="0" applyFont="1" applyFill="1" applyBorder="1" applyAlignment="1">
      <alignment wrapText="1"/>
    </xf>
    <xf numFmtId="0" fontId="91" fillId="0" borderId="2" xfId="0" applyFont="1" applyBorder="1" applyAlignment="1">
      <alignment horizontal="left" wrapText="1" indent="2"/>
    </xf>
    <xf numFmtId="0" fontId="29" fillId="8" borderId="5" xfId="0" applyFont="1" applyFill="1" applyBorder="1" applyAlignment="1">
      <alignment wrapText="1"/>
    </xf>
    <xf numFmtId="0" fontId="33" fillId="2" borderId="0" xfId="0" applyFont="1" applyFill="1" applyAlignment="1">
      <alignment horizontal="left" wrapText="1"/>
    </xf>
    <xf numFmtId="0" fontId="38" fillId="2" borderId="96" xfId="0" applyFont="1" applyFill="1" applyBorder="1" applyAlignment="1">
      <alignment horizontal="left" wrapText="1"/>
    </xf>
    <xf numFmtId="0" fontId="26" fillId="2" borderId="111" xfId="0" applyFont="1" applyFill="1" applyBorder="1" applyAlignment="1">
      <alignment wrapText="1"/>
    </xf>
    <xf numFmtId="0" fontId="26" fillId="2" borderId="1" xfId="0" applyFont="1" applyFill="1" applyBorder="1" applyAlignment="1">
      <alignment wrapText="1"/>
    </xf>
    <xf numFmtId="0" fontId="26" fillId="2" borderId="112" xfId="0" applyFont="1" applyFill="1" applyBorder="1" applyAlignment="1">
      <alignment horizontal="center" wrapText="1"/>
    </xf>
    <xf numFmtId="0" fontId="0" fillId="4" borderId="40" xfId="0" applyFill="1" applyBorder="1" applyAlignment="1">
      <alignment wrapText="1"/>
    </xf>
    <xf numFmtId="0" fontId="26" fillId="2" borderId="135" xfId="0" applyFont="1" applyFill="1" applyBorder="1" applyAlignment="1">
      <alignment horizontal="center" wrapText="1"/>
    </xf>
    <xf numFmtId="0" fontId="0" fillId="5" borderId="24" xfId="0" applyFill="1" applyBorder="1" applyAlignment="1">
      <alignment horizontal="left" vertical="center" wrapText="1" indent="5"/>
    </xf>
    <xf numFmtId="0" fontId="76" fillId="3" borderId="101" xfId="0" applyFont="1" applyFill="1" applyBorder="1" applyAlignment="1" applyProtection="1">
      <alignment horizontal="right" vertical="center" wrapText="1"/>
      <protection hidden="1"/>
    </xf>
    <xf numFmtId="0" fontId="14" fillId="3" borderId="6" xfId="0" applyFont="1" applyFill="1" applyBorder="1" applyAlignment="1" applyProtection="1">
      <alignment horizontal="right" vertical="center"/>
      <protection hidden="1"/>
    </xf>
    <xf numFmtId="0" fontId="14" fillId="3" borderId="107" xfId="0" applyFont="1" applyFill="1" applyBorder="1" applyAlignment="1" applyProtection="1">
      <alignment horizontal="right" vertical="center"/>
      <protection hidden="1"/>
    </xf>
    <xf numFmtId="0" fontId="14" fillId="3" borderId="110" xfId="0" applyFont="1" applyFill="1" applyBorder="1" applyAlignment="1" applyProtection="1">
      <alignment horizontal="right" vertical="center"/>
      <protection hidden="1"/>
    </xf>
    <xf numFmtId="0" fontId="14" fillId="3" borderId="25" xfId="0" applyFont="1" applyFill="1" applyBorder="1" applyAlignment="1" applyProtection="1">
      <alignment horizontal="left" vertical="center"/>
      <protection hidden="1"/>
    </xf>
    <xf numFmtId="0" fontId="14" fillId="3" borderId="24" xfId="0" applyFont="1" applyFill="1" applyBorder="1" applyAlignment="1" applyProtection="1">
      <alignment horizontal="left" vertical="center"/>
      <protection hidden="1"/>
    </xf>
    <xf numFmtId="0" fontId="14" fillId="3" borderId="27" xfId="0" applyFont="1" applyFill="1" applyBorder="1" applyAlignment="1" applyProtection="1">
      <alignment horizontal="left" vertical="center"/>
      <protection hidden="1"/>
    </xf>
    <xf numFmtId="0" fontId="95" fillId="0" borderId="0" xfId="0" applyFont="1"/>
    <xf numFmtId="0" fontId="96" fillId="0" borderId="0" xfId="0" applyFont="1" applyAlignment="1">
      <alignment vertical="center"/>
    </xf>
    <xf numFmtId="0" fontId="28" fillId="3" borderId="0" xfId="0" applyFont="1" applyFill="1" applyAlignment="1">
      <alignment vertical="top"/>
    </xf>
    <xf numFmtId="0" fontId="9" fillId="3" borderId="0" xfId="0" applyFont="1" applyFill="1"/>
    <xf numFmtId="1" fontId="28" fillId="3" borderId="0" xfId="0" applyNumberFormat="1" applyFont="1" applyFill="1" applyAlignment="1">
      <alignment vertical="top"/>
    </xf>
    <xf numFmtId="14" fontId="28" fillId="3" borderId="0" xfId="0" applyNumberFormat="1" applyFont="1" applyFill="1" applyAlignment="1">
      <alignment vertical="top"/>
    </xf>
    <xf numFmtId="0" fontId="43" fillId="0" borderId="0" xfId="0" applyFont="1"/>
    <xf numFmtId="0" fontId="55" fillId="0" borderId="0" xfId="0" applyFont="1"/>
    <xf numFmtId="0" fontId="29" fillId="0" borderId="0" xfId="0" applyFont="1" applyAlignment="1">
      <alignment horizontal="center"/>
    </xf>
    <xf numFmtId="0" fontId="5" fillId="2" borderId="0" xfId="0" applyFont="1" applyFill="1" applyAlignment="1" applyProtection="1">
      <alignment vertical="top" wrapText="1"/>
      <protection hidden="1"/>
    </xf>
    <xf numFmtId="0" fontId="5" fillId="2" borderId="1" xfId="0" applyFont="1" applyFill="1" applyBorder="1" applyAlignment="1" applyProtection="1">
      <alignment vertical="top" wrapText="1"/>
      <protection hidden="1"/>
    </xf>
    <xf numFmtId="0" fontId="5" fillId="2" borderId="0" xfId="0" applyFont="1" applyFill="1" applyProtection="1">
      <protection hidden="1"/>
    </xf>
    <xf numFmtId="0" fontId="5" fillId="4" borderId="0" xfId="0" applyFont="1" applyFill="1" applyAlignment="1" applyProtection="1">
      <alignment vertical="top" wrapText="1"/>
      <protection hidden="1"/>
    </xf>
    <xf numFmtId="0" fontId="4" fillId="4" borderId="0" xfId="0" applyFont="1" applyFill="1" applyAlignment="1" applyProtection="1">
      <alignment vertical="top" wrapText="1"/>
      <protection hidden="1"/>
    </xf>
    <xf numFmtId="0" fontId="5" fillId="0" borderId="0" xfId="0" applyFont="1" applyAlignment="1" applyProtection="1">
      <alignment vertical="top" wrapText="1"/>
      <protection hidden="1"/>
    </xf>
    <xf numFmtId="0" fontId="5" fillId="2" borderId="0" xfId="0" applyFont="1" applyFill="1" applyAlignment="1" applyProtection="1">
      <alignment horizontal="left" vertical="top" wrapText="1"/>
      <protection hidden="1"/>
    </xf>
    <xf numFmtId="0" fontId="4" fillId="2" borderId="0" xfId="0" applyFont="1" applyFill="1" applyProtection="1">
      <protection hidden="1"/>
    </xf>
    <xf numFmtId="0" fontId="4" fillId="2" borderId="1" xfId="0" applyFont="1" applyFill="1" applyBorder="1"/>
    <xf numFmtId="0" fontId="7" fillId="3" borderId="0" xfId="0" applyFont="1" applyFill="1" applyProtection="1">
      <protection hidden="1"/>
    </xf>
    <xf numFmtId="0" fontId="13" fillId="2" borderId="0" xfId="0" applyFont="1" applyFill="1" applyAlignment="1" applyProtection="1">
      <alignment horizontal="left" vertical="center"/>
      <protection hidden="1"/>
    </xf>
    <xf numFmtId="0" fontId="10" fillId="2" borderId="1" xfId="0" applyFont="1" applyFill="1" applyBorder="1" applyProtection="1">
      <protection hidden="1"/>
    </xf>
    <xf numFmtId="0" fontId="4" fillId="2" borderId="1" xfId="0" applyFont="1" applyFill="1" applyBorder="1" applyProtection="1">
      <protection hidden="1"/>
    </xf>
    <xf numFmtId="0" fontId="4" fillId="5" borderId="6" xfId="0" applyFont="1" applyFill="1" applyBorder="1" applyAlignment="1" applyProtection="1">
      <alignment horizontal="left" vertical="center"/>
      <protection hidden="1"/>
    </xf>
    <xf numFmtId="0" fontId="14" fillId="3" borderId="102" xfId="0" applyFont="1" applyFill="1" applyBorder="1" applyProtection="1">
      <protection hidden="1"/>
    </xf>
    <xf numFmtId="0" fontId="5" fillId="4" borderId="0" xfId="0" applyFont="1" applyFill="1" applyAlignment="1" applyProtection="1">
      <alignment horizontal="left" vertical="top" wrapText="1"/>
      <protection hidden="1"/>
    </xf>
    <xf numFmtId="0" fontId="14" fillId="3" borderId="45" xfId="0" applyFont="1" applyFill="1" applyBorder="1" applyProtection="1">
      <protection hidden="1"/>
    </xf>
    <xf numFmtId="0" fontId="14" fillId="3" borderId="27" xfId="0" applyFont="1" applyFill="1" applyBorder="1" applyProtection="1">
      <protection hidden="1"/>
    </xf>
    <xf numFmtId="0" fontId="14" fillId="3" borderId="155" xfId="0" applyFont="1" applyFill="1" applyBorder="1" applyProtection="1">
      <protection hidden="1"/>
    </xf>
    <xf numFmtId="0" fontId="14" fillId="3" borderId="103" xfId="0" applyFont="1" applyFill="1" applyBorder="1" applyProtection="1">
      <protection hidden="1"/>
    </xf>
    <xf numFmtId="0" fontId="4" fillId="5" borderId="31" xfId="0" applyFont="1" applyFill="1" applyBorder="1" applyAlignment="1" applyProtection="1">
      <alignment horizontal="center" vertical="center"/>
      <protection hidden="1"/>
    </xf>
    <xf numFmtId="0" fontId="4" fillId="5" borderId="32" xfId="0" applyFont="1" applyFill="1" applyBorder="1" applyAlignment="1" applyProtection="1">
      <alignment horizontal="center" vertical="center"/>
      <protection hidden="1"/>
    </xf>
    <xf numFmtId="9" fontId="4" fillId="5" borderId="30" xfId="2" applyFont="1" applyFill="1" applyBorder="1" applyAlignment="1" applyProtection="1">
      <alignment horizontal="center" vertical="center"/>
      <protection hidden="1"/>
    </xf>
    <xf numFmtId="9" fontId="4" fillId="5" borderId="31" xfId="2" applyFont="1" applyFill="1" applyBorder="1" applyAlignment="1" applyProtection="1">
      <alignment horizontal="center" vertical="center"/>
      <protection hidden="1"/>
    </xf>
    <xf numFmtId="164" fontId="4" fillId="5" borderId="34" xfId="2" applyNumberFormat="1" applyFont="1" applyFill="1" applyBorder="1" applyAlignment="1" applyProtection="1">
      <alignment horizontal="center" vertical="center"/>
      <protection hidden="1"/>
    </xf>
    <xf numFmtId="164" fontId="4" fillId="5" borderId="25" xfId="2" applyNumberFormat="1" applyFont="1" applyFill="1" applyBorder="1" applyAlignment="1" applyProtection="1">
      <alignment horizontal="center" vertical="center"/>
      <protection hidden="1"/>
    </xf>
    <xf numFmtId="164" fontId="4" fillId="5" borderId="113" xfId="2" applyNumberFormat="1" applyFont="1" applyFill="1" applyBorder="1" applyAlignment="1" applyProtection="1">
      <alignment horizontal="center" vertical="center"/>
      <protection hidden="1"/>
    </xf>
    <xf numFmtId="0" fontId="4" fillId="5" borderId="26"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9" fontId="4" fillId="5" borderId="29" xfId="2" applyFont="1" applyFill="1" applyBorder="1" applyAlignment="1" applyProtection="1">
      <alignment horizontal="center" vertical="center"/>
      <protection hidden="1"/>
    </xf>
    <xf numFmtId="164" fontId="4" fillId="5" borderId="28" xfId="2" applyNumberFormat="1" applyFont="1" applyFill="1" applyBorder="1" applyAlignment="1" applyProtection="1">
      <alignment horizontal="center" vertical="center"/>
      <protection hidden="1"/>
    </xf>
    <xf numFmtId="164" fontId="4" fillId="5" borderId="30" xfId="2" applyNumberFormat="1" applyFont="1" applyFill="1" applyBorder="1" applyAlignment="1" applyProtection="1">
      <alignment horizontal="center" vertical="center"/>
      <protection hidden="1"/>
    </xf>
    <xf numFmtId="0" fontId="23" fillId="4" borderId="0" xfId="0" applyFont="1" applyFill="1" applyProtection="1">
      <protection hidden="1"/>
    </xf>
    <xf numFmtId="0" fontId="23" fillId="4" borderId="0" xfId="0" applyFont="1" applyFill="1"/>
    <xf numFmtId="0" fontId="10" fillId="5" borderId="26" xfId="0" applyFont="1" applyFill="1" applyBorder="1" applyAlignment="1" applyProtection="1">
      <alignment horizontal="center" vertical="center"/>
      <protection hidden="1"/>
    </xf>
    <xf numFmtId="0" fontId="10" fillId="5" borderId="33" xfId="0" applyFont="1" applyFill="1" applyBorder="1" applyAlignment="1" applyProtection="1">
      <alignment horizontal="center" vertical="center"/>
      <protection hidden="1"/>
    </xf>
    <xf numFmtId="164" fontId="4" fillId="5" borderId="29" xfId="2" applyNumberFormat="1" applyFont="1" applyFill="1" applyBorder="1" applyAlignment="1" applyProtection="1">
      <alignment horizontal="center" vertical="center"/>
      <protection hidden="1"/>
    </xf>
    <xf numFmtId="0" fontId="10" fillId="5" borderId="28" xfId="0" applyFont="1" applyFill="1" applyBorder="1" applyAlignment="1" applyProtection="1">
      <alignment horizontal="center" vertical="center"/>
      <protection hidden="1"/>
    </xf>
    <xf numFmtId="164" fontId="4" fillId="5" borderId="26" xfId="2" applyNumberFormat="1" applyFont="1" applyFill="1" applyBorder="1" applyAlignment="1" applyProtection="1">
      <alignment horizontal="center" vertical="center"/>
      <protection hidden="1"/>
    </xf>
    <xf numFmtId="164" fontId="4" fillId="5" borderId="154" xfId="2" applyNumberFormat="1" applyFont="1" applyFill="1" applyBorder="1" applyAlignment="1" applyProtection="1">
      <alignment horizontal="center" vertical="center"/>
      <protection hidden="1"/>
    </xf>
    <xf numFmtId="164" fontId="10" fillId="5" borderId="28" xfId="2" applyNumberFormat="1" applyFont="1" applyFill="1" applyBorder="1" applyAlignment="1" applyProtection="1">
      <alignment horizontal="center" vertical="center"/>
      <protection hidden="1"/>
    </xf>
    <xf numFmtId="164" fontId="10" fillId="5" borderId="24" xfId="2" applyNumberFormat="1" applyFont="1" applyFill="1" applyBorder="1" applyAlignment="1" applyProtection="1">
      <alignment horizontal="center" vertical="center"/>
      <protection hidden="1"/>
    </xf>
    <xf numFmtId="164" fontId="10" fillId="5" borderId="29" xfId="2" applyNumberFormat="1" applyFont="1" applyFill="1" applyBorder="1" applyAlignment="1" applyProtection="1">
      <alignment horizontal="center" vertical="center"/>
      <protection hidden="1"/>
    </xf>
    <xf numFmtId="0" fontId="14" fillId="3" borderId="27" xfId="0" applyFont="1" applyFill="1" applyBorder="1" applyAlignment="1" applyProtection="1">
      <alignment horizontal="right" vertical="center"/>
      <protection hidden="1"/>
    </xf>
    <xf numFmtId="9" fontId="14" fillId="3" borderId="154" xfId="0" applyNumberFormat="1" applyFont="1" applyFill="1" applyBorder="1" applyAlignment="1" applyProtection="1">
      <alignment horizontal="right" vertical="center"/>
      <protection hidden="1"/>
    </xf>
    <xf numFmtId="164" fontId="4" fillId="5" borderId="24" xfId="2" applyNumberFormat="1" applyFont="1" applyFill="1" applyBorder="1" applyAlignment="1" applyProtection="1">
      <alignment horizontal="center" vertical="center"/>
      <protection hidden="1"/>
    </xf>
    <xf numFmtId="0" fontId="32" fillId="2" borderId="0" xfId="0" applyFont="1" applyFill="1" applyAlignment="1" applyProtection="1">
      <alignment horizontal="center" wrapText="1"/>
      <protection hidden="1"/>
    </xf>
    <xf numFmtId="0" fontId="24" fillId="2" borderId="21" xfId="0" applyFont="1" applyFill="1" applyBorder="1" applyProtection="1">
      <protection hidden="1"/>
    </xf>
    <xf numFmtId="0" fontId="24" fillId="2" borderId="22" xfId="0" applyFont="1" applyFill="1" applyBorder="1" applyProtection="1">
      <protection hidden="1"/>
    </xf>
    <xf numFmtId="10" fontId="24" fillId="2" borderId="23" xfId="0" applyNumberFormat="1" applyFont="1" applyFill="1" applyBorder="1" applyProtection="1">
      <protection hidden="1"/>
    </xf>
    <xf numFmtId="0" fontId="24" fillId="2" borderId="16" xfId="0" applyFont="1" applyFill="1" applyBorder="1" applyProtection="1">
      <protection hidden="1"/>
    </xf>
    <xf numFmtId="10" fontId="24" fillId="2" borderId="17" xfId="0" applyNumberFormat="1" applyFont="1" applyFill="1" applyBorder="1" applyProtection="1">
      <protection hidden="1"/>
    </xf>
    <xf numFmtId="0" fontId="24" fillId="2" borderId="18" xfId="0" applyFont="1" applyFill="1" applyBorder="1" applyProtection="1">
      <protection hidden="1"/>
    </xf>
    <xf numFmtId="0" fontId="24" fillId="2" borderId="19" xfId="0" applyFont="1" applyFill="1" applyBorder="1" applyProtection="1">
      <protection hidden="1"/>
    </xf>
    <xf numFmtId="10" fontId="24" fillId="2" borderId="20" xfId="0" applyNumberFormat="1" applyFont="1" applyFill="1" applyBorder="1" applyProtection="1">
      <protection hidden="1"/>
    </xf>
    <xf numFmtId="0" fontId="4" fillId="2" borderId="14" xfId="0" applyFont="1" applyFill="1" applyBorder="1" applyProtection="1">
      <protection hidden="1"/>
    </xf>
    <xf numFmtId="0" fontId="5" fillId="2" borderId="0" xfId="0" applyFont="1" applyFill="1" applyAlignment="1" applyProtection="1">
      <alignment horizontal="left" vertical="top"/>
      <protection hidden="1"/>
    </xf>
    <xf numFmtId="166" fontId="23" fillId="5" borderId="34" xfId="0" applyNumberFormat="1" applyFont="1" applyFill="1" applyBorder="1" applyAlignment="1" applyProtection="1">
      <alignment horizontal="center" vertical="center"/>
      <protection hidden="1"/>
    </xf>
    <xf numFmtId="166" fontId="4" fillId="5" borderId="33" xfId="0" applyNumberFormat="1" applyFont="1" applyFill="1" applyBorder="1" applyAlignment="1" applyProtection="1">
      <alignment horizontal="center" vertical="center"/>
      <protection hidden="1"/>
    </xf>
    <xf numFmtId="166" fontId="10" fillId="5" borderId="33" xfId="0" applyNumberFormat="1" applyFont="1" applyFill="1" applyBorder="1" applyAlignment="1" applyProtection="1">
      <alignment horizontal="center" vertical="center"/>
      <protection hidden="1"/>
    </xf>
    <xf numFmtId="0" fontId="1" fillId="2" borderId="6" xfId="0" applyFont="1" applyFill="1" applyBorder="1" applyAlignment="1" applyProtection="1">
      <alignment horizontal="left" vertical="center" wrapText="1"/>
      <protection hidden="1"/>
    </xf>
    <xf numFmtId="0" fontId="93" fillId="2" borderId="6" xfId="0" applyFont="1" applyFill="1" applyBorder="1" applyAlignment="1" applyProtection="1">
      <alignment horizontal="left" vertical="center" wrapText="1"/>
      <protection hidden="1"/>
    </xf>
    <xf numFmtId="49" fontId="1" fillId="2" borderId="6" xfId="0" applyNumberFormat="1" applyFont="1" applyFill="1" applyBorder="1" applyAlignment="1" applyProtection="1">
      <alignment horizontal="center" vertical="center"/>
      <protection hidden="1"/>
    </xf>
    <xf numFmtId="14" fontId="1" fillId="2" borderId="6" xfId="0" applyNumberFormat="1" applyFont="1" applyFill="1" applyBorder="1" applyAlignment="1" applyProtection="1">
      <alignment horizontal="center" vertical="center"/>
      <protection hidden="1"/>
    </xf>
    <xf numFmtId="10" fontId="0" fillId="2" borderId="0" xfId="0" applyNumberFormat="1" applyFill="1" applyProtection="1">
      <protection hidden="1"/>
    </xf>
    <xf numFmtId="0" fontId="0" fillId="5" borderId="24" xfId="0" applyFill="1" applyBorder="1" applyAlignment="1">
      <alignment horizontal="left" vertical="center" wrapText="1" indent="6"/>
    </xf>
    <xf numFmtId="164" fontId="23" fillId="5" borderId="28" xfId="0" applyNumberFormat="1" applyFont="1" applyFill="1" applyBorder="1" applyAlignment="1">
      <alignment horizontal="center" vertical="center"/>
    </xf>
    <xf numFmtId="0" fontId="0" fillId="4" borderId="2" xfId="0" applyFill="1" applyBorder="1" applyProtection="1">
      <protection hidden="1"/>
    </xf>
    <xf numFmtId="0" fontId="0" fillId="4" borderId="2" xfId="0" applyFill="1" applyBorder="1" applyAlignment="1" applyProtection="1">
      <alignment horizontal="left"/>
      <protection hidden="1"/>
    </xf>
    <xf numFmtId="0" fontId="9" fillId="4" borderId="2" xfId="0" applyFont="1" applyFill="1" applyBorder="1" applyAlignment="1">
      <alignment horizontal="left" vertical="top" wrapText="1"/>
    </xf>
    <xf numFmtId="0" fontId="0" fillId="8" borderId="106" xfId="0" applyFill="1" applyBorder="1"/>
    <xf numFmtId="0" fontId="0" fillId="0" borderId="106" xfId="0" applyBorder="1"/>
    <xf numFmtId="0" fontId="97" fillId="0" borderId="0" xfId="0" applyFont="1"/>
    <xf numFmtId="0" fontId="97" fillId="0" borderId="0" xfId="0" applyFont="1" applyAlignment="1">
      <alignment vertical="center"/>
    </xf>
    <xf numFmtId="10" fontId="1" fillId="5" borderId="7" xfId="0" applyNumberFormat="1" applyFont="1" applyFill="1" applyBorder="1" applyAlignment="1" applyProtection="1">
      <alignment horizontal="left" vertical="center"/>
      <protection hidden="1"/>
    </xf>
    <xf numFmtId="10" fontId="1" fillId="5" borderId="2" xfId="0" applyNumberFormat="1" applyFont="1" applyFill="1" applyBorder="1" applyAlignment="1" applyProtection="1">
      <alignment horizontal="left" vertical="center"/>
      <protection hidden="1"/>
    </xf>
    <xf numFmtId="0" fontId="57" fillId="2" borderId="14" xfId="0" applyFont="1" applyFill="1" applyBorder="1" applyAlignment="1" applyProtection="1">
      <alignment horizontal="center" vertical="top" wrapText="1"/>
      <protection hidden="1"/>
    </xf>
    <xf numFmtId="0" fontId="4" fillId="2" borderId="8" xfId="0" applyFont="1" applyFill="1" applyBorder="1" applyProtection="1">
      <protection hidden="1"/>
    </xf>
    <xf numFmtId="0" fontId="7" fillId="3" borderId="2" xfId="0" applyFont="1" applyFill="1" applyBorder="1" applyAlignment="1" applyProtection="1">
      <alignment horizontal="right" wrapText="1"/>
      <protection hidden="1"/>
    </xf>
    <xf numFmtId="0" fontId="0" fillId="0" borderId="0" xfId="0" applyAlignment="1">
      <alignment horizontal="left" vertical="top" wrapText="1"/>
    </xf>
    <xf numFmtId="0" fontId="55" fillId="0" borderId="0" xfId="0" applyFont="1" applyAlignment="1">
      <alignment horizontal="left" vertical="top"/>
    </xf>
    <xf numFmtId="0" fontId="32" fillId="2" borderId="0" xfId="0" applyFont="1" applyFill="1" applyAlignment="1" applyProtection="1">
      <alignment horizontal="left" vertical="top" wrapText="1"/>
      <protection hidden="1"/>
    </xf>
    <xf numFmtId="0" fontId="32" fillId="2" borderId="11" xfId="0" applyFont="1" applyFill="1" applyBorder="1" applyAlignment="1" applyProtection="1">
      <alignment horizontal="left" vertical="top" wrapText="1"/>
      <protection hidden="1"/>
    </xf>
    <xf numFmtId="0" fontId="32" fillId="4" borderId="0" xfId="0" applyFont="1" applyFill="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9" fillId="4" borderId="40" xfId="0" applyFont="1" applyFill="1" applyBorder="1" applyAlignment="1">
      <alignment horizontal="center" vertical="top" wrapText="1"/>
    </xf>
    <xf numFmtId="0" fontId="9" fillId="4" borderId="0" xfId="0" applyFont="1" applyFill="1" applyAlignment="1">
      <alignment horizontal="center" vertical="top" wrapText="1"/>
    </xf>
    <xf numFmtId="0" fontId="41" fillId="2" borderId="51" xfId="0" applyFont="1" applyFill="1" applyBorder="1" applyAlignment="1">
      <alignment horizontal="center" wrapText="1"/>
    </xf>
    <xf numFmtId="0" fontId="41" fillId="2" borderId="1" xfId="0" applyFont="1" applyFill="1" applyBorder="1" applyAlignment="1">
      <alignment horizontal="center" wrapText="1"/>
    </xf>
    <xf numFmtId="0" fontId="41" fillId="2" borderId="41" xfId="0" applyFont="1" applyFill="1" applyBorder="1" applyAlignment="1">
      <alignment horizontal="center" wrapText="1"/>
    </xf>
    <xf numFmtId="0" fontId="0" fillId="5" borderId="137" xfId="0" applyFill="1" applyBorder="1" applyAlignment="1">
      <alignment horizontal="left" vertical="top" wrapText="1"/>
    </xf>
    <xf numFmtId="0" fontId="0" fillId="5" borderId="135" xfId="0" applyFill="1" applyBorder="1" applyAlignment="1">
      <alignment horizontal="left" vertical="top" wrapText="1"/>
    </xf>
    <xf numFmtId="0" fontId="52" fillId="0" borderId="147" xfId="0" applyFont="1" applyBorder="1" applyAlignment="1" applyProtection="1">
      <alignment horizontal="left" vertical="top"/>
      <protection locked="0"/>
    </xf>
    <xf numFmtId="0" fontId="52" fillId="0" borderId="0" xfId="0" applyFont="1" applyAlignment="1" applyProtection="1">
      <alignment horizontal="left" vertical="top"/>
      <protection locked="0"/>
    </xf>
    <xf numFmtId="0" fontId="52" fillId="0" borderId="12" xfId="0" applyFont="1" applyBorder="1" applyAlignment="1" applyProtection="1">
      <alignment horizontal="left" vertical="top"/>
      <protection locked="0"/>
    </xf>
    <xf numFmtId="0" fontId="52" fillId="0" borderId="0" xfId="0" applyFont="1" applyAlignment="1" applyProtection="1">
      <alignment horizontal="left"/>
      <protection locked="0"/>
    </xf>
    <xf numFmtId="0" fontId="52" fillId="0" borderId="12" xfId="0" applyFont="1" applyBorder="1" applyAlignment="1" applyProtection="1">
      <alignment horizontal="left"/>
      <protection locked="0"/>
    </xf>
    <xf numFmtId="0" fontId="52" fillId="0" borderId="147" xfId="0" applyFont="1" applyBorder="1" applyAlignment="1" applyProtection="1">
      <alignment horizontal="left"/>
      <protection locked="0"/>
    </xf>
    <xf numFmtId="0" fontId="51" fillId="0" borderId="120" xfId="0" applyFont="1" applyBorder="1" applyAlignment="1" applyProtection="1">
      <alignment horizontal="left" vertical="center"/>
      <protection locked="0"/>
    </xf>
    <xf numFmtId="0" fontId="51" fillId="0" borderId="121" xfId="0" applyFont="1" applyBorder="1" applyAlignment="1" applyProtection="1">
      <alignment horizontal="left" vertical="center"/>
      <protection locked="0"/>
    </xf>
    <xf numFmtId="0" fontId="51" fillId="0" borderId="122" xfId="0" applyFont="1" applyBorder="1" applyAlignment="1" applyProtection="1">
      <alignment horizontal="left" vertical="center"/>
      <protection locked="0"/>
    </xf>
    <xf numFmtId="0" fontId="51" fillId="0" borderId="120" xfId="0" applyFont="1" applyBorder="1" applyAlignment="1" applyProtection="1">
      <alignment horizontal="left" vertical="top"/>
      <protection locked="0"/>
    </xf>
    <xf numFmtId="0" fontId="51" fillId="0" borderId="121" xfId="0" applyFont="1" applyBorder="1" applyAlignment="1" applyProtection="1">
      <alignment horizontal="left" vertical="top"/>
      <protection locked="0"/>
    </xf>
    <xf numFmtId="0" fontId="51" fillId="0" borderId="122" xfId="0" applyFont="1" applyBorder="1" applyAlignment="1" applyProtection="1">
      <alignment horizontal="left" vertical="top"/>
      <protection locked="0"/>
    </xf>
    <xf numFmtId="0" fontId="48" fillId="19" borderId="2" xfId="0" applyFont="1" applyFill="1" applyBorder="1" applyAlignment="1">
      <alignment horizontal="left" vertical="top" wrapText="1"/>
    </xf>
    <xf numFmtId="0" fontId="48" fillId="19" borderId="2" xfId="0" applyFont="1" applyFill="1" applyBorder="1" applyAlignment="1">
      <alignment horizontal="center" vertical="top" wrapText="1"/>
    </xf>
    <xf numFmtId="0" fontId="79" fillId="19" borderId="2" xfId="0" applyFont="1" applyFill="1" applyBorder="1" applyAlignment="1">
      <alignment horizontal="center" vertical="center" wrapText="1"/>
    </xf>
    <xf numFmtId="0" fontId="51" fillId="0" borderId="143" xfId="0" applyFont="1" applyBorder="1" applyAlignment="1" applyProtection="1">
      <alignment horizontal="left" vertical="top"/>
      <protection locked="0"/>
    </xf>
    <xf numFmtId="0" fontId="51" fillId="0" borderId="144" xfId="0" applyFont="1" applyBorder="1" applyAlignment="1" applyProtection="1">
      <alignment horizontal="left" vertical="top"/>
      <protection locked="0"/>
    </xf>
    <xf numFmtId="0" fontId="51" fillId="0" borderId="145" xfId="0" applyFont="1" applyBorder="1" applyAlignment="1" applyProtection="1">
      <alignment horizontal="left" vertical="top"/>
      <protection locked="0"/>
    </xf>
    <xf numFmtId="0" fontId="51" fillId="0" borderId="146" xfId="0" applyFont="1" applyBorder="1" applyAlignment="1" applyProtection="1">
      <alignment horizontal="left" vertical="top"/>
      <protection locked="0"/>
    </xf>
    <xf numFmtId="0" fontId="51" fillId="0" borderId="0" xfId="0" applyFont="1" applyAlignment="1" applyProtection="1">
      <alignment horizontal="left" vertical="top"/>
      <protection locked="0"/>
    </xf>
    <xf numFmtId="0" fontId="52" fillId="0" borderId="147" xfId="0" applyFont="1" applyBorder="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52" fillId="0" borderId="12" xfId="0" applyFont="1" applyBorder="1" applyAlignment="1" applyProtection="1">
      <alignment horizontal="left" vertical="top" wrapText="1"/>
      <protection locked="0"/>
    </xf>
    <xf numFmtId="0" fontId="48" fillId="0" borderId="147" xfId="0" applyFont="1" applyBorder="1" applyAlignment="1">
      <alignment horizontal="left" vertical="top"/>
    </xf>
    <xf numFmtId="0" fontId="48" fillId="0" borderId="0" xfId="0" applyFont="1" applyAlignment="1">
      <alignment horizontal="left" vertical="top"/>
    </xf>
    <xf numFmtId="0" fontId="48" fillId="0" borderId="12" xfId="0" applyFont="1" applyBorder="1" applyAlignment="1">
      <alignment horizontal="left" vertical="top"/>
    </xf>
    <xf numFmtId="0" fontId="51" fillId="0" borderId="150" xfId="0" applyFont="1" applyBorder="1" applyAlignment="1" applyProtection="1">
      <alignment horizontal="left" vertical="top"/>
      <protection locked="0"/>
    </xf>
    <xf numFmtId="0" fontId="0" fillId="0" borderId="0" xfId="0" applyAlignment="1">
      <alignment horizontal="center"/>
    </xf>
    <xf numFmtId="0" fontId="34" fillId="8" borderId="10" xfId="0" applyFont="1" applyFill="1" applyBorder="1" applyAlignment="1">
      <alignment horizontal="center" wrapText="1"/>
    </xf>
    <xf numFmtId="0" fontId="34" fillId="8" borderId="3" xfId="0" applyFont="1" applyFill="1" applyBorder="1" applyAlignment="1">
      <alignment horizontal="center" wrapText="1"/>
    </xf>
    <xf numFmtId="0" fontId="0" fillId="9" borderId="21"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8" borderId="72" xfId="0" applyFill="1" applyBorder="1" applyAlignment="1">
      <alignment horizontal="center"/>
    </xf>
    <xf numFmtId="0" fontId="0" fillId="8" borderId="73" xfId="0" applyFill="1" applyBorder="1" applyAlignment="1">
      <alignment horizontal="center"/>
    </xf>
    <xf numFmtId="0" fontId="0" fillId="8" borderId="74" xfId="0" applyFill="1" applyBorder="1" applyAlignment="1">
      <alignment horizontal="center"/>
    </xf>
    <xf numFmtId="0" fontId="0" fillId="0" borderId="1"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57" xfId="0" applyBorder="1" applyAlignment="1">
      <alignment horizontal="center"/>
    </xf>
    <xf numFmtId="0" fontId="20" fillId="10" borderId="2" xfId="0" applyFont="1" applyFill="1" applyBorder="1" applyAlignment="1" applyProtection="1">
      <alignment horizontal="center"/>
      <protection hidden="1"/>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71" fillId="10" borderId="4" xfId="0" applyFont="1" applyFill="1" applyBorder="1" applyAlignment="1">
      <alignment horizontal="center" vertical="center"/>
    </xf>
    <xf numFmtId="0" fontId="71" fillId="10" borderId="6" xfId="0" applyFont="1" applyFill="1" applyBorder="1" applyAlignment="1">
      <alignment horizontal="center" vertical="center"/>
    </xf>
    <xf numFmtId="0" fontId="71" fillId="10" borderId="7" xfId="0" applyFont="1" applyFill="1" applyBorder="1" applyAlignment="1">
      <alignment horizontal="center" vertical="center"/>
    </xf>
    <xf numFmtId="0" fontId="20" fillId="10" borderId="79" xfId="0" applyFont="1" applyFill="1" applyBorder="1" applyAlignment="1" applyProtection="1">
      <alignment horizontal="center" wrapText="1"/>
      <protection hidden="1"/>
    </xf>
    <xf numFmtId="0" fontId="20" fillId="10" borderId="54" xfId="0" applyFont="1" applyFill="1" applyBorder="1" applyAlignment="1" applyProtection="1">
      <alignment horizontal="center" wrapText="1"/>
      <protection hidden="1"/>
    </xf>
    <xf numFmtId="0" fontId="20" fillId="10" borderId="55" xfId="0" applyFont="1" applyFill="1" applyBorder="1" applyAlignment="1" applyProtection="1">
      <alignment horizontal="center" wrapText="1"/>
      <protection hidden="1"/>
    </xf>
    <xf numFmtId="0" fontId="20" fillId="10" borderId="21" xfId="0" applyFont="1" applyFill="1" applyBorder="1" applyAlignment="1">
      <alignment horizontal="center"/>
    </xf>
    <xf numFmtId="0" fontId="20" fillId="10" borderId="22" xfId="0" applyFont="1" applyFill="1" applyBorder="1" applyAlignment="1">
      <alignment horizontal="center"/>
    </xf>
    <xf numFmtId="0" fontId="20" fillId="10" borderId="53" xfId="0" applyFont="1" applyFill="1" applyBorder="1" applyAlignment="1" applyProtection="1">
      <alignment horizontal="center" wrapText="1"/>
      <protection hidden="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58" fillId="4" borderId="13" xfId="0" applyFont="1" applyFill="1" applyBorder="1" applyAlignment="1" applyProtection="1">
      <alignment horizontal="center"/>
      <protection hidden="1"/>
    </xf>
    <xf numFmtId="0" fontId="58" fillId="4" borderId="14" xfId="0" applyFont="1" applyFill="1" applyBorder="1" applyAlignment="1" applyProtection="1">
      <alignment horizontal="center"/>
      <protection hidden="1"/>
    </xf>
    <xf numFmtId="0" fontId="55" fillId="5" borderId="100" xfId="0" applyFont="1" applyFill="1" applyBorder="1" applyAlignment="1" applyProtection="1">
      <alignment horizontal="center"/>
      <protection hidden="1"/>
    </xf>
    <xf numFmtId="0" fontId="55" fillId="5" borderId="107" xfId="0" applyFont="1" applyFill="1" applyBorder="1" applyAlignment="1" applyProtection="1">
      <alignment horizontal="center"/>
      <protection hidden="1"/>
    </xf>
    <xf numFmtId="164" fontId="55" fillId="5" borderId="101" xfId="0" applyNumberFormat="1" applyFont="1" applyFill="1" applyBorder="1" applyAlignment="1" applyProtection="1">
      <alignment horizontal="center"/>
      <protection hidden="1"/>
    </xf>
    <xf numFmtId="164" fontId="55" fillId="5" borderId="104" xfId="0" applyNumberFormat="1" applyFont="1" applyFill="1" applyBorder="1" applyAlignment="1" applyProtection="1">
      <alignment horizontal="center"/>
      <protection hidden="1"/>
    </xf>
    <xf numFmtId="0" fontId="55" fillId="5" borderId="114" xfId="0" applyFont="1" applyFill="1" applyBorder="1" applyAlignment="1" applyProtection="1">
      <alignment horizontal="center"/>
      <protection hidden="1"/>
    </xf>
    <xf numFmtId="0" fontId="55" fillId="5" borderId="105" xfId="0" applyFont="1" applyFill="1" applyBorder="1" applyAlignment="1" applyProtection="1">
      <alignment horizontal="center"/>
      <protection hidden="1"/>
    </xf>
    <xf numFmtId="0" fontId="57" fillId="4" borderId="13" xfId="0" applyFont="1" applyFill="1" applyBorder="1" applyAlignment="1" applyProtection="1">
      <alignment horizontal="center" vertical="center"/>
      <protection hidden="1"/>
    </xf>
    <xf numFmtId="0" fontId="57" fillId="4" borderId="14" xfId="0" applyFont="1" applyFill="1" applyBorder="1" applyAlignment="1" applyProtection="1">
      <alignment horizontal="center" vertical="center"/>
      <protection hidden="1"/>
    </xf>
    <xf numFmtId="0" fontId="59" fillId="5" borderId="100" xfId="0" applyFont="1" applyFill="1" applyBorder="1" applyAlignment="1" applyProtection="1">
      <alignment horizontal="center"/>
      <protection hidden="1"/>
    </xf>
    <xf numFmtId="0" fontId="59" fillId="5" borderId="107" xfId="0" applyFont="1" applyFill="1" applyBorder="1" applyAlignment="1" applyProtection="1">
      <alignment horizontal="center"/>
      <protection hidden="1"/>
    </xf>
    <xf numFmtId="164" fontId="59" fillId="5" borderId="101" xfId="0" applyNumberFormat="1" applyFont="1" applyFill="1" applyBorder="1" applyAlignment="1" applyProtection="1">
      <alignment horizontal="center"/>
      <protection hidden="1"/>
    </xf>
    <xf numFmtId="164" fontId="59" fillId="5" borderId="104" xfId="0" applyNumberFormat="1" applyFont="1" applyFill="1" applyBorder="1" applyAlignment="1" applyProtection="1">
      <alignment horizontal="center"/>
      <protection hidden="1"/>
    </xf>
    <xf numFmtId="0" fontId="59" fillId="5" borderId="114" xfId="0" applyFont="1" applyFill="1" applyBorder="1" applyAlignment="1" applyProtection="1">
      <alignment horizontal="center"/>
      <protection hidden="1"/>
    </xf>
    <xf numFmtId="0" fontId="59" fillId="5" borderId="105" xfId="0" applyFont="1" applyFill="1" applyBorder="1" applyAlignment="1" applyProtection="1">
      <alignment horizontal="center"/>
      <protection hidden="1"/>
    </xf>
    <xf numFmtId="0" fontId="60" fillId="2" borderId="8" xfId="0" applyFont="1" applyFill="1" applyBorder="1" applyAlignment="1" applyProtection="1">
      <alignment horizontal="center" wrapText="1"/>
      <protection hidden="1"/>
    </xf>
    <xf numFmtId="0" fontId="60" fillId="2" borderId="12" xfId="0" applyFont="1" applyFill="1" applyBorder="1" applyAlignment="1" applyProtection="1">
      <alignment horizontal="center" wrapText="1"/>
      <protection hidden="1"/>
    </xf>
    <xf numFmtId="0" fontId="5" fillId="2" borderId="0" xfId="0" applyFont="1" applyFill="1" applyAlignment="1" applyProtection="1">
      <alignment horizontal="left" vertical="top" wrapText="1"/>
      <protection hidden="1"/>
    </xf>
    <xf numFmtId="0" fontId="59" fillId="4" borderId="2" xfId="0" applyFont="1" applyFill="1" applyBorder="1" applyAlignment="1" applyProtection="1">
      <alignment horizontal="center"/>
      <protection locked="0" hidden="1"/>
    </xf>
    <xf numFmtId="0" fontId="60" fillId="2" borderId="0" xfId="0" applyFont="1" applyFill="1" applyAlignment="1" applyProtection="1">
      <alignment horizontal="center" wrapText="1"/>
      <protection hidden="1"/>
    </xf>
    <xf numFmtId="0" fontId="13" fillId="2" borderId="0" xfId="0" applyFont="1" applyFill="1" applyAlignment="1" applyProtection="1">
      <alignment vertical="center" wrapText="1"/>
      <protection hidden="1"/>
    </xf>
    <xf numFmtId="0" fontId="13" fillId="0" borderId="0" xfId="0" applyFont="1" applyAlignment="1" applyProtection="1">
      <alignment vertical="center" wrapText="1"/>
      <protection hidden="1"/>
    </xf>
    <xf numFmtId="0" fontId="0" fillId="4" borderId="2" xfId="0" applyFill="1" applyBorder="1" applyAlignment="1" applyProtection="1">
      <alignment wrapText="1"/>
      <protection hidden="1"/>
    </xf>
    <xf numFmtId="0" fontId="0" fillId="4" borderId="2" xfId="0" applyFill="1" applyBorder="1" applyProtection="1">
      <protection hidden="1"/>
    </xf>
    <xf numFmtId="0" fontId="93"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18" fillId="3" borderId="77" xfId="0" applyFont="1" applyFill="1" applyBorder="1" applyAlignment="1" applyProtection="1">
      <alignment horizontal="left" vertical="top" wrapText="1"/>
      <protection hidden="1"/>
    </xf>
    <xf numFmtId="0" fontId="18" fillId="3" borderId="106" xfId="0" applyFont="1" applyFill="1" applyBorder="1" applyAlignment="1" applyProtection="1">
      <alignment horizontal="left" vertical="top" wrapText="1"/>
      <protection hidden="1"/>
    </xf>
    <xf numFmtId="0" fontId="7" fillId="3" borderId="4" xfId="0" applyFont="1" applyFill="1" applyBorder="1" applyAlignment="1" applyProtection="1">
      <alignment horizontal="left"/>
      <protection hidden="1"/>
    </xf>
    <xf numFmtId="0" fontId="7" fillId="3" borderId="6"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0" fontId="1" fillId="2" borderId="4" xfId="0" applyFont="1" applyFill="1" applyBorder="1" applyAlignment="1" applyProtection="1">
      <alignment horizontal="left" vertical="center" wrapText="1"/>
      <protection hidden="1"/>
    </xf>
    <xf numFmtId="0" fontId="1" fillId="2" borderId="6" xfId="0" applyFont="1" applyFill="1" applyBorder="1" applyAlignment="1" applyProtection="1">
      <alignment horizontal="left" vertical="center" wrapText="1"/>
      <protection hidden="1"/>
    </xf>
    <xf numFmtId="0" fontId="1" fillId="2" borderId="7" xfId="0" applyFont="1" applyFill="1" applyBorder="1" applyAlignment="1" applyProtection="1">
      <alignment horizontal="left" vertical="center" wrapText="1"/>
      <protection hidden="1"/>
    </xf>
    <xf numFmtId="0" fontId="93" fillId="2" borderId="4" xfId="0" applyFont="1" applyFill="1" applyBorder="1" applyAlignment="1" applyProtection="1">
      <alignment horizontal="left" vertical="center" wrapText="1"/>
      <protection hidden="1"/>
    </xf>
    <xf numFmtId="0" fontId="93" fillId="2" borderId="6" xfId="0" applyFont="1" applyFill="1" applyBorder="1" applyAlignment="1" applyProtection="1">
      <alignment horizontal="left" vertical="center" wrapText="1"/>
      <protection hidden="1"/>
    </xf>
    <xf numFmtId="0" fontId="93" fillId="2" borderId="7" xfId="0" applyFont="1" applyFill="1" applyBorder="1" applyAlignment="1" applyProtection="1">
      <alignment horizontal="left" vertical="center" wrapText="1"/>
      <protection hidden="1"/>
    </xf>
    <xf numFmtId="0" fontId="92" fillId="2" borderId="2" xfId="0" applyFont="1" applyFill="1" applyBorder="1" applyAlignment="1" applyProtection="1">
      <alignment horizontal="left" vertical="center" wrapText="1"/>
      <protection hidden="1"/>
    </xf>
    <xf numFmtId="0" fontId="29" fillId="4" borderId="2"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protection hidden="1"/>
    </xf>
    <xf numFmtId="0" fontId="0" fillId="4" borderId="2" xfId="0" applyFill="1" applyBorder="1" applyAlignment="1" applyProtection="1">
      <alignment horizontal="left" vertical="center" wrapText="1"/>
      <protection hidden="1"/>
    </xf>
    <xf numFmtId="0" fontId="0" fillId="8" borderId="0" xfId="0" applyFill="1" applyAlignment="1">
      <alignment horizontal="left" vertical="top" wrapText="1"/>
    </xf>
  </cellXfs>
  <cellStyles count="5">
    <cellStyle name="Good 2" xfId="3" xr:uid="{00000000-0005-0000-0000-000000000000}"/>
    <cellStyle name="Normal" xfId="0" builtinId="0"/>
    <cellStyle name="Normal 3" xfId="1" xr:uid="{00000000-0005-0000-0000-000002000000}"/>
    <cellStyle name="Percent 2" xfId="4" xr:uid="{A3F32B65-5251-4038-894E-02D69E32DDC8}"/>
    <cellStyle name="Prosent" xfId="2" builtinId="5"/>
  </cellStyles>
  <dxfs count="6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dxf>
    <dxf>
      <font>
        <color theme="0" tint="-0.14996795556505021"/>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5"/>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tint="-0.14996795556505021"/>
      </font>
    </dxf>
    <dxf>
      <font>
        <color theme="0" tint="-0.1499679555650502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0"/>
      </font>
      <fill>
        <patternFill>
          <bgColor theme="0"/>
        </patternFill>
      </fill>
    </dxf>
    <dxf>
      <font>
        <b/>
        <i val="0"/>
        <color rgb="FFFF0000"/>
      </font>
    </dxf>
    <dxf>
      <fill>
        <patternFill>
          <bgColor theme="0" tint="-0.14996795556505021"/>
        </patternFill>
      </fill>
    </dxf>
    <dxf>
      <fill>
        <patternFill>
          <bgColor theme="6"/>
        </patternFill>
      </fill>
    </dxf>
    <dxf>
      <fill>
        <patternFill>
          <bgColor rgb="FFFFC000"/>
        </patternFill>
      </fill>
    </dxf>
    <dxf>
      <fill>
        <patternFill>
          <bgColor theme="5"/>
        </patternFill>
      </fill>
    </dxf>
    <dxf>
      <font>
        <color theme="0"/>
      </font>
      <fill>
        <patternFill>
          <bgColor theme="0"/>
        </patternFill>
      </fill>
      <border>
        <left/>
        <right/>
        <top/>
        <bottom/>
        <vertical/>
        <horizontal/>
      </border>
    </dxf>
    <dxf>
      <fill>
        <patternFill>
          <bgColor theme="6"/>
        </patternFill>
      </fill>
    </dxf>
    <dxf>
      <fill>
        <patternFill>
          <bgColor rgb="FFFFC000"/>
        </patternFill>
      </fill>
    </dxf>
    <dxf>
      <fill>
        <patternFill>
          <bgColor theme="5"/>
        </patternFill>
      </fill>
    </dxf>
    <dxf>
      <font>
        <color theme="0"/>
      </font>
      <fill>
        <patternFill>
          <bgColor theme="0"/>
        </patternFill>
      </fill>
      <border>
        <left/>
        <right/>
        <top/>
        <bottom/>
        <vertical/>
        <horizontal/>
      </border>
    </dxf>
    <dxf>
      <font>
        <color rgb="FFFF0000"/>
      </font>
      <fill>
        <patternFill>
          <bgColor theme="0" tint="-0.34998626667073579"/>
        </patternFill>
      </fill>
    </dxf>
    <dxf>
      <fill>
        <patternFill>
          <bgColor theme="6"/>
        </patternFill>
      </fill>
    </dxf>
    <dxf>
      <fill>
        <patternFill>
          <bgColor rgb="FFFFC000"/>
        </patternFill>
      </fill>
    </dxf>
    <dxf>
      <fill>
        <patternFill>
          <bgColor theme="5"/>
        </patternFill>
      </fill>
    </dxf>
    <dxf>
      <border>
        <left style="thin">
          <color theme="1"/>
        </left>
        <right style="thin">
          <color theme="1"/>
        </right>
        <top style="thin">
          <color theme="1"/>
        </top>
        <bottom style="thin">
          <color theme="1"/>
        </bottom>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style="thin">
          <color theme="0"/>
        </left>
        <right style="thin">
          <color theme="0"/>
        </right>
        <top style="thin">
          <color theme="1"/>
        </top>
        <bottom style="thin">
          <color theme="1"/>
        </bottom>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bottom style="thin">
          <color auto="1"/>
        </bottom>
        <vertical/>
        <horizontal/>
      </border>
    </dxf>
    <dxf>
      <font>
        <color theme="0"/>
      </font>
      <fill>
        <patternFill>
          <bgColor theme="0"/>
        </patternFill>
      </fill>
      <border>
        <left style="thin">
          <color theme="0"/>
        </left>
        <right style="thin">
          <color theme="0"/>
        </right>
        <top style="thin">
          <color theme="0"/>
        </top>
        <bottom style="thin">
          <color theme="1"/>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theme="0"/>
        </top>
        <bottom/>
        <vertical/>
        <horizontal/>
      </border>
    </dxf>
    <dxf>
      <border>
        <top style="thin">
          <color auto="1"/>
        </top>
        <vertical/>
        <horizontal/>
      </border>
    </dxf>
  </dxfs>
  <tableStyles count="0" defaultTableStyle="TableStyleMedium9" defaultPivotStyle="PivotStyleLight16"/>
  <colors>
    <mruColors>
      <color rgb="FF56B146"/>
      <color rgb="FF3D6864"/>
      <color rgb="FFFFD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'Sammendrag av byggets ytelse'!$AC$22</c:f>
              <c:strCache>
                <c:ptCount val="1"/>
                <c:pt idx="0">
                  <c:v>Tilgjengelig score kategori</c:v>
                </c:pt>
              </c:strCache>
            </c:strRef>
          </c:tx>
          <c:spPr>
            <a:solidFill>
              <a:srgbClr val="406864"/>
            </a:solidFill>
          </c:spPr>
          <c:invertIfNegative val="0"/>
          <c:cat>
            <c:strRef>
              <c:f>'Sammendrag av byggets ytelse'!$AB$23:$AB$32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'Sammendrag av byggets ytelse'!$AC$23:$AC$32</c:f>
              <c:numCache>
                <c:formatCode>0%</c:formatCode>
                <c:ptCount val="10"/>
                <c:pt idx="0">
                  <c:v>0.13</c:v>
                </c:pt>
                <c:pt idx="1">
                  <c:v>0.16</c:v>
                </c:pt>
                <c:pt idx="2">
                  <c:v>0.14000000000000001</c:v>
                </c:pt>
                <c:pt idx="3">
                  <c:v>0.1</c:v>
                </c:pt>
                <c:pt idx="4">
                  <c:v>0.04</c:v>
                </c:pt>
                <c:pt idx="5">
                  <c:v>0.17</c:v>
                </c:pt>
                <c:pt idx="6">
                  <c:v>7.0000000000000007E-2</c:v>
                </c:pt>
                <c:pt idx="7">
                  <c:v>0.15</c:v>
                </c:pt>
                <c:pt idx="8">
                  <c:v>0.04</c:v>
                </c:pt>
                <c:pt idx="9">
                  <c:v>0.1</c:v>
                </c:pt>
              </c:numCache>
            </c:numRef>
          </c:val>
          <c:extLst>
            <c:ext xmlns:c16="http://schemas.microsoft.com/office/drawing/2014/chart" uri="{C3380CC4-5D6E-409C-BE32-E72D297353CC}">
              <c16:uniqueId val="{00000000-F474-4344-A64F-9500F3F284CF}"/>
            </c:ext>
          </c:extLst>
        </c:ser>
        <c:ser>
          <c:idx val="1"/>
          <c:order val="1"/>
          <c:tx>
            <c:strRef>
              <c:f>'Sammendrag av byggets ytelse'!$AD$22</c:f>
              <c:strCache>
                <c:ptCount val="1"/>
                <c:pt idx="0">
                  <c:v>Innledende målsetning</c:v>
                </c:pt>
              </c:strCache>
            </c:strRef>
          </c:tx>
          <c:spPr>
            <a:solidFill>
              <a:srgbClr val="56B146"/>
            </a:solidFill>
          </c:spPr>
          <c:invertIfNegative val="0"/>
          <c:cat>
            <c:strRef>
              <c:f>'Sammendrag av byggets ytelse'!$AB$23:$AB$32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'Sammendrag av byggets ytelse'!$AD$23:$AD$32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ser>
          <c:idx val="2"/>
          <c:order val="2"/>
          <c:tx>
            <c:strRef>
              <c:f>'Sammendrag av byggets ytelse'!$AE$22</c:f>
              <c:strCache>
                <c:ptCount val="1"/>
                <c:pt idx="0">
                  <c:v>Prosjekteringsfase</c:v>
                </c:pt>
              </c:strCache>
            </c:strRef>
          </c:tx>
          <c:spPr>
            <a:solidFill>
              <a:schemeClr val="accent1">
                <a:lumMod val="40000"/>
                <a:lumOff val="60000"/>
              </a:schemeClr>
            </a:solidFill>
          </c:spPr>
          <c:invertIfNegative val="0"/>
          <c:cat>
            <c:strRef>
              <c:f>'Sammendrag av byggets ytelse'!$AB$23:$AB$32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'Sammendrag av byggets ytelse'!$AE$23:$AE$32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474-4344-A64F-9500F3F284CF}"/>
            </c:ext>
          </c:extLst>
        </c:ser>
        <c:ser>
          <c:idx val="3"/>
          <c:order val="3"/>
          <c:tx>
            <c:strRef>
              <c:f>'Sammendrag av byggets ytelse'!$AF$22</c:f>
              <c:strCache>
                <c:ptCount val="1"/>
                <c:pt idx="0">
                  <c:v>Ferdigstillelse</c:v>
                </c:pt>
              </c:strCache>
            </c:strRef>
          </c:tx>
          <c:spPr>
            <a:solidFill>
              <a:schemeClr val="bg2">
                <a:lumMod val="75000"/>
              </a:schemeClr>
            </a:solidFill>
          </c:spPr>
          <c:invertIfNegative val="0"/>
          <c:cat>
            <c:strRef>
              <c:f>'Sammendrag av byggets ytelse'!$AB$23:$AB$32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'Sammendrag av byggets ytelse'!$AF$23:$AF$32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474-4344-A64F-9500F3F284CF}"/>
            </c:ext>
          </c:extLst>
        </c:ser>
        <c:dLbls>
          <c:showLegendKey val="0"/>
          <c:showVal val="0"/>
          <c:showCatName val="0"/>
          <c:showSerName val="0"/>
          <c:showPercent val="0"/>
          <c:showBubbleSize val="0"/>
        </c:dLbls>
        <c:gapWidth val="75"/>
        <c:overlap val="-25"/>
        <c:axId val="621716544"/>
        <c:axId val="621717720"/>
      </c:barChart>
      <c:catAx>
        <c:axId val="6217165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7720"/>
        <c:crosses val="autoZero"/>
        <c:auto val="1"/>
        <c:lblAlgn val="ctr"/>
        <c:lblOffset val="100"/>
        <c:noMultiLvlLbl val="0"/>
      </c:catAx>
      <c:valAx>
        <c:axId val="62171772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21716544"/>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'Sammendrag av byggets ytelse'!$AC$36</c:f>
              <c:strCache>
                <c:ptCount val="1"/>
                <c:pt idx="0">
                  <c:v>Innledende målsetning</c:v>
                </c:pt>
              </c:strCache>
            </c:strRef>
          </c:tx>
          <c:spPr>
            <a:solidFill>
              <a:srgbClr val="56B146"/>
            </a:solidFill>
          </c:spPr>
          <c:invertIfNegative val="0"/>
          <c:cat>
            <c:strRef>
              <c:f>'Sammendrag av byggets ytelse'!$AB$37:$AB$58</c:f>
              <c:strCache>
                <c:ptCount val="22"/>
                <c:pt idx="0">
                  <c:v>Man 01</c:v>
                </c:pt>
                <c:pt idx="1">
                  <c:v>Man 03</c:v>
                </c:pt>
                <c:pt idx="2">
                  <c:v>Man 04</c:v>
                </c:pt>
                <c:pt idx="3">
                  <c:v>Man 05</c:v>
                </c:pt>
                <c:pt idx="4">
                  <c:v>Hea 01</c:v>
                </c:pt>
                <c:pt idx="5">
                  <c:v>Hea 02</c:v>
                </c:pt>
                <c:pt idx="6">
                  <c:v>Ene 01</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'Sammendrag av byggets ytelse'!$AC$37:$AC$58</c:f>
              <c:numCache>
                <c:formatCode>General</c:formatCode>
                <c:ptCount val="22"/>
                <c:pt idx="0">
                  <c:v>3</c:v>
                </c:pt>
                <c:pt idx="1">
                  <c:v>0</c:v>
                </c:pt>
                <c:pt idx="2">
                  <c:v>0</c:v>
                </c:pt>
                <c:pt idx="3">
                  <c:v>3</c:v>
                </c:pt>
                <c:pt idx="4">
                  <c:v>0</c:v>
                </c:pt>
                <c:pt idx="5">
                  <c:v>0</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0-F474-4344-A64F-9500F3F284CF}"/>
            </c:ext>
          </c:extLst>
        </c:ser>
        <c:ser>
          <c:idx val="1"/>
          <c:order val="1"/>
          <c:tx>
            <c:strRef>
              <c:f>'Sammendrag av byggets ytelse'!$AD$36</c:f>
              <c:strCache>
                <c:ptCount val="1"/>
                <c:pt idx="0">
                  <c:v>Prosjekteringsfase</c:v>
                </c:pt>
              </c:strCache>
            </c:strRef>
          </c:tx>
          <c:spPr>
            <a:solidFill>
              <a:srgbClr val="B9CDE5"/>
            </a:solidFill>
          </c:spPr>
          <c:invertIfNegative val="0"/>
          <c:cat>
            <c:strRef>
              <c:f>'Sammendrag av byggets ytelse'!$AB$37:$AB$58</c:f>
              <c:strCache>
                <c:ptCount val="22"/>
                <c:pt idx="0">
                  <c:v>Man 01</c:v>
                </c:pt>
                <c:pt idx="1">
                  <c:v>Man 03</c:v>
                </c:pt>
                <c:pt idx="2">
                  <c:v>Man 04</c:v>
                </c:pt>
                <c:pt idx="3">
                  <c:v>Man 05</c:v>
                </c:pt>
                <c:pt idx="4">
                  <c:v>Hea 01</c:v>
                </c:pt>
                <c:pt idx="5">
                  <c:v>Hea 02</c:v>
                </c:pt>
                <c:pt idx="6">
                  <c:v>Ene 01</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'Sammendrag av byggets ytelse'!$AD$37:$AD$58</c:f>
              <c:numCache>
                <c:formatCode>General</c:formatCode>
                <c:ptCount val="22"/>
                <c:pt idx="0">
                  <c:v>3</c:v>
                </c:pt>
                <c:pt idx="1">
                  <c:v>0</c:v>
                </c:pt>
                <c:pt idx="2">
                  <c:v>0</c:v>
                </c:pt>
                <c:pt idx="3">
                  <c:v>3</c:v>
                </c:pt>
                <c:pt idx="4">
                  <c:v>0</c:v>
                </c:pt>
                <c:pt idx="5">
                  <c:v>0</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1-F474-4344-A64F-9500F3F284CF}"/>
            </c:ext>
          </c:extLst>
        </c:ser>
        <c:ser>
          <c:idx val="2"/>
          <c:order val="2"/>
          <c:tx>
            <c:strRef>
              <c:f>'Sammendrag av byggets ytelse'!$AE$36</c:f>
              <c:strCache>
                <c:ptCount val="1"/>
                <c:pt idx="0">
                  <c:v>Ferdigstillelse</c:v>
                </c:pt>
              </c:strCache>
            </c:strRef>
          </c:tx>
          <c:spPr>
            <a:solidFill>
              <a:srgbClr val="C4BD97"/>
            </a:solidFill>
          </c:spPr>
          <c:invertIfNegative val="0"/>
          <c:cat>
            <c:strRef>
              <c:f>'Sammendrag av byggets ytelse'!$AB$37:$AB$58</c:f>
              <c:strCache>
                <c:ptCount val="22"/>
                <c:pt idx="0">
                  <c:v>Man 01</c:v>
                </c:pt>
                <c:pt idx="1">
                  <c:v>Man 03</c:v>
                </c:pt>
                <c:pt idx="2">
                  <c:v>Man 04</c:v>
                </c:pt>
                <c:pt idx="3">
                  <c:v>Man 05</c:v>
                </c:pt>
                <c:pt idx="4">
                  <c:v>Hea 01</c:v>
                </c:pt>
                <c:pt idx="5">
                  <c:v>Hea 02</c:v>
                </c:pt>
                <c:pt idx="6">
                  <c:v>Ene 01</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'Sammendrag av byggets ytelse'!$AE$37:$AE$58</c:f>
              <c:numCache>
                <c:formatCode>General</c:formatCode>
                <c:ptCount val="22"/>
                <c:pt idx="0">
                  <c:v>3</c:v>
                </c:pt>
                <c:pt idx="1">
                  <c:v>0</c:v>
                </c:pt>
                <c:pt idx="2">
                  <c:v>0</c:v>
                </c:pt>
                <c:pt idx="3">
                  <c:v>3</c:v>
                </c:pt>
                <c:pt idx="4">
                  <c:v>0</c:v>
                </c:pt>
                <c:pt idx="5">
                  <c:v>0</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2-F474-4344-A64F-9500F3F284CF}"/>
            </c:ext>
          </c:extLst>
        </c:ser>
        <c:dLbls>
          <c:showLegendKey val="0"/>
          <c:showVal val="0"/>
          <c:showCatName val="0"/>
          <c:showSerName val="0"/>
          <c:showPercent val="0"/>
          <c:showBubbleSize val="0"/>
        </c:dLbls>
        <c:gapWidth val="75"/>
        <c:overlap val="-25"/>
        <c:axId val="621713800"/>
        <c:axId val="621718504"/>
      </c:barChart>
      <c:catAx>
        <c:axId val="621713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8504"/>
        <c:crosses val="autoZero"/>
        <c:auto val="1"/>
        <c:lblAlgn val="ctr"/>
        <c:lblOffset val="100"/>
        <c:noMultiLvlLbl val="0"/>
      </c:catAx>
      <c:valAx>
        <c:axId val="621718504"/>
        <c:scaling>
          <c:orientation val="minMax"/>
          <c:max val="5"/>
        </c:scaling>
        <c:delete val="1"/>
        <c:axPos val="l"/>
        <c:majorGridlines/>
        <c:numFmt formatCode="0%" sourceLinked="0"/>
        <c:majorTickMark val="none"/>
        <c:minorTickMark val="none"/>
        <c:tickLblPos val="nextTo"/>
        <c:crossAx val="621713800"/>
        <c:crosses val="autoZero"/>
        <c:crossBetween val="between"/>
        <c:majorUnit val="1"/>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47944</xdr:colOff>
      <xdr:row>9</xdr:row>
      <xdr:rowOff>9524</xdr:rowOff>
    </xdr:from>
    <xdr:to>
      <xdr:col>3</xdr:col>
      <xdr:colOff>970683</xdr:colOff>
      <xdr:row>18</xdr:row>
      <xdr:rowOff>95249</xdr:rowOff>
    </xdr:to>
    <xdr:pic>
      <xdr:nvPicPr>
        <xdr:cNvPr id="8" name="Picture 7">
          <a:extLst>
            <a:ext uri="{FF2B5EF4-FFF2-40B4-BE49-F238E27FC236}">
              <a16:creationId xmlns:a16="http://schemas.microsoft.com/office/drawing/2014/main" id="{514DB9FE-E69C-44D8-90E6-192BCA61C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544" y="4724399"/>
          <a:ext cx="2199089" cy="1724025"/>
        </a:xfrm>
        <a:prstGeom prst="rect">
          <a:avLst/>
        </a:prstGeom>
      </xdr:spPr>
    </xdr:pic>
    <xdr:clientData/>
  </xdr:twoCellAnchor>
  <xdr:twoCellAnchor editAs="oneCell">
    <xdr:from>
      <xdr:col>11</xdr:col>
      <xdr:colOff>352425</xdr:colOff>
      <xdr:row>0</xdr:row>
      <xdr:rowOff>142875</xdr:rowOff>
    </xdr:from>
    <xdr:to>
      <xdr:col>16</xdr:col>
      <xdr:colOff>51435</xdr:colOff>
      <xdr:row>4</xdr:row>
      <xdr:rowOff>32138</xdr:rowOff>
    </xdr:to>
    <xdr:pic>
      <xdr:nvPicPr>
        <xdr:cNvPr id="9" name="Bilde 7">
          <a:extLst>
            <a:ext uri="{FF2B5EF4-FFF2-40B4-BE49-F238E27FC236}">
              <a16:creationId xmlns:a16="http://schemas.microsoft.com/office/drawing/2014/main" id="{2E416739-5696-4333-80A2-9773A284A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8975" y="142875"/>
          <a:ext cx="2823210" cy="670313"/>
        </a:xfrm>
        <a:prstGeom prst="rect">
          <a:avLst/>
        </a:prstGeom>
      </xdr:spPr>
    </xdr:pic>
    <xdr:clientData/>
  </xdr:twoCellAnchor>
  <xdr:twoCellAnchor editAs="oneCell">
    <xdr:from>
      <xdr:col>5</xdr:col>
      <xdr:colOff>219074</xdr:colOff>
      <xdr:row>14</xdr:row>
      <xdr:rowOff>96843</xdr:rowOff>
    </xdr:from>
    <xdr:to>
      <xdr:col>8</xdr:col>
      <xdr:colOff>542925</xdr:colOff>
      <xdr:row>19</xdr:row>
      <xdr:rowOff>59076</xdr:rowOff>
    </xdr:to>
    <xdr:pic>
      <xdr:nvPicPr>
        <xdr:cNvPr id="3" name="Picture 2">
          <a:extLst>
            <a:ext uri="{FF2B5EF4-FFF2-40B4-BE49-F238E27FC236}">
              <a16:creationId xmlns:a16="http://schemas.microsoft.com/office/drawing/2014/main" id="{AA1CBD4F-DC3B-4EE6-AD68-16DE5317B1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2324" y="6307143"/>
          <a:ext cx="2095501" cy="914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71718</xdr:colOff>
      <xdr:row>40</xdr:row>
      <xdr:rowOff>56899</xdr:rowOff>
    </xdr:from>
    <xdr:to>
      <xdr:col>2</xdr:col>
      <xdr:colOff>2442173</xdr:colOff>
      <xdr:row>41</xdr:row>
      <xdr:rowOff>186238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2336" y="9974105"/>
          <a:ext cx="2374265" cy="538242"/>
        </a:xfrm>
        <a:prstGeom prst="rect">
          <a:avLst/>
        </a:prstGeom>
      </xdr:spPr>
    </xdr:pic>
    <xdr:clientData/>
  </xdr:twoCellAnchor>
  <xdr:twoCellAnchor>
    <xdr:from>
      <xdr:col>2</xdr:col>
      <xdr:colOff>3390900</xdr:colOff>
      <xdr:row>52</xdr:row>
      <xdr:rowOff>180975</xdr:rowOff>
    </xdr:from>
    <xdr:to>
      <xdr:col>4</xdr:col>
      <xdr:colOff>19050</xdr:colOff>
      <xdr:row>54</xdr:row>
      <xdr:rowOff>57150</xdr:rowOff>
    </xdr:to>
    <xdr:sp macro="" textlink="">
      <xdr:nvSpPr>
        <xdr:cNvPr id="6" name="TextBox 5">
          <a:extLst>
            <a:ext uri="{FF2B5EF4-FFF2-40B4-BE49-F238E27FC236}">
              <a16:creationId xmlns:a16="http://schemas.microsoft.com/office/drawing/2014/main" id="{A26ADC79-7EC8-47E4-B5D3-1CCBDADB2BE3}"/>
            </a:ext>
          </a:extLst>
        </xdr:cNvPr>
        <xdr:cNvSpPr txBox="1"/>
      </xdr:nvSpPr>
      <xdr:spPr>
        <a:xfrm>
          <a:off x="6096000" y="13611225"/>
          <a:ext cx="9906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Verktøy dato:</a:t>
          </a:r>
        </a:p>
      </xdr:txBody>
    </xdr:sp>
    <xdr:clientData/>
  </xdr:twoCellAnchor>
  <xdr:twoCellAnchor editAs="oneCell">
    <xdr:from>
      <xdr:col>5</xdr:col>
      <xdr:colOff>981075</xdr:colOff>
      <xdr:row>0</xdr:row>
      <xdr:rowOff>123825</xdr:rowOff>
    </xdr:from>
    <xdr:to>
      <xdr:col>35</xdr:col>
      <xdr:colOff>33655</xdr:colOff>
      <xdr:row>2</xdr:row>
      <xdr:rowOff>71508</xdr:rowOff>
    </xdr:to>
    <xdr:pic>
      <xdr:nvPicPr>
        <xdr:cNvPr id="5" name="Bilde 6">
          <a:extLst>
            <a:ext uri="{FF2B5EF4-FFF2-40B4-BE49-F238E27FC236}">
              <a16:creationId xmlns:a16="http://schemas.microsoft.com/office/drawing/2014/main" id="{D6381F30-8EEF-46F6-8E0F-07F579C38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0" y="123825"/>
          <a:ext cx="2815590" cy="670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507184</xdr:colOff>
      <xdr:row>0</xdr:row>
      <xdr:rowOff>48986</xdr:rowOff>
    </xdr:from>
    <xdr:to>
      <xdr:col>26</xdr:col>
      <xdr:colOff>1754262</xdr:colOff>
      <xdr:row>2</xdr:row>
      <xdr:rowOff>4513</xdr:rowOff>
    </xdr:to>
    <xdr:pic>
      <xdr:nvPicPr>
        <xdr:cNvPr id="3" name="Bilde 2">
          <a:extLst>
            <a:ext uri="{FF2B5EF4-FFF2-40B4-BE49-F238E27FC236}">
              <a16:creationId xmlns:a16="http://schemas.microsoft.com/office/drawing/2014/main" id="{D95C09B3-24AB-4E08-9EEA-97C098452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99"/>
        <a:stretch/>
      </xdr:blipFill>
      <xdr:spPr>
        <a:xfrm>
          <a:off x="18795184" y="48986"/>
          <a:ext cx="2912592" cy="5727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64</xdr:col>
      <xdr:colOff>69476</xdr:colOff>
      <xdr:row>271</xdr:row>
      <xdr:rowOff>80902</xdr:rowOff>
    </xdr:from>
    <xdr:to>
      <xdr:col>72</xdr:col>
      <xdr:colOff>78184</xdr:colOff>
      <xdr:row>276</xdr:row>
      <xdr:rowOff>229682</xdr:rowOff>
    </xdr:to>
    <xdr:pic>
      <xdr:nvPicPr>
        <xdr:cNvPr id="2" name="Picture 1">
          <a:extLst>
            <a:ext uri="{FF2B5EF4-FFF2-40B4-BE49-F238E27FC236}">
              <a16:creationId xmlns:a16="http://schemas.microsoft.com/office/drawing/2014/main" id="{855A0ECF-4CAF-4CEB-806C-D2BD151BA4A2}"/>
            </a:ext>
          </a:extLst>
        </xdr:cNvPr>
        <xdr:cNvPicPr>
          <a:picLocks noChangeAspect="1"/>
        </xdr:cNvPicPr>
      </xdr:nvPicPr>
      <xdr:blipFill>
        <a:blip xmlns:r="http://schemas.openxmlformats.org/officeDocument/2006/relationships" r:embed="rId1"/>
        <a:stretch>
          <a:fillRect/>
        </a:stretch>
      </xdr:blipFill>
      <xdr:spPr>
        <a:xfrm>
          <a:off x="42371682" y="58127373"/>
          <a:ext cx="5654374" cy="10917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8967</xdr:colOff>
      <xdr:row>14</xdr:row>
      <xdr:rowOff>96932</xdr:rowOff>
    </xdr:from>
    <xdr:to>
      <xdr:col>7</xdr:col>
      <xdr:colOff>259773</xdr:colOff>
      <xdr:row>31</xdr:row>
      <xdr:rowOff>141755</xdr:rowOff>
    </xdr:to>
    <xdr:graphicFrame macro="">
      <xdr:nvGraphicFramePr>
        <xdr:cNvPr id="6" name="Chart 4">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376152</xdr:colOff>
      <xdr:row>14</xdr:row>
      <xdr:rowOff>83594</xdr:rowOff>
    </xdr:from>
    <xdr:to>
      <xdr:col>15</xdr:col>
      <xdr:colOff>441960</xdr:colOff>
      <xdr:row>31</xdr:row>
      <xdr:rowOff>155873</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412173</xdr:colOff>
      <xdr:row>27</xdr:row>
      <xdr:rowOff>9525</xdr:rowOff>
    </xdr:from>
    <xdr:to>
      <xdr:col>8</xdr:col>
      <xdr:colOff>688398</xdr:colOff>
      <xdr:row>28</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685559" y="6010275"/>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8</xdr:col>
      <xdr:colOff>40698</xdr:colOff>
      <xdr:row>24</xdr:row>
      <xdr:rowOff>76199</xdr:rowOff>
    </xdr:from>
    <xdr:to>
      <xdr:col>8</xdr:col>
      <xdr:colOff>516948</xdr:colOff>
      <xdr:row>25</xdr:row>
      <xdr:rowOff>142874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050107" y="5505449"/>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8</xdr:col>
      <xdr:colOff>12123</xdr:colOff>
      <xdr:row>21</xdr:row>
      <xdr:rowOff>190499</xdr:rowOff>
    </xdr:from>
    <xdr:to>
      <xdr:col>8</xdr:col>
      <xdr:colOff>497898</xdr:colOff>
      <xdr:row>23</xdr:row>
      <xdr:rowOff>66674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21532" y="5048249"/>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497898</xdr:colOff>
      <xdr:row>19</xdr:row>
      <xdr:rowOff>85725</xdr:rowOff>
    </xdr:from>
    <xdr:to>
      <xdr:col>8</xdr:col>
      <xdr:colOff>535998</xdr:colOff>
      <xdr:row>20</xdr:row>
      <xdr:rowOff>180975</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5771284" y="4562475"/>
          <a:ext cx="77412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574098</xdr:colOff>
      <xdr:row>17</xdr:row>
      <xdr:rowOff>9525</xdr:rowOff>
    </xdr:from>
    <xdr:to>
      <xdr:col>8</xdr:col>
      <xdr:colOff>516948</xdr:colOff>
      <xdr:row>18</xdr:row>
      <xdr:rowOff>66675</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847484" y="4105275"/>
          <a:ext cx="678873"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421698</xdr:colOff>
      <xdr:row>14</xdr:row>
      <xdr:rowOff>95250</xdr:rowOff>
    </xdr:from>
    <xdr:to>
      <xdr:col>8</xdr:col>
      <xdr:colOff>697923</xdr:colOff>
      <xdr:row>15</xdr:row>
      <xdr:rowOff>133350</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5695084" y="3619500"/>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11</xdr:col>
      <xdr:colOff>789012</xdr:colOff>
      <xdr:row>0</xdr:row>
      <xdr:rowOff>116898</xdr:rowOff>
    </xdr:from>
    <xdr:to>
      <xdr:col>14</xdr:col>
      <xdr:colOff>225708</xdr:colOff>
      <xdr:row>2</xdr:row>
      <xdr:rowOff>77281</xdr:rowOff>
    </xdr:to>
    <xdr:pic>
      <xdr:nvPicPr>
        <xdr:cNvPr id="14" name="Bilde 14">
          <a:extLst>
            <a:ext uri="{FF2B5EF4-FFF2-40B4-BE49-F238E27FC236}">
              <a16:creationId xmlns:a16="http://schemas.microsoft.com/office/drawing/2014/main" id="{1C2864DC-DD23-4B28-9CDE-E141AEDE13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81552" y="116898"/>
          <a:ext cx="2858076" cy="6842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1376228</xdr:colOff>
      <xdr:row>0</xdr:row>
      <xdr:rowOff>68036</xdr:rowOff>
    </xdr:from>
    <xdr:to>
      <xdr:col>26</xdr:col>
      <xdr:colOff>1292133</xdr:colOff>
      <xdr:row>1</xdr:row>
      <xdr:rowOff>71872</xdr:rowOff>
    </xdr:to>
    <xdr:pic>
      <xdr:nvPicPr>
        <xdr:cNvPr id="2" name="Bilde 3">
          <a:extLst>
            <a:ext uri="{FF2B5EF4-FFF2-40B4-BE49-F238E27FC236}">
              <a16:creationId xmlns:a16="http://schemas.microsoft.com/office/drawing/2014/main" id="{A4C29ABD-9A12-42C7-974F-81BD1BDF43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98"/>
        <a:stretch/>
      </xdr:blipFill>
      <xdr:spPr>
        <a:xfrm>
          <a:off x="25750703" y="68036"/>
          <a:ext cx="2817220" cy="6001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247650</xdr:colOff>
      <xdr:row>0</xdr:row>
      <xdr:rowOff>142875</xdr:rowOff>
    </xdr:from>
    <xdr:to>
      <xdr:col>16</xdr:col>
      <xdr:colOff>48260</xdr:colOff>
      <xdr:row>2</xdr:row>
      <xdr:rowOff>86113</xdr:rowOff>
    </xdr:to>
    <xdr:pic>
      <xdr:nvPicPr>
        <xdr:cNvPr id="4" name="Bilde 2">
          <a:extLst>
            <a:ext uri="{FF2B5EF4-FFF2-40B4-BE49-F238E27FC236}">
              <a16:creationId xmlns:a16="http://schemas.microsoft.com/office/drawing/2014/main" id="{BAD9EE81-3374-42DE-8AFE-1DDEF62D0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6175" y="142875"/>
          <a:ext cx="2846070" cy="662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7"/>
  <sheetViews>
    <sheetView showGridLines="0" zoomScaleNormal="100" workbookViewId="0">
      <selection activeCell="C3" sqref="C3"/>
    </sheetView>
  </sheetViews>
  <sheetFormatPr baseColWidth="10" defaultColWidth="8.7109375" defaultRowHeight="15"/>
  <cols>
    <col min="1" max="1" width="3.42578125" style="464" customWidth="1"/>
    <col min="2" max="2" width="10.28515625" style="464" customWidth="1"/>
    <col min="3" max="3" width="8.7109375" style="464"/>
    <col min="4" max="4" width="15.7109375" style="464" bestFit="1" customWidth="1"/>
    <col min="5" max="11" width="8.7109375" style="464"/>
    <col min="12" max="12" width="11.42578125" style="464" customWidth="1"/>
    <col min="13" max="17" width="8.7109375" style="464"/>
    <col min="18" max="18" width="7.42578125" style="464" customWidth="1"/>
    <col min="19" max="16384" width="8.7109375" style="464"/>
  </cols>
  <sheetData>
    <row r="2" spans="2:16" ht="21">
      <c r="B2" s="535" t="s">
        <v>0</v>
      </c>
      <c r="C2" s="1005"/>
      <c r="D2" s="1005"/>
      <c r="E2" s="1005"/>
      <c r="F2" s="1005"/>
      <c r="G2" s="1005"/>
      <c r="H2" s="1005"/>
      <c r="I2" s="1005"/>
      <c r="J2" s="1005"/>
      <c r="K2" s="1005"/>
      <c r="L2" s="1006"/>
      <c r="M2" s="1006"/>
      <c r="N2" s="1006"/>
      <c r="O2" s="1006"/>
      <c r="P2" s="468" t="str">
        <f>IF('Manuell filtrering og justering'!I2='Manuell filtrering og justering'!J2,"Bespoke","")</f>
        <v/>
      </c>
    </row>
    <row r="3" spans="2:16" ht="21">
      <c r="B3" s="535" t="s">
        <v>1</v>
      </c>
      <c r="C3" s="1007" t="str">
        <f>TVC_current_version</f>
        <v>1.03</v>
      </c>
      <c r="D3" s="1008">
        <f>TVC_current_date</f>
        <v>45954</v>
      </c>
      <c r="E3" s="1005"/>
      <c r="F3" s="1005"/>
      <c r="G3" s="1005"/>
      <c r="H3" s="1005"/>
      <c r="I3" s="1005"/>
      <c r="J3" s="1005"/>
      <c r="K3" s="1005"/>
      <c r="L3" s="1006"/>
      <c r="M3" s="1006"/>
      <c r="N3" s="1006"/>
      <c r="O3" s="1006"/>
      <c r="P3" s="1006"/>
    </row>
    <row r="4" spans="2:16" ht="4.5" customHeight="1">
      <c r="B4" s="1009"/>
      <c r="C4" s="1010"/>
      <c r="D4" s="1010"/>
      <c r="E4" s="1010"/>
      <c r="F4" s="1010"/>
      <c r="G4" s="1010"/>
      <c r="H4" s="1010"/>
      <c r="I4" s="1010"/>
      <c r="J4" s="1010"/>
      <c r="K4" s="1010"/>
      <c r="L4" s="1010"/>
      <c r="M4" s="1010"/>
      <c r="N4" s="1010"/>
      <c r="O4" s="1010"/>
      <c r="P4" s="1010"/>
    </row>
    <row r="5" spans="2:16" ht="126.75" customHeight="1">
      <c r="B5" s="1091" t="s">
        <v>2</v>
      </c>
      <c r="C5" s="1092"/>
      <c r="D5" s="1092"/>
      <c r="E5" s="1092"/>
      <c r="F5" s="1092"/>
      <c r="G5" s="1092"/>
      <c r="H5" s="1092"/>
      <c r="I5" s="1092"/>
      <c r="J5" s="1092"/>
      <c r="K5" s="1092"/>
      <c r="L5" s="1092"/>
      <c r="M5" s="1092"/>
      <c r="N5" s="1092"/>
      <c r="O5" s="1092"/>
      <c r="P5" s="1092"/>
    </row>
    <row r="6" spans="2:16" ht="85.5" customHeight="1">
      <c r="B6" s="1091" t="s">
        <v>3</v>
      </c>
      <c r="C6" s="1092"/>
      <c r="D6" s="1092"/>
      <c r="E6" s="1092"/>
      <c r="F6" s="1092"/>
      <c r="G6" s="1092"/>
      <c r="H6" s="1092"/>
      <c r="I6" s="1092"/>
      <c r="J6" s="1092"/>
      <c r="K6" s="1092"/>
      <c r="L6" s="1092"/>
      <c r="M6" s="1092"/>
      <c r="N6" s="1092"/>
      <c r="O6" s="1092"/>
      <c r="P6" s="1092"/>
    </row>
    <row r="7" spans="2:16" ht="80.25" customHeight="1">
      <c r="B7" s="1091" t="s">
        <v>4</v>
      </c>
      <c r="C7" s="1092"/>
      <c r="D7" s="1092"/>
      <c r="E7" s="1092"/>
      <c r="F7" s="1092"/>
      <c r="G7" s="1092"/>
      <c r="H7" s="1092"/>
      <c r="I7" s="1092"/>
      <c r="J7" s="1092"/>
      <c r="K7" s="1092"/>
      <c r="L7" s="1092"/>
      <c r="M7" s="1092"/>
      <c r="N7" s="1092"/>
      <c r="O7" s="1092"/>
      <c r="P7" s="1092"/>
    </row>
    <row r="8" spans="2:16" ht="2.25" customHeight="1">
      <c r="B8" s="1010"/>
      <c r="C8" s="1010"/>
      <c r="D8" s="1010"/>
      <c r="E8" s="1010"/>
      <c r="F8" s="1010"/>
      <c r="G8" s="1010"/>
      <c r="H8" s="1010"/>
      <c r="I8" s="1010"/>
      <c r="J8" s="1010"/>
      <c r="K8" s="1010"/>
      <c r="L8" s="1010"/>
      <c r="M8" s="1010"/>
      <c r="N8" s="1010"/>
      <c r="O8" s="1010"/>
      <c r="P8" s="1009"/>
    </row>
    <row r="9" spans="2:16">
      <c r="B9" s="109" t="s">
        <v>5</v>
      </c>
      <c r="C9" s="1010"/>
      <c r="D9" s="1010"/>
      <c r="E9" s="1010"/>
      <c r="F9" s="1010"/>
      <c r="G9" s="1010"/>
      <c r="H9" s="1010"/>
      <c r="I9" s="1010"/>
      <c r="J9" s="1010"/>
      <c r="K9" s="1010"/>
      <c r="L9" s="1010"/>
      <c r="M9" s="1010"/>
      <c r="N9" s="1010"/>
      <c r="O9" s="1010"/>
      <c r="P9" s="1010"/>
    </row>
    <row r="10" spans="2:16" ht="9" customHeight="1">
      <c r="B10" s="1010"/>
      <c r="C10" s="1010"/>
      <c r="D10" s="1010"/>
      <c r="E10" s="1010"/>
      <c r="F10" s="1010"/>
      <c r="G10" s="1010"/>
      <c r="H10" s="1010"/>
      <c r="I10" s="1010"/>
      <c r="J10" s="1010"/>
      <c r="K10" s="1010"/>
      <c r="L10" s="1010"/>
      <c r="M10" s="1010"/>
      <c r="N10" s="1010"/>
      <c r="O10" s="1010"/>
      <c r="P10" s="1010"/>
    </row>
    <row r="17" spans="9:9">
      <c r="I17" s="1011"/>
    </row>
  </sheetData>
  <sheetProtection algorithmName="SHA-512" hashValue="X6mFKLAgCPwRO1ET2ldgglEtCfzpsUqm1y8an7F9Qys2ZXBywp7px+iXc8NKUtTYeMM32jw65fhxCSm7KBbgrA==" saltValue="MJrFX6kdwJf8Uh1e8+i0Yg==" spinCount="100000" sheet="1" objects="1" scenarios="1"/>
  <mergeCells count="3">
    <mergeCell ref="B5:P5"/>
    <mergeCell ref="B6:P6"/>
    <mergeCell ref="B7:P7"/>
  </mergeCells>
  <pageMargins left="0.7" right="0.7" top="0.75" bottom="0.75" header="0.3" footer="0.3"/>
  <pageSetup paperSize="9" scale="91" orientation="landscape"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40" zoomScaleNormal="40" workbookViewId="0">
      <selection activeCell="H155" sqref="H155"/>
    </sheetView>
  </sheetViews>
  <sheetFormatPr baseColWidth="10" defaultColWidth="8.7109375" defaultRowHeight="15"/>
  <cols>
    <col min="2" max="2" width="9.28515625" customWidth="1"/>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H155" sqref="H155"/>
    </sheetView>
  </sheetViews>
  <sheetFormatPr baseColWidth="10" defaultColWidth="8.710937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H155" sqref="H155"/>
    </sheetView>
  </sheetViews>
  <sheetFormatPr baseColWidth="10" defaultColWidth="8.7109375"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ACD-C024-4ADC-B854-BB0FD004EC57}">
  <dimension ref="B3:N156"/>
  <sheetViews>
    <sheetView topLeftCell="A137" workbookViewId="0">
      <selection activeCell="C157" sqref="C157"/>
    </sheetView>
  </sheetViews>
  <sheetFormatPr baseColWidth="10" defaultColWidth="9.140625" defaultRowHeight="15"/>
  <cols>
    <col min="2" max="2" width="17.7109375" customWidth="1"/>
    <col min="3" max="3" width="72.42578125" bestFit="1" customWidth="1"/>
  </cols>
  <sheetData>
    <row r="3" spans="2:5">
      <c r="B3" s="947">
        <v>44789</v>
      </c>
      <c r="C3" s="53" t="s">
        <v>1307</v>
      </c>
      <c r="D3" s="53"/>
      <c r="E3" s="53"/>
    </row>
    <row r="4" spans="2:5">
      <c r="B4" s="947">
        <v>44796</v>
      </c>
      <c r="C4" s="53" t="s">
        <v>1308</v>
      </c>
      <c r="D4" s="53"/>
      <c r="E4" s="53"/>
    </row>
    <row r="5" spans="2:5">
      <c r="B5" s="947">
        <v>44796</v>
      </c>
      <c r="C5" s="53" t="s">
        <v>1309</v>
      </c>
      <c r="D5" s="53"/>
      <c r="E5" s="53"/>
    </row>
    <row r="6" spans="2:5">
      <c r="B6" s="947">
        <v>44796</v>
      </c>
      <c r="C6" s="53" t="s">
        <v>1310</v>
      </c>
      <c r="D6" s="53"/>
      <c r="E6" s="53"/>
    </row>
    <row r="7" spans="2:5">
      <c r="B7" s="947">
        <v>44796</v>
      </c>
      <c r="C7" s="53" t="s">
        <v>1311</v>
      </c>
      <c r="D7" s="53"/>
      <c r="E7" s="53"/>
    </row>
    <row r="8" spans="2:5">
      <c r="B8" s="35"/>
      <c r="C8" s="35"/>
      <c r="D8" s="35"/>
      <c r="E8" s="35"/>
    </row>
    <row r="9" spans="2:5">
      <c r="B9" s="35"/>
      <c r="C9" s="35"/>
      <c r="D9" s="35"/>
      <c r="E9" s="35"/>
    </row>
    <row r="10" spans="2:5">
      <c r="B10" s="35"/>
      <c r="C10" s="35"/>
      <c r="D10" s="35"/>
      <c r="E10" s="35"/>
    </row>
    <row r="11" spans="2:5" ht="75">
      <c r="B11" s="947">
        <v>44805</v>
      </c>
      <c r="C11" s="948" t="s">
        <v>1312</v>
      </c>
      <c r="D11" s="35"/>
      <c r="E11" s="35"/>
    </row>
    <row r="12" spans="2:5">
      <c r="B12" s="947">
        <v>44805</v>
      </c>
      <c r="C12" s="53" t="s">
        <v>1313</v>
      </c>
      <c r="D12" s="35"/>
      <c r="E12" s="35"/>
    </row>
    <row r="13" spans="2:5">
      <c r="B13" s="947">
        <v>44805</v>
      </c>
      <c r="C13" s="53" t="s">
        <v>1314</v>
      </c>
      <c r="D13" s="35"/>
      <c r="E13" s="35"/>
    </row>
    <row r="14" spans="2:5">
      <c r="B14" s="947">
        <v>44805</v>
      </c>
      <c r="C14" s="53" t="s">
        <v>1315</v>
      </c>
      <c r="D14" s="35"/>
      <c r="E14" s="35"/>
    </row>
    <row r="15" spans="2:5">
      <c r="B15" s="947">
        <v>44805</v>
      </c>
      <c r="C15" s="649" t="s">
        <v>1316</v>
      </c>
      <c r="D15" s="35"/>
      <c r="E15" s="35"/>
    </row>
    <row r="16" spans="2:5">
      <c r="B16" s="947">
        <v>44805</v>
      </c>
      <c r="C16" s="649" t="s">
        <v>1317</v>
      </c>
      <c r="D16" s="35"/>
      <c r="E16" s="35"/>
    </row>
    <row r="17" spans="2:5">
      <c r="B17" s="35"/>
      <c r="C17" s="35"/>
      <c r="D17" s="35"/>
      <c r="E17" s="35"/>
    </row>
    <row r="18" spans="2:5">
      <c r="B18" s="35"/>
      <c r="C18" s="35"/>
      <c r="D18" s="35"/>
      <c r="E18" s="35"/>
    </row>
    <row r="19" spans="2:5">
      <c r="B19" s="946"/>
      <c r="C19" s="35"/>
      <c r="D19" s="35"/>
      <c r="E19" s="35"/>
    </row>
    <row r="20" spans="2:5">
      <c r="B20" s="35"/>
      <c r="C20" s="35"/>
      <c r="D20" s="35"/>
      <c r="E20" s="35"/>
    </row>
    <row r="21" spans="2:5">
      <c r="B21" s="35"/>
      <c r="C21" s="35"/>
      <c r="D21" s="35"/>
      <c r="E21" s="35"/>
    </row>
    <row r="22" spans="2:5">
      <c r="B22" s="35"/>
      <c r="C22" s="35"/>
      <c r="D22" s="35"/>
      <c r="E22" s="35"/>
    </row>
    <row r="23" spans="2:5">
      <c r="B23" s="35"/>
      <c r="C23" s="35"/>
      <c r="D23" s="35"/>
      <c r="E23" s="35"/>
    </row>
    <row r="24" spans="2:5">
      <c r="B24" s="53"/>
      <c r="C24" s="629" t="s">
        <v>1318</v>
      </c>
      <c r="D24" s="192"/>
      <c r="E24" s="35"/>
    </row>
    <row r="25" spans="2:5">
      <c r="B25" s="947">
        <v>44879</v>
      </c>
      <c r="C25" s="53" t="s">
        <v>1319</v>
      </c>
      <c r="D25" s="192"/>
      <c r="E25" s="35"/>
    </row>
    <row r="26" spans="2:5">
      <c r="B26" s="947">
        <v>44879</v>
      </c>
      <c r="C26" s="53" t="s">
        <v>1320</v>
      </c>
      <c r="D26" s="192"/>
      <c r="E26" s="35"/>
    </row>
    <row r="27" spans="2:5">
      <c r="B27" s="947">
        <v>44879</v>
      </c>
      <c r="C27" s="53" t="s">
        <v>1321</v>
      </c>
      <c r="D27" s="192"/>
      <c r="E27" s="35"/>
    </row>
    <row r="28" spans="2:5">
      <c r="B28" s="947">
        <v>44879</v>
      </c>
      <c r="C28" s="53" t="s">
        <v>1322</v>
      </c>
      <c r="D28" s="192"/>
      <c r="E28" s="35"/>
    </row>
    <row r="29" spans="2:5">
      <c r="B29" s="947">
        <v>44879</v>
      </c>
      <c r="C29" s="53" t="s">
        <v>1323</v>
      </c>
      <c r="D29" s="192"/>
      <c r="E29" s="35"/>
    </row>
    <row r="30" spans="2:5">
      <c r="B30" s="947">
        <v>44879</v>
      </c>
      <c r="C30" s="53" t="s">
        <v>1324</v>
      </c>
      <c r="D30" s="192"/>
      <c r="E30" s="35"/>
    </row>
    <row r="31" spans="2:5">
      <c r="B31" s="947">
        <v>44879</v>
      </c>
      <c r="C31" s="53" t="s">
        <v>1325</v>
      </c>
    </row>
    <row r="32" spans="2:5">
      <c r="B32" s="947">
        <v>44879</v>
      </c>
      <c r="C32" s="53" t="s">
        <v>1326</v>
      </c>
    </row>
    <row r="35" spans="2:5">
      <c r="B35" s="947">
        <v>44885</v>
      </c>
      <c r="C35" s="53" t="s">
        <v>1327</v>
      </c>
      <c r="D35" s="35"/>
      <c r="E35" s="35"/>
    </row>
    <row r="36" spans="2:5">
      <c r="B36" s="947">
        <v>44885</v>
      </c>
      <c r="C36" s="54" t="s">
        <v>1328</v>
      </c>
    </row>
    <row r="37" spans="2:5">
      <c r="B37" s="947">
        <v>44885</v>
      </c>
      <c r="C37" s="54" t="s">
        <v>1329</v>
      </c>
    </row>
    <row r="38" spans="2:5">
      <c r="B38" s="947">
        <v>44885</v>
      </c>
      <c r="C38" s="54" t="s">
        <v>1330</v>
      </c>
    </row>
    <row r="41" spans="2:5">
      <c r="B41" s="109" t="s">
        <v>1331</v>
      </c>
      <c r="C41" s="109">
        <v>120423</v>
      </c>
    </row>
    <row r="42" spans="2:5">
      <c r="B42" s="54" t="s">
        <v>352</v>
      </c>
      <c r="C42" s="109" t="s">
        <v>1332</v>
      </c>
    </row>
    <row r="43" spans="2:5">
      <c r="C43" s="180" t="s">
        <v>1333</v>
      </c>
    </row>
    <row r="44" spans="2:5">
      <c r="C44" s="180" t="s">
        <v>1334</v>
      </c>
    </row>
    <row r="46" spans="2:5">
      <c r="B46" s="54" t="s">
        <v>298</v>
      </c>
      <c r="C46" t="s">
        <v>1335</v>
      </c>
    </row>
    <row r="47" spans="2:5">
      <c r="C47" t="s">
        <v>1336</v>
      </c>
    </row>
    <row r="50" spans="2:14">
      <c r="B50" s="54" t="s">
        <v>182</v>
      </c>
      <c r="C50" s="952" t="s">
        <v>1337</v>
      </c>
    </row>
    <row r="51" spans="2:14">
      <c r="C51" t="s">
        <v>1338</v>
      </c>
    </row>
    <row r="55" spans="2:14">
      <c r="C55" s="1203" t="s">
        <v>1339</v>
      </c>
      <c r="D55" s="1203"/>
      <c r="E55" s="1203"/>
      <c r="F55" s="1203"/>
      <c r="G55" s="1203"/>
      <c r="H55" s="1203"/>
      <c r="I55" s="1203"/>
      <c r="J55" s="1203"/>
      <c r="K55" s="1203"/>
      <c r="L55" s="1203"/>
      <c r="M55" s="1203"/>
      <c r="N55" s="1203"/>
    </row>
    <row r="56" spans="2:14">
      <c r="C56" s="1203"/>
      <c r="D56" s="1203"/>
      <c r="E56" s="1203"/>
      <c r="F56" s="1203"/>
      <c r="G56" s="1203"/>
      <c r="H56" s="1203"/>
      <c r="I56" s="1203"/>
      <c r="J56" s="1203"/>
      <c r="K56" s="1203"/>
      <c r="L56" s="1203"/>
      <c r="M56" s="1203"/>
      <c r="N56" s="1203"/>
    </row>
    <row r="57" spans="2:14">
      <c r="C57" s="1203"/>
      <c r="D57" s="1203"/>
      <c r="E57" s="1203"/>
      <c r="F57" s="1203"/>
      <c r="G57" s="1203"/>
      <c r="H57" s="1203"/>
      <c r="I57" s="1203"/>
      <c r="J57" s="1203"/>
      <c r="K57" s="1203"/>
      <c r="L57" s="1203"/>
      <c r="M57" s="1203"/>
      <c r="N57" s="1203"/>
    </row>
    <row r="58" spans="2:14">
      <c r="C58" s="1203"/>
      <c r="D58" s="1203"/>
      <c r="E58" s="1203"/>
      <c r="F58" s="1203"/>
      <c r="G58" s="1203"/>
      <c r="H58" s="1203"/>
      <c r="I58" s="1203"/>
      <c r="J58" s="1203"/>
      <c r="K58" s="1203"/>
      <c r="L58" s="1203"/>
      <c r="M58" s="1203"/>
      <c r="N58" s="1203"/>
    </row>
    <row r="59" spans="2:14">
      <c r="C59" s="54"/>
      <c r="D59" s="54"/>
      <c r="E59" s="54"/>
      <c r="F59" s="54"/>
      <c r="G59" s="54"/>
      <c r="H59" s="54"/>
      <c r="I59" s="54"/>
      <c r="J59" s="54"/>
      <c r="K59" s="54"/>
      <c r="L59" s="54"/>
      <c r="M59" s="54"/>
      <c r="N59" s="54"/>
    </row>
    <row r="60" spans="2:14">
      <c r="C60" s="54"/>
      <c r="D60" s="54"/>
      <c r="E60" s="54"/>
      <c r="F60" s="54"/>
      <c r="G60" s="54"/>
      <c r="H60" s="54"/>
      <c r="I60" s="54"/>
      <c r="J60" s="54"/>
      <c r="K60" s="54"/>
      <c r="L60" s="54"/>
      <c r="M60" s="54"/>
      <c r="N60" s="54"/>
    </row>
    <row r="61" spans="2:14">
      <c r="C61" s="54"/>
      <c r="D61" s="54"/>
      <c r="E61" s="54"/>
      <c r="F61" s="54"/>
      <c r="G61" s="54"/>
      <c r="H61" s="54"/>
      <c r="I61" s="54"/>
      <c r="J61" s="54"/>
      <c r="K61" s="54"/>
      <c r="L61" s="54"/>
      <c r="M61" s="54"/>
      <c r="N61" s="54"/>
    </row>
    <row r="62" spans="2:14">
      <c r="C62" s="954" t="s">
        <v>1340</v>
      </c>
      <c r="D62" s="54"/>
      <c r="E62" s="54"/>
      <c r="F62" s="54"/>
      <c r="G62" s="54"/>
      <c r="H62" s="54"/>
      <c r="I62" s="54"/>
      <c r="J62" s="54"/>
      <c r="K62" s="54"/>
      <c r="L62" s="54"/>
      <c r="M62" s="54"/>
      <c r="N62" s="54"/>
    </row>
    <row r="63" spans="2:14">
      <c r="C63" s="954" t="s">
        <v>1341</v>
      </c>
      <c r="D63" s="54"/>
      <c r="E63" s="54"/>
      <c r="F63" s="54"/>
      <c r="G63" s="54"/>
      <c r="H63" s="54"/>
      <c r="I63" s="54"/>
      <c r="J63" s="54"/>
      <c r="K63" s="54"/>
      <c r="L63" s="54"/>
      <c r="M63" s="54"/>
      <c r="N63" s="54"/>
    </row>
    <row r="70" spans="2:3">
      <c r="B70" s="54" t="s">
        <v>414</v>
      </c>
      <c r="C70" t="s">
        <v>1342</v>
      </c>
    </row>
    <row r="71" spans="2:3">
      <c r="C71" s="180" t="s">
        <v>1343</v>
      </c>
    </row>
    <row r="76" spans="2:3">
      <c r="B76" s="54" t="s">
        <v>478</v>
      </c>
      <c r="C76" t="s">
        <v>1344</v>
      </c>
    </row>
    <row r="77" spans="2:3">
      <c r="C77" t="s">
        <v>1345</v>
      </c>
    </row>
    <row r="78" spans="2:3">
      <c r="C78" t="s">
        <v>1346</v>
      </c>
    </row>
    <row r="80" spans="2:3">
      <c r="B80" s="54" t="s">
        <v>478</v>
      </c>
      <c r="C80" t="s">
        <v>1347</v>
      </c>
    </row>
    <row r="83" spans="2:3">
      <c r="B83" s="54"/>
      <c r="C83" s="953" t="s">
        <v>1348</v>
      </c>
    </row>
    <row r="84" spans="2:3">
      <c r="C84" s="952" t="s">
        <v>1349</v>
      </c>
    </row>
    <row r="86" spans="2:3">
      <c r="C86" t="s">
        <v>1350</v>
      </c>
    </row>
    <row r="89" spans="2:3">
      <c r="B89" s="54" t="s">
        <v>183</v>
      </c>
      <c r="C89" t="s">
        <v>1351</v>
      </c>
    </row>
    <row r="90" spans="2:3">
      <c r="C90" t="s">
        <v>1352</v>
      </c>
    </row>
    <row r="94" spans="2:3">
      <c r="B94" s="54" t="s">
        <v>182</v>
      </c>
      <c r="C94" t="s">
        <v>1353</v>
      </c>
    </row>
    <row r="95" spans="2:3">
      <c r="C95" t="s">
        <v>1354</v>
      </c>
    </row>
    <row r="100" spans="2:3">
      <c r="B100" s="54" t="s">
        <v>422</v>
      </c>
      <c r="C100" t="s">
        <v>1355</v>
      </c>
    </row>
    <row r="101" spans="2:3">
      <c r="C101" t="s">
        <v>1356</v>
      </c>
    </row>
    <row r="103" spans="2:3">
      <c r="C103" t="s">
        <v>120</v>
      </c>
    </row>
    <row r="104" spans="2:3">
      <c r="C104" t="s">
        <v>124</v>
      </c>
    </row>
    <row r="108" spans="2:3">
      <c r="B108" s="54" t="s">
        <v>352</v>
      </c>
      <c r="C108" t="s">
        <v>1357</v>
      </c>
    </row>
    <row r="109" spans="2:3">
      <c r="B109" s="955">
        <v>45229</v>
      </c>
      <c r="C109" t="s">
        <v>1358</v>
      </c>
    </row>
    <row r="110" spans="2:3">
      <c r="C110" t="s">
        <v>1359</v>
      </c>
    </row>
    <row r="111" spans="2:3">
      <c r="C111" t="s">
        <v>1360</v>
      </c>
    </row>
    <row r="112" spans="2:3">
      <c r="C112" t="s">
        <v>1361</v>
      </c>
    </row>
    <row r="113" spans="2:3">
      <c r="C113" t="s">
        <v>1362</v>
      </c>
    </row>
    <row r="114" spans="2:3">
      <c r="C114" t="s">
        <v>1363</v>
      </c>
    </row>
    <row r="116" spans="2:3">
      <c r="C116" t="s">
        <v>1364</v>
      </c>
    </row>
    <row r="117" spans="2:3">
      <c r="C117" t="s">
        <v>1365</v>
      </c>
    </row>
    <row r="118" spans="2:3">
      <c r="C118" t="s">
        <v>1366</v>
      </c>
    </row>
    <row r="119" spans="2:3">
      <c r="C119" t="s">
        <v>1367</v>
      </c>
    </row>
    <row r="121" spans="2:3">
      <c r="B121" s="54" t="s">
        <v>760</v>
      </c>
      <c r="C121" t="s">
        <v>1368</v>
      </c>
    </row>
    <row r="123" spans="2:3">
      <c r="C123" t="s">
        <v>1369</v>
      </c>
    </row>
    <row r="125" spans="2:3">
      <c r="C125" t="s">
        <v>1370</v>
      </c>
    </row>
    <row r="126" spans="2:3">
      <c r="C126" t="s">
        <v>1371</v>
      </c>
    </row>
    <row r="128" spans="2:3">
      <c r="C128" t="s">
        <v>1372</v>
      </c>
    </row>
    <row r="130" spans="2:3">
      <c r="B130" s="54" t="s">
        <v>463</v>
      </c>
      <c r="C130" t="s">
        <v>1124</v>
      </c>
    </row>
    <row r="131" spans="2:3">
      <c r="C131" t="s">
        <v>1373</v>
      </c>
    </row>
    <row r="132" spans="2:3">
      <c r="C132" t="s">
        <v>1127</v>
      </c>
    </row>
    <row r="133" spans="2:3">
      <c r="C133" t="s">
        <v>1129</v>
      </c>
    </row>
    <row r="134" spans="2:3">
      <c r="C134" t="s">
        <v>1131</v>
      </c>
    </row>
    <row r="135" spans="2:3">
      <c r="C135" t="s">
        <v>1134</v>
      </c>
    </row>
    <row r="136" spans="2:3">
      <c r="C136" t="s">
        <v>1374</v>
      </c>
    </row>
    <row r="141" spans="2:3">
      <c r="B141" s="959">
        <v>45327</v>
      </c>
    </row>
    <row r="142" spans="2:3">
      <c r="C142" s="54" t="s">
        <v>1375</v>
      </c>
    </row>
    <row r="144" spans="2:3">
      <c r="B144" s="959">
        <v>45772</v>
      </c>
    </row>
    <row r="145" spans="2:3">
      <c r="B145" t="s">
        <v>1376</v>
      </c>
      <c r="C145" t="s">
        <v>1377</v>
      </c>
    </row>
    <row r="146" spans="2:3">
      <c r="B146" t="s">
        <v>1378</v>
      </c>
      <c r="C146" t="s">
        <v>1379</v>
      </c>
    </row>
    <row r="147" spans="2:3">
      <c r="C147" t="s">
        <v>1383</v>
      </c>
    </row>
    <row r="153" spans="2:3">
      <c r="B153" s="959">
        <v>45953</v>
      </c>
      <c r="C153" t="s">
        <v>1399</v>
      </c>
    </row>
    <row r="154" spans="2:3" ht="15.75">
      <c r="C154" s="1084" t="s">
        <v>1400</v>
      </c>
    </row>
    <row r="155" spans="2:3" ht="15.75">
      <c r="C155" s="1085" t="s">
        <v>1401</v>
      </c>
    </row>
    <row r="156" spans="2:3">
      <c r="C156" t="s">
        <v>1402</v>
      </c>
    </row>
  </sheetData>
  <sheetProtection algorithmName="SHA-512" hashValue="jf7B/0Ry1Q51I61vHapTw5uQ8rbU7lhsdC/ng/Pr6k2bxgink1DSzzP9BK0ziT6VZEczEfHd4CW0+51AS+VHfA==" saltValue="UmO/gdrULC4Jec0B9KqKeA==" spinCount="100000" sheet="1" objects="1" scenarios="1"/>
  <mergeCells count="1">
    <mergeCell ref="C55:N5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M186"/>
  <sheetViews>
    <sheetView showGridLines="0" zoomScale="90" zoomScaleNormal="90" zoomScalePageLayoutView="90" workbookViewId="0">
      <pane ySplit="3" topLeftCell="A4" activePane="bottomLeft" state="frozen"/>
      <selection activeCell="H9" sqref="H9:I9"/>
      <selection pane="bottomLeft" activeCell="F5" sqref="F5"/>
    </sheetView>
  </sheetViews>
  <sheetFormatPr baseColWidth="10" defaultColWidth="9.28515625" defaultRowHeight="15"/>
  <cols>
    <col min="1" max="1" width="2.7109375" style="12" customWidth="1"/>
    <col min="2" max="2" width="37.7109375" style="12" customWidth="1"/>
    <col min="3" max="3" width="59.7109375" style="12" customWidth="1"/>
    <col min="4" max="4" width="5.5703125" style="12" customWidth="1"/>
    <col min="5" max="5" width="103.7109375" style="12" customWidth="1"/>
    <col min="6" max="6" width="56.5703125" style="12" customWidth="1"/>
    <col min="7" max="7" width="7.28515625" style="12" hidden="1" customWidth="1"/>
    <col min="8" max="8" width="11.42578125" style="12" hidden="1" customWidth="1"/>
    <col min="9" max="9" width="12.28515625" style="12" hidden="1" customWidth="1"/>
    <col min="10" max="11" width="17" style="12" hidden="1" customWidth="1"/>
    <col min="12" max="12" width="42.28515625" style="12" hidden="1" customWidth="1"/>
    <col min="13" max="13" width="30.7109375" style="12" hidden="1" customWidth="1"/>
    <col min="14" max="14" width="16.5703125" style="12" hidden="1" customWidth="1"/>
    <col min="15" max="15" width="34.5703125" style="12" hidden="1" customWidth="1"/>
    <col min="16" max="16" width="6.28515625" style="12" hidden="1" customWidth="1"/>
    <col min="17" max="17" width="74.7109375" style="12" hidden="1" customWidth="1"/>
    <col min="18" max="18" width="30.28515625" style="12" hidden="1" customWidth="1"/>
    <col min="19" max="19" width="41.28515625" style="12" hidden="1" customWidth="1"/>
    <col min="20" max="20" width="32" style="12" hidden="1" customWidth="1"/>
    <col min="21" max="25" width="31.28515625" style="12" hidden="1" customWidth="1"/>
    <col min="26" max="26" width="40.7109375" style="12" hidden="1" customWidth="1"/>
    <col min="27" max="27" width="39.140625" style="12" hidden="1" customWidth="1"/>
    <col min="28" max="30" width="31.28515625" style="12" hidden="1" customWidth="1"/>
    <col min="31" max="31" width="11.42578125" style="12" hidden="1" customWidth="1"/>
    <col min="32" max="35" width="9.28515625" style="12" hidden="1" customWidth="1"/>
    <col min="36" max="120" width="9.28515625" style="12" customWidth="1"/>
    <col min="121" max="16384" width="9.28515625" style="12"/>
  </cols>
  <sheetData>
    <row r="1" spans="2:32" s="1" customFormat="1">
      <c r="B1" s="333"/>
      <c r="C1" s="333"/>
      <c r="G1" s="12"/>
      <c r="H1" s="12"/>
      <c r="I1" s="12"/>
      <c r="O1" s="12"/>
      <c r="P1" s="12"/>
      <c r="Q1" s="12"/>
      <c r="R1" s="12"/>
      <c r="S1" s="12"/>
      <c r="T1" s="12"/>
      <c r="U1" s="12"/>
      <c r="V1" s="12"/>
      <c r="W1" s="12"/>
      <c r="X1" s="12"/>
      <c r="Y1" s="12"/>
      <c r="Z1" s="12"/>
      <c r="AA1" s="12"/>
      <c r="AB1" s="12"/>
      <c r="AC1" s="12"/>
      <c r="AD1" s="12"/>
    </row>
    <row r="2" spans="2:32" s="1" customFormat="1" ht="42" customHeight="1">
      <c r="B2" s="376" t="s">
        <v>6</v>
      </c>
      <c r="C2" s="377"/>
      <c r="D2" s="377"/>
      <c r="E2" s="377"/>
      <c r="F2" s="469" t="str">
        <f>IF('Manuell filtrering og justering'!I2='Manuell filtrering og justering'!J2,"Bespoke","")</f>
        <v/>
      </c>
      <c r="G2" s="12"/>
      <c r="H2" s="12"/>
      <c r="I2" s="12"/>
      <c r="O2" s="12"/>
      <c r="P2" s="12"/>
      <c r="Q2" s="12"/>
      <c r="R2" s="12"/>
      <c r="S2" s="12"/>
      <c r="T2" s="12"/>
      <c r="U2" s="12"/>
      <c r="V2" s="12"/>
      <c r="W2" s="12"/>
      <c r="X2" s="12"/>
      <c r="Y2" s="12"/>
      <c r="Z2" s="12"/>
      <c r="AA2" s="12"/>
      <c r="AB2" s="12"/>
      <c r="AC2" s="12"/>
      <c r="AD2" s="12"/>
    </row>
    <row r="3" spans="2:32" s="1" customFormat="1">
      <c r="B3" s="378"/>
      <c r="C3" s="378"/>
      <c r="F3" s="379"/>
      <c r="G3" s="12"/>
      <c r="H3" s="12"/>
      <c r="I3" s="12"/>
      <c r="O3" s="12"/>
      <c r="P3" s="12"/>
      <c r="Q3" s="12"/>
      <c r="R3" s="32"/>
      <c r="S3" s="32"/>
      <c r="T3" s="32"/>
      <c r="U3" s="32"/>
      <c r="V3" s="32"/>
      <c r="W3" s="32"/>
      <c r="X3" s="32"/>
      <c r="Y3" s="32"/>
      <c r="Z3" s="32"/>
      <c r="AA3" s="32"/>
      <c r="AB3" s="32"/>
      <c r="AC3" s="32"/>
      <c r="AD3" s="32"/>
      <c r="AE3" s="32"/>
    </row>
    <row r="4" spans="2:32" s="1" customFormat="1" ht="18.75">
      <c r="B4" s="380" t="s">
        <v>7</v>
      </c>
      <c r="C4" s="4"/>
      <c r="E4" s="380" t="s">
        <v>8</v>
      </c>
      <c r="F4" s="380"/>
      <c r="G4" s="12"/>
      <c r="H4" s="12"/>
      <c r="I4" s="12"/>
      <c r="L4" s="9"/>
      <c r="M4" s="9"/>
      <c r="N4" s="9"/>
      <c r="O4" s="12"/>
      <c r="P4" s="12"/>
      <c r="Q4" s="12"/>
      <c r="R4" s="12"/>
      <c r="S4" s="12"/>
      <c r="T4" s="12"/>
      <c r="U4" s="12"/>
      <c r="V4" s="12"/>
      <c r="W4" s="12"/>
      <c r="X4" s="12"/>
      <c r="Y4" s="12"/>
      <c r="Z4" s="12"/>
      <c r="AA4" s="12"/>
      <c r="AB4" s="12"/>
      <c r="AC4" s="12"/>
      <c r="AD4" s="12"/>
    </row>
    <row r="5" spans="2:32" s="1" customFormat="1" ht="15.75">
      <c r="B5" s="381" t="s">
        <v>9</v>
      </c>
      <c r="C5" s="453"/>
      <c r="D5" s="12"/>
      <c r="E5" s="383" t="s">
        <v>10</v>
      </c>
      <c r="F5" s="382" t="s">
        <v>11</v>
      </c>
      <c r="G5" s="12"/>
      <c r="H5" s="12"/>
      <c r="I5" s="12"/>
      <c r="J5" s="12"/>
      <c r="K5" s="12"/>
      <c r="L5" s="77" t="str">
        <f>IF('Manuell filtrering og justering'!I2='Manuell filtrering og justering'!J2,'Manuell filtrering og justering'!H2,M6)</f>
        <v>Industribygg</v>
      </c>
      <c r="M5" t="str">
        <f>S5</f>
        <v>Kontorbygg</v>
      </c>
      <c r="N5" s="9"/>
      <c r="O5" s="77" t="str">
        <f>IF(HLOOKUP(ADBT0,$R$5:$AE$14,AF6,FALSE)=0,"",HLOOKUP(ADBT0,$R$5:$AE$14,AF6,FALSE))</f>
        <v>Generelle kontorbygg</v>
      </c>
      <c r="P5" s="12"/>
      <c r="Q5" s="77" t="s">
        <v>12</v>
      </c>
      <c r="R5" s="75" t="s">
        <v>13</v>
      </c>
      <c r="S5" s="75" t="s">
        <v>11</v>
      </c>
      <c r="T5" s="75" t="s">
        <v>14</v>
      </c>
      <c r="U5" s="75" t="s">
        <v>15</v>
      </c>
      <c r="V5" s="75" t="s">
        <v>16</v>
      </c>
      <c r="W5" s="75" t="s">
        <v>17</v>
      </c>
      <c r="X5" s="75" t="s">
        <v>18</v>
      </c>
      <c r="Y5" s="75" t="s">
        <v>19</v>
      </c>
      <c r="Z5" s="75" t="s">
        <v>1398</v>
      </c>
      <c r="AA5" s="75" t="s">
        <v>90</v>
      </c>
      <c r="AB5" s="75" t="s">
        <v>20</v>
      </c>
      <c r="AC5" s="75" t="s">
        <v>21</v>
      </c>
      <c r="AD5" s="880" t="s">
        <v>22</v>
      </c>
      <c r="AE5" s="75" t="s">
        <v>23</v>
      </c>
      <c r="AF5" s="1">
        <v>1</v>
      </c>
    </row>
    <row r="6" spans="2:32" s="1" customFormat="1" ht="15.75">
      <c r="B6" s="384" t="s">
        <v>24</v>
      </c>
      <c r="C6" s="453"/>
      <c r="D6" s="12"/>
      <c r="E6" s="383" t="s">
        <v>25</v>
      </c>
      <c r="F6" s="386" t="s">
        <v>26</v>
      </c>
      <c r="G6" s="12"/>
      <c r="H6" s="12"/>
      <c r="I6" s="12"/>
      <c r="J6" s="12"/>
      <c r="K6" s="12"/>
      <c r="L6" s="77" t="str">
        <f>IF('Manuell filtrering og justering'!I2='Manuell filtrering og justering'!J2,"",M5)</f>
        <v>Kontorbygg</v>
      </c>
      <c r="M6" t="str">
        <f>R5</f>
        <v>Industribygg</v>
      </c>
      <c r="N6" s="9"/>
      <c r="O6" s="77" t="str">
        <f t="shared" ref="O6:O13" si="0">IF(HLOOKUP(ADBT0,$R$5:$AE$14,AF7,FALSE)=0,"",HLOOKUP(ADBT0,$R$5:$AE$14,AF7,FALSE))</f>
        <v>Kontorer med forsknings- og utviklingsområder (dvs. bare kategori 1-laboratorier)</v>
      </c>
      <c r="P6" s="12"/>
      <c r="Q6" s="12"/>
      <c r="R6" s="12" t="s">
        <v>27</v>
      </c>
      <c r="S6" s="12" t="s">
        <v>26</v>
      </c>
      <c r="T6" s="1" t="s">
        <v>28</v>
      </c>
      <c r="U6" s="1" t="s">
        <v>29</v>
      </c>
      <c r="V6" s="1" t="s">
        <v>30</v>
      </c>
      <c r="W6" s="1" t="s">
        <v>31</v>
      </c>
      <c r="X6" s="1" t="s">
        <v>32</v>
      </c>
      <c r="Y6" s="1" t="s">
        <v>19</v>
      </c>
      <c r="Z6" s="1" t="s">
        <v>33</v>
      </c>
      <c r="AA6" s="1" t="s">
        <v>34</v>
      </c>
      <c r="AB6" s="1" t="s">
        <v>35</v>
      </c>
      <c r="AC6" s="1" t="s">
        <v>36</v>
      </c>
      <c r="AD6" s="1" t="s">
        <v>37</v>
      </c>
      <c r="AE6" s="12" t="s">
        <v>23</v>
      </c>
      <c r="AF6" s="1">
        <v>2</v>
      </c>
    </row>
    <row r="7" spans="2:32" s="1" customFormat="1" ht="15.75">
      <c r="B7" s="384" t="s">
        <v>38</v>
      </c>
      <c r="C7" s="453"/>
      <c r="D7" s="12"/>
      <c r="E7" s="388" t="s">
        <v>39</v>
      </c>
      <c r="F7" s="957" t="s">
        <v>40</v>
      </c>
      <c r="G7" s="12"/>
      <c r="H7" s="12"/>
      <c r="I7" s="12"/>
      <c r="J7" s="12"/>
      <c r="K7" s="12"/>
      <c r="L7" s="77" t="str">
        <f>IF('Manuell filtrering og justering'!I2='Manuell filtrering og justering'!J2,"",M7)</f>
        <v>Handelsbygg</v>
      </c>
      <c r="M7" t="str">
        <f>T5</f>
        <v>Handelsbygg</v>
      </c>
      <c r="N7" s="9"/>
      <c r="O7" s="77" t="str">
        <f t="shared" si="0"/>
        <v/>
      </c>
      <c r="P7" s="12"/>
      <c r="Q7" s="12"/>
      <c r="R7" s="12" t="s">
        <v>41</v>
      </c>
      <c r="S7" s="1" t="s">
        <v>42</v>
      </c>
      <c r="T7" s="1" t="s">
        <v>43</v>
      </c>
      <c r="U7" s="1" t="s">
        <v>44</v>
      </c>
      <c r="V7" s="1" t="s">
        <v>45</v>
      </c>
      <c r="W7" s="1" t="s">
        <v>46</v>
      </c>
      <c r="X7" s="1" t="s">
        <v>47</v>
      </c>
      <c r="Y7" s="1" t="s">
        <v>1384</v>
      </c>
      <c r="Z7" s="1" t="s">
        <v>48</v>
      </c>
      <c r="AA7" s="1" t="s">
        <v>49</v>
      </c>
      <c r="AB7" s="1" t="s">
        <v>50</v>
      </c>
      <c r="AC7" s="1" t="s">
        <v>51</v>
      </c>
      <c r="AD7" s="1" t="s">
        <v>52</v>
      </c>
      <c r="AF7" s="1">
        <v>3</v>
      </c>
    </row>
    <row r="8" spans="2:32" s="1" customFormat="1" ht="15.75">
      <c r="B8" s="384" t="s">
        <v>53</v>
      </c>
      <c r="C8" s="453"/>
      <c r="D8" s="12"/>
      <c r="G8" s="12"/>
      <c r="H8" s="12"/>
      <c r="I8" s="12"/>
      <c r="J8" s="12"/>
      <c r="K8" s="12"/>
      <c r="L8" s="77" t="str">
        <f>IF('Manuell filtrering og justering'!I2='Manuell filtrering og justering'!J2,"",M8)</f>
        <v>Undervisningsbygg</v>
      </c>
      <c r="M8" t="str">
        <f>U5</f>
        <v>Undervisningsbygg</v>
      </c>
      <c r="N8" s="9"/>
      <c r="O8" s="77" t="str">
        <f t="shared" si="0"/>
        <v/>
      </c>
      <c r="P8" s="12"/>
      <c r="Q8" s="18" t="s">
        <v>54</v>
      </c>
      <c r="T8" s="1" t="s">
        <v>55</v>
      </c>
      <c r="U8" s="1" t="s">
        <v>56</v>
      </c>
      <c r="V8" s="1" t="s">
        <v>57</v>
      </c>
      <c r="W8" s="1" t="s">
        <v>58</v>
      </c>
      <c r="X8" s="1" t="s">
        <v>59</v>
      </c>
      <c r="Y8" s="1" t="s">
        <v>82</v>
      </c>
      <c r="Z8" s="1" t="s">
        <v>60</v>
      </c>
      <c r="AA8" s="1" t="s">
        <v>61</v>
      </c>
      <c r="AB8" s="1" t="s">
        <v>62</v>
      </c>
      <c r="AC8" s="1" t="s">
        <v>63</v>
      </c>
      <c r="AD8" s="1" t="s">
        <v>64</v>
      </c>
      <c r="AE8" s="12"/>
      <c r="AF8" s="1">
        <v>4</v>
      </c>
    </row>
    <row r="9" spans="2:32" s="1" customFormat="1" ht="15.75">
      <c r="B9" s="384" t="s">
        <v>65</v>
      </c>
      <c r="C9" s="453"/>
      <c r="D9" s="12"/>
      <c r="G9" s="12"/>
      <c r="H9" s="12"/>
      <c r="I9" s="12"/>
      <c r="J9" s="12"/>
      <c r="K9" s="12"/>
      <c r="L9" s="77" t="str">
        <f>IF('Manuell filtrering og justering'!I2='Manuell filtrering og justering'!J2,"",M16)</f>
        <v>Boligbygg</v>
      </c>
      <c r="M9" t="str">
        <f>W5</f>
        <v>Helseinstitusjoner</v>
      </c>
      <c r="N9" s="9"/>
      <c r="O9" s="77" t="str">
        <f t="shared" si="0"/>
        <v/>
      </c>
      <c r="P9" s="12"/>
      <c r="Q9" s="12"/>
      <c r="T9" s="1" t="s">
        <v>66</v>
      </c>
      <c r="U9" s="1" t="s">
        <v>67</v>
      </c>
      <c r="W9" s="1" t="s">
        <v>68</v>
      </c>
      <c r="X9" s="1" t="s">
        <v>69</v>
      </c>
      <c r="Y9" s="12" t="s">
        <v>86</v>
      </c>
      <c r="Z9" s="1" t="s">
        <v>70</v>
      </c>
      <c r="AB9" s="1" t="s">
        <v>71</v>
      </c>
      <c r="AC9" s="1" t="s">
        <v>72</v>
      </c>
      <c r="AD9" s="1" t="s">
        <v>73</v>
      </c>
      <c r="AF9" s="1">
        <v>5</v>
      </c>
    </row>
    <row r="10" spans="2:32" s="1" customFormat="1" ht="15.75">
      <c r="B10" s="388" t="s">
        <v>74</v>
      </c>
      <c r="C10" s="453"/>
      <c r="D10" s="12"/>
      <c r="F10" s="213"/>
      <c r="G10" s="12"/>
      <c r="H10" s="12"/>
      <c r="I10" s="12"/>
      <c r="J10" s="12"/>
      <c r="K10" s="12"/>
      <c r="L10" s="77" t="str">
        <f>IF('Manuell filtrering og justering'!$I$2='Manuell filtrering og justering'!$J$2,"",M9)</f>
        <v>Helseinstitusjoner</v>
      </c>
      <c r="M10" t="str">
        <f>X5</f>
        <v>Fengsel</v>
      </c>
      <c r="N10" s="9"/>
      <c r="O10" s="77" t="str">
        <f t="shared" si="0"/>
        <v/>
      </c>
      <c r="P10" s="12"/>
      <c r="Q10" s="12"/>
      <c r="T10" s="1" t="s">
        <v>75</v>
      </c>
      <c r="U10" s="1" t="s">
        <v>76</v>
      </c>
      <c r="W10" s="1" t="s">
        <v>77</v>
      </c>
      <c r="X10" s="1" t="s">
        <v>78</v>
      </c>
      <c r="Y10" s="12" t="s">
        <v>92</v>
      </c>
      <c r="Z10" s="1" t="s">
        <v>83</v>
      </c>
      <c r="AD10" s="1" t="s">
        <v>79</v>
      </c>
      <c r="AF10" s="1">
        <v>6</v>
      </c>
    </row>
    <row r="11" spans="2:32" s="1" customFormat="1" ht="15.75" customHeight="1">
      <c r="C11"/>
      <c r="E11" s="390" t="s">
        <v>80</v>
      </c>
      <c r="F11" s="455"/>
      <c r="G11" s="12"/>
      <c r="H11" s="12"/>
      <c r="I11" s="12"/>
      <c r="J11" s="12"/>
      <c r="K11" s="12"/>
      <c r="L11" s="77" t="str">
        <f>IF('Manuell filtrering og justering'!$I$2='Manuell filtrering og justering'!$J$2,"",M10)</f>
        <v>Fengsel</v>
      </c>
      <c r="M11" t="str">
        <f>Y5</f>
        <v>Tinghus</v>
      </c>
      <c r="N11" s="9"/>
      <c r="O11" s="77" t="str">
        <f t="shared" si="0"/>
        <v/>
      </c>
      <c r="P11" s="12"/>
      <c r="Q11" s="77" t="s">
        <v>40</v>
      </c>
      <c r="T11" s="1" t="s">
        <v>81</v>
      </c>
      <c r="Z11" s="12"/>
      <c r="AF11" s="1">
        <v>7</v>
      </c>
    </row>
    <row r="12" spans="2:32" s="1" customFormat="1" ht="15" customHeight="1">
      <c r="B12" s="380" t="s">
        <v>8</v>
      </c>
      <c r="C12" s="454"/>
      <c r="E12" s="384" t="s">
        <v>84</v>
      </c>
      <c r="F12" s="455"/>
      <c r="G12" s="12"/>
      <c r="H12" s="12"/>
      <c r="I12" s="12"/>
      <c r="J12" s="12"/>
      <c r="K12" s="12"/>
      <c r="L12" s="77" t="str">
        <f>IF('Manuell filtrering og justering'!$I$2='Manuell filtrering og justering'!$J$2,"",M11)</f>
        <v>Tinghus</v>
      </c>
      <c r="M12" t="str">
        <f>Z5</f>
        <v>Døgninstitusjonsbygg (langtidsopphold)</v>
      </c>
      <c r="N12" s="9"/>
      <c r="O12" s="77" t="str">
        <f t="shared" si="0"/>
        <v/>
      </c>
      <c r="P12" s="12"/>
      <c r="Q12" s="77" t="s">
        <v>85</v>
      </c>
      <c r="T12" s="12"/>
      <c r="U12" s="12"/>
      <c r="V12" s="12"/>
      <c r="W12" s="12"/>
      <c r="X12" s="12"/>
      <c r="Z12" s="12"/>
      <c r="AA12" s="12"/>
      <c r="AB12" s="12"/>
      <c r="AC12" s="12"/>
      <c r="AD12" s="12"/>
      <c r="AF12" s="1">
        <v>8</v>
      </c>
    </row>
    <row r="13" spans="2:32" s="1" customFormat="1" ht="15.75" customHeight="1">
      <c r="B13" s="381" t="s">
        <v>87</v>
      </c>
      <c r="C13" s="455"/>
      <c r="E13" s="949" t="s">
        <v>88</v>
      </c>
      <c r="F13" s="455"/>
      <c r="G13" s="12"/>
      <c r="H13" s="12"/>
      <c r="I13" s="283" t="s">
        <v>89</v>
      </c>
      <c r="J13" s="12"/>
      <c r="K13" s="12"/>
      <c r="L13" s="77" t="str">
        <f>IF('Manuell filtrering og justering'!$I$2='Manuell filtrering og justering'!$J$2,"",M12)</f>
        <v>Døgninstitusjonsbygg (langtidsopphold)</v>
      </c>
      <c r="M13" t="str">
        <f>AA5</f>
        <v>Døgninstitusjonsbygg (korttidsopphold)</v>
      </c>
      <c r="N13" s="9"/>
      <c r="O13" s="77" t="str">
        <f t="shared" si="0"/>
        <v/>
      </c>
      <c r="P13" s="12"/>
      <c r="Q13" s="77" t="s">
        <v>91</v>
      </c>
      <c r="T13" s="12"/>
      <c r="U13" s="12"/>
      <c r="V13" s="12"/>
      <c r="W13" s="12"/>
      <c r="X13" s="12"/>
      <c r="Z13" s="12"/>
      <c r="AA13" s="12"/>
      <c r="AB13" s="12"/>
      <c r="AC13" s="12"/>
      <c r="AD13" s="12"/>
      <c r="AF13" s="1">
        <v>9</v>
      </c>
    </row>
    <row r="14" spans="2:32" s="1" customFormat="1" ht="15.75">
      <c r="B14" s="391" t="s">
        <v>93</v>
      </c>
      <c r="C14" s="456"/>
      <c r="E14" s="950"/>
      <c r="G14" s="12"/>
      <c r="H14" s="12"/>
      <c r="I14" s="283"/>
      <c r="J14" s="12"/>
      <c r="K14" s="12"/>
      <c r="L14" s="77" t="str">
        <f>IF('Manuell filtrering og justering'!$I$2='Manuell filtrering og justering'!$J$2,"",M13)</f>
        <v>Døgninstitusjonsbygg (korttidsopphold)</v>
      </c>
      <c r="M14" s="569" t="str">
        <f>AB5</f>
        <v>Institusjoner ikke til boligbruk</v>
      </c>
      <c r="N14" s="9"/>
      <c r="O14" s="12"/>
      <c r="P14" s="12"/>
      <c r="Q14" s="77" t="s">
        <v>94</v>
      </c>
      <c r="T14" s="12"/>
      <c r="U14" s="12"/>
      <c r="V14" s="12"/>
      <c r="W14" s="12"/>
      <c r="X14" s="12"/>
      <c r="Y14" s="12"/>
      <c r="Z14" s="12"/>
      <c r="AA14" s="12"/>
      <c r="AB14" s="12"/>
      <c r="AC14" s="12"/>
      <c r="AD14" s="12"/>
      <c r="AF14" s="1">
        <v>10</v>
      </c>
    </row>
    <row r="15" spans="2:32" s="1" customFormat="1" ht="16.5" customHeight="1">
      <c r="B15" s="392"/>
      <c r="C15" s="457"/>
      <c r="E15" s="381" t="s">
        <v>95</v>
      </c>
      <c r="F15" s="386" t="s">
        <v>1390</v>
      </c>
      <c r="G15" s="12"/>
      <c r="H15" s="12"/>
      <c r="I15" s="283">
        <f>IF(ADBT0=ADBT16,1,0)</f>
        <v>0</v>
      </c>
      <c r="K15" s="12"/>
      <c r="L15" s="77" t="str">
        <f>IF('Manuell filtrering og justering'!$I$2='Manuell filtrering og justering'!$J$2,"",M14)</f>
        <v>Institusjoner ikke til boligbruk</v>
      </c>
      <c r="M15" t="str">
        <f>AC5</f>
        <v>Møtesteder og fritid</v>
      </c>
      <c r="N15" s="9"/>
      <c r="O15" s="12"/>
      <c r="P15" s="12"/>
      <c r="Q15" s="77" t="s">
        <v>96</v>
      </c>
      <c r="U15" s="12"/>
      <c r="V15" s="12"/>
      <c r="W15" s="12"/>
      <c r="X15" s="12"/>
      <c r="Y15" s="12"/>
      <c r="Z15" s="12"/>
      <c r="AA15" s="12"/>
      <c r="AB15" s="12"/>
      <c r="AC15" s="12"/>
      <c r="AD15" s="12"/>
      <c r="AF15" s="1">
        <v>11</v>
      </c>
    </row>
    <row r="16" spans="2:32" s="1" customFormat="1" ht="15.75">
      <c r="B16" s="395"/>
      <c r="C16" s="458"/>
      <c r="E16" s="384" t="s">
        <v>97</v>
      </c>
      <c r="F16" s="387" t="s">
        <v>119</v>
      </c>
      <c r="H16" s="32" t="str">
        <f>IF(ADBT0&lt;&gt;ADBT1,AD_Yes,F16)</f>
        <v>Yes</v>
      </c>
      <c r="I16" s="283">
        <f>IF(Pol05_credits=0,0,1)</f>
        <v>1</v>
      </c>
      <c r="J16" s="881" t="s">
        <v>98</v>
      </c>
      <c r="K16" s="12"/>
      <c r="L16" s="77" t="str">
        <f>IF('Manuell filtrering og justering'!$I$2='Manuell filtrering og justering'!$J$2,"",M15)</f>
        <v>Møtesteder og fritid</v>
      </c>
      <c r="M16" t="str">
        <f>V5</f>
        <v>Boligbygg</v>
      </c>
      <c r="N16" s="9"/>
      <c r="O16" s="12"/>
      <c r="P16" s="12"/>
      <c r="Q16" s="77" t="s">
        <v>99</v>
      </c>
      <c r="U16" s="12"/>
      <c r="V16" s="12"/>
      <c r="W16" s="12"/>
      <c r="X16" s="12"/>
      <c r="Y16" s="12"/>
      <c r="Z16" s="12"/>
      <c r="AA16" s="12"/>
      <c r="AB16" s="12"/>
      <c r="AC16" s="12"/>
      <c r="AD16" s="12"/>
      <c r="AF16" s="1">
        <v>12</v>
      </c>
    </row>
    <row r="17" spans="2:34" s="1" customFormat="1" ht="15.75">
      <c r="B17" s="396" t="str">
        <f>IF('Manuell filtrering og justering'!I2='Manuell filtrering og justering'!J2,"Building type (main description)","")</f>
        <v/>
      </c>
      <c r="C17" s="459"/>
      <c r="E17" s="385" t="s">
        <v>100</v>
      </c>
      <c r="F17" s="387" t="s">
        <v>119</v>
      </c>
      <c r="H17" s="32"/>
      <c r="I17" s="283"/>
      <c r="J17" s="881" t="s">
        <v>101</v>
      </c>
      <c r="K17" s="12"/>
      <c r="L17" s="77" t="str">
        <f>IF('Manuell filtrering og justering'!$I$2='Manuell filtrering og justering'!$J$2,"",M17)</f>
        <v>Annet</v>
      </c>
      <c r="M17" s="1" t="str">
        <f>AD5</f>
        <v>Annet</v>
      </c>
      <c r="N17" s="9"/>
      <c r="O17" s="12"/>
      <c r="P17" s="12"/>
      <c r="Q17" s="958" t="str">
        <f>IF(OR(F7=ADPT01,F7=ADPT03),ADPT01,IF(OR(F7=Q12,F7=Q15),Q12,ADPT02))</f>
        <v>Nybygg (innredet)</v>
      </c>
      <c r="U17" s="12"/>
      <c r="V17" s="12"/>
      <c r="W17" s="12"/>
      <c r="X17" s="12"/>
      <c r="Y17" s="12"/>
      <c r="Z17" s="12"/>
      <c r="AA17" s="12"/>
      <c r="AB17" s="12"/>
      <c r="AC17" s="12"/>
      <c r="AD17" s="12"/>
      <c r="AF17" s="1">
        <v>13</v>
      </c>
      <c r="AH17" s="32" t="s">
        <v>102</v>
      </c>
    </row>
    <row r="18" spans="2:34" s="1" customFormat="1" ht="15.75">
      <c r="B18" s="384" t="s">
        <v>103</v>
      </c>
      <c r="C18" s="460"/>
      <c r="E18" s="385" t="s">
        <v>104</v>
      </c>
      <c r="F18" s="386" t="s">
        <v>119</v>
      </c>
      <c r="G18" s="915" t="s">
        <v>23</v>
      </c>
      <c r="I18" s="56">
        <f>IF(Ene03_credits+Pol04_credits=0,0,1)</f>
        <v>1</v>
      </c>
      <c r="J18" s="881" t="s">
        <v>105</v>
      </c>
      <c r="K18" s="12"/>
      <c r="L18" s="25"/>
      <c r="N18" s="9"/>
      <c r="O18" s="12"/>
      <c r="P18" s="12"/>
      <c r="Q18" s="77" t="s">
        <v>106</v>
      </c>
      <c r="U18" s="12"/>
      <c r="V18" s="12"/>
      <c r="W18" s="12"/>
      <c r="X18" s="12"/>
      <c r="Y18" s="12"/>
      <c r="Z18" s="12"/>
      <c r="AA18" s="12"/>
      <c r="AB18" s="12"/>
      <c r="AC18" s="12"/>
      <c r="AD18" s="12"/>
      <c r="AH18" s="32" t="s">
        <v>107</v>
      </c>
    </row>
    <row r="19" spans="2:34" s="1" customFormat="1" ht="15.75">
      <c r="B19" s="384" t="s">
        <v>108</v>
      </c>
      <c r="C19" s="461"/>
      <c r="E19" s="385" t="s">
        <v>109</v>
      </c>
      <c r="F19" s="393" t="s">
        <v>119</v>
      </c>
      <c r="G19" s="32"/>
      <c r="H19" s="12"/>
      <c r="I19" s="283">
        <f>IF(ADBT0='Manuell filtrering og justering'!H2,0,IF(Poeng!Y84+Poeng!Y85=2,0,1))</f>
        <v>1</v>
      </c>
      <c r="J19" s="881" t="s">
        <v>110</v>
      </c>
      <c r="K19" s="12"/>
      <c r="L19" s="25"/>
      <c r="M19" s="9"/>
      <c r="N19" s="9"/>
      <c r="O19" s="12"/>
      <c r="P19" s="12"/>
      <c r="Q19" s="77" t="s">
        <v>111</v>
      </c>
      <c r="U19" s="12"/>
      <c r="V19" s="12"/>
      <c r="W19" s="12"/>
      <c r="X19" s="12"/>
      <c r="Y19" s="12"/>
      <c r="Z19" s="12"/>
      <c r="AA19" s="12"/>
      <c r="AB19" s="12"/>
      <c r="AC19" s="12"/>
      <c r="AD19" s="12"/>
    </row>
    <row r="20" spans="2:34" s="1" customFormat="1" ht="15.75">
      <c r="B20" s="388" t="s">
        <v>112</v>
      </c>
      <c r="C20" s="461"/>
      <c r="E20" s="385" t="s">
        <v>113</v>
      </c>
      <c r="F20" s="386" t="s">
        <v>1387</v>
      </c>
      <c r="G20" s="12"/>
      <c r="H20" s="12"/>
      <c r="I20" s="283">
        <v>1</v>
      </c>
      <c r="J20" s="881" t="s">
        <v>105</v>
      </c>
      <c r="K20" s="12"/>
      <c r="L20" s="25"/>
      <c r="M20" s="9"/>
      <c r="N20" s="9"/>
      <c r="O20" s="12"/>
      <c r="P20" s="12"/>
      <c r="Q20" s="12"/>
      <c r="U20" s="12"/>
      <c r="V20" s="12"/>
      <c r="W20" s="12"/>
      <c r="X20" s="12"/>
      <c r="Y20" s="12"/>
      <c r="Z20" s="12"/>
      <c r="AA20" s="12"/>
      <c r="AB20" s="12"/>
      <c r="AC20" s="12"/>
      <c r="AD20" s="12"/>
    </row>
    <row r="21" spans="2:34" s="1" customFormat="1" ht="15.75">
      <c r="C21" s="79"/>
      <c r="E21" s="385" t="s">
        <v>114</v>
      </c>
      <c r="F21" s="386" t="s">
        <v>1386</v>
      </c>
      <c r="G21" s="915" t="s">
        <v>115</v>
      </c>
      <c r="H21" s="12">
        <f>IF(ADBT0=AE5,1,IF(OR(ADBT0=ADBT13,ADBT0=AD5,ADBT0=ADBT1,ADBT0=ADBT2,AND(ADBT0=ADBT8,OR(F6=U9,F6=U10))),1,0))</f>
        <v>1</v>
      </c>
      <c r="I21" s="283">
        <f>IF(Poeng!Y91+Poeng!Y92=Poeng!T91+Poeng!T92,0,1)</f>
        <v>1</v>
      </c>
      <c r="J21" s="881" t="s">
        <v>105</v>
      </c>
      <c r="K21" s="12">
        <f>Poeng!AB91</f>
        <v>0</v>
      </c>
      <c r="L21" s="25"/>
      <c r="M21" s="9"/>
      <c r="N21" s="9"/>
      <c r="P21" s="12"/>
      <c r="Q21" s="12"/>
      <c r="U21" s="12"/>
      <c r="V21" s="12"/>
      <c r="W21" s="12"/>
      <c r="X21" s="12"/>
      <c r="Y21" s="12"/>
      <c r="Z21" s="12"/>
      <c r="AA21" s="12"/>
      <c r="AB21" s="12"/>
      <c r="AC21" s="12"/>
      <c r="AD21" s="12"/>
    </row>
    <row r="22" spans="2:34" s="1" customFormat="1" ht="15" customHeight="1">
      <c r="B22" s="380" t="s">
        <v>116</v>
      </c>
      <c r="C22" s="462"/>
      <c r="E22" s="996" t="s">
        <v>117</v>
      </c>
      <c r="F22" s="386" t="s">
        <v>119</v>
      </c>
      <c r="I22" s="56">
        <f>IF(Poeng!Y94=Poeng!T94,0,1)</f>
        <v>1</v>
      </c>
      <c r="J22" s="881" t="s">
        <v>105</v>
      </c>
      <c r="K22" s="12">
        <f>Poeng!AB92</f>
        <v>0</v>
      </c>
      <c r="L22" s="25"/>
      <c r="M22" s="9"/>
      <c r="N22" s="9" t="s">
        <v>118</v>
      </c>
      <c r="O22" s="12"/>
      <c r="P22" s="12"/>
      <c r="Q22" s="77" t="s">
        <v>119</v>
      </c>
      <c r="R22" s="1" t="s">
        <v>1390</v>
      </c>
      <c r="U22" s="12"/>
      <c r="V22" s="12"/>
      <c r="W22" s="12"/>
      <c r="X22" s="12"/>
      <c r="Y22" s="12"/>
      <c r="Z22" s="12"/>
      <c r="AA22" s="12"/>
      <c r="AB22" s="12"/>
      <c r="AC22" s="12"/>
      <c r="AD22" s="12"/>
    </row>
    <row r="23" spans="2:34" s="1" customFormat="1" ht="15" customHeight="1">
      <c r="B23" s="397" t="s">
        <v>121</v>
      </c>
      <c r="C23" s="453"/>
      <c r="E23" s="828" t="s">
        <v>122</v>
      </c>
      <c r="F23" s="386" t="s">
        <v>119</v>
      </c>
      <c r="G23" s="32"/>
      <c r="H23" s="12"/>
      <c r="I23" s="283">
        <f>IF(ADBT0='Manuell filtrering og justering'!H2,0,1)</f>
        <v>1</v>
      </c>
      <c r="J23" s="881" t="s">
        <v>105</v>
      </c>
      <c r="M23" s="9"/>
      <c r="N23" s="9"/>
      <c r="O23" s="12"/>
      <c r="P23" s="12"/>
      <c r="Q23" s="77" t="s">
        <v>123</v>
      </c>
      <c r="R23" s="1" t="s">
        <v>1385</v>
      </c>
      <c r="T23" s="12"/>
      <c r="U23" s="12"/>
      <c r="V23" s="12"/>
      <c r="W23" s="12"/>
      <c r="X23" s="12"/>
      <c r="Y23" s="12"/>
      <c r="Z23" s="12"/>
      <c r="AA23" s="12"/>
      <c r="AB23" s="12"/>
      <c r="AC23" s="12"/>
      <c r="AD23" s="12"/>
    </row>
    <row r="24" spans="2:34" s="1" customFormat="1" ht="15" customHeight="1">
      <c r="B24" s="398" t="s">
        <v>125</v>
      </c>
      <c r="C24" s="453"/>
      <c r="E24" s="399" t="s">
        <v>126</v>
      </c>
      <c r="F24" s="386" t="s">
        <v>119</v>
      </c>
      <c r="G24" s="915" t="s">
        <v>23</v>
      </c>
      <c r="H24" s="32"/>
      <c r="I24" s="283">
        <f>IF(Pol01_credits=0,0,1)</f>
        <v>1</v>
      </c>
      <c r="J24" s="881" t="s">
        <v>105</v>
      </c>
      <c r="K24" s="12"/>
      <c r="L24" s="25"/>
      <c r="M24" s="9"/>
      <c r="N24" s="9"/>
      <c r="O24" s="77" t="s">
        <v>127</v>
      </c>
      <c r="P24" s="12"/>
      <c r="Q24" s="77" t="s">
        <v>128</v>
      </c>
      <c r="T24" s="12"/>
      <c r="U24" s="12"/>
      <c r="V24" s="12"/>
      <c r="W24" s="12"/>
      <c r="X24" s="12"/>
      <c r="Y24" s="12"/>
      <c r="Z24" s="12"/>
      <c r="AA24" s="12"/>
      <c r="AB24" s="12"/>
      <c r="AC24" s="12"/>
      <c r="AD24" s="12"/>
    </row>
    <row r="25" spans="2:34" s="1" customFormat="1" ht="15" customHeight="1">
      <c r="B25" s="398" t="s">
        <v>129</v>
      </c>
      <c r="C25" s="453"/>
      <c r="E25" s="399" t="s">
        <v>130</v>
      </c>
      <c r="F25" s="386" t="s">
        <v>149</v>
      </c>
      <c r="G25" s="915" t="s">
        <v>23</v>
      </c>
      <c r="H25" s="32"/>
      <c r="I25" s="283">
        <f>IF(Poeng!Y205+Poeng!Y206=Poeng!T205+Poeng!T206,0,1)</f>
        <v>1</v>
      </c>
      <c r="J25" s="881" t="s">
        <v>105</v>
      </c>
      <c r="K25" s="12"/>
      <c r="L25" s="25"/>
      <c r="M25" s="9"/>
      <c r="N25" s="9"/>
      <c r="O25" s="77" t="s">
        <v>131</v>
      </c>
      <c r="P25" s="12"/>
      <c r="Q25" s="12"/>
      <c r="T25" s="12"/>
      <c r="U25" s="12"/>
      <c r="V25" s="12"/>
      <c r="W25" s="12"/>
      <c r="X25" s="12"/>
      <c r="Y25" s="12"/>
      <c r="Z25" s="12"/>
      <c r="AA25" s="12"/>
      <c r="AB25" s="12"/>
      <c r="AC25" s="12"/>
      <c r="AD25" s="12"/>
    </row>
    <row r="26" spans="2:34" s="1" customFormat="1" ht="15.75">
      <c r="B26" s="398" t="s">
        <v>132</v>
      </c>
      <c r="C26" s="453"/>
      <c r="E26" s="384" t="s">
        <v>133</v>
      </c>
      <c r="F26" s="386" t="s">
        <v>119</v>
      </c>
      <c r="G26" s="32"/>
      <c r="H26" s="12"/>
      <c r="I26" s="283">
        <f>IF(ADBT0='Manuell filtrering og justering'!H2,0,IF(Mat06_credits=0,0,1))</f>
        <v>1</v>
      </c>
      <c r="J26" s="881" t="s">
        <v>134</v>
      </c>
      <c r="K26" s="12"/>
      <c r="L26" s="25"/>
      <c r="M26" s="9"/>
      <c r="N26" s="9"/>
      <c r="O26" s="77" t="s">
        <v>135</v>
      </c>
      <c r="P26" s="12"/>
      <c r="Q26" s="77" t="s">
        <v>136</v>
      </c>
      <c r="T26" s="12"/>
      <c r="U26" s="12"/>
      <c r="V26" s="12"/>
      <c r="W26" s="12"/>
      <c r="X26" s="12"/>
      <c r="Y26" s="12"/>
      <c r="Z26" s="12"/>
      <c r="AA26" s="12"/>
      <c r="AB26" s="12"/>
      <c r="AC26" s="12"/>
      <c r="AD26" s="12"/>
    </row>
    <row r="27" spans="2:34" s="1" customFormat="1" ht="15.75">
      <c r="B27" s="398" t="s">
        <v>137</v>
      </c>
      <c r="C27" s="453"/>
      <c r="E27" s="883" t="s">
        <v>138</v>
      </c>
      <c r="F27" s="386" t="s">
        <v>119</v>
      </c>
      <c r="G27" s="915" t="s">
        <v>23</v>
      </c>
      <c r="H27" s="12"/>
      <c r="I27" s="283">
        <f>IF(Pol05_credits=0,0,1)</f>
        <v>1</v>
      </c>
      <c r="J27" s="881" t="s">
        <v>105</v>
      </c>
      <c r="K27" s="12"/>
      <c r="L27" s="25"/>
      <c r="M27" s="9"/>
      <c r="N27" s="9"/>
      <c r="O27" s="77" t="s">
        <v>139</v>
      </c>
      <c r="P27" s="12"/>
      <c r="Q27" s="77" t="s">
        <v>140</v>
      </c>
      <c r="S27" s="12"/>
      <c r="T27" s="12"/>
      <c r="U27" s="12"/>
      <c r="V27" s="12"/>
      <c r="W27" s="12"/>
      <c r="X27" s="12"/>
      <c r="Y27" s="12"/>
      <c r="Z27" s="12"/>
      <c r="AA27" s="12"/>
      <c r="AB27" s="12"/>
      <c r="AC27" s="12"/>
      <c r="AD27" s="12"/>
    </row>
    <row r="28" spans="2:34" s="1" customFormat="1" ht="15.75">
      <c r="B28" s="398" t="s">
        <v>141</v>
      </c>
      <c r="C28" s="453"/>
      <c r="E28" s="882" t="s">
        <v>142</v>
      </c>
      <c r="F28" s="386" t="s">
        <v>123</v>
      </c>
      <c r="G28" s="12"/>
      <c r="H28" s="12"/>
      <c r="I28" s="283">
        <f>IF(Inn05_credits=0,0,IF(OR(F6=U6,F6=U7,F6=V8,F5=Y5,F5=X5,F5=Z5),1,0))</f>
        <v>0</v>
      </c>
      <c r="J28" s="881" t="s">
        <v>105</v>
      </c>
      <c r="K28" s="12"/>
      <c r="L28" s="27"/>
      <c r="M28" s="9"/>
      <c r="N28" s="9"/>
      <c r="O28" s="77" t="s">
        <v>143</v>
      </c>
      <c r="P28" s="12"/>
      <c r="Q28" s="77" t="s">
        <v>144</v>
      </c>
      <c r="T28" s="12"/>
      <c r="U28" s="12"/>
      <c r="V28" s="12"/>
      <c r="W28" s="12"/>
      <c r="X28" s="12"/>
      <c r="Y28" s="12"/>
      <c r="Z28" s="12"/>
      <c r="AA28" s="12"/>
      <c r="AB28" s="12"/>
      <c r="AC28" s="12"/>
      <c r="AD28" s="12"/>
    </row>
    <row r="29" spans="2:34" s="1" customFormat="1" ht="15.75">
      <c r="B29" s="398" t="s">
        <v>145</v>
      </c>
      <c r="C29" s="453"/>
      <c r="E29" s="756"/>
      <c r="F29" s="394"/>
      <c r="G29" s="12"/>
      <c r="H29" s="12"/>
      <c r="I29" s="283"/>
      <c r="M29" s="9"/>
      <c r="N29" s="9"/>
      <c r="O29" s="77" t="s">
        <v>146</v>
      </c>
      <c r="P29" s="12"/>
      <c r="Q29" s="77" t="s">
        <v>1386</v>
      </c>
      <c r="T29" s="12"/>
      <c r="U29" s="12"/>
      <c r="V29" s="12"/>
      <c r="W29" s="12"/>
      <c r="X29" s="12"/>
      <c r="Y29" s="12"/>
      <c r="Z29" s="12"/>
      <c r="AA29" s="12"/>
      <c r="AB29" s="12"/>
      <c r="AC29" s="12"/>
      <c r="AD29" s="12"/>
    </row>
    <row r="30" spans="2:34" s="1" customFormat="1" ht="15.75">
      <c r="B30" s="398" t="s">
        <v>147</v>
      </c>
      <c r="C30" s="453"/>
      <c r="E30" s="400" t="s">
        <v>148</v>
      </c>
      <c r="F30" s="401">
        <f>Poeng_tot</f>
        <v>153</v>
      </c>
      <c r="G30" s="12"/>
      <c r="H30" s="12"/>
      <c r="I30" s="12"/>
      <c r="J30" s="77" t="s">
        <v>149</v>
      </c>
      <c r="L30" s="27"/>
      <c r="M30" s="9"/>
      <c r="N30" s="9"/>
      <c r="O30" s="77" t="s">
        <v>150</v>
      </c>
      <c r="P30" s="12"/>
      <c r="Q30" s="12"/>
      <c r="T30" s="12"/>
      <c r="U30" s="12"/>
      <c r="V30" s="12"/>
      <c r="W30" s="12"/>
      <c r="X30" s="12"/>
      <c r="Y30" s="12"/>
      <c r="Z30" s="12"/>
      <c r="AA30" s="12"/>
      <c r="AB30" s="12"/>
      <c r="AC30" s="12"/>
      <c r="AD30" s="12"/>
    </row>
    <row r="31" spans="2:34" s="1" customFormat="1" ht="15.75">
      <c r="B31" s="398" t="s">
        <v>151</v>
      </c>
      <c r="C31" s="453"/>
      <c r="E31" s="400" t="s">
        <v>152</v>
      </c>
      <c r="F31" s="401">
        <f>Poeng_bort</f>
        <v>5</v>
      </c>
      <c r="G31" s="12"/>
      <c r="H31" s="12"/>
      <c r="I31" s="12"/>
      <c r="J31" s="77" t="s">
        <v>153</v>
      </c>
      <c r="L31" s="27"/>
      <c r="M31" s="9"/>
      <c r="N31" s="9"/>
      <c r="O31" s="12"/>
      <c r="P31" s="12"/>
      <c r="Q31" s="77" t="s">
        <v>154</v>
      </c>
      <c r="S31" s="12"/>
      <c r="T31" s="12"/>
      <c r="U31" s="12"/>
      <c r="V31" s="12"/>
      <c r="W31" s="12"/>
      <c r="X31" s="12"/>
      <c r="Y31" s="12"/>
      <c r="Z31" s="12"/>
      <c r="AA31" s="12"/>
      <c r="AB31" s="12"/>
      <c r="AC31" s="12"/>
      <c r="AD31" s="12"/>
    </row>
    <row r="32" spans="2:34" s="1" customFormat="1" ht="15.75">
      <c r="B32" s="402" t="s">
        <v>155</v>
      </c>
      <c r="C32" s="453"/>
      <c r="E32" s="1090" t="s">
        <v>156</v>
      </c>
      <c r="F32" s="401">
        <f>Poeng_tilgj</f>
        <v>148</v>
      </c>
      <c r="G32" s="12"/>
      <c r="H32" s="12"/>
      <c r="I32" s="12"/>
      <c r="L32" s="27"/>
      <c r="M32" s="10"/>
      <c r="N32" s="10"/>
      <c r="O32" s="12"/>
      <c r="P32" s="12"/>
      <c r="Q32" s="77" t="s">
        <v>157</v>
      </c>
      <c r="R32" s="12"/>
      <c r="S32" s="12"/>
      <c r="T32" s="12"/>
      <c r="U32" s="12"/>
      <c r="V32" s="12"/>
      <c r="W32" s="12"/>
      <c r="X32" s="12"/>
      <c r="Y32" s="12"/>
      <c r="Z32" s="12"/>
      <c r="AA32" s="12"/>
      <c r="AB32" s="12"/>
      <c r="AC32" s="12"/>
      <c r="AD32" s="12"/>
    </row>
    <row r="33" spans="2:39" s="1" customFormat="1" ht="15.75">
      <c r="G33" s="12"/>
      <c r="H33" s="12"/>
      <c r="I33" s="12"/>
      <c r="J33" s="6"/>
      <c r="K33" s="6"/>
      <c r="L33" s="25"/>
      <c r="M33" s="10"/>
      <c r="N33" s="10"/>
      <c r="O33" s="32" t="s">
        <v>158</v>
      </c>
      <c r="P33" s="12"/>
      <c r="Q33" s="77" t="s">
        <v>159</v>
      </c>
      <c r="R33" s="12"/>
      <c r="S33" s="12"/>
      <c r="T33" s="12"/>
      <c r="U33" s="12"/>
      <c r="V33" s="12"/>
      <c r="W33" s="12"/>
      <c r="X33" s="12"/>
      <c r="Y33" s="12"/>
      <c r="Z33" s="12"/>
      <c r="AA33" s="12"/>
      <c r="AB33" s="12"/>
      <c r="AC33" s="12"/>
      <c r="AD33" s="12"/>
    </row>
    <row r="34" spans="2:39" s="1" customFormat="1" ht="18.75">
      <c r="B34" s="403" t="s">
        <v>160</v>
      </c>
      <c r="E34" s="403" t="s">
        <v>161</v>
      </c>
      <c r="G34" s="12"/>
      <c r="H34" s="12"/>
      <c r="I34" s="12"/>
      <c r="J34" s="6"/>
      <c r="K34" s="6"/>
      <c r="L34" s="25"/>
      <c r="M34" s="10"/>
      <c r="N34" s="10"/>
      <c r="O34" s="32" t="s">
        <v>162</v>
      </c>
      <c r="P34" s="12"/>
      <c r="Q34" s="32"/>
      <c r="R34" s="12"/>
      <c r="S34" s="12"/>
      <c r="T34" s="12"/>
      <c r="U34" s="12"/>
      <c r="V34" s="12"/>
      <c r="W34" s="12"/>
      <c r="X34" s="12"/>
      <c r="Y34" s="12"/>
      <c r="Z34" s="12"/>
      <c r="AA34" s="12"/>
      <c r="AB34" s="12"/>
      <c r="AC34" s="12"/>
      <c r="AD34" s="12"/>
    </row>
    <row r="35" spans="2:39" s="1" customFormat="1" ht="80.25" customHeight="1">
      <c r="B35" s="1096"/>
      <c r="C35" s="1097"/>
      <c r="E35" s="1096"/>
      <c r="F35" s="1097"/>
      <c r="G35" s="12"/>
      <c r="H35" s="12"/>
      <c r="I35" s="12"/>
      <c r="J35" s="75"/>
      <c r="K35" s="75"/>
      <c r="L35" s="9"/>
      <c r="M35" s="9"/>
      <c r="N35" s="9"/>
      <c r="O35" s="12"/>
      <c r="P35" s="12"/>
      <c r="Q35" s="12"/>
      <c r="R35" s="12"/>
      <c r="S35" s="12"/>
      <c r="T35" s="12"/>
      <c r="U35" s="12"/>
      <c r="V35" s="12"/>
      <c r="W35" s="12"/>
      <c r="X35" s="12"/>
      <c r="Y35" s="12"/>
      <c r="Z35" s="12"/>
      <c r="AA35" s="12"/>
      <c r="AB35" s="12"/>
      <c r="AC35" s="12"/>
      <c r="AD35" s="12"/>
    </row>
    <row r="36" spans="2:39" s="1" customFormat="1" ht="15.75">
      <c r="E36" s="75"/>
      <c r="F36" s="75"/>
      <c r="G36" s="12"/>
      <c r="H36" s="12"/>
      <c r="I36" s="12"/>
      <c r="J36" s="75"/>
      <c r="K36" s="75"/>
      <c r="L36" s="9"/>
      <c r="M36" s="9"/>
      <c r="N36" s="9"/>
      <c r="O36" s="12"/>
      <c r="P36" s="12"/>
      <c r="Q36" s="12"/>
      <c r="R36" s="12"/>
      <c r="S36" s="12"/>
      <c r="T36" s="12"/>
      <c r="U36" s="12"/>
      <c r="V36" s="12"/>
      <c r="W36" s="12"/>
      <c r="X36" s="12"/>
      <c r="Y36" s="12"/>
      <c r="Z36" s="12"/>
      <c r="AA36" s="12"/>
      <c r="AB36" s="12"/>
      <c r="AC36" s="12"/>
      <c r="AD36" s="12"/>
    </row>
    <row r="37" spans="2:39" s="1" customFormat="1" ht="15.75">
      <c r="B37" s="12" t="s">
        <v>163</v>
      </c>
      <c r="E37" s="75"/>
      <c r="F37" s="75"/>
      <c r="G37" s="12"/>
      <c r="H37" s="12"/>
      <c r="I37" s="12"/>
      <c r="J37" s="75"/>
      <c r="K37" s="75"/>
      <c r="L37" s="9"/>
      <c r="M37" s="9"/>
      <c r="N37" s="9"/>
      <c r="O37" s="12"/>
      <c r="P37" s="12"/>
      <c r="Q37"/>
      <c r="R37" s="12"/>
      <c r="S37" s="12"/>
      <c r="T37" s="12"/>
      <c r="U37" s="12"/>
      <c r="V37" s="12"/>
      <c r="W37" s="12"/>
      <c r="X37" s="12"/>
      <c r="Y37" s="12"/>
      <c r="Z37" s="12"/>
      <c r="AA37" s="12"/>
      <c r="AB37" s="12"/>
      <c r="AC37" s="12"/>
      <c r="AD37" s="12"/>
    </row>
    <row r="38" spans="2:39" s="1" customFormat="1" ht="15.75">
      <c r="E38" s="75"/>
      <c r="F38" s="75"/>
      <c r="G38" s="12"/>
      <c r="H38" s="12"/>
      <c r="I38" s="12"/>
      <c r="J38" s="75"/>
      <c r="K38" s="75"/>
      <c r="L38" s="9"/>
      <c r="M38" s="9"/>
      <c r="N38" s="9"/>
      <c r="O38" s="12"/>
      <c r="P38" s="12"/>
      <c r="Q38"/>
      <c r="R38" s="12"/>
      <c r="S38" s="12"/>
      <c r="T38" s="12"/>
      <c r="U38" s="12"/>
      <c r="V38" s="12"/>
      <c r="W38" s="12"/>
      <c r="X38" s="12"/>
      <c r="Y38" s="12"/>
      <c r="Z38" s="12"/>
      <c r="AA38" s="12"/>
      <c r="AB38" s="12"/>
      <c r="AC38" s="12"/>
      <c r="AD38" s="12"/>
    </row>
    <row r="39" spans="2:39" s="1" customFormat="1" ht="18.75">
      <c r="B39" s="380" t="s">
        <v>164</v>
      </c>
      <c r="C39" s="4"/>
      <c r="D39" s="4"/>
      <c r="E39" s="4"/>
      <c r="F39" s="404"/>
      <c r="G39" s="12"/>
      <c r="H39" s="12"/>
      <c r="I39" s="12"/>
      <c r="L39" s="9"/>
      <c r="M39" s="9"/>
      <c r="N39" s="9"/>
      <c r="O39" s="12"/>
      <c r="P39" s="12"/>
      <c r="Q39"/>
      <c r="R39" s="12"/>
      <c r="S39" s="12"/>
      <c r="T39" s="12"/>
      <c r="U39" s="12"/>
      <c r="V39" s="12"/>
      <c r="W39" s="12"/>
      <c r="X39" s="12"/>
      <c r="Y39" s="12"/>
      <c r="Z39" s="12"/>
      <c r="AA39" s="12"/>
      <c r="AB39" s="12"/>
      <c r="AC39" s="12"/>
      <c r="AD39" s="12"/>
    </row>
    <row r="40" spans="2:39" s="1" customFormat="1" ht="64.5" customHeight="1">
      <c r="B40" s="1095" t="str">
        <f>"I, "&amp;AD_assessor&amp;O33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v>
      </c>
      <c r="C40" s="1095"/>
      <c r="D40" s="1095"/>
      <c r="E40" s="1095"/>
      <c r="F40" s="1095"/>
      <c r="G40" s="12"/>
      <c r="H40" s="12"/>
      <c r="I40" s="12"/>
      <c r="L40" s="11"/>
      <c r="M40" s="11"/>
      <c r="N40" s="9"/>
      <c r="O40" s="1" t="s">
        <v>165</v>
      </c>
      <c r="R40" s="12"/>
      <c r="S40" s="12"/>
      <c r="T40" s="12"/>
      <c r="U40" s="12"/>
      <c r="V40" s="12"/>
      <c r="W40" s="12"/>
      <c r="X40" s="12"/>
      <c r="Y40" s="12"/>
      <c r="Z40" s="12"/>
      <c r="AA40" s="12"/>
      <c r="AB40" s="12"/>
      <c r="AC40" s="12"/>
      <c r="AD40" s="12"/>
    </row>
    <row r="41" spans="2:39" s="1" customFormat="1" ht="32.25" customHeight="1">
      <c r="B41" s="405"/>
      <c r="C41" s="405"/>
      <c r="D41" s="405"/>
      <c r="E41" s="405"/>
      <c r="F41" s="405"/>
      <c r="G41" s="12"/>
      <c r="H41" s="12"/>
      <c r="I41" s="12"/>
      <c r="L41" s="11"/>
      <c r="M41" s="11"/>
      <c r="N41" s="9"/>
      <c r="R41" s="12"/>
      <c r="S41" s="12"/>
      <c r="T41" s="12"/>
      <c r="U41" s="12"/>
      <c r="V41" s="12"/>
      <c r="W41" s="12"/>
      <c r="X41" s="12"/>
      <c r="Y41" s="12"/>
      <c r="Z41" s="12"/>
      <c r="AA41" s="12"/>
      <c r="AB41" s="12"/>
      <c r="AC41" s="12"/>
      <c r="AD41" s="12"/>
      <c r="AM41" s="1003"/>
    </row>
    <row r="42" spans="2:39" s="1" customFormat="1" ht="15.75">
      <c r="B42" s="406" t="s">
        <v>166</v>
      </c>
      <c r="C42" s="463"/>
      <c r="D42" s="213"/>
      <c r="E42" s="407"/>
      <c r="F42" s="408"/>
      <c r="G42" s="12"/>
      <c r="H42" s="12"/>
      <c r="I42" s="12"/>
      <c r="J42" s="9"/>
      <c r="K42" s="9"/>
      <c r="L42" s="9"/>
      <c r="M42" s="9"/>
      <c r="N42" s="9"/>
      <c r="O42" s="76" t="s">
        <v>167</v>
      </c>
      <c r="P42" s="33" t="s">
        <v>168</v>
      </c>
      <c r="Q42" s="401"/>
      <c r="R42" s="12"/>
      <c r="S42" s="12"/>
      <c r="T42" s="12"/>
      <c r="U42" s="12"/>
      <c r="V42" s="12"/>
      <c r="W42" s="12"/>
      <c r="X42" s="12"/>
      <c r="Y42" s="12"/>
      <c r="Z42" s="12"/>
      <c r="AA42" s="12"/>
      <c r="AB42" s="12"/>
      <c r="AC42" s="12"/>
      <c r="AD42" s="12"/>
    </row>
    <row r="43" spans="2:39" s="1" customFormat="1" ht="15.75">
      <c r="B43" s="226" t="s">
        <v>169</v>
      </c>
      <c r="C43" s="463"/>
      <c r="D43" s="213"/>
      <c r="E43" s="407"/>
      <c r="F43" s="408"/>
      <c r="G43" s="12"/>
      <c r="H43" s="12"/>
      <c r="I43" s="12"/>
      <c r="J43" s="9"/>
      <c r="K43" s="9"/>
      <c r="L43" s="9"/>
      <c r="M43" s="9"/>
      <c r="N43" s="9"/>
      <c r="O43" s="33" t="s">
        <v>170</v>
      </c>
      <c r="P43" s="401"/>
      <c r="Q43" s="12"/>
      <c r="R43" s="26" t="s">
        <v>171</v>
      </c>
      <c r="S43" s="12"/>
      <c r="T43" s="12"/>
      <c r="U43" s="12"/>
      <c r="V43" s="12"/>
      <c r="W43" s="12"/>
      <c r="X43" s="12"/>
      <c r="Y43" s="12"/>
      <c r="Z43" s="12"/>
      <c r="AA43" s="12"/>
      <c r="AB43" s="12"/>
      <c r="AC43" s="12"/>
      <c r="AD43" s="12"/>
    </row>
    <row r="44" spans="2:39" s="1" customFormat="1" ht="16.5" thickBot="1">
      <c r="C44" s="213"/>
      <c r="D44" s="213"/>
      <c r="E44" s="409"/>
      <c r="F44" s="409"/>
      <c r="G44" s="12"/>
      <c r="H44" s="12"/>
      <c r="I44" s="12"/>
      <c r="J44" s="1012"/>
      <c r="K44" s="1012"/>
      <c r="L44" s="1012"/>
      <c r="M44" s="1012"/>
      <c r="N44" s="1012"/>
      <c r="P44" s="12"/>
      <c r="Q44" s="12"/>
      <c r="R44" s="12"/>
      <c r="S44" s="12"/>
      <c r="T44" s="12"/>
      <c r="U44" s="12"/>
      <c r="V44" s="12"/>
      <c r="W44" s="12"/>
      <c r="X44" s="12"/>
      <c r="Y44" s="12"/>
      <c r="Z44" s="12"/>
      <c r="AA44" s="12"/>
      <c r="AB44" s="12"/>
      <c r="AC44" s="12"/>
      <c r="AD44" s="12"/>
    </row>
    <row r="45" spans="2:39" s="1" customFormat="1" ht="28.5" customHeight="1">
      <c r="B45" s="380" t="s">
        <v>172</v>
      </c>
      <c r="C45" s="4"/>
      <c r="D45" s="4"/>
      <c r="E45" s="1013"/>
      <c r="F45" s="1013"/>
      <c r="G45" s="12"/>
      <c r="H45" s="12"/>
      <c r="I45" s="12"/>
      <c r="J45" s="1012"/>
      <c r="K45" s="1012"/>
      <c r="L45" s="1012"/>
      <c r="M45" s="1012"/>
      <c r="N45" s="218"/>
      <c r="O45" s="410" t="s">
        <v>173</v>
      </c>
      <c r="P45" s="59">
        <v>1</v>
      </c>
      <c r="Q45" s="12"/>
      <c r="R45" s="12"/>
      <c r="S45" s="12"/>
      <c r="T45" s="12"/>
      <c r="U45" s="12"/>
      <c r="V45" s="12"/>
      <c r="W45" s="12"/>
      <c r="X45" s="12"/>
      <c r="Y45" s="12"/>
      <c r="Z45" s="12"/>
      <c r="AA45" s="12"/>
      <c r="AB45" s="12"/>
      <c r="AC45" s="12"/>
      <c r="AD45" s="12"/>
    </row>
    <row r="46" spans="2:39" s="1" customFormat="1" ht="73.5" customHeight="1">
      <c r="B46" s="1093" t="s">
        <v>174</v>
      </c>
      <c r="C46" s="1093"/>
      <c r="D46" s="1093"/>
      <c r="E46" s="1093"/>
      <c r="F46" s="1093"/>
      <c r="G46" s="12"/>
      <c r="H46" s="12"/>
      <c r="I46" s="12"/>
      <c r="J46" s="1012"/>
      <c r="K46" s="1012"/>
      <c r="L46" s="1012"/>
      <c r="M46" s="1012"/>
      <c r="N46" s="217"/>
      <c r="O46" s="411" t="s">
        <v>175</v>
      </c>
      <c r="P46" s="60">
        <v>2</v>
      </c>
      <c r="Q46" s="12"/>
      <c r="R46" s="12"/>
      <c r="S46" s="12"/>
      <c r="T46" s="12"/>
      <c r="U46" s="12"/>
      <c r="V46" s="12"/>
      <c r="W46" s="12"/>
      <c r="X46" s="12"/>
      <c r="Y46" s="12"/>
      <c r="Z46" s="12"/>
      <c r="AA46" s="12"/>
      <c r="AB46" s="12"/>
      <c r="AC46" s="12"/>
      <c r="AD46" s="12"/>
    </row>
    <row r="47" spans="2:39" s="1" customFormat="1" ht="15.75">
      <c r="D47" s="412"/>
      <c r="E47" s="1012"/>
      <c r="F47" s="1012"/>
      <c r="G47" s="12"/>
      <c r="H47" s="12"/>
      <c r="I47" s="12"/>
      <c r="J47" s="1012"/>
      <c r="K47" s="1012"/>
      <c r="L47" s="1012"/>
      <c r="M47" s="1012"/>
      <c r="N47" s="216"/>
      <c r="O47" s="413" t="s">
        <v>176</v>
      </c>
      <c r="P47" s="60">
        <v>3</v>
      </c>
      <c r="Q47" s="12"/>
      <c r="R47" s="12"/>
      <c r="S47" s="12"/>
      <c r="T47" s="12"/>
      <c r="U47" s="12"/>
      <c r="V47" s="12"/>
      <c r="W47" s="12"/>
      <c r="X47" s="12"/>
      <c r="Y47" s="12"/>
      <c r="Z47" s="12"/>
      <c r="AA47" s="12"/>
      <c r="AB47" s="12"/>
      <c r="AC47" s="12"/>
      <c r="AD47" s="12"/>
    </row>
    <row r="48" spans="2:39" s="1" customFormat="1" ht="19.5" thickBot="1">
      <c r="B48" s="380" t="s">
        <v>177</v>
      </c>
      <c r="C48" s="4"/>
      <c r="D48" s="4"/>
      <c r="E48" s="1013"/>
      <c r="F48" s="414"/>
      <c r="G48" s="12"/>
      <c r="H48" s="12"/>
      <c r="I48" s="12"/>
      <c r="J48" s="9"/>
      <c r="K48" s="9"/>
      <c r="L48" s="9"/>
      <c r="M48" s="9"/>
      <c r="N48" s="9"/>
      <c r="O48" s="61" t="s">
        <v>178</v>
      </c>
      <c r="P48" s="62">
        <v>4</v>
      </c>
      <c r="Q48" s="12"/>
      <c r="R48" s="12"/>
      <c r="S48" s="12"/>
      <c r="T48" s="12"/>
      <c r="U48" s="12"/>
      <c r="V48" s="12"/>
      <c r="W48" s="12"/>
      <c r="X48" s="12"/>
      <c r="Y48" s="12"/>
      <c r="Z48" s="12"/>
      <c r="AA48" s="12"/>
      <c r="AB48" s="12"/>
      <c r="AC48" s="12"/>
      <c r="AD48" s="12"/>
    </row>
    <row r="49" spans="2:30" s="1" customFormat="1" ht="15.75">
      <c r="B49" s="1094" t="s">
        <v>179</v>
      </c>
      <c r="C49" s="1094"/>
      <c r="D49" s="1094"/>
      <c r="E49" s="1094"/>
      <c r="F49" s="1094"/>
      <c r="G49" s="12"/>
      <c r="H49" s="12"/>
      <c r="I49" s="12"/>
      <c r="J49" s="9"/>
      <c r="K49" s="9"/>
      <c r="L49" s="9"/>
      <c r="M49" s="9"/>
      <c r="N49" s="9"/>
      <c r="Q49" s="12"/>
      <c r="R49" s="12"/>
      <c r="S49" s="12"/>
      <c r="T49" s="12"/>
      <c r="U49" s="12"/>
      <c r="V49" s="12"/>
      <c r="W49" s="12"/>
      <c r="X49" s="12"/>
      <c r="Y49" s="12"/>
      <c r="Z49" s="12"/>
      <c r="AA49" s="12"/>
      <c r="AB49" s="12"/>
      <c r="AC49" s="12"/>
      <c r="AD49" s="12"/>
    </row>
    <row r="50" spans="2:30" s="1" customFormat="1" ht="15.75">
      <c r="E50" s="415"/>
      <c r="F50" s="416"/>
      <c r="G50" s="12"/>
      <c r="H50" s="12"/>
      <c r="I50" s="12"/>
      <c r="J50" s="9"/>
      <c r="K50" s="9"/>
      <c r="L50" s="9"/>
      <c r="M50" s="9"/>
      <c r="N50" s="9"/>
      <c r="O50" s="65" t="s">
        <v>180</v>
      </c>
      <c r="Q50" s="540" t="s">
        <v>181</v>
      </c>
      <c r="R50" s="540" t="s">
        <v>182</v>
      </c>
      <c r="S50" s="540" t="s">
        <v>183</v>
      </c>
      <c r="T50" s="540" t="s">
        <v>184</v>
      </c>
      <c r="U50" s="540" t="s">
        <v>185</v>
      </c>
      <c r="V50" s="540" t="s">
        <v>186</v>
      </c>
      <c r="W50" s="540" t="s">
        <v>187</v>
      </c>
      <c r="X50" s="540" t="s">
        <v>188</v>
      </c>
      <c r="Y50" s="540" t="s">
        <v>189</v>
      </c>
      <c r="Z50" s="12"/>
      <c r="AA50" s="12"/>
      <c r="AB50" s="12"/>
      <c r="AC50" s="12"/>
      <c r="AD50" s="12"/>
    </row>
    <row r="51" spans="2:30" s="1" customFormat="1" ht="15.75">
      <c r="B51" s="415" t="s">
        <v>190</v>
      </c>
      <c r="E51" s="415"/>
      <c r="F51" s="416"/>
      <c r="G51" s="12"/>
      <c r="H51" s="12"/>
      <c r="I51" s="12"/>
      <c r="J51" s="9"/>
      <c r="K51" s="9"/>
      <c r="L51" s="9"/>
      <c r="M51" s="9"/>
      <c r="N51" s="9"/>
      <c r="O51" s="56" t="s">
        <v>119</v>
      </c>
      <c r="Q51" s="283" t="s">
        <v>1387</v>
      </c>
      <c r="R51" s="283" t="s">
        <v>191</v>
      </c>
      <c r="S51" s="283" t="s">
        <v>192</v>
      </c>
      <c r="T51" s="283" t="s">
        <v>193</v>
      </c>
      <c r="U51" s="283"/>
      <c r="V51" s="283" t="s">
        <v>194</v>
      </c>
      <c r="W51" s="283"/>
      <c r="X51" s="283"/>
      <c r="Y51" s="283" t="s">
        <v>195</v>
      </c>
      <c r="Z51" s="12"/>
      <c r="AA51" s="12"/>
      <c r="AB51" s="12"/>
      <c r="AC51" s="12"/>
      <c r="AD51" s="12"/>
    </row>
    <row r="52" spans="2:30" s="1" customFormat="1" ht="15.75">
      <c r="C52" s="14"/>
      <c r="D52" s="14"/>
      <c r="E52" s="417"/>
      <c r="F52" s="418"/>
      <c r="G52" s="12"/>
      <c r="H52" s="12"/>
      <c r="I52" s="12"/>
      <c r="J52" s="9"/>
      <c r="K52" s="9"/>
      <c r="L52" s="9"/>
      <c r="M52" s="9"/>
      <c r="N52" s="9"/>
      <c r="O52" s="56" t="s">
        <v>123</v>
      </c>
      <c r="Q52" s="283" t="s">
        <v>1388</v>
      </c>
      <c r="R52" s="283" t="s">
        <v>196</v>
      </c>
      <c r="S52" s="283" t="s">
        <v>197</v>
      </c>
      <c r="T52" s="283" t="s">
        <v>198</v>
      </c>
      <c r="U52" s="283"/>
      <c r="V52" s="283" t="s">
        <v>199</v>
      </c>
      <c r="W52" s="283"/>
      <c r="X52" s="283"/>
      <c r="Y52" s="283" t="s">
        <v>200</v>
      </c>
      <c r="Z52" s="12"/>
      <c r="AA52" s="12"/>
      <c r="AB52" s="12"/>
      <c r="AC52" s="12"/>
      <c r="AD52" s="12"/>
    </row>
    <row r="53" spans="2:30" s="1" customFormat="1" ht="15.75">
      <c r="F53" s="25"/>
      <c r="G53" s="12"/>
      <c r="H53" s="12"/>
      <c r="I53" s="12"/>
      <c r="J53" s="9"/>
      <c r="K53" s="9"/>
      <c r="L53" s="9"/>
      <c r="M53" s="9"/>
      <c r="N53" s="9"/>
      <c r="O53" s="12" t="s">
        <v>201</v>
      </c>
      <c r="P53" s="12"/>
      <c r="Q53" s="283" t="s">
        <v>1389</v>
      </c>
      <c r="R53" s="283" t="s">
        <v>123</v>
      </c>
      <c r="S53" s="283" t="s">
        <v>202</v>
      </c>
      <c r="T53" s="283" t="s">
        <v>123</v>
      </c>
      <c r="U53" s="283"/>
      <c r="V53" s="283" t="s">
        <v>123</v>
      </c>
      <c r="W53" s="283"/>
      <c r="X53" s="283"/>
      <c r="Y53" s="283" t="s">
        <v>203</v>
      </c>
      <c r="Z53" s="12"/>
      <c r="AA53" s="12"/>
      <c r="AB53" s="12"/>
      <c r="AC53" s="12"/>
      <c r="AD53" s="12"/>
    </row>
    <row r="54" spans="2:30" s="1" customFormat="1" ht="15.75">
      <c r="B54" s="419" t="s">
        <v>204</v>
      </c>
      <c r="C54" s="420" t="str">
        <f>TVC_current_version</f>
        <v>1.03</v>
      </c>
      <c r="E54" s="421">
        <f>TVC_current_date</f>
        <v>45954</v>
      </c>
      <c r="F54" s="25"/>
      <c r="G54" s="12"/>
      <c r="H54" s="12"/>
      <c r="I54" s="12"/>
      <c r="J54" s="9"/>
      <c r="K54" s="9"/>
      <c r="L54" s="9"/>
      <c r="M54" s="9"/>
      <c r="N54" s="9"/>
      <c r="O54" s="12"/>
      <c r="P54" s="12"/>
      <c r="Q54" s="283" t="s">
        <v>123</v>
      </c>
      <c r="R54" s="283"/>
      <c r="S54" s="283" t="s">
        <v>123</v>
      </c>
      <c r="T54" s="283"/>
      <c r="U54" s="283"/>
      <c r="V54" s="283"/>
      <c r="W54" s="283"/>
      <c r="X54" s="283"/>
      <c r="Y54" s="283" t="s">
        <v>123</v>
      </c>
      <c r="Z54" s="12"/>
      <c r="AA54" s="12"/>
      <c r="AB54" s="12"/>
      <c r="AC54" s="12"/>
      <c r="AD54" s="12"/>
    </row>
    <row r="55" spans="2:30" s="1" customFormat="1" ht="15.75">
      <c r="E55" s="2"/>
      <c r="F55" s="25"/>
      <c r="G55" s="12"/>
      <c r="H55" s="12"/>
      <c r="I55" s="12"/>
      <c r="J55" s="9"/>
      <c r="K55" s="9"/>
      <c r="L55" s="9"/>
      <c r="M55" s="9"/>
      <c r="N55" s="9"/>
      <c r="O55" s="56" t="s">
        <v>205</v>
      </c>
      <c r="P55" s="12"/>
      <c r="Q55" s="283"/>
      <c r="R55" s="283"/>
      <c r="S55" s="283"/>
      <c r="T55" s="283"/>
      <c r="U55" s="283"/>
      <c r="V55" s="283"/>
      <c r="W55" s="283"/>
      <c r="X55" s="283"/>
      <c r="Y55" s="283"/>
      <c r="Z55" s="12"/>
      <c r="AA55" s="12"/>
      <c r="AB55" s="12"/>
      <c r="AC55" s="12"/>
      <c r="AD55" s="12"/>
    </row>
    <row r="56" spans="2:30">
      <c r="C56" s="13"/>
      <c r="O56" s="283" t="s">
        <v>206</v>
      </c>
    </row>
    <row r="57" spans="2:30" s="1" customFormat="1" ht="15.75">
      <c r="B57" s="12"/>
      <c r="C57" s="12"/>
      <c r="D57" s="12"/>
      <c r="E57" s="1014"/>
      <c r="F57" s="9"/>
      <c r="G57" s="12"/>
      <c r="H57" s="12"/>
      <c r="I57" s="12"/>
      <c r="J57" s="9"/>
      <c r="K57" s="9"/>
      <c r="L57" s="9"/>
      <c r="M57" s="9"/>
      <c r="N57" s="9"/>
      <c r="O57" s="283" t="s">
        <v>119</v>
      </c>
      <c r="P57" s="12"/>
      <c r="Q57" s="12"/>
      <c r="R57" s="12"/>
      <c r="S57" s="12"/>
      <c r="T57" s="12"/>
      <c r="U57" s="12"/>
      <c r="V57" s="12"/>
      <c r="W57" s="12"/>
      <c r="X57" s="12"/>
      <c r="Y57" s="12"/>
      <c r="Z57" s="12"/>
      <c r="AA57" s="12"/>
      <c r="AB57" s="12"/>
      <c r="AC57" s="12"/>
      <c r="AD57" s="12"/>
    </row>
    <row r="58" spans="2:30" s="1" customFormat="1" ht="15.75">
      <c r="B58" s="12"/>
      <c r="C58" s="12"/>
      <c r="D58" s="12"/>
      <c r="E58" s="1014"/>
      <c r="F58" s="9"/>
      <c r="G58" s="12"/>
      <c r="H58" s="12"/>
      <c r="I58" s="12"/>
      <c r="J58" s="9"/>
      <c r="K58" s="9"/>
      <c r="L58" s="9"/>
      <c r="M58" s="9"/>
      <c r="N58" s="9"/>
      <c r="O58" s="283" t="s">
        <v>207</v>
      </c>
      <c r="P58" s="12"/>
      <c r="Q58" s="12"/>
      <c r="R58" s="12"/>
      <c r="S58" s="12"/>
      <c r="T58" s="12"/>
      <c r="U58" s="12"/>
      <c r="V58" s="12"/>
      <c r="W58" s="12"/>
      <c r="X58" s="12"/>
      <c r="Y58" s="12"/>
      <c r="Z58" s="12"/>
      <c r="AA58" s="12"/>
      <c r="AB58" s="12"/>
      <c r="AC58" s="12"/>
      <c r="AD58" s="12"/>
    </row>
    <row r="59" spans="2:30" s="1" customFormat="1" ht="15.75">
      <c r="C59" s="1015"/>
      <c r="E59" s="12"/>
      <c r="F59" s="12"/>
      <c r="G59" s="12"/>
      <c r="H59" s="12"/>
      <c r="I59" s="12"/>
      <c r="J59" s="12"/>
      <c r="K59" s="12"/>
      <c r="L59" s="12"/>
      <c r="M59" s="12"/>
      <c r="N59" s="12"/>
      <c r="O59" s="283" t="s">
        <v>201</v>
      </c>
      <c r="P59" s="78"/>
      <c r="Q59" s="12"/>
      <c r="R59" s="12"/>
      <c r="S59" s="12"/>
      <c r="T59" s="12"/>
      <c r="U59" s="12"/>
      <c r="V59" s="12"/>
      <c r="W59" s="12"/>
      <c r="X59" s="12"/>
      <c r="Y59" s="12"/>
      <c r="Z59" s="12"/>
      <c r="AA59" s="12"/>
      <c r="AB59" s="12"/>
      <c r="AC59" s="12"/>
      <c r="AD59" s="12"/>
    </row>
    <row r="60" spans="2:30" s="1" customFormat="1" ht="15.75">
      <c r="B60" s="24"/>
      <c r="C60" s="22" t="s">
        <v>208</v>
      </c>
      <c r="E60" s="1014"/>
      <c r="F60" s="9"/>
      <c r="G60" s="12"/>
      <c r="H60" s="12"/>
      <c r="I60" s="12"/>
      <c r="J60" s="9"/>
      <c r="K60" s="9"/>
      <c r="L60" s="9"/>
      <c r="M60" s="9"/>
      <c r="N60" s="9"/>
      <c r="O60" s="12"/>
      <c r="P60" s="78"/>
      <c r="Q60" s="12"/>
      <c r="R60" s="12"/>
      <c r="S60" s="12"/>
      <c r="T60" s="12"/>
      <c r="U60" s="12"/>
      <c r="V60" s="12"/>
      <c r="W60" s="12"/>
      <c r="X60" s="12"/>
      <c r="Y60" s="12"/>
      <c r="Z60" s="12"/>
      <c r="AA60" s="12"/>
      <c r="AB60" s="12"/>
      <c r="AC60" s="12"/>
      <c r="AD60" s="12"/>
    </row>
    <row r="61" spans="2:30" s="1" customFormat="1" ht="15.75">
      <c r="C61" s="422"/>
      <c r="E61" s="1014"/>
      <c r="F61" s="9"/>
      <c r="G61" s="12"/>
      <c r="H61" s="12"/>
      <c r="I61" s="12"/>
      <c r="J61" s="9"/>
      <c r="K61" s="9"/>
      <c r="L61" s="9"/>
      <c r="M61" s="9"/>
      <c r="N61" s="9"/>
      <c r="O61" s="283" t="s">
        <v>209</v>
      </c>
      <c r="P61" s="78"/>
      <c r="Q61" s="12"/>
      <c r="R61" s="12"/>
      <c r="S61" s="12"/>
      <c r="T61" s="12"/>
      <c r="U61" s="12"/>
      <c r="V61" s="12"/>
      <c r="W61" s="12"/>
      <c r="X61" s="12"/>
      <c r="Y61" s="12"/>
      <c r="Z61" s="12"/>
      <c r="AA61" s="12"/>
      <c r="AB61" s="12"/>
      <c r="AC61" s="12"/>
      <c r="AD61" s="12"/>
    </row>
    <row r="62" spans="2:30" s="1" customFormat="1" ht="15.75">
      <c r="E62" s="1014"/>
      <c r="F62" s="9"/>
      <c r="G62" s="12"/>
      <c r="H62" s="12"/>
      <c r="I62" s="12"/>
      <c r="J62" s="9"/>
      <c r="K62" s="9"/>
      <c r="L62" s="9"/>
      <c r="M62" s="9"/>
      <c r="N62" s="9"/>
      <c r="O62" s="12"/>
      <c r="P62" s="12"/>
      <c r="Q62" s="12"/>
      <c r="R62" s="12"/>
      <c r="S62" s="12"/>
      <c r="T62" s="12"/>
      <c r="U62" s="12"/>
      <c r="V62" s="12"/>
      <c r="W62" s="12"/>
      <c r="X62" s="12"/>
      <c r="Y62" s="12"/>
      <c r="Z62" s="12"/>
      <c r="AA62" s="12"/>
      <c r="AB62" s="12"/>
      <c r="AC62" s="12"/>
      <c r="AD62" s="12"/>
    </row>
    <row r="63" spans="2:30" s="1" customFormat="1" ht="15.75">
      <c r="B63" s="16"/>
      <c r="C63" s="1016"/>
      <c r="E63" s="1017"/>
      <c r="F63" s="1017"/>
      <c r="G63" s="12"/>
      <c r="H63" s="12"/>
      <c r="I63" s="12"/>
      <c r="J63" s="1017"/>
      <c r="K63" s="1017"/>
      <c r="L63" s="1017"/>
      <c r="M63" s="1017"/>
      <c r="N63" s="1017"/>
      <c r="O63" s="12"/>
      <c r="P63" s="12"/>
      <c r="Q63" s="12"/>
      <c r="R63" s="12"/>
      <c r="S63" s="12"/>
      <c r="T63" s="12"/>
      <c r="U63" s="12"/>
      <c r="V63" s="12"/>
      <c r="W63" s="12"/>
      <c r="X63" s="12"/>
      <c r="Y63" s="12"/>
      <c r="Z63" s="12"/>
      <c r="AA63" s="12"/>
      <c r="AB63" s="12"/>
      <c r="AC63" s="12"/>
      <c r="AD63" s="12"/>
    </row>
    <row r="64" spans="2:30" s="1" customFormat="1" ht="15" customHeight="1">
      <c r="B64" s="7"/>
      <c r="C64" s="23"/>
      <c r="E64" s="1018"/>
      <c r="F64" s="11"/>
      <c r="G64" s="12"/>
      <c r="H64" s="12"/>
      <c r="I64" s="12"/>
      <c r="J64" s="11"/>
      <c r="K64" s="11"/>
      <c r="L64" s="11"/>
      <c r="M64" s="11"/>
      <c r="N64" s="11"/>
      <c r="O64" s="34" t="s">
        <v>210</v>
      </c>
      <c r="P64" s="386" t="s">
        <v>150</v>
      </c>
      <c r="Q64" s="12"/>
      <c r="R64" s="12"/>
      <c r="S64" s="12"/>
      <c r="T64" s="12"/>
      <c r="U64" s="12"/>
      <c r="V64" s="12"/>
      <c r="W64" s="12"/>
      <c r="X64" s="12"/>
      <c r="Y64" s="12"/>
      <c r="Z64" s="12"/>
      <c r="AA64" s="12"/>
      <c r="AB64" s="12"/>
      <c r="AC64" s="12"/>
      <c r="AD64" s="12"/>
    </row>
    <row r="65" spans="2:30" s="1" customFormat="1" ht="15.75">
      <c r="B65" s="8"/>
      <c r="C65" s="23"/>
      <c r="E65" s="1018"/>
      <c r="F65" s="11"/>
      <c r="G65" s="12"/>
      <c r="H65" s="12"/>
      <c r="I65" s="12"/>
      <c r="J65" s="11"/>
      <c r="K65" s="11"/>
      <c r="L65" s="11"/>
      <c r="M65" s="11"/>
      <c r="N65" s="11"/>
      <c r="O65" s="12"/>
      <c r="P65" s="12"/>
      <c r="Q65" s="12"/>
      <c r="R65" s="12"/>
      <c r="S65" s="12"/>
      <c r="T65" s="12"/>
      <c r="U65" s="12"/>
      <c r="V65" s="12"/>
      <c r="W65" s="12"/>
      <c r="X65" s="12"/>
      <c r="Y65" s="12"/>
      <c r="Z65" s="12"/>
      <c r="AA65" s="12"/>
      <c r="AB65" s="12"/>
      <c r="AC65" s="12"/>
      <c r="AD65" s="12"/>
    </row>
    <row r="66" spans="2:30" s="1" customFormat="1" ht="15.75">
      <c r="B66" s="16"/>
      <c r="C66" s="1016"/>
      <c r="E66" s="1014"/>
      <c r="F66" s="9"/>
      <c r="G66" s="12"/>
      <c r="H66" s="12"/>
      <c r="I66" s="12"/>
      <c r="J66" s="9"/>
      <c r="K66" s="9"/>
      <c r="L66" s="9"/>
      <c r="M66" s="9"/>
      <c r="N66" s="9"/>
      <c r="O66" s="12"/>
      <c r="P66" s="12"/>
      <c r="Q66" s="12"/>
      <c r="R66" s="12"/>
      <c r="S66" s="12"/>
      <c r="T66" s="12"/>
      <c r="U66" s="12"/>
      <c r="V66" s="12"/>
      <c r="W66" s="12"/>
      <c r="X66" s="12"/>
      <c r="Y66" s="12"/>
      <c r="Z66" s="12"/>
      <c r="AA66" s="12"/>
      <c r="AB66" s="12"/>
      <c r="AC66" s="12"/>
      <c r="AD66" s="12"/>
    </row>
    <row r="67" spans="2:30" s="1" customFormat="1" ht="15.75">
      <c r="B67" s="7"/>
      <c r="C67" s="23"/>
      <c r="E67" s="1014"/>
      <c r="F67" s="9"/>
      <c r="G67" s="12"/>
      <c r="H67" s="12"/>
      <c r="I67" s="12"/>
      <c r="J67" s="9"/>
      <c r="K67" s="9"/>
      <c r="L67" s="9"/>
      <c r="M67" s="9"/>
      <c r="N67" s="9"/>
      <c r="O67" s="12"/>
      <c r="Q67" s="12"/>
      <c r="R67" s="12"/>
      <c r="S67" s="12"/>
      <c r="T67" s="12"/>
      <c r="U67" s="12"/>
      <c r="V67" s="12"/>
      <c r="W67" s="12"/>
      <c r="X67" s="12"/>
      <c r="Y67" s="12"/>
      <c r="Z67" s="12"/>
      <c r="AA67" s="12"/>
      <c r="AB67" s="12"/>
      <c r="AC67" s="12"/>
      <c r="AD67" s="12"/>
    </row>
    <row r="68" spans="2:30" s="1" customFormat="1" ht="15.75">
      <c r="B68" s="1019"/>
      <c r="C68" s="13"/>
      <c r="E68" s="1014"/>
      <c r="F68" s="9"/>
      <c r="G68" s="12"/>
      <c r="H68" s="12"/>
      <c r="I68" s="12"/>
      <c r="J68" s="9"/>
      <c r="K68" s="9"/>
      <c r="L68" s="9"/>
      <c r="M68" s="9"/>
      <c r="N68" s="9"/>
      <c r="O68" s="12"/>
      <c r="P68" s="12"/>
      <c r="Q68" s="12"/>
      <c r="R68" s="12"/>
      <c r="S68" s="12"/>
      <c r="T68" s="12"/>
      <c r="U68" s="12"/>
      <c r="V68" s="12"/>
      <c r="W68" s="12"/>
      <c r="X68" s="12"/>
      <c r="Y68" s="12"/>
      <c r="Z68" s="12"/>
      <c r="AA68" s="12"/>
      <c r="AB68" s="12"/>
      <c r="AC68" s="12"/>
      <c r="AD68" s="12"/>
    </row>
    <row r="69" spans="2:30" s="1" customFormat="1" ht="15.75">
      <c r="C69" s="13"/>
      <c r="E69" s="1014"/>
      <c r="F69" s="9"/>
      <c r="G69" s="12"/>
      <c r="H69" s="12"/>
      <c r="I69" s="12"/>
      <c r="J69" s="9"/>
      <c r="K69" s="9"/>
      <c r="L69" s="9"/>
      <c r="M69" s="9"/>
      <c r="N69" s="9"/>
      <c r="O69" s="385" t="s">
        <v>211</v>
      </c>
      <c r="P69" s="386" t="s">
        <v>119</v>
      </c>
      <c r="Q69" s="12"/>
      <c r="R69" s="12"/>
      <c r="S69" s="12"/>
      <c r="T69" s="12"/>
      <c r="U69" s="12"/>
      <c r="V69" s="12"/>
      <c r="W69" s="12"/>
      <c r="X69" s="12"/>
      <c r="Y69" s="12"/>
      <c r="Z69" s="12"/>
      <c r="AA69" s="12"/>
      <c r="AB69" s="12"/>
      <c r="AC69" s="12"/>
      <c r="AD69" s="12"/>
    </row>
    <row r="70" spans="2:30" s="1" customFormat="1">
      <c r="C70" s="13"/>
      <c r="G70" s="12"/>
      <c r="H70" s="12"/>
      <c r="I70" s="12"/>
      <c r="O70" s="12"/>
      <c r="P70" s="12"/>
      <c r="Q70" s="12"/>
      <c r="R70" s="12"/>
      <c r="S70" s="12"/>
      <c r="T70" s="12"/>
      <c r="U70" s="12"/>
      <c r="V70" s="12"/>
      <c r="W70" s="12"/>
      <c r="X70" s="12"/>
      <c r="Y70" s="12"/>
      <c r="Z70" s="12"/>
      <c r="AA70" s="12"/>
      <c r="AB70" s="12"/>
      <c r="AC70" s="12"/>
      <c r="AD70" s="12"/>
    </row>
    <row r="71" spans="2:30" s="1" customFormat="1">
      <c r="C71" s="13"/>
      <c r="G71" s="12"/>
      <c r="H71" s="12"/>
      <c r="I71" s="12"/>
      <c r="O71" s="12"/>
      <c r="P71" s="12"/>
      <c r="Q71" s="12"/>
      <c r="R71" s="12"/>
      <c r="S71" s="12"/>
      <c r="T71" s="12"/>
      <c r="U71" s="12"/>
      <c r="V71" s="12"/>
      <c r="W71" s="12"/>
      <c r="X71" s="12"/>
      <c r="Y71" s="12"/>
      <c r="Z71" s="12"/>
      <c r="AA71" s="12"/>
      <c r="AB71" s="12"/>
      <c r="AC71" s="12"/>
      <c r="AD71" s="12"/>
    </row>
    <row r="72" spans="2:30" s="1" customFormat="1">
      <c r="C72" s="13"/>
      <c r="G72" s="12"/>
      <c r="H72" s="12"/>
      <c r="I72" s="12"/>
      <c r="O72" s="12"/>
      <c r="P72" s="12"/>
      <c r="Q72" s="12"/>
      <c r="R72" s="12"/>
      <c r="S72" s="12"/>
      <c r="T72" s="12"/>
      <c r="U72" s="12"/>
      <c r="V72" s="12"/>
      <c r="W72" s="12"/>
      <c r="X72" s="12"/>
      <c r="Y72" s="12"/>
      <c r="Z72" s="12"/>
      <c r="AA72" s="12"/>
      <c r="AB72" s="12"/>
      <c r="AC72" s="12"/>
      <c r="AD72" s="12"/>
    </row>
    <row r="73" spans="2:30" s="1" customFormat="1">
      <c r="G73" s="12"/>
      <c r="H73" s="12"/>
      <c r="I73" s="12"/>
      <c r="O73" s="12"/>
      <c r="P73" s="12"/>
      <c r="Q73" s="12"/>
      <c r="R73" s="12"/>
      <c r="S73" s="12"/>
      <c r="T73" s="12"/>
      <c r="U73" s="12"/>
      <c r="V73" s="12"/>
      <c r="W73" s="12"/>
      <c r="X73" s="12"/>
      <c r="Y73" s="12"/>
      <c r="Z73" s="12"/>
      <c r="AA73" s="12"/>
      <c r="AB73" s="12"/>
      <c r="AC73" s="12"/>
      <c r="AD73" s="12"/>
    </row>
    <row r="74" spans="2:30" s="1" customFormat="1">
      <c r="C74" s="13"/>
      <c r="G74" s="12"/>
      <c r="H74" s="12"/>
      <c r="I74" s="12"/>
      <c r="O74" s="12"/>
      <c r="P74" s="12"/>
      <c r="Q74" s="12"/>
      <c r="R74" s="12"/>
      <c r="S74" s="12"/>
      <c r="T74" s="12"/>
      <c r="U74" s="12"/>
      <c r="V74" s="12"/>
      <c r="W74" s="12"/>
      <c r="X74" s="12"/>
      <c r="Y74" s="12"/>
      <c r="Z74" s="12"/>
      <c r="AA74" s="12"/>
      <c r="AB74" s="12"/>
      <c r="AC74" s="12"/>
      <c r="AD74" s="12"/>
    </row>
    <row r="75" spans="2:30" s="1" customFormat="1">
      <c r="C75" s="13"/>
      <c r="G75" s="12"/>
      <c r="H75" s="12"/>
      <c r="I75" s="12"/>
      <c r="O75" s="12"/>
      <c r="P75" s="12"/>
      <c r="Q75" s="12"/>
      <c r="R75" s="12"/>
      <c r="S75" s="12"/>
      <c r="T75" s="12"/>
      <c r="U75" s="12"/>
      <c r="V75" s="12"/>
      <c r="W75" s="12"/>
      <c r="X75" s="12"/>
      <c r="Y75" s="12"/>
      <c r="Z75" s="12"/>
      <c r="AA75" s="12"/>
      <c r="AB75" s="12"/>
      <c r="AC75" s="12"/>
      <c r="AD75" s="12"/>
    </row>
    <row r="76" spans="2:30" s="1" customFormat="1">
      <c r="C76" s="13"/>
      <c r="G76" s="12"/>
      <c r="H76" s="12"/>
      <c r="I76" s="12"/>
      <c r="O76" s="12"/>
      <c r="P76" s="12"/>
      <c r="Q76" s="12"/>
      <c r="R76" s="12"/>
      <c r="S76" s="12"/>
      <c r="T76" s="12"/>
      <c r="U76" s="12"/>
      <c r="V76" s="12"/>
      <c r="W76" s="12"/>
      <c r="X76" s="12"/>
      <c r="Y76" s="12"/>
      <c r="Z76" s="12"/>
      <c r="AA76" s="12"/>
      <c r="AB76" s="12"/>
      <c r="AC76" s="12"/>
      <c r="AD76" s="12"/>
    </row>
    <row r="77" spans="2:30" s="1" customFormat="1">
      <c r="C77" s="13"/>
      <c r="G77" s="12"/>
      <c r="H77" s="12"/>
      <c r="I77" s="12"/>
      <c r="O77" s="12"/>
      <c r="P77" s="12"/>
      <c r="Q77" s="12"/>
      <c r="R77" s="12"/>
      <c r="S77" s="12"/>
      <c r="T77" s="12"/>
      <c r="U77" s="12"/>
      <c r="V77" s="12"/>
      <c r="W77" s="12"/>
      <c r="X77" s="12"/>
      <c r="Y77" s="12"/>
      <c r="Z77" s="12"/>
      <c r="AA77" s="12"/>
      <c r="AB77" s="12"/>
      <c r="AC77" s="12"/>
      <c r="AD77" s="12"/>
    </row>
    <row r="78" spans="2:30" s="1" customFormat="1">
      <c r="C78" s="13"/>
      <c r="G78" s="12"/>
      <c r="H78" s="12"/>
      <c r="I78" s="12"/>
      <c r="O78" s="12"/>
      <c r="P78" s="12"/>
      <c r="Q78" s="12"/>
      <c r="R78" s="12"/>
      <c r="S78" s="12"/>
      <c r="T78" s="12"/>
      <c r="U78" s="12"/>
      <c r="V78" s="12"/>
      <c r="W78" s="12"/>
      <c r="X78" s="12"/>
      <c r="Y78" s="12"/>
      <c r="Z78" s="12"/>
      <c r="AA78" s="12"/>
      <c r="AB78" s="12"/>
      <c r="AC78" s="12"/>
      <c r="AD78" s="12"/>
    </row>
    <row r="79" spans="2:30" s="1" customFormat="1">
      <c r="C79" s="13"/>
      <c r="G79" s="12"/>
      <c r="H79" s="12"/>
      <c r="I79" s="12"/>
      <c r="O79" s="12"/>
      <c r="P79" s="12"/>
      <c r="Q79" s="12"/>
      <c r="R79" s="12"/>
      <c r="S79" s="12"/>
      <c r="T79" s="12"/>
      <c r="U79" s="12"/>
      <c r="V79" s="12"/>
      <c r="W79" s="12"/>
      <c r="X79" s="12"/>
      <c r="Y79" s="12"/>
      <c r="Z79" s="12"/>
      <c r="AA79" s="12"/>
      <c r="AB79" s="12"/>
      <c r="AC79" s="12"/>
      <c r="AD79" s="12"/>
    </row>
    <row r="80" spans="2:30" s="1" customFormat="1">
      <c r="C80" s="13"/>
      <c r="G80" s="12"/>
      <c r="H80" s="12"/>
      <c r="I80" s="12"/>
      <c r="O80" s="12"/>
      <c r="P80" s="12"/>
      <c r="Q80" s="385" t="s">
        <v>212</v>
      </c>
      <c r="R80" s="386" t="s">
        <v>106</v>
      </c>
      <c r="S80" s="12"/>
      <c r="T80" s="12"/>
      <c r="U80" s="12"/>
      <c r="V80" s="12"/>
      <c r="W80" s="12"/>
      <c r="X80" s="12"/>
      <c r="Y80" s="12"/>
      <c r="Z80" s="12"/>
      <c r="AA80" s="12"/>
      <c r="AB80" s="12"/>
      <c r="AC80" s="12"/>
      <c r="AD80" s="12"/>
    </row>
    <row r="81" spans="3:30" s="1" customFormat="1">
      <c r="C81" s="13"/>
      <c r="G81" s="12"/>
      <c r="H81" s="12"/>
      <c r="I81" s="12"/>
      <c r="O81" s="12"/>
      <c r="P81" s="12"/>
      <c r="Q81" s="385" t="s">
        <v>213</v>
      </c>
      <c r="R81" s="387" t="s">
        <v>12</v>
      </c>
      <c r="S81" s="12"/>
      <c r="T81" s="12"/>
      <c r="U81" s="12"/>
      <c r="V81" s="12"/>
      <c r="W81" s="12"/>
      <c r="X81" s="12"/>
      <c r="Y81" s="12"/>
      <c r="Z81" s="12"/>
      <c r="AA81" s="12"/>
      <c r="AB81" s="12"/>
      <c r="AC81" s="12"/>
      <c r="AD81" s="12"/>
    </row>
    <row r="82" spans="3:30" s="1" customFormat="1">
      <c r="C82" s="13"/>
      <c r="G82" s="12"/>
      <c r="H82" s="12"/>
      <c r="I82" s="12"/>
      <c r="O82" s="12"/>
      <c r="P82" s="12"/>
      <c r="Q82" s="389" t="s">
        <v>214</v>
      </c>
      <c r="R82" s="387" t="s">
        <v>54</v>
      </c>
      <c r="S82" s="12"/>
      <c r="T82" s="12"/>
      <c r="U82" s="12"/>
      <c r="V82" s="12"/>
      <c r="W82" s="12"/>
      <c r="X82" s="12"/>
      <c r="Y82" s="12"/>
      <c r="Z82" s="12"/>
      <c r="AA82" s="12"/>
      <c r="AB82" s="12"/>
      <c r="AC82" s="12"/>
      <c r="AD82" s="12"/>
    </row>
    <row r="83" spans="3:30" s="1" customFormat="1">
      <c r="C83" s="13"/>
      <c r="G83" s="12"/>
      <c r="H83" s="12"/>
      <c r="I83" s="12"/>
      <c r="O83" s="12"/>
      <c r="P83" s="12"/>
      <c r="Q83" s="12"/>
      <c r="R83" s="12"/>
      <c r="S83" s="12"/>
      <c r="T83" s="12"/>
      <c r="U83" s="12"/>
      <c r="V83" s="12"/>
      <c r="W83" s="12"/>
      <c r="X83" s="12"/>
      <c r="Y83" s="12"/>
      <c r="Z83" s="12"/>
      <c r="AA83" s="12"/>
      <c r="AB83" s="12"/>
      <c r="AC83" s="12"/>
      <c r="AD83" s="12"/>
    </row>
    <row r="84" spans="3:30" s="1" customFormat="1">
      <c r="G84" s="12"/>
      <c r="H84" s="12"/>
      <c r="I84" s="12"/>
      <c r="O84" s="12"/>
      <c r="P84" s="12"/>
      <c r="Q84" s="12"/>
      <c r="R84" s="12"/>
      <c r="S84" s="12"/>
      <c r="T84" s="12"/>
      <c r="U84" s="12"/>
      <c r="V84" s="12"/>
      <c r="W84" s="12"/>
      <c r="X84" s="12"/>
      <c r="Y84" s="12"/>
      <c r="Z84" s="12"/>
      <c r="AA84" s="12"/>
      <c r="AB84" s="12"/>
      <c r="AC84" s="12"/>
      <c r="AD84" s="12"/>
    </row>
    <row r="85" spans="3:30" s="1" customFormat="1">
      <c r="G85" s="12"/>
      <c r="H85" s="12"/>
      <c r="I85" s="12"/>
      <c r="O85" s="12"/>
      <c r="P85" s="12"/>
      <c r="Q85" s="12"/>
      <c r="R85" s="12"/>
      <c r="S85" s="12"/>
      <c r="T85" s="12"/>
      <c r="U85" s="12"/>
      <c r="V85" s="12"/>
      <c r="W85" s="12"/>
      <c r="X85" s="12"/>
      <c r="Y85" s="12"/>
      <c r="Z85" s="12"/>
      <c r="AA85" s="12"/>
      <c r="AB85" s="12"/>
      <c r="AC85" s="12"/>
      <c r="AD85" s="12"/>
    </row>
    <row r="86" spans="3:30" s="1" customFormat="1">
      <c r="G86" s="12"/>
      <c r="H86" s="12"/>
      <c r="I86" s="12"/>
      <c r="O86" s="12"/>
      <c r="P86" s="12"/>
      <c r="Q86" s="12"/>
      <c r="R86" s="12"/>
      <c r="S86" s="12"/>
      <c r="T86" s="12"/>
      <c r="U86" s="12"/>
      <c r="V86" s="12"/>
      <c r="W86" s="12"/>
      <c r="X86" s="12"/>
      <c r="Y86" s="12"/>
      <c r="Z86" s="12"/>
      <c r="AA86" s="12"/>
      <c r="AB86" s="12"/>
      <c r="AC86" s="12"/>
      <c r="AD86" s="12"/>
    </row>
    <row r="87" spans="3:30" s="1" customFormat="1">
      <c r="G87" s="12"/>
      <c r="H87" s="12"/>
      <c r="I87" s="12"/>
      <c r="O87" s="12"/>
      <c r="P87" s="12"/>
      <c r="Q87" s="12"/>
      <c r="R87" s="12"/>
      <c r="S87" s="12"/>
      <c r="T87" s="12"/>
      <c r="U87" s="12"/>
      <c r="V87" s="12"/>
      <c r="W87" s="12"/>
      <c r="X87" s="12"/>
      <c r="Y87" s="12"/>
      <c r="Z87" s="12"/>
      <c r="AA87" s="12"/>
      <c r="AB87" s="12"/>
      <c r="AC87" s="12"/>
      <c r="AD87" s="12"/>
    </row>
    <row r="88" spans="3:30" s="1" customFormat="1">
      <c r="G88" s="12"/>
      <c r="H88" s="12"/>
      <c r="I88" s="12"/>
      <c r="O88" s="12"/>
      <c r="P88" s="12"/>
      <c r="Q88" s="12"/>
      <c r="R88" s="12"/>
      <c r="S88" s="12"/>
      <c r="T88" s="12"/>
      <c r="U88" s="12"/>
      <c r="V88" s="12"/>
      <c r="W88" s="12"/>
      <c r="X88" s="12"/>
      <c r="Y88" s="12"/>
      <c r="Z88" s="12"/>
      <c r="AA88" s="12"/>
      <c r="AB88" s="12"/>
      <c r="AC88" s="12"/>
      <c r="AD88" s="12"/>
    </row>
    <row r="89" spans="3:30" s="1" customFormat="1">
      <c r="G89" s="12"/>
      <c r="H89" s="12"/>
      <c r="I89" s="12"/>
      <c r="O89" s="12"/>
      <c r="P89" s="12"/>
      <c r="Q89" s="12"/>
      <c r="R89" s="12"/>
      <c r="S89" s="12"/>
      <c r="T89" s="12"/>
      <c r="U89" s="12"/>
      <c r="V89" s="12"/>
      <c r="W89" s="12"/>
      <c r="X89" s="12"/>
      <c r="Y89" s="12"/>
      <c r="Z89" s="12"/>
      <c r="AA89" s="12"/>
      <c r="AB89" s="12"/>
      <c r="AC89" s="12"/>
      <c r="AD89" s="12"/>
    </row>
    <row r="90" spans="3:30" s="1" customFormat="1">
      <c r="G90" s="12"/>
      <c r="H90" s="12"/>
      <c r="I90" s="12"/>
      <c r="O90" s="12"/>
      <c r="P90" s="12"/>
      <c r="Q90" s="12"/>
      <c r="R90" s="12"/>
      <c r="S90" s="12"/>
      <c r="T90" s="12"/>
      <c r="U90" s="12"/>
      <c r="V90" s="12"/>
      <c r="W90" s="12"/>
      <c r="X90" s="12"/>
      <c r="Y90" s="12"/>
      <c r="Z90" s="12"/>
      <c r="AA90" s="12"/>
      <c r="AB90" s="12"/>
      <c r="AC90" s="12"/>
      <c r="AD90" s="12"/>
    </row>
    <row r="91" spans="3:30" s="1" customFormat="1">
      <c r="G91" s="12"/>
      <c r="H91" s="12"/>
      <c r="I91" s="12"/>
      <c r="O91" s="12"/>
      <c r="P91" s="12"/>
      <c r="Q91" s="12"/>
      <c r="R91" s="12"/>
      <c r="S91" s="12"/>
      <c r="T91" s="12"/>
      <c r="U91" s="12"/>
      <c r="V91" s="12"/>
      <c r="W91" s="12"/>
      <c r="X91" s="12"/>
      <c r="Y91" s="12"/>
      <c r="Z91" s="12"/>
      <c r="AA91" s="12"/>
      <c r="AB91" s="12"/>
      <c r="AC91" s="12"/>
      <c r="AD91" s="12"/>
    </row>
    <row r="92" spans="3:30" s="1" customFormat="1">
      <c r="G92" s="12"/>
      <c r="H92" s="12"/>
      <c r="I92" s="12"/>
      <c r="O92" s="12"/>
      <c r="P92" s="12"/>
      <c r="Q92" s="12"/>
      <c r="R92" s="12"/>
      <c r="S92" s="12"/>
      <c r="T92" s="12"/>
      <c r="U92" s="12"/>
      <c r="V92" s="12"/>
      <c r="W92" s="12"/>
      <c r="X92" s="12"/>
      <c r="Y92" s="12"/>
      <c r="Z92" s="12"/>
      <c r="AA92" s="12"/>
      <c r="AB92" s="12"/>
      <c r="AC92" s="12"/>
      <c r="AD92" s="12"/>
    </row>
    <row r="93" spans="3:30" s="1" customFormat="1">
      <c r="G93" s="12"/>
      <c r="H93" s="12"/>
      <c r="I93" s="12"/>
      <c r="O93" s="12"/>
      <c r="P93" s="12"/>
      <c r="Q93" s="12"/>
      <c r="R93" s="12"/>
      <c r="S93" s="12"/>
      <c r="T93" s="12"/>
      <c r="U93" s="12"/>
      <c r="V93" s="12"/>
      <c r="W93" s="12"/>
      <c r="X93" s="12"/>
      <c r="Y93" s="12"/>
      <c r="Z93" s="12"/>
      <c r="AA93" s="12"/>
      <c r="AB93" s="12"/>
      <c r="AC93" s="12"/>
      <c r="AD93" s="12"/>
    </row>
    <row r="94" spans="3:30" s="1" customFormat="1">
      <c r="G94" s="12"/>
      <c r="H94" s="12"/>
      <c r="I94" s="12"/>
      <c r="O94" s="12"/>
      <c r="P94" s="12"/>
      <c r="Q94" s="12"/>
      <c r="R94" s="12"/>
      <c r="S94" s="12"/>
      <c r="T94" s="12"/>
      <c r="U94" s="12"/>
      <c r="V94" s="12"/>
      <c r="W94" s="12"/>
      <c r="X94" s="12"/>
      <c r="Y94" s="12"/>
      <c r="Z94" s="12"/>
      <c r="AA94" s="12"/>
      <c r="AB94" s="12"/>
      <c r="AC94" s="12"/>
      <c r="AD94" s="12"/>
    </row>
    <row r="95" spans="3:30" s="1" customFormat="1">
      <c r="G95" s="12"/>
      <c r="H95" s="12"/>
      <c r="I95" s="12"/>
      <c r="O95" s="12"/>
      <c r="P95" s="12"/>
      <c r="Q95" s="12"/>
      <c r="R95" s="12"/>
      <c r="S95" s="12"/>
      <c r="T95" s="12"/>
      <c r="U95" s="12"/>
      <c r="V95" s="12"/>
      <c r="W95" s="12"/>
      <c r="X95" s="12"/>
      <c r="Y95" s="12"/>
      <c r="Z95" s="12"/>
      <c r="AA95" s="12"/>
      <c r="AB95" s="12"/>
      <c r="AC95" s="12"/>
      <c r="AD95" s="12"/>
    </row>
    <row r="96" spans="3:30" s="1" customFormat="1">
      <c r="G96" s="12"/>
      <c r="H96" s="12"/>
      <c r="I96" s="12"/>
      <c r="O96" s="12"/>
      <c r="P96" s="12"/>
      <c r="Q96" s="12"/>
      <c r="R96" s="12"/>
      <c r="S96" s="12"/>
      <c r="T96" s="12"/>
      <c r="U96" s="12"/>
      <c r="V96" s="12"/>
      <c r="W96" s="12"/>
      <c r="X96" s="12"/>
      <c r="Y96" s="12"/>
      <c r="Z96" s="12"/>
      <c r="AA96" s="12"/>
      <c r="AB96" s="12"/>
      <c r="AC96" s="12"/>
      <c r="AD96" s="12"/>
    </row>
    <row r="97" spans="7:30" s="1" customFormat="1">
      <c r="G97" s="12"/>
      <c r="H97" s="12"/>
      <c r="I97" s="12"/>
      <c r="O97" s="12"/>
      <c r="P97" s="12"/>
      <c r="Q97" s="12"/>
      <c r="R97" s="12"/>
      <c r="S97" s="12"/>
      <c r="T97" s="12"/>
      <c r="U97" s="12"/>
      <c r="V97" s="12"/>
      <c r="W97" s="12"/>
      <c r="X97" s="12"/>
      <c r="Y97" s="12"/>
      <c r="Z97" s="12"/>
      <c r="AA97" s="12"/>
      <c r="AB97" s="12"/>
      <c r="AC97" s="12"/>
      <c r="AD97" s="12"/>
    </row>
    <row r="98" spans="7:30" s="1" customFormat="1">
      <c r="G98" s="12"/>
      <c r="H98" s="12"/>
      <c r="I98" s="12"/>
      <c r="O98" s="12"/>
      <c r="P98" s="12"/>
      <c r="Q98" s="12"/>
      <c r="R98" s="12"/>
      <c r="S98" s="12"/>
      <c r="T98" s="12"/>
      <c r="U98" s="12"/>
      <c r="V98" s="12"/>
      <c r="W98" s="12"/>
      <c r="X98" s="12"/>
      <c r="Y98" s="12"/>
      <c r="Z98" s="12"/>
      <c r="AA98" s="12"/>
      <c r="AB98" s="12"/>
      <c r="AC98" s="12"/>
      <c r="AD98" s="12"/>
    </row>
    <row r="99" spans="7:30" s="1" customFormat="1">
      <c r="G99" s="12"/>
      <c r="H99" s="12"/>
      <c r="I99" s="12"/>
      <c r="O99" s="12"/>
      <c r="P99" s="12"/>
      <c r="Q99" s="12"/>
      <c r="R99" s="12"/>
      <c r="S99" s="12"/>
      <c r="T99" s="12"/>
      <c r="U99" s="12"/>
      <c r="V99" s="12"/>
      <c r="W99" s="12"/>
      <c r="X99" s="12"/>
      <c r="Y99" s="12"/>
      <c r="Z99" s="12"/>
      <c r="AA99" s="12"/>
      <c r="AB99" s="12"/>
      <c r="AC99" s="12"/>
      <c r="AD99" s="12"/>
    </row>
    <row r="100" spans="7:30" s="1" customFormat="1">
      <c r="G100" s="12"/>
      <c r="H100" s="12"/>
      <c r="I100" s="12"/>
      <c r="O100" s="12"/>
      <c r="P100" s="12"/>
      <c r="Q100" s="12"/>
      <c r="R100" s="12"/>
      <c r="S100" s="12"/>
      <c r="T100" s="12"/>
      <c r="U100" s="12"/>
      <c r="V100" s="12"/>
      <c r="W100" s="12"/>
      <c r="X100" s="12"/>
      <c r="Y100" s="12"/>
      <c r="Z100" s="12"/>
      <c r="AA100" s="12"/>
      <c r="AB100" s="12"/>
      <c r="AC100" s="12"/>
      <c r="AD100" s="12"/>
    </row>
    <row r="101" spans="7:30" s="1" customFormat="1">
      <c r="G101" s="12"/>
      <c r="H101" s="12"/>
      <c r="I101" s="12"/>
      <c r="O101" s="12"/>
      <c r="P101" s="12"/>
      <c r="Q101" s="12"/>
      <c r="R101" s="12"/>
      <c r="S101" s="12"/>
      <c r="T101" s="12"/>
      <c r="U101" s="12"/>
      <c r="V101" s="12"/>
      <c r="W101" s="12"/>
      <c r="X101" s="12"/>
      <c r="Y101" s="12"/>
      <c r="Z101" s="12"/>
      <c r="AA101" s="12"/>
      <c r="AB101" s="12"/>
      <c r="AC101" s="12"/>
      <c r="AD101" s="12"/>
    </row>
    <row r="102" spans="7:30" s="1" customFormat="1">
      <c r="G102" s="12"/>
      <c r="H102" s="12"/>
      <c r="I102" s="12"/>
      <c r="O102" s="12"/>
      <c r="P102" s="12"/>
      <c r="Q102" s="12"/>
      <c r="R102" s="12"/>
      <c r="S102" s="12"/>
      <c r="T102" s="12"/>
      <c r="U102" s="12"/>
      <c r="V102" s="12"/>
      <c r="W102" s="12"/>
      <c r="X102" s="12"/>
      <c r="Y102" s="12"/>
      <c r="Z102" s="12"/>
      <c r="AA102" s="12"/>
      <c r="AB102" s="12"/>
      <c r="AC102" s="12"/>
      <c r="AD102" s="12"/>
    </row>
    <row r="103" spans="7:30" s="1" customFormat="1">
      <c r="G103" s="12"/>
      <c r="H103" s="12"/>
      <c r="I103" s="12"/>
      <c r="O103" s="12"/>
      <c r="P103" s="12"/>
      <c r="Q103" s="12"/>
      <c r="R103" s="12"/>
      <c r="S103" s="12"/>
      <c r="T103" s="12"/>
      <c r="U103" s="12"/>
      <c r="V103" s="12"/>
      <c r="W103" s="12"/>
      <c r="X103" s="12"/>
      <c r="Y103" s="12"/>
      <c r="Z103" s="12"/>
      <c r="AA103" s="12"/>
      <c r="AB103" s="12"/>
      <c r="AC103" s="12"/>
      <c r="AD103" s="12"/>
    </row>
    <row r="104" spans="7:30" s="1" customFormat="1">
      <c r="G104" s="12"/>
      <c r="H104" s="12"/>
      <c r="I104" s="12"/>
      <c r="O104" s="12"/>
      <c r="P104" s="12"/>
      <c r="Q104" s="12"/>
      <c r="R104" s="12"/>
      <c r="S104" s="12"/>
      <c r="T104" s="12"/>
      <c r="U104" s="12"/>
      <c r="V104" s="12"/>
      <c r="W104" s="12"/>
      <c r="X104" s="12"/>
      <c r="Y104" s="12"/>
      <c r="Z104" s="12"/>
      <c r="AA104" s="12"/>
      <c r="AB104" s="12"/>
      <c r="AC104" s="12"/>
      <c r="AD104" s="12"/>
    </row>
    <row r="105" spans="7:30" s="1" customFormat="1">
      <c r="G105" s="12"/>
      <c r="H105" s="12"/>
      <c r="I105" s="12"/>
      <c r="O105" s="12"/>
      <c r="P105" s="12"/>
      <c r="Q105" s="12"/>
      <c r="R105" s="12"/>
      <c r="S105" s="12"/>
      <c r="T105" s="12"/>
      <c r="U105" s="12"/>
      <c r="V105" s="12"/>
      <c r="W105" s="12"/>
      <c r="X105" s="12"/>
      <c r="Y105" s="12"/>
      <c r="Z105" s="12"/>
      <c r="AA105" s="12"/>
      <c r="AB105" s="12"/>
      <c r="AC105" s="12"/>
      <c r="AD105" s="12"/>
    </row>
    <row r="106" spans="7:30" s="1" customFormat="1">
      <c r="G106" s="12"/>
      <c r="H106" s="12"/>
      <c r="I106" s="12"/>
      <c r="O106" s="12"/>
      <c r="P106" s="12"/>
      <c r="Q106" s="12"/>
      <c r="R106" s="12"/>
      <c r="S106" s="12"/>
      <c r="T106" s="12"/>
      <c r="U106" s="12"/>
      <c r="V106" s="12"/>
      <c r="W106" s="12"/>
      <c r="X106" s="12"/>
      <c r="Y106" s="12"/>
      <c r="Z106" s="12"/>
      <c r="AA106" s="12"/>
      <c r="AB106" s="12"/>
      <c r="AC106" s="12"/>
      <c r="AD106" s="12"/>
    </row>
    <row r="107" spans="7:30" s="1" customFormat="1">
      <c r="G107" s="12"/>
      <c r="H107" s="12"/>
      <c r="I107" s="12"/>
      <c r="O107" s="12"/>
      <c r="P107" s="12"/>
      <c r="Q107" s="12"/>
      <c r="R107" s="12"/>
      <c r="S107" s="12"/>
      <c r="T107" s="12"/>
      <c r="U107" s="12"/>
      <c r="V107" s="12"/>
      <c r="W107" s="12"/>
      <c r="X107" s="12"/>
      <c r="Y107" s="12"/>
      <c r="Z107" s="12"/>
      <c r="AA107" s="12"/>
      <c r="AB107" s="12"/>
      <c r="AC107" s="12"/>
      <c r="AD107" s="12"/>
    </row>
    <row r="108" spans="7:30" s="1" customFormat="1">
      <c r="G108" s="12"/>
      <c r="H108" s="12"/>
      <c r="I108" s="12"/>
      <c r="O108" s="12"/>
      <c r="P108" s="12"/>
      <c r="Q108" s="12"/>
      <c r="R108" s="12"/>
      <c r="S108" s="12"/>
      <c r="T108" s="12"/>
      <c r="U108" s="12"/>
      <c r="V108" s="12"/>
      <c r="W108" s="12"/>
      <c r="X108" s="12"/>
      <c r="Y108" s="12"/>
      <c r="Z108" s="12"/>
      <c r="AA108" s="12"/>
      <c r="AB108" s="12"/>
      <c r="AC108" s="12"/>
      <c r="AD108" s="12"/>
    </row>
    <row r="109" spans="7:30" s="1" customFormat="1">
      <c r="G109" s="12"/>
      <c r="H109" s="12"/>
      <c r="I109" s="12"/>
      <c r="O109" s="12"/>
      <c r="P109" s="12"/>
      <c r="Q109" s="12"/>
      <c r="R109" s="12"/>
      <c r="S109" s="12"/>
      <c r="T109" s="12"/>
      <c r="U109" s="12"/>
      <c r="V109" s="12"/>
      <c r="W109" s="12"/>
      <c r="X109" s="12"/>
      <c r="Y109" s="12"/>
      <c r="Z109" s="12"/>
      <c r="AA109" s="12"/>
      <c r="AB109" s="12"/>
      <c r="AC109" s="12"/>
      <c r="AD109" s="12"/>
    </row>
    <row r="110" spans="7:30" s="1" customFormat="1">
      <c r="G110" s="12"/>
      <c r="H110" s="12"/>
      <c r="I110" s="12"/>
      <c r="O110" s="12"/>
      <c r="P110" s="12"/>
      <c r="Q110" s="12"/>
      <c r="R110" s="12"/>
      <c r="S110" s="12"/>
      <c r="T110" s="12"/>
      <c r="U110" s="12"/>
      <c r="V110" s="12"/>
      <c r="W110" s="12"/>
      <c r="X110" s="12"/>
      <c r="Y110" s="12"/>
      <c r="Z110" s="12"/>
      <c r="AA110" s="12"/>
      <c r="AB110" s="12"/>
      <c r="AC110" s="12"/>
      <c r="AD110" s="12"/>
    </row>
    <row r="111" spans="7:30" s="1" customFormat="1">
      <c r="G111" s="12"/>
      <c r="H111" s="12"/>
      <c r="I111" s="12"/>
      <c r="O111" s="12"/>
      <c r="P111" s="12"/>
      <c r="Q111" s="12"/>
      <c r="R111" s="12"/>
      <c r="S111" s="12"/>
      <c r="T111" s="12"/>
      <c r="U111" s="12"/>
      <c r="V111" s="12"/>
      <c r="W111" s="12"/>
      <c r="X111" s="12"/>
      <c r="Y111" s="12"/>
      <c r="Z111" s="12"/>
      <c r="AA111" s="12"/>
      <c r="AB111" s="12"/>
      <c r="AC111" s="12"/>
      <c r="AD111" s="12"/>
    </row>
    <row r="112" spans="7:30" s="1" customFormat="1">
      <c r="G112" s="12"/>
      <c r="H112" s="12"/>
      <c r="I112" s="12"/>
      <c r="O112" s="12"/>
      <c r="P112" s="12"/>
      <c r="Q112" s="12"/>
      <c r="R112" s="12"/>
      <c r="S112" s="12"/>
      <c r="T112" s="12"/>
      <c r="U112" s="12"/>
      <c r="V112" s="12"/>
      <c r="W112" s="12"/>
      <c r="X112" s="12"/>
      <c r="Y112" s="12"/>
      <c r="Z112" s="12"/>
      <c r="AA112" s="12"/>
      <c r="AB112" s="12"/>
      <c r="AC112" s="12"/>
      <c r="AD112" s="12"/>
    </row>
    <row r="113" spans="7:30" s="1" customFormat="1">
      <c r="G113" s="12"/>
      <c r="H113" s="12"/>
      <c r="I113" s="12"/>
      <c r="O113" s="12"/>
      <c r="P113" s="12"/>
      <c r="Q113" s="12"/>
      <c r="R113" s="12"/>
      <c r="S113" s="12"/>
      <c r="T113" s="12"/>
      <c r="U113" s="12"/>
      <c r="V113" s="12"/>
      <c r="W113" s="12"/>
      <c r="X113" s="12"/>
      <c r="Y113" s="12"/>
      <c r="Z113" s="12"/>
      <c r="AA113" s="12"/>
      <c r="AB113" s="12"/>
      <c r="AC113" s="12"/>
      <c r="AD113" s="12"/>
    </row>
    <row r="114" spans="7:30" s="1" customFormat="1">
      <c r="G114" s="12"/>
      <c r="H114" s="12"/>
      <c r="I114" s="12"/>
      <c r="O114" s="12"/>
      <c r="P114" s="12"/>
      <c r="Q114" s="12"/>
      <c r="R114" s="12"/>
      <c r="S114" s="12"/>
      <c r="T114" s="12"/>
      <c r="U114" s="12"/>
      <c r="V114" s="12"/>
      <c r="W114" s="12"/>
      <c r="X114" s="12"/>
      <c r="Y114" s="12"/>
      <c r="Z114" s="12"/>
      <c r="AA114" s="12"/>
      <c r="AB114" s="12"/>
      <c r="AC114" s="12"/>
      <c r="AD114" s="12"/>
    </row>
    <row r="115" spans="7:30" s="1" customFormat="1">
      <c r="G115" s="12"/>
      <c r="H115" s="12"/>
      <c r="I115" s="12"/>
      <c r="O115" s="12"/>
      <c r="P115" s="12"/>
      <c r="Q115" s="12"/>
      <c r="R115" s="12"/>
      <c r="S115" s="12"/>
      <c r="T115" s="12"/>
      <c r="U115" s="12"/>
      <c r="V115" s="12"/>
      <c r="W115" s="12"/>
      <c r="X115" s="12"/>
      <c r="Y115" s="12"/>
      <c r="Z115" s="12"/>
      <c r="AA115" s="12"/>
      <c r="AB115" s="12"/>
      <c r="AC115" s="12"/>
      <c r="AD115" s="12"/>
    </row>
    <row r="116" spans="7:30" s="1" customFormat="1">
      <c r="G116" s="12"/>
      <c r="H116" s="12"/>
      <c r="I116" s="12"/>
      <c r="O116" s="12"/>
      <c r="P116" s="12"/>
      <c r="Q116" s="12"/>
      <c r="R116" s="12"/>
      <c r="S116" s="12"/>
      <c r="T116" s="12"/>
      <c r="U116" s="12"/>
      <c r="V116" s="12"/>
      <c r="W116" s="12"/>
      <c r="X116" s="12"/>
      <c r="Y116" s="12"/>
      <c r="Z116" s="12"/>
      <c r="AA116" s="12"/>
      <c r="AB116" s="12"/>
      <c r="AC116" s="12"/>
      <c r="AD116" s="12"/>
    </row>
    <row r="117" spans="7:30" s="1" customFormat="1">
      <c r="G117" s="12"/>
      <c r="H117" s="12"/>
      <c r="I117" s="12"/>
      <c r="O117" s="12"/>
      <c r="P117" s="12"/>
      <c r="Q117" s="12"/>
      <c r="R117" s="12"/>
      <c r="S117" s="12"/>
      <c r="T117" s="12"/>
      <c r="U117" s="12"/>
      <c r="V117" s="12"/>
      <c r="W117" s="12"/>
      <c r="X117" s="12"/>
      <c r="Y117" s="12"/>
      <c r="Z117" s="12"/>
      <c r="AA117" s="12"/>
      <c r="AB117" s="12"/>
      <c r="AC117" s="12"/>
      <c r="AD117" s="12"/>
    </row>
    <row r="118" spans="7:30" s="1" customFormat="1">
      <c r="G118" s="12"/>
      <c r="H118" s="12"/>
      <c r="I118" s="12"/>
      <c r="O118" s="12"/>
      <c r="P118" s="12"/>
      <c r="Q118" s="12"/>
      <c r="R118" s="12"/>
      <c r="S118" s="12"/>
      <c r="T118" s="12"/>
      <c r="U118" s="12"/>
      <c r="V118" s="12"/>
      <c r="W118" s="12"/>
      <c r="X118" s="12"/>
      <c r="Y118" s="12"/>
      <c r="Z118" s="12"/>
      <c r="AA118" s="12"/>
      <c r="AB118" s="12"/>
      <c r="AC118" s="12"/>
      <c r="AD118" s="12"/>
    </row>
    <row r="119" spans="7:30" s="1" customFormat="1">
      <c r="G119" s="12"/>
      <c r="H119" s="12"/>
      <c r="I119" s="12"/>
      <c r="O119" s="12"/>
      <c r="P119" s="12"/>
      <c r="Q119" s="12"/>
      <c r="R119" s="12"/>
      <c r="S119" s="12"/>
      <c r="T119" s="12"/>
      <c r="U119" s="12"/>
      <c r="V119" s="12"/>
      <c r="W119" s="12"/>
      <c r="X119" s="12"/>
      <c r="Y119" s="12"/>
      <c r="Z119" s="12"/>
      <c r="AA119" s="12"/>
      <c r="AB119" s="12"/>
      <c r="AC119" s="12"/>
      <c r="AD119" s="12"/>
    </row>
    <row r="120" spans="7:30" s="1" customFormat="1">
      <c r="G120" s="12"/>
      <c r="H120" s="12"/>
      <c r="I120" s="12"/>
      <c r="O120" s="12"/>
      <c r="P120" s="12"/>
      <c r="Q120" s="12"/>
      <c r="R120" s="12"/>
      <c r="S120" s="12"/>
      <c r="T120" s="12"/>
      <c r="U120" s="12"/>
      <c r="V120" s="12"/>
      <c r="W120" s="12"/>
      <c r="X120" s="12"/>
      <c r="Y120" s="12"/>
      <c r="Z120" s="12"/>
      <c r="AA120" s="12"/>
      <c r="AB120" s="12"/>
      <c r="AC120" s="12"/>
      <c r="AD120" s="12"/>
    </row>
    <row r="121" spans="7:30" s="1" customFormat="1">
      <c r="G121" s="12"/>
      <c r="H121" s="12"/>
      <c r="I121" s="12"/>
      <c r="O121" s="12"/>
      <c r="P121" s="12"/>
      <c r="Q121" s="12"/>
      <c r="R121" s="12"/>
      <c r="S121" s="12"/>
      <c r="T121" s="12"/>
      <c r="U121" s="12"/>
      <c r="V121" s="12"/>
      <c r="W121" s="12"/>
      <c r="X121" s="12"/>
      <c r="Y121" s="12"/>
      <c r="Z121" s="12"/>
      <c r="AA121" s="12"/>
      <c r="AB121" s="12"/>
      <c r="AC121" s="12"/>
      <c r="AD121" s="12"/>
    </row>
    <row r="122" spans="7:30" s="1" customFormat="1">
      <c r="G122" s="12"/>
      <c r="H122" s="12"/>
      <c r="I122" s="12"/>
      <c r="O122" s="12"/>
      <c r="P122" s="12"/>
      <c r="Q122" s="12"/>
      <c r="R122" s="12"/>
      <c r="S122" s="12"/>
      <c r="T122" s="12"/>
      <c r="U122" s="12"/>
      <c r="V122" s="12"/>
      <c r="W122" s="12"/>
      <c r="X122" s="12"/>
      <c r="Y122" s="12"/>
      <c r="Z122" s="12"/>
      <c r="AA122" s="12"/>
      <c r="AB122" s="12"/>
      <c r="AC122" s="12"/>
      <c r="AD122" s="12"/>
    </row>
    <row r="123" spans="7:30" s="1" customFormat="1">
      <c r="G123" s="12"/>
      <c r="H123" s="12"/>
      <c r="I123" s="12"/>
      <c r="O123" s="12"/>
      <c r="P123" s="12"/>
      <c r="Q123" s="12"/>
      <c r="R123" s="12"/>
      <c r="S123" s="12"/>
      <c r="T123" s="12"/>
      <c r="U123" s="12"/>
      <c r="V123" s="12"/>
      <c r="W123" s="12"/>
      <c r="X123" s="12"/>
      <c r="Y123" s="12"/>
      <c r="Z123" s="12"/>
      <c r="AA123" s="12"/>
      <c r="AB123" s="12"/>
      <c r="AC123" s="12"/>
      <c r="AD123" s="12"/>
    </row>
    <row r="124" spans="7:30" s="1" customFormat="1">
      <c r="G124" s="12"/>
      <c r="H124" s="12"/>
      <c r="I124" s="12"/>
      <c r="O124" s="12"/>
      <c r="P124" s="12"/>
      <c r="Q124" s="12"/>
      <c r="R124" s="12"/>
      <c r="S124" s="12"/>
      <c r="T124" s="12"/>
      <c r="U124" s="12"/>
      <c r="V124" s="12"/>
      <c r="W124" s="12"/>
      <c r="X124" s="12"/>
      <c r="Y124" s="12"/>
      <c r="Z124" s="12"/>
      <c r="AA124" s="12"/>
      <c r="AB124" s="12"/>
      <c r="AC124" s="12"/>
      <c r="AD124" s="12"/>
    </row>
    <row r="125" spans="7:30" s="1" customFormat="1">
      <c r="G125" s="12"/>
      <c r="H125" s="12"/>
      <c r="I125" s="12"/>
      <c r="O125" s="12"/>
      <c r="P125" s="12"/>
      <c r="Q125" s="12"/>
      <c r="R125" s="12"/>
      <c r="S125" s="12"/>
      <c r="T125" s="12"/>
      <c r="U125" s="12"/>
      <c r="V125" s="12"/>
      <c r="W125" s="12"/>
      <c r="X125" s="12"/>
      <c r="Y125" s="12"/>
      <c r="Z125" s="12"/>
      <c r="AA125" s="12"/>
      <c r="AB125" s="12"/>
      <c r="AC125" s="12"/>
      <c r="AD125" s="12"/>
    </row>
    <row r="126" spans="7:30" s="1" customFormat="1">
      <c r="G126" s="12"/>
      <c r="H126" s="12"/>
      <c r="I126" s="12"/>
      <c r="O126" s="12"/>
      <c r="P126" s="12"/>
      <c r="Q126" s="12"/>
      <c r="R126" s="12"/>
      <c r="S126" s="12"/>
      <c r="T126" s="12"/>
      <c r="U126" s="12"/>
      <c r="V126" s="12"/>
      <c r="W126" s="12"/>
      <c r="X126" s="12"/>
      <c r="Y126" s="12"/>
      <c r="Z126" s="12"/>
      <c r="AA126" s="12"/>
      <c r="AB126" s="12"/>
      <c r="AC126" s="12"/>
      <c r="AD126" s="12"/>
    </row>
    <row r="127" spans="7:30" s="1" customFormat="1">
      <c r="G127" s="12"/>
      <c r="H127" s="12"/>
      <c r="I127" s="12"/>
      <c r="O127" s="12"/>
      <c r="P127" s="12"/>
      <c r="Q127" s="12"/>
      <c r="R127" s="12"/>
      <c r="S127" s="12"/>
      <c r="T127" s="12"/>
      <c r="U127" s="12"/>
      <c r="V127" s="12"/>
      <c r="W127" s="12"/>
      <c r="X127" s="12"/>
      <c r="Y127" s="12"/>
      <c r="Z127" s="12"/>
      <c r="AA127" s="12"/>
      <c r="AB127" s="12"/>
      <c r="AC127" s="12"/>
      <c r="AD127" s="12"/>
    </row>
    <row r="128" spans="7:30" s="1" customFormat="1">
      <c r="G128" s="12"/>
      <c r="H128" s="12"/>
      <c r="I128" s="12"/>
      <c r="O128" s="12"/>
      <c r="P128" s="12"/>
      <c r="Q128" s="12"/>
      <c r="R128" s="12"/>
      <c r="S128" s="12"/>
      <c r="T128" s="12"/>
      <c r="U128" s="12"/>
      <c r="V128" s="12"/>
      <c r="W128" s="12"/>
      <c r="X128" s="12"/>
      <c r="Y128" s="12"/>
      <c r="Z128" s="12"/>
      <c r="AA128" s="12"/>
      <c r="AB128" s="12"/>
      <c r="AC128" s="12"/>
      <c r="AD128" s="12"/>
    </row>
    <row r="129" spans="7:30" s="1" customFormat="1">
      <c r="G129" s="12"/>
      <c r="H129" s="12"/>
      <c r="I129" s="12"/>
      <c r="O129" s="12"/>
      <c r="P129" s="12"/>
      <c r="Q129" s="12"/>
      <c r="R129" s="12"/>
      <c r="S129" s="12"/>
      <c r="T129" s="12"/>
      <c r="U129" s="12"/>
      <c r="V129" s="12"/>
      <c r="W129" s="12"/>
      <c r="X129" s="12"/>
      <c r="Y129" s="12"/>
      <c r="Z129" s="12"/>
      <c r="AA129" s="12"/>
      <c r="AB129" s="12"/>
      <c r="AC129" s="12"/>
      <c r="AD129" s="12"/>
    </row>
    <row r="130" spans="7:30" s="1" customFormat="1">
      <c r="G130" s="12"/>
      <c r="H130" s="12"/>
      <c r="I130" s="12"/>
      <c r="O130" s="12"/>
      <c r="P130" s="12"/>
      <c r="Q130" s="12"/>
      <c r="R130" s="12"/>
      <c r="S130" s="12"/>
      <c r="T130" s="12"/>
      <c r="U130" s="12"/>
      <c r="V130" s="12"/>
      <c r="W130" s="12"/>
      <c r="X130" s="12"/>
      <c r="Y130" s="12"/>
      <c r="Z130" s="12"/>
      <c r="AA130" s="12"/>
      <c r="AB130" s="12"/>
      <c r="AC130" s="12"/>
      <c r="AD130" s="12"/>
    </row>
    <row r="131" spans="7:30" s="1" customFormat="1">
      <c r="G131" s="12"/>
      <c r="H131" s="12"/>
      <c r="I131" s="12"/>
      <c r="O131" s="12"/>
      <c r="P131" s="12"/>
      <c r="Q131" s="12"/>
      <c r="R131" s="12"/>
      <c r="S131" s="12"/>
      <c r="T131" s="12"/>
      <c r="U131" s="12"/>
      <c r="V131" s="12"/>
      <c r="W131" s="12"/>
      <c r="X131" s="12"/>
      <c r="Y131" s="12"/>
      <c r="Z131" s="12"/>
      <c r="AA131" s="12"/>
      <c r="AB131" s="12"/>
      <c r="AC131" s="12"/>
      <c r="AD131" s="12"/>
    </row>
    <row r="132" spans="7:30" s="1" customFormat="1">
      <c r="G132" s="12"/>
      <c r="H132" s="12"/>
      <c r="I132" s="12"/>
      <c r="O132" s="12"/>
      <c r="P132" s="12"/>
      <c r="Q132" s="12"/>
      <c r="R132" s="12"/>
      <c r="S132" s="12"/>
      <c r="T132" s="12"/>
      <c r="U132" s="12"/>
      <c r="V132" s="12"/>
      <c r="W132" s="12"/>
      <c r="X132" s="12"/>
      <c r="Y132" s="12"/>
      <c r="Z132" s="12"/>
      <c r="AA132" s="12"/>
      <c r="AB132" s="12"/>
      <c r="AC132" s="12"/>
      <c r="AD132" s="12"/>
    </row>
    <row r="133" spans="7:30" s="1" customFormat="1">
      <c r="G133" s="12"/>
      <c r="H133" s="12"/>
      <c r="I133" s="12"/>
      <c r="O133" s="12"/>
      <c r="P133" s="12"/>
      <c r="Q133" s="12"/>
      <c r="R133" s="12"/>
      <c r="S133" s="12"/>
      <c r="T133" s="12"/>
      <c r="U133" s="12"/>
      <c r="V133" s="12"/>
      <c r="W133" s="12"/>
      <c r="X133" s="12"/>
      <c r="Y133" s="12"/>
      <c r="Z133" s="12"/>
      <c r="AA133" s="12"/>
      <c r="AB133" s="12"/>
      <c r="AC133" s="12"/>
      <c r="AD133" s="12"/>
    </row>
    <row r="134" spans="7:30" s="1" customFormat="1">
      <c r="G134" s="12"/>
      <c r="H134" s="12"/>
      <c r="I134" s="12"/>
      <c r="O134" s="12"/>
      <c r="P134" s="12"/>
      <c r="Q134" s="12"/>
      <c r="R134" s="12"/>
      <c r="S134" s="12"/>
      <c r="T134" s="12"/>
      <c r="U134" s="12"/>
      <c r="V134" s="12"/>
      <c r="W134" s="12"/>
      <c r="X134" s="12"/>
      <c r="Y134" s="12"/>
      <c r="Z134" s="12"/>
      <c r="AA134" s="12"/>
      <c r="AB134" s="12"/>
      <c r="AC134" s="12"/>
      <c r="AD134" s="12"/>
    </row>
    <row r="135" spans="7:30" s="1" customFormat="1">
      <c r="G135" s="12"/>
      <c r="H135" s="12"/>
      <c r="I135" s="12"/>
      <c r="O135" s="12"/>
      <c r="P135" s="12"/>
      <c r="Q135" s="12"/>
      <c r="R135" s="12"/>
      <c r="S135" s="12"/>
      <c r="T135" s="12"/>
      <c r="U135" s="12"/>
      <c r="V135" s="12"/>
      <c r="W135" s="12"/>
      <c r="X135" s="12"/>
      <c r="Y135" s="12"/>
      <c r="Z135" s="12"/>
      <c r="AA135" s="12"/>
      <c r="AB135" s="12"/>
      <c r="AC135" s="12"/>
      <c r="AD135" s="12"/>
    </row>
    <row r="136" spans="7:30" s="1" customFormat="1">
      <c r="G136" s="12"/>
      <c r="H136" s="12"/>
      <c r="I136" s="12"/>
      <c r="O136" s="12"/>
      <c r="P136" s="12"/>
      <c r="Q136" s="12"/>
      <c r="R136" s="12"/>
      <c r="S136" s="12"/>
      <c r="T136" s="12"/>
      <c r="U136" s="12"/>
      <c r="V136" s="12"/>
      <c r="W136" s="12"/>
      <c r="X136" s="12"/>
      <c r="Y136" s="12"/>
      <c r="Z136" s="12"/>
      <c r="AA136" s="12"/>
      <c r="AB136" s="12"/>
      <c r="AC136" s="12"/>
      <c r="AD136" s="12"/>
    </row>
    <row r="137" spans="7:30" s="1" customFormat="1">
      <c r="G137" s="12"/>
      <c r="H137" s="12"/>
      <c r="I137" s="12"/>
      <c r="O137" s="12"/>
      <c r="P137" s="12"/>
      <c r="Q137" s="12"/>
      <c r="R137" s="12"/>
      <c r="S137" s="12"/>
      <c r="T137" s="12"/>
      <c r="U137" s="12"/>
      <c r="V137" s="12"/>
      <c r="W137" s="12"/>
      <c r="X137" s="12"/>
      <c r="Y137" s="12"/>
      <c r="Z137" s="12"/>
      <c r="AA137" s="12"/>
      <c r="AB137" s="12"/>
      <c r="AC137" s="12"/>
      <c r="AD137" s="12"/>
    </row>
    <row r="138" spans="7:30" s="1" customFormat="1">
      <c r="G138" s="12"/>
      <c r="H138" s="12"/>
      <c r="I138" s="12"/>
      <c r="O138" s="12"/>
      <c r="P138" s="12"/>
      <c r="Q138" s="12"/>
      <c r="R138" s="12"/>
      <c r="S138" s="12"/>
      <c r="T138" s="12"/>
      <c r="U138" s="12"/>
      <c r="V138" s="12"/>
      <c r="W138" s="12"/>
      <c r="X138" s="12"/>
      <c r="Y138" s="12"/>
      <c r="Z138" s="12"/>
      <c r="AA138" s="12"/>
      <c r="AB138" s="12"/>
      <c r="AC138" s="12"/>
      <c r="AD138" s="12"/>
    </row>
    <row r="139" spans="7:30" s="1" customFormat="1">
      <c r="G139" s="12"/>
      <c r="H139" s="12"/>
      <c r="I139" s="12"/>
      <c r="O139" s="12"/>
      <c r="P139" s="12"/>
      <c r="Q139" s="12"/>
      <c r="R139" s="12"/>
      <c r="S139" s="12"/>
      <c r="T139" s="12"/>
      <c r="U139" s="12"/>
      <c r="V139" s="12"/>
      <c r="W139" s="12"/>
      <c r="X139" s="12"/>
      <c r="Y139" s="12"/>
      <c r="Z139" s="12"/>
      <c r="AA139" s="12"/>
      <c r="AB139" s="12"/>
      <c r="AC139" s="12"/>
      <c r="AD139" s="12"/>
    </row>
    <row r="140" spans="7:30" s="1" customFormat="1">
      <c r="G140" s="12"/>
      <c r="H140" s="12"/>
      <c r="I140" s="12"/>
      <c r="O140" s="12"/>
      <c r="P140" s="12"/>
      <c r="Q140" s="12"/>
      <c r="R140" s="12"/>
      <c r="S140" s="12"/>
      <c r="T140" s="12"/>
      <c r="U140" s="12"/>
      <c r="V140" s="12"/>
      <c r="W140" s="12"/>
      <c r="X140" s="12"/>
      <c r="Y140" s="12"/>
      <c r="Z140" s="12"/>
      <c r="AA140" s="12"/>
      <c r="AB140" s="12"/>
      <c r="AC140" s="12"/>
      <c r="AD140" s="12"/>
    </row>
    <row r="141" spans="7:30" s="1" customFormat="1">
      <c r="G141" s="12"/>
      <c r="H141" s="12"/>
      <c r="I141" s="12"/>
      <c r="O141" s="12"/>
      <c r="P141" s="12"/>
      <c r="Q141" s="12"/>
      <c r="R141" s="12"/>
      <c r="S141" s="12"/>
      <c r="T141" s="12"/>
      <c r="U141" s="12"/>
      <c r="V141" s="12"/>
      <c r="W141" s="12"/>
      <c r="X141" s="12"/>
      <c r="Y141" s="12"/>
      <c r="Z141" s="12"/>
      <c r="AA141" s="12"/>
      <c r="AB141" s="12"/>
      <c r="AC141" s="12"/>
      <c r="AD141" s="12"/>
    </row>
    <row r="142" spans="7:30" s="1" customFormat="1">
      <c r="G142" s="12"/>
      <c r="H142" s="12"/>
      <c r="I142" s="12"/>
      <c r="O142" s="12"/>
      <c r="P142" s="12"/>
      <c r="Q142" s="12"/>
      <c r="R142" s="12"/>
      <c r="S142" s="12"/>
      <c r="T142" s="12"/>
      <c r="U142" s="12"/>
      <c r="V142" s="12"/>
      <c r="W142" s="12"/>
      <c r="X142" s="12"/>
      <c r="Y142" s="12"/>
      <c r="Z142" s="12"/>
      <c r="AA142" s="12"/>
      <c r="AB142" s="12"/>
      <c r="AC142" s="12"/>
      <c r="AD142" s="12"/>
    </row>
    <row r="143" spans="7:30" s="1" customFormat="1">
      <c r="G143" s="12"/>
      <c r="H143" s="12"/>
      <c r="I143" s="12"/>
      <c r="O143" s="12"/>
      <c r="P143" s="12"/>
      <c r="Q143" s="12"/>
      <c r="R143" s="12"/>
      <c r="S143" s="12"/>
      <c r="T143" s="12"/>
      <c r="U143" s="12"/>
      <c r="V143" s="12"/>
      <c r="W143" s="12"/>
      <c r="X143" s="12"/>
      <c r="Y143" s="12"/>
      <c r="Z143" s="12"/>
      <c r="AA143" s="12"/>
      <c r="AB143" s="12"/>
      <c r="AC143" s="12"/>
      <c r="AD143" s="12"/>
    </row>
    <row r="144" spans="7:30" s="1" customFormat="1">
      <c r="G144" s="12"/>
      <c r="H144" s="12"/>
      <c r="I144" s="12"/>
      <c r="O144" s="12"/>
      <c r="P144" s="12"/>
      <c r="Q144" s="12"/>
      <c r="R144" s="12"/>
      <c r="S144" s="12"/>
      <c r="T144" s="12"/>
      <c r="U144" s="12"/>
      <c r="V144" s="12"/>
      <c r="W144" s="12"/>
      <c r="X144" s="12"/>
      <c r="Y144" s="12"/>
      <c r="Z144" s="12"/>
      <c r="AA144" s="12"/>
      <c r="AB144" s="12"/>
      <c r="AC144" s="12"/>
      <c r="AD144" s="12"/>
    </row>
    <row r="145" spans="7:30" s="1" customFormat="1">
      <c r="G145" s="12"/>
      <c r="H145" s="12"/>
      <c r="I145" s="12"/>
      <c r="O145" s="12"/>
      <c r="P145" s="12"/>
      <c r="Q145" s="12"/>
      <c r="R145" s="12"/>
      <c r="S145" s="12"/>
      <c r="T145" s="12"/>
      <c r="U145" s="12"/>
      <c r="V145" s="12"/>
      <c r="W145" s="12"/>
      <c r="X145" s="12"/>
      <c r="Y145" s="12"/>
      <c r="Z145" s="12"/>
      <c r="AA145" s="12"/>
      <c r="AB145" s="12"/>
      <c r="AC145" s="12"/>
      <c r="AD145" s="12"/>
    </row>
    <row r="146" spans="7:30" s="1" customFormat="1">
      <c r="G146" s="12"/>
      <c r="H146" s="12"/>
      <c r="I146" s="12"/>
      <c r="O146" s="12"/>
      <c r="P146" s="12"/>
      <c r="Q146" s="12"/>
      <c r="R146" s="12"/>
      <c r="S146" s="12"/>
      <c r="T146" s="12"/>
      <c r="U146" s="12"/>
      <c r="V146" s="12"/>
      <c r="W146" s="12"/>
      <c r="X146" s="12"/>
      <c r="Y146" s="12"/>
      <c r="Z146" s="12"/>
      <c r="AA146" s="12"/>
      <c r="AB146" s="12"/>
      <c r="AC146" s="12"/>
      <c r="AD146" s="12"/>
    </row>
    <row r="147" spans="7:30" s="1" customFormat="1">
      <c r="G147" s="12"/>
      <c r="H147" s="12"/>
      <c r="I147" s="12"/>
      <c r="O147" s="12"/>
      <c r="P147" s="12"/>
      <c r="Q147" s="12"/>
      <c r="R147" s="12"/>
      <c r="S147" s="12"/>
      <c r="T147" s="12"/>
      <c r="U147" s="12"/>
      <c r="V147" s="12"/>
      <c r="W147" s="12"/>
      <c r="X147" s="12"/>
      <c r="Y147" s="12"/>
      <c r="Z147" s="12"/>
      <c r="AA147" s="12"/>
      <c r="AB147" s="12"/>
      <c r="AC147" s="12"/>
      <c r="AD147" s="12"/>
    </row>
    <row r="148" spans="7:30" s="1" customFormat="1">
      <c r="G148" s="12"/>
      <c r="H148" s="12"/>
      <c r="I148" s="12"/>
      <c r="O148" s="12"/>
      <c r="P148" s="12"/>
      <c r="Q148" s="12"/>
      <c r="R148" s="12"/>
      <c r="S148" s="12"/>
      <c r="T148" s="12"/>
      <c r="U148" s="12"/>
      <c r="V148" s="12"/>
      <c r="W148" s="12"/>
      <c r="X148" s="12"/>
      <c r="Y148" s="12"/>
      <c r="Z148" s="12"/>
      <c r="AA148" s="12"/>
      <c r="AB148" s="12"/>
      <c r="AC148" s="12"/>
      <c r="AD148" s="12"/>
    </row>
    <row r="149" spans="7:30" s="1" customFormat="1">
      <c r="G149" s="12"/>
      <c r="H149" s="12"/>
      <c r="I149" s="12"/>
      <c r="O149" s="12"/>
      <c r="P149" s="12"/>
      <c r="Q149" s="12"/>
      <c r="R149" s="12"/>
      <c r="S149" s="12"/>
      <c r="T149" s="12"/>
      <c r="U149" s="12"/>
      <c r="V149" s="12"/>
      <c r="W149" s="12"/>
      <c r="X149" s="12"/>
      <c r="Y149" s="12"/>
      <c r="Z149" s="12"/>
      <c r="AA149" s="12"/>
      <c r="AB149" s="12"/>
      <c r="AC149" s="12"/>
      <c r="AD149" s="12"/>
    </row>
    <row r="150" spans="7:30" s="1" customFormat="1">
      <c r="G150" s="12"/>
      <c r="H150" s="12"/>
      <c r="I150" s="12"/>
      <c r="O150" s="12"/>
      <c r="P150" s="12"/>
      <c r="Q150" s="12"/>
      <c r="R150" s="12"/>
      <c r="S150" s="12"/>
      <c r="T150" s="12"/>
      <c r="U150" s="12"/>
      <c r="V150" s="12"/>
      <c r="W150" s="12"/>
      <c r="X150" s="12"/>
      <c r="Y150" s="12"/>
      <c r="Z150" s="12"/>
      <c r="AA150" s="12"/>
      <c r="AB150" s="12"/>
      <c r="AC150" s="12"/>
      <c r="AD150" s="12"/>
    </row>
    <row r="151" spans="7:30" s="1" customFormat="1">
      <c r="G151" s="12"/>
      <c r="H151" s="12"/>
      <c r="I151" s="12"/>
      <c r="O151" s="12"/>
      <c r="P151" s="12"/>
      <c r="Q151" s="12"/>
      <c r="R151" s="12"/>
      <c r="S151" s="12"/>
      <c r="T151" s="12"/>
      <c r="U151" s="12"/>
      <c r="V151" s="12"/>
      <c r="W151" s="12"/>
      <c r="X151" s="12"/>
      <c r="Y151" s="12"/>
      <c r="Z151" s="12"/>
      <c r="AA151" s="12"/>
      <c r="AB151" s="12"/>
      <c r="AC151" s="12"/>
      <c r="AD151" s="12"/>
    </row>
    <row r="152" spans="7:30" s="1" customFormat="1">
      <c r="G152" s="12"/>
      <c r="H152" s="12"/>
      <c r="I152" s="12"/>
      <c r="O152" s="12"/>
      <c r="P152" s="12"/>
      <c r="Q152" s="12"/>
      <c r="R152" s="12"/>
      <c r="S152" s="12"/>
      <c r="T152" s="12"/>
      <c r="U152" s="12"/>
      <c r="V152" s="12"/>
      <c r="W152" s="12"/>
      <c r="X152" s="12"/>
      <c r="Y152" s="12"/>
      <c r="Z152" s="12"/>
      <c r="AA152" s="12"/>
      <c r="AB152" s="12"/>
      <c r="AC152" s="12"/>
      <c r="AD152" s="12"/>
    </row>
    <row r="153" spans="7:30" s="1" customFormat="1">
      <c r="G153" s="12"/>
      <c r="H153" s="12"/>
      <c r="I153" s="12"/>
      <c r="O153" s="12"/>
      <c r="P153" s="12"/>
      <c r="Q153" s="12"/>
      <c r="R153" s="12"/>
      <c r="S153" s="12"/>
      <c r="T153" s="12"/>
      <c r="U153" s="12"/>
      <c r="V153" s="12"/>
      <c r="W153" s="12"/>
      <c r="X153" s="12"/>
      <c r="Y153" s="12"/>
      <c r="Z153" s="12"/>
      <c r="AA153" s="12"/>
      <c r="AB153" s="12"/>
      <c r="AC153" s="12"/>
      <c r="AD153" s="12"/>
    </row>
    <row r="154" spans="7:30" s="1" customFormat="1">
      <c r="G154" s="12"/>
      <c r="H154" s="12"/>
      <c r="I154" s="12"/>
      <c r="O154" s="12"/>
      <c r="P154" s="12"/>
      <c r="Q154" s="12"/>
      <c r="R154" s="12"/>
      <c r="S154" s="12"/>
      <c r="T154" s="12"/>
      <c r="U154" s="12"/>
      <c r="V154" s="12"/>
      <c r="W154" s="12"/>
      <c r="X154" s="12"/>
      <c r="Y154" s="12"/>
      <c r="Z154" s="12"/>
      <c r="AA154" s="12"/>
      <c r="AB154" s="12"/>
      <c r="AC154" s="12"/>
      <c r="AD154" s="12"/>
    </row>
    <row r="155" spans="7:30" s="1" customFormat="1">
      <c r="G155" s="12"/>
      <c r="H155" s="12"/>
      <c r="I155" s="12"/>
      <c r="O155" s="12"/>
      <c r="P155" s="12"/>
      <c r="Q155" s="12"/>
      <c r="R155" s="12"/>
      <c r="S155" s="12"/>
      <c r="T155" s="12"/>
      <c r="U155" s="12"/>
      <c r="V155" s="12"/>
      <c r="W155" s="12"/>
      <c r="X155" s="12"/>
      <c r="Y155" s="12"/>
      <c r="Z155" s="12"/>
      <c r="AA155" s="12"/>
      <c r="AB155" s="12"/>
      <c r="AC155" s="12"/>
      <c r="AD155" s="12"/>
    </row>
    <row r="156" spans="7:30" s="1" customFormat="1">
      <c r="G156" s="12"/>
      <c r="H156" s="12"/>
      <c r="I156" s="12"/>
      <c r="O156" s="12"/>
      <c r="P156" s="12"/>
      <c r="Q156" s="12"/>
      <c r="R156" s="12"/>
      <c r="S156" s="12"/>
      <c r="T156" s="12"/>
      <c r="U156" s="12"/>
      <c r="V156" s="12"/>
      <c r="W156" s="12"/>
      <c r="X156" s="12"/>
      <c r="Y156" s="12"/>
      <c r="Z156" s="12"/>
      <c r="AA156" s="12"/>
      <c r="AB156" s="12"/>
      <c r="AC156" s="12"/>
      <c r="AD156" s="12"/>
    </row>
    <row r="157" spans="7:30" s="1" customFormat="1">
      <c r="G157" s="12"/>
      <c r="H157" s="12"/>
      <c r="I157" s="12"/>
      <c r="O157" s="12"/>
      <c r="P157" s="12"/>
      <c r="Q157" s="12"/>
      <c r="R157" s="12"/>
      <c r="S157" s="12"/>
      <c r="T157" s="12"/>
      <c r="U157" s="12"/>
      <c r="V157" s="12"/>
      <c r="W157" s="12"/>
      <c r="X157" s="12"/>
      <c r="Y157" s="12"/>
      <c r="Z157" s="12"/>
      <c r="AA157" s="12"/>
      <c r="AB157" s="12"/>
      <c r="AC157" s="12"/>
      <c r="AD157" s="12"/>
    </row>
    <row r="158" spans="7:30" s="1" customFormat="1">
      <c r="G158" s="12"/>
      <c r="H158" s="12"/>
      <c r="I158" s="12"/>
      <c r="O158" s="12"/>
      <c r="P158" s="12"/>
      <c r="Q158" s="12"/>
      <c r="R158" s="12"/>
      <c r="S158" s="12"/>
      <c r="T158" s="12"/>
      <c r="U158" s="12"/>
      <c r="V158" s="12"/>
      <c r="W158" s="12"/>
      <c r="X158" s="12"/>
      <c r="Y158" s="12"/>
      <c r="Z158" s="12"/>
      <c r="AA158" s="12"/>
      <c r="AB158" s="12"/>
      <c r="AC158" s="12"/>
      <c r="AD158" s="12"/>
    </row>
    <row r="159" spans="7:30" s="1" customFormat="1">
      <c r="G159" s="12"/>
      <c r="H159" s="12"/>
      <c r="I159" s="12"/>
      <c r="O159" s="12"/>
      <c r="P159" s="12"/>
      <c r="Q159" s="12"/>
      <c r="R159" s="12"/>
      <c r="S159" s="12"/>
      <c r="T159" s="12"/>
      <c r="U159" s="12"/>
      <c r="V159" s="12"/>
      <c r="W159" s="12"/>
      <c r="X159" s="12"/>
      <c r="Y159" s="12"/>
      <c r="Z159" s="12"/>
      <c r="AA159" s="12"/>
      <c r="AB159" s="12"/>
      <c r="AC159" s="12"/>
      <c r="AD159" s="12"/>
    </row>
    <row r="160" spans="7:30" s="1" customFormat="1">
      <c r="G160" s="12"/>
      <c r="H160" s="12"/>
      <c r="I160" s="12"/>
      <c r="O160" s="12"/>
      <c r="P160" s="12"/>
      <c r="Q160" s="12"/>
      <c r="R160" s="12"/>
      <c r="S160" s="12"/>
      <c r="T160" s="12"/>
      <c r="U160" s="12"/>
      <c r="V160" s="12"/>
      <c r="W160" s="12"/>
      <c r="X160" s="12"/>
      <c r="Y160" s="12"/>
      <c r="Z160" s="12"/>
      <c r="AA160" s="12"/>
      <c r="AB160" s="12"/>
      <c r="AC160" s="12"/>
      <c r="AD160" s="12"/>
    </row>
    <row r="161" spans="7:30" s="1" customFormat="1">
      <c r="G161" s="12"/>
      <c r="H161" s="12"/>
      <c r="I161" s="12"/>
      <c r="O161" s="12"/>
      <c r="P161" s="12"/>
      <c r="Q161" s="12"/>
      <c r="R161" s="12"/>
      <c r="S161" s="12"/>
      <c r="T161" s="12"/>
      <c r="U161" s="12"/>
      <c r="V161" s="12"/>
      <c r="W161" s="12"/>
      <c r="X161" s="12"/>
      <c r="Y161" s="12"/>
      <c r="Z161" s="12"/>
      <c r="AA161" s="12"/>
      <c r="AB161" s="12"/>
      <c r="AC161" s="12"/>
      <c r="AD161" s="12"/>
    </row>
    <row r="162" spans="7:30" s="1" customFormat="1">
      <c r="G162" s="12"/>
      <c r="H162" s="12"/>
      <c r="I162" s="12"/>
      <c r="O162" s="12"/>
      <c r="P162" s="12"/>
      <c r="Q162" s="12"/>
      <c r="R162" s="12"/>
      <c r="S162" s="12"/>
      <c r="T162" s="12"/>
      <c r="U162" s="12"/>
      <c r="V162" s="12"/>
      <c r="W162" s="12"/>
      <c r="X162" s="12"/>
      <c r="Y162" s="12"/>
      <c r="Z162" s="12"/>
      <c r="AA162" s="12"/>
      <c r="AB162" s="12"/>
      <c r="AC162" s="12"/>
      <c r="AD162" s="12"/>
    </row>
    <row r="163" spans="7:30" s="1" customFormat="1">
      <c r="G163" s="12"/>
      <c r="H163" s="12"/>
      <c r="I163" s="12"/>
      <c r="O163" s="12"/>
      <c r="P163" s="12"/>
      <c r="Q163" s="12"/>
      <c r="R163" s="12"/>
      <c r="S163" s="12"/>
      <c r="T163" s="12"/>
      <c r="U163" s="12"/>
      <c r="V163" s="12"/>
      <c r="W163" s="12"/>
      <c r="X163" s="12"/>
      <c r="Y163" s="12"/>
      <c r="Z163" s="12"/>
      <c r="AA163" s="12"/>
      <c r="AB163" s="12"/>
      <c r="AC163" s="12"/>
      <c r="AD163" s="12"/>
    </row>
    <row r="164" spans="7:30" s="1" customFormat="1">
      <c r="G164" s="12"/>
      <c r="H164" s="12"/>
      <c r="I164" s="12"/>
      <c r="O164" s="12"/>
      <c r="P164" s="12"/>
      <c r="Q164" s="12"/>
      <c r="R164" s="12"/>
      <c r="S164" s="12"/>
      <c r="T164" s="12"/>
      <c r="U164" s="12"/>
      <c r="V164" s="12"/>
      <c r="W164" s="12"/>
      <c r="X164" s="12"/>
      <c r="Y164" s="12"/>
      <c r="Z164" s="12"/>
      <c r="AA164" s="12"/>
      <c r="AB164" s="12"/>
      <c r="AC164" s="12"/>
      <c r="AD164" s="12"/>
    </row>
    <row r="165" spans="7:30" s="1" customFormat="1">
      <c r="G165" s="12"/>
      <c r="H165" s="12"/>
      <c r="I165" s="12"/>
      <c r="O165" s="12"/>
      <c r="P165" s="12"/>
      <c r="Q165" s="12"/>
      <c r="R165" s="12"/>
      <c r="S165" s="12"/>
      <c r="T165" s="12"/>
      <c r="U165" s="12"/>
      <c r="V165" s="12"/>
      <c r="W165" s="12"/>
      <c r="X165" s="12"/>
      <c r="Y165" s="12"/>
      <c r="Z165" s="12"/>
      <c r="AA165" s="12"/>
      <c r="AB165" s="12"/>
      <c r="AC165" s="12"/>
      <c r="AD165" s="12"/>
    </row>
    <row r="166" spans="7:30" s="1" customFormat="1">
      <c r="G166" s="12"/>
      <c r="H166" s="12"/>
      <c r="I166" s="12"/>
      <c r="O166" s="12"/>
      <c r="P166" s="12"/>
      <c r="Q166" s="12"/>
      <c r="R166" s="12"/>
      <c r="S166" s="12"/>
      <c r="T166" s="12"/>
      <c r="U166" s="12"/>
      <c r="V166" s="12"/>
      <c r="W166" s="12"/>
      <c r="X166" s="12"/>
      <c r="Y166" s="12"/>
      <c r="Z166" s="12"/>
      <c r="AA166" s="12"/>
      <c r="AB166" s="12"/>
      <c r="AC166" s="12"/>
      <c r="AD166" s="12"/>
    </row>
    <row r="167" spans="7:30" s="1" customFormat="1">
      <c r="G167" s="12"/>
      <c r="H167" s="12"/>
      <c r="I167" s="12"/>
      <c r="O167" s="12"/>
      <c r="P167" s="12"/>
      <c r="Q167" s="12"/>
      <c r="R167" s="12"/>
      <c r="S167" s="12"/>
      <c r="T167" s="12"/>
      <c r="U167" s="12"/>
      <c r="V167" s="12"/>
      <c r="W167" s="12"/>
      <c r="X167" s="12"/>
      <c r="Y167" s="12"/>
      <c r="Z167" s="12"/>
      <c r="AA167" s="12"/>
      <c r="AB167" s="12"/>
      <c r="AC167" s="12"/>
      <c r="AD167" s="12"/>
    </row>
    <row r="168" spans="7:30" s="1" customFormat="1">
      <c r="G168" s="12"/>
      <c r="H168" s="12"/>
      <c r="I168" s="12"/>
      <c r="O168" s="12"/>
      <c r="P168" s="12"/>
      <c r="Q168" s="12"/>
      <c r="R168" s="12"/>
      <c r="S168" s="12"/>
      <c r="T168" s="12"/>
      <c r="U168" s="12"/>
      <c r="V168" s="12"/>
      <c r="W168" s="12"/>
      <c r="X168" s="12"/>
      <c r="Y168" s="12"/>
      <c r="Z168" s="12"/>
      <c r="AA168" s="12"/>
      <c r="AB168" s="12"/>
      <c r="AC168" s="12"/>
      <c r="AD168" s="12"/>
    </row>
    <row r="169" spans="7:30" s="1" customFormat="1">
      <c r="G169" s="12"/>
      <c r="H169" s="12"/>
      <c r="I169" s="12"/>
      <c r="O169" s="12"/>
      <c r="P169" s="12"/>
      <c r="Q169" s="12"/>
      <c r="R169" s="12"/>
      <c r="S169" s="12"/>
      <c r="T169" s="12"/>
      <c r="U169" s="12"/>
      <c r="V169" s="12"/>
      <c r="W169" s="12"/>
      <c r="X169" s="12"/>
      <c r="Y169" s="12"/>
      <c r="Z169" s="12"/>
      <c r="AA169" s="12"/>
      <c r="AB169" s="12"/>
      <c r="AC169" s="12"/>
      <c r="AD169" s="12"/>
    </row>
    <row r="170" spans="7:30" s="1" customFormat="1">
      <c r="G170" s="12"/>
      <c r="H170" s="12"/>
      <c r="I170" s="12"/>
      <c r="O170" s="12"/>
      <c r="P170" s="12"/>
      <c r="Q170" s="12"/>
      <c r="R170" s="12"/>
      <c r="S170" s="12"/>
      <c r="T170" s="12"/>
      <c r="U170" s="12"/>
      <c r="V170" s="12"/>
      <c r="W170" s="12"/>
      <c r="X170" s="12"/>
      <c r="Y170" s="12"/>
      <c r="Z170" s="12"/>
      <c r="AA170" s="12"/>
      <c r="AB170" s="12"/>
      <c r="AC170" s="12"/>
      <c r="AD170" s="12"/>
    </row>
    <row r="171" spans="7:30" s="1" customFormat="1">
      <c r="G171" s="12"/>
      <c r="H171" s="12"/>
      <c r="I171" s="12"/>
      <c r="O171" s="12"/>
      <c r="P171" s="12"/>
      <c r="Q171" s="12"/>
      <c r="R171" s="12"/>
      <c r="S171" s="12"/>
      <c r="T171" s="12"/>
      <c r="U171" s="12"/>
      <c r="V171" s="12"/>
      <c r="W171" s="12"/>
      <c r="X171" s="12"/>
      <c r="Y171" s="12"/>
      <c r="Z171" s="12"/>
      <c r="AA171" s="12"/>
      <c r="AB171" s="12"/>
      <c r="AC171" s="12"/>
      <c r="AD171" s="12"/>
    </row>
    <row r="172" spans="7:30" s="1" customFormat="1">
      <c r="G172" s="12"/>
      <c r="H172" s="12"/>
      <c r="I172" s="12"/>
      <c r="O172" s="12"/>
      <c r="P172" s="12"/>
      <c r="Q172" s="12"/>
      <c r="R172" s="12"/>
      <c r="S172" s="12"/>
      <c r="T172" s="12"/>
      <c r="U172" s="12"/>
      <c r="V172" s="12"/>
      <c r="W172" s="12"/>
      <c r="X172" s="12"/>
      <c r="Y172" s="12"/>
      <c r="Z172" s="12"/>
      <c r="AA172" s="12"/>
      <c r="AB172" s="12"/>
      <c r="AC172" s="12"/>
      <c r="AD172" s="12"/>
    </row>
    <row r="173" spans="7:30" s="1" customFormat="1">
      <c r="G173" s="12"/>
      <c r="H173" s="12"/>
      <c r="I173" s="12"/>
      <c r="O173" s="12"/>
      <c r="P173" s="12"/>
      <c r="Q173" s="12"/>
      <c r="R173" s="12"/>
      <c r="S173" s="12"/>
      <c r="T173" s="12"/>
      <c r="U173" s="12"/>
      <c r="V173" s="12"/>
      <c r="W173" s="12"/>
      <c r="X173" s="12"/>
      <c r="Y173" s="12"/>
      <c r="Z173" s="12"/>
      <c r="AA173" s="12"/>
      <c r="AB173" s="12"/>
      <c r="AC173" s="12"/>
      <c r="AD173" s="12"/>
    </row>
    <row r="174" spans="7:30" s="1" customFormat="1">
      <c r="G174" s="12"/>
      <c r="H174" s="12"/>
      <c r="I174" s="12"/>
      <c r="O174" s="12"/>
      <c r="P174" s="12"/>
      <c r="Q174" s="12"/>
      <c r="R174" s="12"/>
      <c r="S174" s="12"/>
      <c r="T174" s="12"/>
      <c r="U174" s="12"/>
      <c r="V174" s="12"/>
      <c r="W174" s="12"/>
      <c r="X174" s="12"/>
      <c r="Y174" s="12"/>
      <c r="Z174" s="12"/>
      <c r="AA174" s="12"/>
      <c r="AB174" s="12"/>
      <c r="AC174" s="12"/>
      <c r="AD174" s="12"/>
    </row>
    <row r="175" spans="7:30" s="1" customFormat="1">
      <c r="G175" s="12"/>
      <c r="H175" s="12"/>
      <c r="I175" s="12"/>
      <c r="O175" s="12"/>
      <c r="P175" s="12"/>
      <c r="Q175" s="12"/>
      <c r="R175" s="12"/>
      <c r="S175" s="12"/>
      <c r="T175" s="12"/>
      <c r="U175" s="12"/>
      <c r="V175" s="12"/>
      <c r="W175" s="12"/>
      <c r="X175" s="12"/>
      <c r="Y175" s="12"/>
      <c r="Z175" s="12"/>
      <c r="AA175" s="12"/>
      <c r="AB175" s="12"/>
      <c r="AC175" s="12"/>
      <c r="AD175" s="12"/>
    </row>
    <row r="176" spans="7:30" s="1" customFormat="1">
      <c r="G176" s="12"/>
      <c r="H176" s="12"/>
      <c r="I176" s="12"/>
      <c r="O176" s="12"/>
      <c r="P176" s="12"/>
      <c r="Q176" s="12"/>
      <c r="R176" s="12"/>
      <c r="S176" s="12"/>
      <c r="T176" s="12"/>
      <c r="U176" s="12"/>
      <c r="V176" s="12"/>
      <c r="W176" s="12"/>
      <c r="X176" s="12"/>
      <c r="Y176" s="12"/>
      <c r="Z176" s="12"/>
      <c r="AA176" s="12"/>
      <c r="AB176" s="12"/>
      <c r="AC176" s="12"/>
      <c r="AD176" s="12"/>
    </row>
    <row r="177" spans="7:30" s="1" customFormat="1">
      <c r="G177" s="12"/>
      <c r="H177" s="12"/>
      <c r="I177" s="12"/>
      <c r="O177" s="12"/>
      <c r="P177" s="12"/>
      <c r="Q177" s="12"/>
      <c r="R177" s="12"/>
      <c r="S177" s="12"/>
      <c r="T177" s="12"/>
      <c r="U177" s="12"/>
      <c r="V177" s="12"/>
      <c r="W177" s="12"/>
      <c r="X177" s="12"/>
      <c r="Y177" s="12"/>
      <c r="Z177" s="12"/>
      <c r="AA177" s="12"/>
      <c r="AB177" s="12"/>
      <c r="AC177" s="12"/>
      <c r="AD177" s="12"/>
    </row>
    <row r="178" spans="7:30" s="1" customFormat="1">
      <c r="G178" s="12"/>
      <c r="H178" s="12"/>
      <c r="I178" s="12"/>
      <c r="O178" s="12"/>
      <c r="P178" s="12"/>
      <c r="Q178" s="12"/>
      <c r="R178" s="12"/>
      <c r="S178" s="12"/>
      <c r="T178" s="12"/>
      <c r="U178" s="12"/>
      <c r="V178" s="12"/>
      <c r="W178" s="12"/>
      <c r="X178" s="12"/>
      <c r="Y178" s="12"/>
      <c r="Z178" s="12"/>
      <c r="AA178" s="12"/>
      <c r="AB178" s="12"/>
      <c r="AC178" s="12"/>
      <c r="AD178" s="12"/>
    </row>
    <row r="179" spans="7:30" s="1" customFormat="1">
      <c r="G179" s="12"/>
      <c r="H179" s="12"/>
      <c r="I179" s="12"/>
      <c r="O179" s="12"/>
      <c r="P179" s="12"/>
      <c r="Q179" s="12"/>
      <c r="R179" s="12"/>
      <c r="S179" s="12"/>
      <c r="T179" s="12"/>
      <c r="U179" s="12"/>
      <c r="V179" s="12"/>
      <c r="W179" s="12"/>
      <c r="X179" s="12"/>
      <c r="Y179" s="12"/>
      <c r="Z179" s="12"/>
      <c r="AA179" s="12"/>
      <c r="AB179" s="12"/>
      <c r="AC179" s="12"/>
      <c r="AD179" s="12"/>
    </row>
    <row r="180" spans="7:30" s="1" customFormat="1">
      <c r="G180" s="12"/>
      <c r="H180" s="12"/>
      <c r="I180" s="12"/>
      <c r="O180" s="12"/>
      <c r="P180" s="12"/>
      <c r="Q180" s="12"/>
      <c r="R180" s="12"/>
      <c r="S180" s="12"/>
      <c r="T180" s="12"/>
      <c r="U180" s="12"/>
      <c r="V180" s="12"/>
      <c r="W180" s="12"/>
      <c r="X180" s="12"/>
      <c r="Y180" s="12"/>
      <c r="Z180" s="12"/>
      <c r="AA180" s="12"/>
      <c r="AB180" s="12"/>
      <c r="AC180" s="12"/>
      <c r="AD180" s="12"/>
    </row>
    <row r="181" spans="7:30" s="1" customFormat="1">
      <c r="G181" s="12"/>
      <c r="H181" s="12"/>
      <c r="I181" s="12"/>
      <c r="O181" s="12"/>
      <c r="P181" s="12"/>
      <c r="Q181" s="12"/>
      <c r="R181" s="12"/>
      <c r="S181" s="12"/>
      <c r="T181" s="12"/>
      <c r="U181" s="12"/>
      <c r="V181" s="12"/>
      <c r="W181" s="12"/>
      <c r="X181" s="12"/>
      <c r="Y181" s="12"/>
      <c r="Z181" s="12"/>
      <c r="AA181" s="12"/>
      <c r="AB181" s="12"/>
      <c r="AC181" s="12"/>
      <c r="AD181" s="12"/>
    </row>
    <row r="182" spans="7:30" s="1" customFormat="1">
      <c r="G182" s="12"/>
      <c r="H182" s="12"/>
      <c r="I182" s="12"/>
      <c r="O182" s="12"/>
      <c r="P182" s="12"/>
      <c r="Q182" s="12"/>
      <c r="R182" s="12"/>
      <c r="S182" s="12"/>
      <c r="T182" s="12"/>
      <c r="U182" s="12"/>
      <c r="V182" s="12"/>
      <c r="W182" s="12"/>
      <c r="X182" s="12"/>
      <c r="Y182" s="12"/>
      <c r="Z182" s="12"/>
      <c r="AA182" s="12"/>
      <c r="AB182" s="12"/>
      <c r="AC182" s="12"/>
      <c r="AD182" s="12"/>
    </row>
    <row r="183" spans="7:30" s="1" customFormat="1">
      <c r="G183" s="12"/>
      <c r="H183" s="12"/>
      <c r="I183" s="12"/>
      <c r="O183" s="12"/>
      <c r="P183" s="12"/>
      <c r="Q183" s="12"/>
      <c r="R183" s="12"/>
      <c r="S183" s="12"/>
      <c r="T183" s="12"/>
      <c r="U183" s="12"/>
      <c r="V183" s="12"/>
      <c r="W183" s="12"/>
      <c r="X183" s="12"/>
      <c r="Y183" s="12"/>
      <c r="Z183" s="12"/>
      <c r="AA183" s="12"/>
      <c r="AB183" s="12"/>
      <c r="AC183" s="12"/>
      <c r="AD183" s="12"/>
    </row>
    <row r="184" spans="7:30" s="1" customFormat="1">
      <c r="G184" s="12"/>
      <c r="H184" s="12"/>
      <c r="I184" s="12"/>
      <c r="O184" s="12"/>
      <c r="P184" s="12"/>
      <c r="Q184" s="12"/>
      <c r="R184" s="12"/>
      <c r="S184" s="12"/>
      <c r="T184" s="12"/>
      <c r="U184" s="12"/>
      <c r="V184" s="12"/>
      <c r="W184" s="12"/>
      <c r="X184" s="12"/>
      <c r="Y184" s="12"/>
      <c r="Z184" s="12"/>
      <c r="AA184" s="12"/>
      <c r="AB184" s="12"/>
      <c r="AC184" s="12"/>
      <c r="AD184" s="12"/>
    </row>
    <row r="185" spans="7:30" s="1" customFormat="1">
      <c r="G185" s="12"/>
      <c r="H185" s="12"/>
      <c r="I185" s="12"/>
      <c r="O185" s="12"/>
      <c r="P185" s="12"/>
      <c r="Q185" s="12"/>
      <c r="R185" s="12"/>
      <c r="S185" s="12"/>
      <c r="T185" s="12"/>
      <c r="U185" s="12"/>
      <c r="V185" s="12"/>
      <c r="W185" s="12"/>
      <c r="X185" s="12"/>
      <c r="Y185" s="12"/>
      <c r="Z185" s="12"/>
      <c r="AA185" s="12"/>
      <c r="AB185" s="12"/>
      <c r="AC185" s="12"/>
      <c r="AD185" s="12"/>
    </row>
    <row r="186" spans="7:30" s="1" customFormat="1">
      <c r="G186" s="12"/>
      <c r="H186" s="12"/>
      <c r="I186" s="12"/>
      <c r="O186" s="12"/>
      <c r="P186" s="12"/>
      <c r="Q186" s="12"/>
      <c r="R186" s="12"/>
      <c r="S186" s="12"/>
      <c r="T186" s="12"/>
      <c r="U186" s="12"/>
      <c r="V186" s="12"/>
      <c r="W186" s="12"/>
      <c r="X186" s="12"/>
      <c r="Y186" s="12"/>
      <c r="Z186" s="12"/>
      <c r="AA186" s="12"/>
      <c r="AB186" s="12"/>
      <c r="AC186" s="12"/>
      <c r="AD186" s="12"/>
    </row>
  </sheetData>
  <sheetProtection algorithmName="SHA-512" hashValue="sWj2X0dOdu4dQbpL4ltVkM6Q1H77C7DZ4uQlTF4MUxHz8fxx4/diaIQUq5HXf9zJTiRr06TZgXylrIK/4H9ojA==" saltValue="oSyBIT+AGwJo5NcDoPP8Yg==" spinCount="100000" sheet="1" formatCells="0"/>
  <sortState xmlns:xlrd2="http://schemas.microsoft.com/office/spreadsheetml/2017/richdata2" ref="AF82:AF86">
    <sortCondition ref="AF82"/>
  </sortState>
  <dataConsolidate/>
  <mergeCells count="5">
    <mergeCell ref="B46:F46"/>
    <mergeCell ref="B49:F49"/>
    <mergeCell ref="B40:F40"/>
    <mergeCell ref="B35:C35"/>
    <mergeCell ref="E35:F35"/>
  </mergeCells>
  <phoneticPr fontId="19" type="noConversion"/>
  <conditionalFormatting sqref="E17 E16:F16">
    <cfRule type="expression" dxfId="60" priority="8">
      <formula>$F$5&lt;&gt;$L$5</formula>
    </cfRule>
  </conditionalFormatting>
  <conditionalFormatting sqref="E13:F13">
    <cfRule type="expression" dxfId="59" priority="614">
      <formula>$F$5&lt;&gt;$L$9</formula>
    </cfRule>
  </conditionalFormatting>
  <conditionalFormatting sqref="E15:F15">
    <cfRule type="expression" dxfId="58" priority="10">
      <formula>$I15=0</formula>
    </cfRule>
  </conditionalFormatting>
  <conditionalFormatting sqref="E16:F16">
    <cfRule type="expression" dxfId="57" priority="6">
      <formula>$F$5=$AE$5</formula>
    </cfRule>
  </conditionalFormatting>
  <conditionalFormatting sqref="E17:F17">
    <cfRule type="expression" dxfId="56" priority="5">
      <formula>$F$5=$AE$5</formula>
    </cfRule>
    <cfRule type="expression" dxfId="55" priority="7">
      <formula>$F$5&lt;&gt;$L$5</formula>
    </cfRule>
  </conditionalFormatting>
  <conditionalFormatting sqref="E18:F28">
    <cfRule type="expression" dxfId="54" priority="2">
      <formula>$I18=0</formula>
    </cfRule>
  </conditionalFormatting>
  <conditionalFormatting sqref="E20:F20 E22:F22">
    <cfRule type="expression" dxfId="53" priority="3">
      <formula>$F$5=$AE$5</formula>
    </cfRule>
  </conditionalFormatting>
  <conditionalFormatting sqref="E21:F21">
    <cfRule type="expression" dxfId="52" priority="4">
      <formula>$H$21=0</formula>
    </cfRule>
  </conditionalFormatting>
  <conditionalFormatting sqref="F15">
    <cfRule type="expression" dxfId="51" priority="9">
      <formula>$I15=1</formula>
    </cfRule>
  </conditionalFormatting>
  <conditionalFormatting sqref="F18:F28">
    <cfRule type="expression" dxfId="50" priority="1">
      <formula>$I18=1</formula>
    </cfRule>
  </conditionalFormatting>
  <dataValidations xWindow="982" yWindow="379" count="29">
    <dataValidation type="list" allowBlank="1" showInputMessage="1" showErrorMessage="1" sqref="P98" xr:uid="{00000000-0002-0000-0100-000000000000}">
      <formula1>$P$96:$P$97</formula1>
    </dataValidation>
    <dataValidation allowBlank="1" showErrorMessage="1" sqref="F12:F13 C6 C14:C17 C23:C32 E34" xr:uid="{00000000-0002-0000-0100-000001000000}"/>
    <dataValidation allowBlank="1" showInputMessage="1" showErrorMessage="1" prompt="This is the building address that will appear on the BREEAM certificate and GreenBook Live listing." sqref="B16" xr:uid="{00000000-0002-0000-0100-000002000000}"/>
    <dataValidation allowBlank="1" showInputMessage="1" showErrorMessage="1" prompt="This is a unique reference number supplied by BRE at project registration. If you wish to use this tool to begin an assessment but do not have a reference number, then enter &quot;to be confirmed&quot; in this field (and enter the reference number at a later date)." sqref="C5" xr:uid="{00000000-0002-0000-0100-000003000000}"/>
    <dataValidation allowBlank="1" showInputMessage="1" showErrorMessage="1" promptTitle="Building name" prompt="If you are unable to confirm this information at present, then enter &quot;to be confirmed&quot; in this field (and confirm at a later date)" sqref="C13" xr:uid="{00000000-0002-0000-0100-000004000000}"/>
    <dataValidation type="list" allowBlank="1" showErrorMessage="1" error="Incorrect entry, please re-try." sqref="R80" xr:uid="{00000000-0002-0000-0100-000005000000}">
      <formula1>ADAS01</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P43" xr:uid="{00000000-0002-0000-0100-000006000000}"/>
    <dataValidation type="list" allowBlank="1" showErrorMessage="1" error="Invalid data entry, please retry." sqref="F21" xr:uid="{00000000-0002-0000-0100-000007000000}">
      <formula1>AD_Labsize_list</formula1>
    </dataValidation>
    <dataValidation type="list" showErrorMessage="1" error="Invalid data entry, please retry." sqref="F16:F17" xr:uid="{00000000-0002-0000-0100-000009000000}">
      <formula1>AD_YesNo</formula1>
    </dataValidation>
    <dataValidation type="list" allowBlank="1" showErrorMessage="1" error="Invalid data entry, please retry." sqref="F18:F19 P69 F22:F24 F26:F28" xr:uid="{00000000-0002-0000-0100-00000A000000}">
      <formula1>AD_YesNo</formula1>
    </dataValidation>
    <dataValidation type="list" allowBlank="1" showInputMessage="1" showErrorMessage="1" sqref="P64" xr:uid="{00000000-0002-0000-0100-00000B000000}">
      <formula1>TRA01_BuildType</formula1>
    </dataValidation>
    <dataValidation allowBlank="1" showInputMessage="1" showErrorMessage="1" prompt="Insert an electornic signature here." sqref="C61" xr:uid="{00000000-0002-0000-0100-00000C000000}"/>
    <dataValidation type="list" allowBlank="1" showInputMessage="1" showErrorMessage="1" error="Invalid data entry, please re-try" sqref="R81" xr:uid="{00000000-0002-0000-0100-00000D000000}">
      <formula1>AD_BREEAM_stage</formula1>
    </dataValidation>
    <dataValidation allowBlank="1" showInputMessage="1" showErrorMessage="1" error="Invalid data entry, please retry." sqref="F30:F32" xr:uid="{00000000-0002-0000-0100-00000E000000}"/>
    <dataValidation type="list" allowBlank="1" showInputMessage="1" showErrorMessage="1" error="Invalid data entry, please re-try" sqref="R82" xr:uid="{00000000-0002-0000-0100-000010000000}">
      <formula1>$Q$8</formula1>
    </dataValidation>
    <dataValidation allowBlank="1" showErrorMessage="1" prompt=" " sqref="F11" xr:uid="{00000000-0002-0000-0100-000011000000}"/>
    <dataValidation allowBlank="1" showInputMessage="1" showErrorMessage="1" prompt="Bruksareal (BRA) er arealet innenfor omsluttede vegger, ref NS 3940:2012" sqref="E11" xr:uid="{00000000-0002-0000-0100-000012000000}"/>
    <dataValidation allowBlank="1" showInputMessage="1" showErrorMessage="1" prompt="Bruttoareal (BTA) er arealet begrenset av ytterveggens utside eller midt i delevegg, ref NS 3940:2012" sqref="E12" xr:uid="{00000000-0002-0000-0100-000013000000}"/>
    <dataValidation allowBlank="1" showInputMessage="1" showErrorMessage="1" prompt="Det er ingen definisjon av BRAs (salgbart bruksareal) iht. NS 3940:2012. BRAs er den enkelte leilighets BRA, det vil si areal innenfor omsluttende vegger i leiligheten. " sqref="E13" xr:uid="{00000000-0002-0000-0100-000014000000}"/>
    <dataValidation type="list" allowBlank="1" showErrorMessage="1" error="Please review, your data entry is invalid." sqref="F6" xr:uid="{00000000-0002-0000-0100-000015000000}">
      <formula1>$O$5:$O$13</formula1>
    </dataValidation>
    <dataValidation type="list" allowBlank="1" showInputMessage="1" showErrorMessage="1" error="Invalid data entry, please retry." prompt="This information determines the applicability of BREEAM issue Ene02a." sqref="G77:I77 Q42" xr:uid="{00000000-0002-0000-0100-000017000000}">
      <formula1>AD_YesNo</formula1>
    </dataValidation>
    <dataValidation allowBlank="1" showErrorMessage="1" prompt="Please state the company name." sqref="B35" xr:uid="{00000000-0002-0000-0100-000019000000}"/>
    <dataValidation allowBlank="1" showInputMessage="1" showErrorMessage="1" promptTitle="Building description" prompt="Include a brief description og the building (layout, number of floors, etc.). Indicate what is included and if there are any areas excluded from the assessment." sqref="E35:F35" xr:uid="{00000000-0002-0000-0100-00001B000000}"/>
    <dataValidation type="list" allowBlank="1" showErrorMessage="1" error="Please review, your data entry is invalid." sqref="F5" xr:uid="{00000000-0002-0000-0100-00000F000000}">
      <formula1>$L$5:$L$17</formula1>
    </dataValidation>
    <dataValidation type="list" allowBlank="1" showErrorMessage="1" error="Invalid data entry, please retry." sqref="F20" xr:uid="{7FC0A853-413C-49C1-B2DE-3EAE9BFE3F89}">
      <formula1>$Q$51:$Q$54</formula1>
    </dataValidation>
    <dataValidation type="list" allowBlank="1" showErrorMessage="1" error="Invalid data entry, please retry." sqref="F25" xr:uid="{10067917-375C-485B-8027-3530AE81B846}">
      <formula1>$J$30:$J$31</formula1>
    </dataValidation>
    <dataValidation type="list" allowBlank="1" showErrorMessage="1" error="Incorrect entry, please retry." sqref="Q17" xr:uid="{00000000-0002-0000-0100-000016000000}">
      <formula1>$Q$11:$Q$13</formula1>
    </dataValidation>
    <dataValidation type="list" allowBlank="1" showErrorMessage="1" error="Invalid data entry, please retry." sqref="F15" xr:uid="{564102FE-95DE-4AC4-BF96-683EC33772D0}">
      <formula1>$R$22:$R$23</formula1>
    </dataValidation>
    <dataValidation type="list" allowBlank="1" showInputMessage="1" showErrorMessage="1" sqref="F7" xr:uid="{15ABCB03-5731-4FFE-9EEF-4CD143A54E86}">
      <formula1>$Q$11:$Q$16</formula1>
    </dataValidation>
  </dataValidations>
  <printOptions horizontalCentered="1"/>
  <pageMargins left="0.23622047244094491" right="0.23622047244094491" top="0.32" bottom="0.41" header="0.31496062992125984" footer="0.31496062992125984"/>
  <pageSetup paperSize="9" scale="52" orientation="landscape" errors="blank" r:id="rId1"/>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5" id="{15BD1200-67FE-42E0-955A-22C5BFC5B389}">
            <xm:f>'Manuell filtrering og justering'!$I$2='Manuell filtrering og justering'!$J$2</xm:f>
            <x14:dxf>
              <border>
                <top style="thin">
                  <color auto="1"/>
                </top>
                <vertical/>
                <horizontal/>
              </border>
            </x14:dxf>
          </x14:cfRule>
          <xm:sqref>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Q385"/>
  <sheetViews>
    <sheetView tabSelected="1" topLeftCell="C1" zoomScale="90" zoomScaleNormal="90" zoomScalePageLayoutView="30" workbookViewId="0">
      <pane ySplit="9" topLeftCell="A10" activePane="bottomLeft" state="frozen"/>
      <selection pane="bottomLeft" activeCell="H15" sqref="H15"/>
    </sheetView>
  </sheetViews>
  <sheetFormatPr baseColWidth="10" defaultColWidth="9.28515625" defaultRowHeight="15"/>
  <cols>
    <col min="1" max="1" width="3.28515625" style="14" customWidth="1"/>
    <col min="2" max="2" width="3.42578125" style="14" customWidth="1"/>
    <col min="3" max="3" width="7.7109375" style="14" customWidth="1"/>
    <col min="4" max="4" width="9.5703125" style="50" hidden="1" customWidth="1"/>
    <col min="5" max="5" width="7.7109375" style="972" customWidth="1"/>
    <col min="6" max="6" width="74.28515625" style="1" customWidth="1"/>
    <col min="7" max="7" width="9.42578125" style="1" customWidth="1"/>
    <col min="8" max="8" width="7.42578125" style="1" customWidth="1"/>
    <col min="9" max="9" width="9.5703125" style="1" customWidth="1"/>
    <col min="10" max="10" width="13.28515625" style="1" customWidth="1"/>
    <col min="11" max="11" width="9.85546875" style="1" customWidth="1"/>
    <col min="12" max="12" width="5.28515625" style="1" customWidth="1"/>
    <col min="13" max="13" width="30" style="564" customWidth="1"/>
    <col min="14" max="14" width="1" style="94" customWidth="1"/>
    <col min="15" max="15" width="8.5703125" style="567" customWidth="1"/>
    <col min="16" max="16" width="13" style="567" customWidth="1"/>
    <col min="17" max="17" width="12.42578125" style="567" bestFit="1" customWidth="1"/>
    <col min="18" max="18" width="9" style="567" customWidth="1"/>
    <col min="19" max="19" width="4.7109375" style="567" customWidth="1"/>
    <col min="20" max="20" width="24.28515625" style="567" customWidth="1"/>
    <col min="21" max="21" width="1" style="105" customWidth="1"/>
    <col min="22" max="23" width="9.28515625" style="214" customWidth="1"/>
    <col min="24" max="24" width="12.42578125" style="214" bestFit="1" customWidth="1"/>
    <col min="25" max="25" width="7.7109375" style="214" customWidth="1"/>
    <col min="26" max="26" width="4.7109375" style="214" customWidth="1"/>
    <col min="27" max="27" width="26.7109375" style="567" customWidth="1"/>
    <col min="28" max="28" width="3.5703125" style="17" hidden="1" customWidth="1"/>
    <col min="29" max="29" width="21.42578125" style="17" hidden="1" customWidth="1"/>
    <col min="30" max="30" width="6.42578125" style="104" hidden="1" customWidth="1"/>
    <col min="31" max="31" width="15.7109375" style="213" hidden="1" customWidth="1"/>
    <col min="32" max="33" width="9.28515625" style="213" hidden="1" customWidth="1"/>
    <col min="34" max="35" width="9.28515625" style="1" hidden="1" customWidth="1"/>
    <col min="36" max="36" width="7.28515625" style="1" hidden="1" customWidth="1"/>
    <col min="37" max="37" width="43" style="1" hidden="1" customWidth="1"/>
    <col min="38" max="38" width="11.7109375" style="1" hidden="1" customWidth="1"/>
    <col min="39" max="39" width="27" style="1" hidden="1" customWidth="1"/>
    <col min="40" max="43" width="8.5703125" style="1" hidden="1" customWidth="1"/>
    <col min="44" max="52" width="9.28515625" style="1" hidden="1" customWidth="1"/>
    <col min="53" max="53" width="7" style="1" hidden="1" customWidth="1"/>
    <col min="54" max="69" width="9.28515625" style="1" hidden="1" customWidth="1"/>
    <col min="70" max="78" width="9.28515625" style="1" customWidth="1"/>
    <col min="79" max="16384" width="9.28515625" style="1"/>
  </cols>
  <sheetData>
    <row r="1" spans="1:69" ht="42" customHeight="1">
      <c r="A1" s="784"/>
      <c r="B1" s="784"/>
      <c r="C1" s="784"/>
      <c r="D1" s="543"/>
      <c r="E1" s="971"/>
      <c r="F1" s="219" t="s">
        <v>215</v>
      </c>
      <c r="G1" s="220"/>
      <c r="H1" s="220"/>
      <c r="I1" s="219"/>
      <c r="J1" s="220"/>
      <c r="K1" s="220"/>
      <c r="L1" s="220"/>
      <c r="M1" s="848"/>
      <c r="N1" s="220"/>
      <c r="O1" s="220"/>
      <c r="P1" s="220"/>
      <c r="Q1" s="220"/>
      <c r="R1" s="220"/>
      <c r="S1" s="220"/>
      <c r="T1" s="220"/>
      <c r="U1" s="220"/>
      <c r="V1" s="220"/>
      <c r="W1" s="220"/>
      <c r="X1" s="220"/>
      <c r="Y1" s="220"/>
      <c r="Z1" s="220"/>
      <c r="AA1" s="470" t="str">
        <f>IF('Manuell filtrering og justering'!I2='Manuell filtrering og justering'!J2,"Bespoke","")</f>
        <v/>
      </c>
      <c r="AB1" s="220"/>
      <c r="AC1" s="220"/>
      <c r="AD1" s="220"/>
      <c r="AE1" s="1"/>
      <c r="AF1" s="1"/>
      <c r="AG1" s="1"/>
      <c r="AJ1" s="498" t="s">
        <v>216</v>
      </c>
      <c r="AK1" s="497"/>
      <c r="AL1" s="497"/>
      <c r="AM1" s="497"/>
      <c r="AN1" s="497"/>
      <c r="AO1" s="497"/>
      <c r="AP1" s="497"/>
      <c r="AQ1" s="497"/>
      <c r="AR1" s="497"/>
      <c r="AS1" s="497"/>
      <c r="AT1" s="497"/>
      <c r="AU1" s="497"/>
      <c r="AV1" s="497"/>
      <c r="AW1" s="497"/>
      <c r="AX1" s="497"/>
      <c r="AY1" s="497"/>
      <c r="AZ1" s="497"/>
      <c r="BA1" s="497"/>
      <c r="BB1" s="497"/>
    </row>
    <row r="2" spans="1:69" s="50" customFormat="1" ht="6" customHeight="1">
      <c r="A2" s="14"/>
      <c r="B2" s="14"/>
      <c r="C2" s="14"/>
      <c r="E2" s="972"/>
      <c r="F2" s="80">
        <v>1</v>
      </c>
      <c r="G2" s="81">
        <v>2</v>
      </c>
      <c r="H2" s="80">
        <v>3</v>
      </c>
      <c r="I2" s="81">
        <v>4</v>
      </c>
      <c r="J2" s="80">
        <v>5</v>
      </c>
      <c r="K2" s="81">
        <v>6</v>
      </c>
      <c r="L2" s="80">
        <v>7</v>
      </c>
      <c r="M2" s="81">
        <v>8</v>
      </c>
      <c r="N2" s="80">
        <v>9</v>
      </c>
      <c r="O2" s="81">
        <v>10</v>
      </c>
      <c r="P2" s="80">
        <v>11</v>
      </c>
      <c r="Q2" s="81">
        <v>12</v>
      </c>
      <c r="R2" s="80">
        <v>13</v>
      </c>
      <c r="S2" s="81">
        <v>14</v>
      </c>
      <c r="T2" s="80">
        <v>15</v>
      </c>
      <c r="U2" s="81">
        <v>16</v>
      </c>
      <c r="V2" s="80">
        <v>17</v>
      </c>
      <c r="W2" s="81">
        <v>18</v>
      </c>
      <c r="X2" s="80">
        <v>19</v>
      </c>
      <c r="Y2" s="81">
        <v>20</v>
      </c>
      <c r="Z2" s="80">
        <v>21</v>
      </c>
      <c r="AA2" s="81">
        <v>22</v>
      </c>
      <c r="AB2" s="80">
        <v>23</v>
      </c>
      <c r="AC2" s="81">
        <v>24</v>
      </c>
      <c r="AD2" s="80">
        <v>25</v>
      </c>
      <c r="AE2" s="81">
        <v>26</v>
      </c>
      <c r="AF2" s="80">
        <v>27</v>
      </c>
      <c r="AG2" s="81">
        <v>28</v>
      </c>
      <c r="AH2" s="80">
        <v>29</v>
      </c>
      <c r="AI2" s="81">
        <v>30</v>
      </c>
      <c r="AJ2" s="80">
        <v>31</v>
      </c>
      <c r="AK2" s="81">
        <v>32</v>
      </c>
      <c r="AL2" s="80">
        <v>33</v>
      </c>
      <c r="AM2" s="81">
        <v>34</v>
      </c>
      <c r="AN2" s="80">
        <v>35</v>
      </c>
      <c r="AO2" s="81">
        <v>36</v>
      </c>
      <c r="AP2" s="80">
        <v>37</v>
      </c>
      <c r="AQ2" s="81">
        <v>38</v>
      </c>
      <c r="AR2" s="80">
        <v>39</v>
      </c>
      <c r="AS2" s="81">
        <v>40</v>
      </c>
      <c r="AT2" s="80">
        <v>41</v>
      </c>
      <c r="AU2" s="81">
        <v>42</v>
      </c>
      <c r="AV2" s="80">
        <v>43</v>
      </c>
      <c r="AW2" s="81">
        <v>44</v>
      </c>
      <c r="AX2" s="80">
        <v>45</v>
      </c>
      <c r="AY2" s="81">
        <v>46</v>
      </c>
      <c r="AZ2" s="80">
        <v>47</v>
      </c>
      <c r="BA2" s="81">
        <v>48</v>
      </c>
      <c r="BB2" s="80">
        <v>49</v>
      </c>
    </row>
    <row r="3" spans="1:69" ht="20.25" customHeight="1">
      <c r="F3" s="230"/>
      <c r="G3" s="1020"/>
      <c r="H3" s="1100" t="s">
        <v>217</v>
      </c>
      <c r="I3" s="1101"/>
      <c r="J3" s="1101"/>
      <c r="K3" s="1101"/>
      <c r="L3" s="1101"/>
      <c r="M3" s="546"/>
      <c r="N3" s="602"/>
      <c r="O3" s="1100" t="s">
        <v>218</v>
      </c>
      <c r="P3" s="1101"/>
      <c r="Q3" s="1101"/>
      <c r="R3" s="1101"/>
      <c r="S3" s="1101"/>
      <c r="T3" s="1102"/>
      <c r="U3" s="504"/>
      <c r="V3" s="1100" t="s">
        <v>219</v>
      </c>
      <c r="W3" s="1101"/>
      <c r="X3" s="1101"/>
      <c r="Y3" s="1101"/>
      <c r="Z3" s="1101"/>
      <c r="AA3" s="1102"/>
      <c r="AB3" s="504"/>
      <c r="AC3" s="511" t="s">
        <v>220</v>
      </c>
      <c r="AD3" s="471"/>
      <c r="AE3" s="471"/>
      <c r="AF3" s="471"/>
      <c r="AG3" s="472"/>
      <c r="AK3" s="1" t="s">
        <v>221</v>
      </c>
      <c r="AL3" s="1" t="str">
        <f>ADPT</f>
        <v>Nybygg (innredet)</v>
      </c>
    </row>
    <row r="4" spans="1:69" ht="15" customHeight="1">
      <c r="F4" s="82" t="s">
        <v>87</v>
      </c>
      <c r="G4" s="79"/>
      <c r="H4" s="83" t="s">
        <v>222</v>
      </c>
      <c r="I4" s="84"/>
      <c r="J4" s="757"/>
      <c r="K4" s="757"/>
      <c r="L4" s="758"/>
      <c r="M4" s="85" t="str">
        <f>BP_BREEAMRating</f>
        <v>Unclassified</v>
      </c>
      <c r="N4" s="547"/>
      <c r="O4" s="83" t="s">
        <v>222</v>
      </c>
      <c r="P4" s="603"/>
      <c r="Q4" s="603"/>
      <c r="R4" s="603"/>
      <c r="S4" s="603"/>
      <c r="T4" s="604" t="str">
        <f>IF(T8=AD_no,"",Poeng!BH264)</f>
        <v>Unclassified</v>
      </c>
      <c r="U4" s="68"/>
      <c r="V4" s="83" t="s">
        <v>222</v>
      </c>
      <c r="W4" s="605"/>
      <c r="X4" s="605"/>
      <c r="Y4" s="605"/>
      <c r="Z4" s="605"/>
      <c r="AA4" s="604" t="str">
        <f>IF(AA8=AD_no,"",Poeng!BK264)</f>
        <v>Unclassified</v>
      </c>
      <c r="AB4" s="79"/>
      <c r="AC4" s="1103" t="s">
        <v>223</v>
      </c>
      <c r="AD4" s="17"/>
      <c r="AE4" s="1079" t="s">
        <v>173</v>
      </c>
      <c r="AF4" s="1080">
        <v>1</v>
      </c>
      <c r="AG4" s="13"/>
      <c r="AH4" s="13"/>
      <c r="AK4" s="32" t="str">
        <f>IF(OR(AL3=AL4,AL3=AL5),ais_ja,ais_nei)</f>
        <v>Nei</v>
      </c>
      <c r="AL4" s="1" t="str">
        <f>ADPT02</f>
        <v>Nybygg (råbygg)</v>
      </c>
      <c r="AV4" s="15"/>
      <c r="AW4" s="15"/>
      <c r="AX4" s="15"/>
      <c r="AY4" s="15"/>
    </row>
    <row r="5" spans="1:69" ht="15" customHeight="1">
      <c r="F5" s="86" t="str">
        <f>IF(ISBLANK(ADBN),"",ADBN)</f>
        <v/>
      </c>
      <c r="G5" s="79"/>
      <c r="H5" s="87" t="s">
        <v>224</v>
      </c>
      <c r="I5" s="88"/>
      <c r="J5" s="759"/>
      <c r="K5" s="759"/>
      <c r="L5" s="89"/>
      <c r="M5" s="222">
        <f>Score_Initial</f>
        <v>0</v>
      </c>
      <c r="N5" s="547"/>
      <c r="O5" s="87" t="s">
        <v>224</v>
      </c>
      <c r="P5" s="606"/>
      <c r="Q5" s="606"/>
      <c r="R5" s="606"/>
      <c r="S5" s="606"/>
      <c r="T5" s="607">
        <f>IF(T8=AD_no,"",Score_design)</f>
        <v>0</v>
      </c>
      <c r="U5" s="68"/>
      <c r="V5" s="87" t="s">
        <v>224</v>
      </c>
      <c r="W5" s="608"/>
      <c r="X5" s="608"/>
      <c r="Y5" s="608"/>
      <c r="Z5" s="608"/>
      <c r="AA5" s="607">
        <f>IF(AA8=AD_no,"",Score_const)</f>
        <v>0</v>
      </c>
      <c r="AB5" s="79"/>
      <c r="AC5" s="1104"/>
      <c r="AD5" s="17"/>
      <c r="AE5" s="1081" t="s">
        <v>175</v>
      </c>
      <c r="AF5" s="1081">
        <v>2</v>
      </c>
      <c r="AG5" s="223"/>
      <c r="AH5" s="223"/>
      <c r="AL5" s="476" t="str">
        <f>ADPT04</f>
        <v>Totalrehabilitering (uinnredet)</v>
      </c>
    </row>
    <row r="6" spans="1:69" ht="15" customHeight="1">
      <c r="F6" s="842" t="str">
        <f>"Pre-analyseverktøy versjon: "&amp;TVC_current_version</f>
        <v>Pre-analyseverktøy versjon: 1.03</v>
      </c>
      <c r="G6" s="79"/>
      <c r="H6" s="87" t="s">
        <v>225</v>
      </c>
      <c r="I6" s="88"/>
      <c r="J6" s="759"/>
      <c r="K6" s="759"/>
      <c r="L6" s="89"/>
      <c r="M6" s="90" t="str">
        <f>Poeng!BE258</f>
        <v>Unclassified &lt;30%</v>
      </c>
      <c r="N6" s="547"/>
      <c r="O6" s="87" t="s">
        <v>225</v>
      </c>
      <c r="P6" s="606"/>
      <c r="Q6" s="606"/>
      <c r="R6" s="606"/>
      <c r="S6" s="606"/>
      <c r="T6" s="609" t="str">
        <f>IF(T8=AD_no,"",Poeng!BH258)</f>
        <v>Unclassified &lt;30%</v>
      </c>
      <c r="U6" s="68"/>
      <c r="V6" s="87" t="s">
        <v>225</v>
      </c>
      <c r="W6" s="608"/>
      <c r="X6" s="608"/>
      <c r="Y6" s="608"/>
      <c r="Z6" s="608"/>
      <c r="AA6" s="609" t="str">
        <f>IF(AA8=AD_no,"",Poeng!BK258)</f>
        <v>Unclassified &lt;30%</v>
      </c>
      <c r="AB6" s="79"/>
      <c r="AC6" s="1104"/>
      <c r="AD6" s="17"/>
      <c r="AE6" s="1081" t="s">
        <v>176</v>
      </c>
      <c r="AF6" s="1081">
        <v>3</v>
      </c>
      <c r="AG6" s="223"/>
      <c r="AH6" s="223"/>
      <c r="AK6" s="1" t="s">
        <v>226</v>
      </c>
      <c r="AL6"/>
      <c r="AM6"/>
      <c r="AN6"/>
      <c r="AO6"/>
      <c r="AP6"/>
      <c r="AQ6"/>
      <c r="AR6" s="17"/>
      <c r="AS6" s="17"/>
      <c r="AT6" s="17"/>
      <c r="AU6" s="17"/>
      <c r="AV6" s="17"/>
      <c r="AW6" s="17"/>
      <c r="AX6" s="17"/>
      <c r="AY6" s="17"/>
      <c r="AZ6" s="17"/>
      <c r="BA6" s="17"/>
      <c r="BB6" s="17"/>
      <c r="BC6" s="17"/>
      <c r="BD6" s="17"/>
      <c r="BE6" s="335"/>
      <c r="BF6" s="335"/>
      <c r="BG6" s="335"/>
    </row>
    <row r="7" spans="1:69" ht="15" customHeight="1" thickBot="1">
      <c r="F7" s="86" t="str">
        <f>ADPT</f>
        <v>Nybygg (innredet)</v>
      </c>
      <c r="G7" s="79"/>
      <c r="H7" s="839" t="s">
        <v>227</v>
      </c>
      <c r="I7" s="840"/>
      <c r="J7" s="840"/>
      <c r="K7" s="840"/>
      <c r="L7" s="840"/>
      <c r="M7" s="841" t="str">
        <f>Poeng!BR258</f>
        <v>No</v>
      </c>
      <c r="N7" s="547"/>
      <c r="O7" s="839" t="s">
        <v>227</v>
      </c>
      <c r="P7" s="606"/>
      <c r="Q7" s="606"/>
      <c r="R7" s="606"/>
      <c r="S7" s="606"/>
      <c r="T7" s="609" t="str">
        <f>IF(T8=AD_no,"",Poeng!BS258)</f>
        <v>No</v>
      </c>
      <c r="U7" s="68"/>
      <c r="V7" s="839" t="s">
        <v>227</v>
      </c>
      <c r="W7" s="608"/>
      <c r="X7" s="608"/>
      <c r="Y7" s="608"/>
      <c r="Z7" s="608"/>
      <c r="AA7" s="609" t="str">
        <f>IF(AA8=AD_no,"",Poeng!BT258)</f>
        <v>No</v>
      </c>
      <c r="AB7" s="79"/>
      <c r="AC7" s="1104"/>
      <c r="AD7" s="17"/>
      <c r="AE7" s="223"/>
      <c r="AF7" s="223"/>
      <c r="AG7" s="223"/>
      <c r="AH7" s="223"/>
      <c r="AL7"/>
      <c r="AM7"/>
      <c r="AN7"/>
      <c r="AO7"/>
      <c r="AP7"/>
      <c r="AQ7"/>
      <c r="AR7" s="17"/>
      <c r="AS7" s="17"/>
      <c r="AT7" s="17"/>
      <c r="AU7" s="17"/>
      <c r="AV7" s="17"/>
      <c r="AW7" s="17"/>
      <c r="AX7" s="17"/>
      <c r="AY7" s="17"/>
      <c r="AZ7" s="17"/>
      <c r="BA7" s="17"/>
      <c r="BB7" s="17"/>
      <c r="BC7" s="17"/>
      <c r="BD7" s="17"/>
      <c r="BE7" s="335"/>
      <c r="BF7" s="335"/>
      <c r="BG7" s="335"/>
    </row>
    <row r="8" spans="1:69" ht="15" customHeight="1">
      <c r="F8" s="843" t="str">
        <f>IF(OR(Poeng!BF264=1,Poeng!BI264=1,Poeng!BL264=1),Poeng!AX269,"")</f>
        <v/>
      </c>
      <c r="G8" s="79"/>
      <c r="H8" s="91"/>
      <c r="I8" s="79"/>
      <c r="J8" s="17"/>
      <c r="K8" s="17"/>
      <c r="L8" s="17"/>
      <c r="M8" s="708"/>
      <c r="N8" s="547"/>
      <c r="O8" s="709" t="s">
        <v>228</v>
      </c>
      <c r="P8" s="606"/>
      <c r="Q8" s="606"/>
      <c r="R8" s="606"/>
      <c r="S8" s="606"/>
      <c r="T8" s="610" t="s">
        <v>119</v>
      </c>
      <c r="U8" s="68"/>
      <c r="V8" s="710" t="s">
        <v>228</v>
      </c>
      <c r="W8" s="608"/>
      <c r="X8" s="608"/>
      <c r="Y8" s="608"/>
      <c r="Z8" s="608"/>
      <c r="AA8" s="610" t="s">
        <v>119</v>
      </c>
      <c r="AB8" s="79"/>
      <c r="AC8" s="1104"/>
      <c r="AD8" s="17"/>
      <c r="AE8" s="1098" t="s">
        <v>229</v>
      </c>
      <c r="AF8" s="1099"/>
      <c r="AG8" s="1099"/>
      <c r="AH8" s="223"/>
      <c r="AK8" s="32" t="str">
        <f>IF(ADBT0=ADBT12,ais_nei,ais_ja)</f>
        <v>Ja</v>
      </c>
      <c r="AL8" s="198"/>
      <c r="AM8" s="198"/>
      <c r="AN8" s="198"/>
      <c r="AO8"/>
      <c r="AP8"/>
      <c r="AQ8"/>
      <c r="AR8" s="17"/>
      <c r="AS8" s="17"/>
      <c r="AT8" s="17"/>
      <c r="AU8" s="17"/>
      <c r="AV8" s="17"/>
      <c r="AW8" s="17"/>
      <c r="AX8" s="17"/>
      <c r="AY8" s="17"/>
      <c r="AZ8" s="17"/>
      <c r="BA8" s="17"/>
      <c r="BB8" s="17"/>
      <c r="BC8" s="17"/>
      <c r="BD8" s="17"/>
      <c r="BE8" s="13"/>
      <c r="BF8" s="13"/>
      <c r="BG8" s="13"/>
    </row>
    <row r="9" spans="1:69" ht="37.5">
      <c r="A9" s="544" t="s">
        <v>230</v>
      </c>
      <c r="B9" s="544" t="s">
        <v>231</v>
      </c>
      <c r="C9" s="544"/>
      <c r="D9" s="544"/>
      <c r="E9" s="989" t="s">
        <v>232</v>
      </c>
      <c r="F9" s="988" t="s">
        <v>233</v>
      </c>
      <c r="G9" s="221" t="s">
        <v>234</v>
      </c>
      <c r="H9" s="989" t="s">
        <v>235</v>
      </c>
      <c r="I9" s="92" t="s">
        <v>236</v>
      </c>
      <c r="J9" s="93" t="s">
        <v>237</v>
      </c>
      <c r="K9" s="990" t="s">
        <v>238</v>
      </c>
      <c r="L9" s="991" t="s">
        <v>239</v>
      </c>
      <c r="M9" s="992" t="s">
        <v>240</v>
      </c>
      <c r="N9" s="993"/>
      <c r="O9" s="989" t="s">
        <v>235</v>
      </c>
      <c r="P9" s="92" t="s">
        <v>236</v>
      </c>
      <c r="Q9" s="93" t="s">
        <v>237</v>
      </c>
      <c r="R9" s="990" t="s">
        <v>238</v>
      </c>
      <c r="S9" s="991" t="s">
        <v>239</v>
      </c>
      <c r="T9" s="992" t="s">
        <v>240</v>
      </c>
      <c r="U9" s="68"/>
      <c r="V9" s="989" t="s">
        <v>235</v>
      </c>
      <c r="W9" s="92" t="s">
        <v>236</v>
      </c>
      <c r="X9" s="93" t="s">
        <v>237</v>
      </c>
      <c r="Y9" s="990" t="s">
        <v>238</v>
      </c>
      <c r="Z9" s="991" t="s">
        <v>239</v>
      </c>
      <c r="AA9" s="992" t="s">
        <v>240</v>
      </c>
      <c r="AC9" s="994" t="str">
        <f>IF(AK4=ais_ja,"Shell/core compliance?","")</f>
        <v/>
      </c>
      <c r="AD9" s="17"/>
      <c r="AE9" s="58" t="s">
        <v>241</v>
      </c>
      <c r="AF9" s="57" t="s">
        <v>242</v>
      </c>
      <c r="AG9" s="57" t="s">
        <v>243</v>
      </c>
      <c r="AJ9" s="56" t="s">
        <v>244</v>
      </c>
      <c r="AZ9" s="17"/>
      <c r="BA9" s="17"/>
      <c r="BB9" s="17"/>
      <c r="BC9" s="17"/>
      <c r="BD9" s="17"/>
      <c r="BE9" s="13"/>
      <c r="BF9" s="221" t="s">
        <v>234</v>
      </c>
      <c r="BG9" s="92"/>
      <c r="BH9" s="92" t="s">
        <v>236</v>
      </c>
      <c r="BI9" s="93" t="s">
        <v>237</v>
      </c>
      <c r="BJ9" s="993"/>
      <c r="BK9" s="92" t="s">
        <v>236</v>
      </c>
      <c r="BL9" s="92"/>
      <c r="BM9" s="93" t="s">
        <v>237</v>
      </c>
      <c r="BN9" s="68"/>
      <c r="BO9" s="92" t="s">
        <v>236</v>
      </c>
      <c r="BP9" s="92"/>
      <c r="BQ9" s="93" t="s">
        <v>237</v>
      </c>
    </row>
    <row r="10" spans="1:69" ht="34.5" customHeight="1">
      <c r="A10" s="792">
        <v>1</v>
      </c>
      <c r="B10" s="791" t="s">
        <v>245</v>
      </c>
      <c r="C10" s="790"/>
      <c r="D10" s="620"/>
      <c r="E10" s="961"/>
      <c r="F10" s="960" t="s">
        <v>246</v>
      </c>
      <c r="G10" s="662"/>
      <c r="H10" s="663"/>
      <c r="I10" s="662"/>
      <c r="J10" s="662"/>
      <c r="K10" s="664"/>
      <c r="L10" s="665"/>
      <c r="M10" s="666"/>
      <c r="N10" s="611"/>
      <c r="O10" s="612"/>
      <c r="P10" s="558"/>
      <c r="Q10" s="558"/>
      <c r="R10" s="613"/>
      <c r="S10" s="613"/>
      <c r="T10" s="550"/>
      <c r="U10" s="261"/>
      <c r="V10" s="274"/>
      <c r="W10" s="273"/>
      <c r="X10" s="273"/>
      <c r="Y10" s="614"/>
      <c r="Z10" s="614"/>
      <c r="AA10" s="615"/>
      <c r="AB10" s="104"/>
      <c r="AC10" s="478"/>
      <c r="AD10" s="17"/>
      <c r="AE10" s="224"/>
      <c r="AF10" s="224"/>
      <c r="AG10" s="224"/>
      <c r="AJ10" s="56"/>
      <c r="AK10" s="499" t="s">
        <v>247</v>
      </c>
      <c r="AL10" s="477"/>
      <c r="AM10" s="477"/>
      <c r="AN10" s="477"/>
      <c r="AO10" s="477"/>
      <c r="AP10" s="477"/>
      <c r="AQ10" s="477"/>
      <c r="AS10" s="477"/>
      <c r="AT10" s="477"/>
      <c r="AU10" s="477"/>
      <c r="AV10" s="477"/>
      <c r="AW10" s="203"/>
      <c r="AX10" s="203"/>
      <c r="AY10" s="203"/>
      <c r="AZ10" s="17"/>
      <c r="BA10" s="259"/>
      <c r="BB10" s="17"/>
      <c r="BC10" s="17"/>
      <c r="BD10" s="17"/>
      <c r="BE10" s="13"/>
      <c r="BF10" s="13"/>
      <c r="BG10" s="13"/>
    </row>
    <row r="11" spans="1:69">
      <c r="A11" s="792">
        <v>2</v>
      </c>
      <c r="B11" s="791" t="s">
        <v>245</v>
      </c>
      <c r="C11" s="704" t="s">
        <v>248</v>
      </c>
      <c r="D11" s="621" t="s">
        <v>248</v>
      </c>
      <c r="E11" s="962"/>
      <c r="F11" s="654" t="str">
        <f>BE11</f>
        <v>Man 01 Konseptutvikling og prosjektoptimalisering</v>
      </c>
      <c r="G11" s="659">
        <f>BF11</f>
        <v>5</v>
      </c>
      <c r="H11" s="745"/>
      <c r="I11" s="660" t="str">
        <f>BG11&amp;" c. "&amp;ROUND(BH11*100,1)&amp;" %"</f>
        <v>0 c. 0 %</v>
      </c>
      <c r="J11" s="703" t="str">
        <f>BI11</f>
        <v>N/A</v>
      </c>
      <c r="K11" s="667"/>
      <c r="L11" s="668"/>
      <c r="M11" s="669"/>
      <c r="N11" s="616"/>
      <c r="O11" s="746"/>
      <c r="P11" s="670" t="str">
        <f>BK11&amp;" c. "&amp;ROUND(BL11*100,1)&amp;" %"</f>
        <v>0 c. 0 %</v>
      </c>
      <c r="Q11" s="670" t="str">
        <f>BM11</f>
        <v>N/A</v>
      </c>
      <c r="R11" s="551"/>
      <c r="S11" s="552"/>
      <c r="T11" s="545"/>
      <c r="U11" s="261"/>
      <c r="V11" s="746"/>
      <c r="W11" s="670" t="str">
        <f>BO11&amp;" c. "&amp;ROUND(BP11*100,1)&amp;" %"</f>
        <v>0 c. 0 %</v>
      </c>
      <c r="X11" s="670" t="str">
        <f>BQ11</f>
        <v>N/A</v>
      </c>
      <c r="Y11" s="67"/>
      <c r="Z11" s="66"/>
      <c r="AA11" s="545"/>
      <c r="AB11" s="105"/>
      <c r="AC11" s="473" t="s">
        <v>123</v>
      </c>
      <c r="AD11" s="17">
        <f>IF(G11=0,1,0)</f>
        <v>0</v>
      </c>
      <c r="AE11" s="1">
        <f>IF(L11=$AE$4,$AF$4,IF(L11=$AE$5,$AF$5,IF(L11=$AE$6,$AF$6,0)))</f>
        <v>0</v>
      </c>
      <c r="AF11" s="1">
        <f>IF(S11=$AE$4,$AF$4,IF(S11=$AE$5,$AF$5,IF(S11=$AE$6,$AF$6,0)))</f>
        <v>0</v>
      </c>
      <c r="AG11" s="1">
        <f>IF(Z11=$AE$4,$AF$4,IF(Z11=$AE$5,$AF$5,IF(Z11=$AE$6,$AF$6,0)))</f>
        <v>0</v>
      </c>
      <c r="AJ11" s="56"/>
      <c r="AK11" s="499" t="s">
        <v>249</v>
      </c>
      <c r="AL11" s="479" t="s">
        <v>123</v>
      </c>
      <c r="AM11" s="481" t="s">
        <v>119</v>
      </c>
      <c r="AN11" s="56"/>
      <c r="AO11" s="56"/>
      <c r="AP11" s="56"/>
      <c r="AQ11" s="56"/>
      <c r="AT11" s="17" t="str">
        <f>IF($AK$4=ais_nei,AIS_NA,IF(AL11="",AIS_NA,AL11))</f>
        <v>N/A</v>
      </c>
      <c r="AU11" s="17" t="str">
        <f>IF($AK$4=ais_nei,AIS_NA,IF(AM11="",AIS_NA,AM11))</f>
        <v>N/A</v>
      </c>
      <c r="AV11" s="17" t="str">
        <f>IF($AK$4=ais_nei,AIS_NA,IF(AN11="",AIS_NA,AN11))</f>
        <v>N/A</v>
      </c>
      <c r="AW11" s="17"/>
      <c r="AX11" s="17"/>
      <c r="AY11" s="17"/>
      <c r="AZ11" s="17"/>
      <c r="BA11" s="473"/>
      <c r="BB11" s="17">
        <f>VLOOKUP(D11,Poeng!$B$10:$AC$256,Poeng!$AC$1,FALSE)</f>
        <v>10</v>
      </c>
      <c r="BC11" s="17" t="b">
        <f>D11=BD11</f>
        <v>1</v>
      </c>
      <c r="BD11" s="17" t="str">
        <f>Poeng!B10</f>
        <v>Man 01</v>
      </c>
      <c r="BE11" s="13" t="str">
        <f>Poeng!E10</f>
        <v>Man 01 Konseptutvikling og prosjektoptimalisering</v>
      </c>
      <c r="BF11" s="13">
        <f>Poeng!AB10</f>
        <v>5</v>
      </c>
      <c r="BG11" s="13">
        <f>Poeng!AI10</f>
        <v>0</v>
      </c>
      <c r="BH11" s="1076">
        <f>Poeng!AE10</f>
        <v>0</v>
      </c>
      <c r="BI11" s="1" t="str">
        <f>Poeng!BE10</f>
        <v>N/A</v>
      </c>
      <c r="BK11" s="1">
        <f>Poeng!AJ10</f>
        <v>0</v>
      </c>
      <c r="BL11" s="1076">
        <f>Poeng!AF10</f>
        <v>0</v>
      </c>
      <c r="BM11" s="1076" t="str">
        <f>Poeng!BH10</f>
        <v>N/A</v>
      </c>
      <c r="BO11" s="1">
        <f>Poeng!AK10</f>
        <v>0</v>
      </c>
      <c r="BP11" s="1076">
        <f>Poeng!AG10</f>
        <v>0</v>
      </c>
      <c r="BQ11" s="1076" t="str">
        <f>Poeng!BK10</f>
        <v>N/A</v>
      </c>
    </row>
    <row r="12" spans="1:69">
      <c r="A12" s="792">
        <v>3</v>
      </c>
      <c r="B12" s="791" t="s">
        <v>245</v>
      </c>
      <c r="C12" s="97" t="s">
        <v>248</v>
      </c>
      <c r="D12" s="14" t="s">
        <v>250</v>
      </c>
      <c r="E12" s="963">
        <v>1</v>
      </c>
      <c r="F12" s="655" t="str">
        <f>BE12</f>
        <v>Planlegging av  prosjektering  og utførelse</v>
      </c>
      <c r="G12" s="95">
        <f>BF12</f>
        <v>1</v>
      </c>
      <c r="H12" s="29"/>
      <c r="I12" s="96">
        <f t="shared" ref="I12:J16" si="0">BH12</f>
        <v>0</v>
      </c>
      <c r="J12" s="97" t="str">
        <f t="shared" si="0"/>
        <v>Very Good</v>
      </c>
      <c r="K12" s="66"/>
      <c r="L12" s="228"/>
      <c r="M12" s="601"/>
      <c r="N12" s="804"/>
      <c r="O12" s="69"/>
      <c r="P12" s="96">
        <f t="shared" ref="P12:Q16" si="1">BL12</f>
        <v>0</v>
      </c>
      <c r="Q12" s="96" t="str">
        <f t="shared" si="1"/>
        <v>Very Good</v>
      </c>
      <c r="R12" s="551"/>
      <c r="S12" s="552"/>
      <c r="T12" s="545"/>
      <c r="U12" s="261"/>
      <c r="V12" s="69"/>
      <c r="W12" s="96">
        <f t="shared" ref="W12:X16" si="2">BP12</f>
        <v>0</v>
      </c>
      <c r="X12" s="96" t="str">
        <f t="shared" si="2"/>
        <v>Very Good</v>
      </c>
      <c r="Y12" s="67"/>
      <c r="Z12" s="66"/>
      <c r="AA12" s="545"/>
      <c r="AD12" s="17">
        <f t="shared" ref="AD12:AD75" si="3">IF(G12=0,1,0)</f>
        <v>0</v>
      </c>
      <c r="AE12" s="1">
        <f t="shared" ref="AE12:AE18" si="4">IF(L12=$AE$4,$AF$4,IF(L12=$AE$5,$AF$5,IF(L12=$AE$6,$AF$6,0)))</f>
        <v>0</v>
      </c>
      <c r="AF12" s="1">
        <f t="shared" ref="AF12:AF18" si="5">IF(S12=$AE$4,$AF$4,IF(S12=$AE$5,$AF$5,IF(S12=$AE$6,$AF$6,0)))</f>
        <v>0</v>
      </c>
      <c r="AG12" s="1">
        <f t="shared" ref="AG12:AG18" si="6">IF(Z12=$AE$4,$AF$4,IF(Z12=$AE$5,$AF$5,IF(Z12=$AE$6,$AF$6,0)))</f>
        <v>0</v>
      </c>
      <c r="BB12" s="17"/>
      <c r="BC12" s="17" t="b">
        <f t="shared" ref="BC12:BC76" si="7">D12=BD12</f>
        <v>1</v>
      </c>
      <c r="BD12" s="17" t="str">
        <f>Poeng!B11</f>
        <v>Man 01a</v>
      </c>
      <c r="BE12" s="13" t="str">
        <f>Poeng!E11</f>
        <v>Planlegging av  prosjektering  og utførelse</v>
      </c>
      <c r="BF12" s="13">
        <f>Poeng!AB11</f>
        <v>1</v>
      </c>
      <c r="BG12" s="13">
        <f>Poeng!AI11</f>
        <v>0</v>
      </c>
      <c r="BH12" s="1076">
        <f>Poeng!AE11</f>
        <v>0</v>
      </c>
      <c r="BI12" s="1" t="str">
        <f>Poeng!BE11</f>
        <v>Very Good</v>
      </c>
      <c r="BK12" s="1">
        <f>Poeng!AJ11</f>
        <v>0</v>
      </c>
      <c r="BL12" s="1076">
        <f>Poeng!AF11</f>
        <v>0</v>
      </c>
      <c r="BM12" s="1076" t="str">
        <f>Poeng!BH11</f>
        <v>Very Good</v>
      </c>
      <c r="BO12" s="1">
        <f>Poeng!AK11</f>
        <v>0</v>
      </c>
      <c r="BP12" s="1076">
        <f>Poeng!AG11</f>
        <v>0</v>
      </c>
      <c r="BQ12" s="1076" t="str">
        <f>Poeng!BK11</f>
        <v>Very Good</v>
      </c>
    </row>
    <row r="13" spans="1:69">
      <c r="A13" s="792">
        <v>4</v>
      </c>
      <c r="B13" s="791" t="s">
        <v>245</v>
      </c>
      <c r="C13" s="97" t="s">
        <v>248</v>
      </c>
      <c r="D13" s="14" t="s">
        <v>251</v>
      </c>
      <c r="E13" s="964" t="s">
        <v>252</v>
      </c>
      <c r="F13" s="655" t="str">
        <f t="shared" ref="F13:F34" si="8">BE13</f>
        <v>Samlet klimagassregnskap for byggets levetid (EU taksonomi: krit. 2-3)</v>
      </c>
      <c r="G13" s="95">
        <f t="shared" ref="G13:G20" si="9">BF13</f>
        <v>1</v>
      </c>
      <c r="H13" s="29"/>
      <c r="I13" s="96">
        <f t="shared" si="0"/>
        <v>0</v>
      </c>
      <c r="J13" s="97" t="str">
        <f t="shared" si="0"/>
        <v>Very Good</v>
      </c>
      <c r="K13" s="66"/>
      <c r="L13" s="228"/>
      <c r="M13" s="601"/>
      <c r="N13" s="804"/>
      <c r="O13" s="69"/>
      <c r="P13" s="96">
        <f t="shared" si="1"/>
        <v>0</v>
      </c>
      <c r="Q13" s="96" t="str">
        <f t="shared" si="1"/>
        <v>Very Good</v>
      </c>
      <c r="R13" s="551"/>
      <c r="S13" s="552"/>
      <c r="T13" s="545"/>
      <c r="U13" s="261"/>
      <c r="V13" s="69"/>
      <c r="W13" s="96">
        <f t="shared" si="2"/>
        <v>0</v>
      </c>
      <c r="X13" s="96" t="str">
        <f t="shared" si="2"/>
        <v>Very Good</v>
      </c>
      <c r="Y13" s="67"/>
      <c r="Z13" s="66"/>
      <c r="AA13" s="545"/>
      <c r="AD13" s="17">
        <f t="shared" si="3"/>
        <v>0</v>
      </c>
      <c r="AE13" s="1">
        <f t="shared" si="4"/>
        <v>0</v>
      </c>
      <c r="AF13" s="1">
        <f t="shared" si="5"/>
        <v>0</v>
      </c>
      <c r="AG13" s="1">
        <f t="shared" si="6"/>
        <v>0</v>
      </c>
      <c r="BB13" s="17"/>
      <c r="BC13" s="17" t="b">
        <f t="shared" si="7"/>
        <v>1</v>
      </c>
      <c r="BD13" s="17" t="str">
        <f>Poeng!B12</f>
        <v>Man 01b</v>
      </c>
      <c r="BE13" s="13" t="str">
        <f>Poeng!E12</f>
        <v>Samlet klimagassregnskap for byggets levetid (EU taksonomi: krit. 2-3)</v>
      </c>
      <c r="BF13" s="13">
        <f>Poeng!AB12</f>
        <v>1</v>
      </c>
      <c r="BG13" s="13">
        <f>Poeng!AI12</f>
        <v>0</v>
      </c>
      <c r="BH13" s="1076">
        <f>Poeng!AE12</f>
        <v>0</v>
      </c>
      <c r="BI13" s="1" t="str">
        <f>Poeng!BE12</f>
        <v>Very Good</v>
      </c>
      <c r="BK13" s="1">
        <f>Poeng!AJ12</f>
        <v>0</v>
      </c>
      <c r="BL13" s="1076">
        <f>Poeng!AF12</f>
        <v>0</v>
      </c>
      <c r="BM13" s="1076" t="str">
        <f>Poeng!BH12</f>
        <v>Very Good</v>
      </c>
      <c r="BO13" s="1">
        <f>Poeng!AK12</f>
        <v>0</v>
      </c>
      <c r="BP13" s="1076">
        <f>Poeng!AG12</f>
        <v>0</v>
      </c>
      <c r="BQ13" s="1076" t="str">
        <f>Poeng!BK12</f>
        <v>Very Good</v>
      </c>
    </row>
    <row r="14" spans="1:69">
      <c r="A14" s="792">
        <v>5</v>
      </c>
      <c r="B14" s="791" t="s">
        <v>245</v>
      </c>
      <c r="C14" s="97" t="s">
        <v>248</v>
      </c>
      <c r="D14" s="14" t="s">
        <v>253</v>
      </c>
      <c r="E14" s="975" t="s">
        <v>254</v>
      </c>
      <c r="F14" s="655" t="str">
        <f t="shared" si="8"/>
        <v>Involvering av eksterne interessenter</v>
      </c>
      <c r="G14" s="95">
        <f t="shared" si="9"/>
        <v>1</v>
      </c>
      <c r="H14" s="29"/>
      <c r="I14" s="96">
        <f t="shared" si="0"/>
        <v>0</v>
      </c>
      <c r="J14" s="97" t="str">
        <f t="shared" si="0"/>
        <v>N/A</v>
      </c>
      <c r="K14" s="66"/>
      <c r="L14" s="228"/>
      <c r="M14" s="545"/>
      <c r="N14" s="804"/>
      <c r="O14" s="69"/>
      <c r="P14" s="96">
        <f t="shared" si="1"/>
        <v>0</v>
      </c>
      <c r="Q14" s="96" t="str">
        <f t="shared" si="1"/>
        <v>N/A</v>
      </c>
      <c r="R14" s="551"/>
      <c r="S14" s="552"/>
      <c r="T14" s="545"/>
      <c r="U14" s="261"/>
      <c r="V14" s="69"/>
      <c r="W14" s="96">
        <f t="shared" si="2"/>
        <v>0</v>
      </c>
      <c r="X14" s="96" t="str">
        <f t="shared" si="2"/>
        <v>N/A</v>
      </c>
      <c r="Y14" s="67"/>
      <c r="Z14" s="66"/>
      <c r="AA14" s="545"/>
      <c r="AD14" s="17">
        <f t="shared" si="3"/>
        <v>0</v>
      </c>
      <c r="AE14" s="1">
        <f t="shared" si="4"/>
        <v>0</v>
      </c>
      <c r="AF14" s="1">
        <f t="shared" si="5"/>
        <v>0</v>
      </c>
      <c r="AG14" s="1">
        <f t="shared" si="6"/>
        <v>0</v>
      </c>
      <c r="BB14" s="17"/>
      <c r="BC14" s="17" t="b">
        <f t="shared" si="7"/>
        <v>1</v>
      </c>
      <c r="BD14" s="17" t="str">
        <f>Poeng!B13</f>
        <v>Man 01c</v>
      </c>
      <c r="BE14" s="13" t="str">
        <f>Poeng!E13</f>
        <v>Involvering av eksterne interessenter</v>
      </c>
      <c r="BF14" s="13">
        <f>Poeng!AB13</f>
        <v>1</v>
      </c>
      <c r="BG14" s="13">
        <f>Poeng!AI13</f>
        <v>0</v>
      </c>
      <c r="BH14" s="1076">
        <f>Poeng!AE13</f>
        <v>0</v>
      </c>
      <c r="BI14" s="1" t="str">
        <f>Poeng!BE13</f>
        <v>N/A</v>
      </c>
      <c r="BK14" s="1">
        <f>Poeng!AJ13</f>
        <v>0</v>
      </c>
      <c r="BL14" s="1076">
        <f>Poeng!AF13</f>
        <v>0</v>
      </c>
      <c r="BM14" s="1076" t="str">
        <f>Poeng!BH13</f>
        <v>N/A</v>
      </c>
      <c r="BO14" s="1">
        <f>Poeng!AK13</f>
        <v>0</v>
      </c>
      <c r="BP14" s="1076">
        <f>Poeng!AG13</f>
        <v>0</v>
      </c>
      <c r="BQ14" s="1076" t="str">
        <f>Poeng!BK13</f>
        <v>N/A</v>
      </c>
    </row>
    <row r="15" spans="1:69">
      <c r="A15" s="792">
        <v>6</v>
      </c>
      <c r="B15" s="791" t="s">
        <v>245</v>
      </c>
      <c r="C15" s="97" t="s">
        <v>248</v>
      </c>
      <c r="D15" s="14" t="s">
        <v>255</v>
      </c>
      <c r="E15" s="964" t="s">
        <v>256</v>
      </c>
      <c r="F15" s="655" t="str">
        <f t="shared" si="8"/>
        <v>BREEAM-NOR AP (steg 2 og 3)</v>
      </c>
      <c r="G15" s="95">
        <f t="shared" si="9"/>
        <v>1</v>
      </c>
      <c r="H15" s="29"/>
      <c r="I15" s="96">
        <f t="shared" si="0"/>
        <v>0</v>
      </c>
      <c r="J15" s="97" t="str">
        <f t="shared" si="0"/>
        <v>N/A</v>
      </c>
      <c r="K15" s="66"/>
      <c r="L15" s="228"/>
      <c r="M15" s="601"/>
      <c r="N15" s="804"/>
      <c r="O15" s="69"/>
      <c r="P15" s="96">
        <f t="shared" si="1"/>
        <v>0</v>
      </c>
      <c r="Q15" s="96" t="str">
        <f t="shared" si="1"/>
        <v>N/A</v>
      </c>
      <c r="R15" s="551"/>
      <c r="S15" s="552"/>
      <c r="T15" s="545"/>
      <c r="U15" s="261"/>
      <c r="V15" s="69"/>
      <c r="W15" s="96">
        <f t="shared" si="2"/>
        <v>0</v>
      </c>
      <c r="X15" s="96" t="str">
        <f t="shared" si="2"/>
        <v>N/A</v>
      </c>
      <c r="Y15" s="67"/>
      <c r="Z15" s="66"/>
      <c r="AA15" s="545"/>
      <c r="AD15" s="17">
        <f t="shared" si="3"/>
        <v>0</v>
      </c>
      <c r="AE15" s="1">
        <f>IF(L15=$AE$4,$AF$4,IF(L15=$AE$5,$AF$5,IF(L15=$AE$6,$AF$6,0)))</f>
        <v>0</v>
      </c>
      <c r="AF15" s="1">
        <f t="shared" si="5"/>
        <v>0</v>
      </c>
      <c r="AG15" s="1">
        <f t="shared" si="6"/>
        <v>0</v>
      </c>
      <c r="BB15" s="17"/>
      <c r="BC15" s="17" t="b">
        <f t="shared" si="7"/>
        <v>1</v>
      </c>
      <c r="BD15" s="17" t="str">
        <f>Poeng!B14</f>
        <v>Man 01d</v>
      </c>
      <c r="BE15" s="13" t="str">
        <f>Poeng!E14</f>
        <v>BREEAM-NOR AP (steg 2 og 3)</v>
      </c>
      <c r="BF15" s="13">
        <f>Poeng!AB14</f>
        <v>1</v>
      </c>
      <c r="BG15" s="13">
        <f>Poeng!AI14</f>
        <v>0</v>
      </c>
      <c r="BH15" s="1076">
        <f>Poeng!AE14</f>
        <v>0</v>
      </c>
      <c r="BI15" s="1" t="str">
        <f>Poeng!BE14</f>
        <v>N/A</v>
      </c>
      <c r="BK15" s="1">
        <f>Poeng!AJ14</f>
        <v>0</v>
      </c>
      <c r="BL15" s="1076">
        <f>Poeng!AF14</f>
        <v>0</v>
      </c>
      <c r="BM15" s="1076" t="str">
        <f>Poeng!BH14</f>
        <v>N/A</v>
      </c>
      <c r="BO15" s="1">
        <f>Poeng!AK14</f>
        <v>0</v>
      </c>
      <c r="BP15" s="1076">
        <f>Poeng!AG14</f>
        <v>0</v>
      </c>
      <c r="BQ15" s="1076" t="str">
        <f>Poeng!BK14</f>
        <v>N/A</v>
      </c>
    </row>
    <row r="16" spans="1:69">
      <c r="A16" s="792">
        <v>7</v>
      </c>
      <c r="B16" s="791" t="s">
        <v>245</v>
      </c>
      <c r="C16" s="97" t="s">
        <v>248</v>
      </c>
      <c r="D16" s="14" t="s">
        <v>257</v>
      </c>
      <c r="E16" s="964" t="s">
        <v>258</v>
      </c>
      <c r="F16" s="655" t="str">
        <f t="shared" si="8"/>
        <v>BREEAM-NOR AP (steg 4)</v>
      </c>
      <c r="G16" s="95">
        <f t="shared" si="9"/>
        <v>1</v>
      </c>
      <c r="H16" s="29"/>
      <c r="I16" s="96">
        <f t="shared" si="0"/>
        <v>0</v>
      </c>
      <c r="J16" s="97" t="str">
        <f t="shared" si="0"/>
        <v>N/A</v>
      </c>
      <c r="K16" s="66"/>
      <c r="L16" s="228"/>
      <c r="M16" s="601"/>
      <c r="N16" s="804"/>
      <c r="O16" s="69"/>
      <c r="P16" s="96">
        <f t="shared" si="1"/>
        <v>0</v>
      </c>
      <c r="Q16" s="96" t="str">
        <f t="shared" si="1"/>
        <v>N/A</v>
      </c>
      <c r="R16" s="551"/>
      <c r="S16" s="552"/>
      <c r="T16" s="545"/>
      <c r="U16" s="261"/>
      <c r="V16" s="69"/>
      <c r="W16" s="96">
        <f t="shared" si="2"/>
        <v>0</v>
      </c>
      <c r="X16" s="96" t="str">
        <f t="shared" si="2"/>
        <v>N/A</v>
      </c>
      <c r="Y16" s="67"/>
      <c r="Z16" s="66"/>
      <c r="AA16" s="545"/>
      <c r="AD16" s="17">
        <f t="shared" si="3"/>
        <v>0</v>
      </c>
      <c r="AE16" s="1">
        <f t="shared" si="4"/>
        <v>0</v>
      </c>
      <c r="AF16" s="1">
        <f t="shared" si="5"/>
        <v>0</v>
      </c>
      <c r="AG16" s="1">
        <f t="shared" si="6"/>
        <v>0</v>
      </c>
      <c r="BB16" s="17"/>
      <c r="BC16" s="17" t="b">
        <f t="shared" si="7"/>
        <v>1</v>
      </c>
      <c r="BD16" s="17" t="str">
        <f>Poeng!B15</f>
        <v>Man 01e</v>
      </c>
      <c r="BE16" s="13" t="str">
        <f>Poeng!E15</f>
        <v>BREEAM-NOR AP (steg 4)</v>
      </c>
      <c r="BF16" s="13">
        <f>Poeng!AB15</f>
        <v>1</v>
      </c>
      <c r="BG16" s="13">
        <f>Poeng!AI15</f>
        <v>0</v>
      </c>
      <c r="BH16" s="1076">
        <f>Poeng!AE15</f>
        <v>0</v>
      </c>
      <c r="BI16" s="1" t="str">
        <f>Poeng!BE15</f>
        <v>N/A</v>
      </c>
      <c r="BK16" s="1">
        <f>Poeng!AJ15</f>
        <v>0</v>
      </c>
      <c r="BL16" s="1076">
        <f>Poeng!AF15</f>
        <v>0</v>
      </c>
      <c r="BM16" s="1076" t="str">
        <f>Poeng!BH15</f>
        <v>N/A</v>
      </c>
      <c r="BO16" s="1">
        <f>Poeng!AK15</f>
        <v>0</v>
      </c>
      <c r="BP16" s="1076">
        <f>Poeng!AG15</f>
        <v>0</v>
      </c>
      <c r="BQ16" s="1076" t="str">
        <f>Poeng!BK15</f>
        <v>N/A</v>
      </c>
    </row>
    <row r="17" spans="1:69">
      <c r="A17" s="792">
        <v>8</v>
      </c>
      <c r="B17" s="791" t="s">
        <v>245</v>
      </c>
      <c r="C17" s="704" t="s">
        <v>259</v>
      </c>
      <c r="D17" s="621" t="s">
        <v>259</v>
      </c>
      <c r="E17" s="963"/>
      <c r="F17" s="654" t="str">
        <f>BE17</f>
        <v>Man 02 Livsløpskostnader og levetidsplanlegging</v>
      </c>
      <c r="G17" s="659">
        <f t="shared" si="9"/>
        <v>3</v>
      </c>
      <c r="H17" s="746"/>
      <c r="I17" s="660" t="str">
        <f>BG17&amp;" c. "&amp;ROUND(BH17*100,1)&amp;" %"</f>
        <v>0 c. 0 %</v>
      </c>
      <c r="J17" s="703" t="str">
        <f>BI17</f>
        <v>N/A</v>
      </c>
      <c r="K17" s="66"/>
      <c r="L17" s="228"/>
      <c r="M17" s="601"/>
      <c r="N17" s="616"/>
      <c r="O17" s="746"/>
      <c r="P17" s="670" t="str">
        <f>BK17&amp;" c. "&amp;ROUND(BL17*100,1)&amp;" %"</f>
        <v>0 c. 0 %</v>
      </c>
      <c r="Q17" s="670" t="str">
        <f>BM17</f>
        <v>N/A</v>
      </c>
      <c r="R17" s="551"/>
      <c r="S17" s="552"/>
      <c r="T17" s="545"/>
      <c r="U17" s="261"/>
      <c r="V17" s="746"/>
      <c r="W17" s="670" t="str">
        <f>BO17&amp;" c. "&amp;ROUND(BP17*100,1)&amp;" %"</f>
        <v>0 c. 0 %</v>
      </c>
      <c r="X17" s="670" t="str">
        <f>BQ17</f>
        <v>N/A</v>
      </c>
      <c r="Y17" s="67"/>
      <c r="Z17" s="66"/>
      <c r="AA17" s="545"/>
      <c r="AB17" s="105"/>
      <c r="AC17" s="473" t="s">
        <v>123</v>
      </c>
      <c r="AD17" s="17">
        <f t="shared" si="3"/>
        <v>0</v>
      </c>
      <c r="AE17" s="1">
        <f t="shared" si="4"/>
        <v>0</v>
      </c>
      <c r="AF17" s="1">
        <f t="shared" si="5"/>
        <v>0</v>
      </c>
      <c r="AG17" s="1">
        <f t="shared" si="6"/>
        <v>0</v>
      </c>
      <c r="AJ17" s="56"/>
      <c r="AK17" s="499" t="s">
        <v>260</v>
      </c>
      <c r="AL17" s="479" t="s">
        <v>123</v>
      </c>
      <c r="AM17" s="481" t="s">
        <v>119</v>
      </c>
      <c r="AN17" s="56"/>
      <c r="AO17" s="56"/>
      <c r="AP17" s="56"/>
      <c r="AQ17" s="56"/>
      <c r="AT17" s="17" t="str">
        <f>IF($AK$4=ais_nei,AIS_NA,IF(AL17="",AIS_NA,AL17))</f>
        <v>N/A</v>
      </c>
      <c r="AU17" s="17" t="str">
        <f>IF($AK$4=ais_nei,AIS_NA,IF(AM17="",AIS_NA,AM17))</f>
        <v>N/A</v>
      </c>
      <c r="AV17" s="17" t="str">
        <f>IF($AK$4=ais_nei,AIS_NA,IF(AN17="",AIS_NA,AN17))</f>
        <v>N/A</v>
      </c>
      <c r="AW17" s="17"/>
      <c r="AX17" s="17"/>
      <c r="AY17" s="17"/>
      <c r="AZ17" s="13"/>
      <c r="BA17" s="473"/>
      <c r="BB17" s="17"/>
      <c r="BC17" s="17" t="b">
        <f t="shared" si="7"/>
        <v>1</v>
      </c>
      <c r="BD17" s="17" t="str">
        <f>Poeng!B16</f>
        <v>Man 02</v>
      </c>
      <c r="BE17" s="13" t="str">
        <f>Poeng!E16</f>
        <v>Man 02 Livsløpskostnader og levetidsplanlegging</v>
      </c>
      <c r="BF17" s="13">
        <f>Poeng!AB16</f>
        <v>3</v>
      </c>
      <c r="BG17" s="13">
        <f>Poeng!AI16</f>
        <v>0</v>
      </c>
      <c r="BH17" s="1076">
        <f>Poeng!AE16</f>
        <v>0</v>
      </c>
      <c r="BI17" s="1" t="str">
        <f>Poeng!BE16</f>
        <v>N/A</v>
      </c>
      <c r="BK17" s="1">
        <f>Poeng!AJ16</f>
        <v>0</v>
      </c>
      <c r="BL17" s="1076">
        <f>Poeng!AF16</f>
        <v>0</v>
      </c>
      <c r="BM17" s="1076" t="str">
        <f>Poeng!BH16</f>
        <v>N/A</v>
      </c>
      <c r="BO17" s="1">
        <f>Poeng!AK16</f>
        <v>0</v>
      </c>
      <c r="BP17" s="1076">
        <f>Poeng!AG16</f>
        <v>0</v>
      </c>
      <c r="BQ17" s="1076" t="str">
        <f>Poeng!BK16</f>
        <v>N/A</v>
      </c>
    </row>
    <row r="18" spans="1:69" ht="30">
      <c r="A18" s="792">
        <v>9</v>
      </c>
      <c r="B18" s="791" t="s">
        <v>245</v>
      </c>
      <c r="C18" s="97" t="s">
        <v>259</v>
      </c>
      <c r="D18" s="621" t="s">
        <v>261</v>
      </c>
      <c r="E18" s="964" t="s">
        <v>262</v>
      </c>
      <c r="F18" s="787" t="str">
        <f t="shared" si="8"/>
        <v>Vurdering av et byggs livsløpskostnader (LCC) og rapportering av investeringskostnader</v>
      </c>
      <c r="G18" s="95">
        <f t="shared" si="9"/>
        <v>2</v>
      </c>
      <c r="H18" s="29"/>
      <c r="I18" s="96">
        <f>BH18</f>
        <v>0</v>
      </c>
      <c r="J18" s="97" t="str">
        <f>BI18</f>
        <v>N/A</v>
      </c>
      <c r="K18" s="66"/>
      <c r="L18" s="228"/>
      <c r="M18" s="601"/>
      <c r="N18" s="616"/>
      <c r="O18" s="69"/>
      <c r="P18" s="96">
        <f>BL18</f>
        <v>0</v>
      </c>
      <c r="Q18" s="96" t="str">
        <f>BM18</f>
        <v>N/A</v>
      </c>
      <c r="R18" s="551"/>
      <c r="S18" s="552"/>
      <c r="T18" s="545"/>
      <c r="U18" s="261"/>
      <c r="V18" s="69"/>
      <c r="W18" s="96">
        <f>BP18</f>
        <v>0</v>
      </c>
      <c r="X18" s="96" t="str">
        <f>BQ18</f>
        <v>N/A</v>
      </c>
      <c r="Y18" s="67"/>
      <c r="Z18" s="66"/>
      <c r="AA18" s="545"/>
      <c r="AB18" s="105"/>
      <c r="AC18" s="473"/>
      <c r="AD18" s="17">
        <f t="shared" si="3"/>
        <v>0</v>
      </c>
      <c r="AE18" s="1">
        <f t="shared" si="4"/>
        <v>0</v>
      </c>
      <c r="AF18" s="1">
        <f t="shared" si="5"/>
        <v>0</v>
      </c>
      <c r="AG18" s="1">
        <f t="shared" si="6"/>
        <v>0</v>
      </c>
      <c r="AJ18" s="56"/>
      <c r="AK18" s="499"/>
      <c r="AL18" s="479"/>
      <c r="AM18" s="481"/>
      <c r="AN18" s="56"/>
      <c r="AO18" s="56"/>
      <c r="AP18" s="56"/>
      <c r="AQ18" s="56"/>
      <c r="AT18" s="17"/>
      <c r="AU18" s="17"/>
      <c r="AV18" s="17"/>
      <c r="AW18" s="17"/>
      <c r="AX18" s="17"/>
      <c r="AY18" s="17"/>
      <c r="AZ18" s="13"/>
      <c r="BA18" s="473"/>
      <c r="BB18" s="17"/>
      <c r="BC18" s="17" t="b">
        <f t="shared" si="7"/>
        <v>1</v>
      </c>
      <c r="BD18" s="17" t="str">
        <f>Poeng!B17</f>
        <v>Man 02a</v>
      </c>
      <c r="BE18" s="13" t="str">
        <f>Poeng!E17</f>
        <v>Vurdering av et byggs livsløpskostnader (LCC) og rapportering av investeringskostnader</v>
      </c>
      <c r="BF18" s="13">
        <f>Poeng!AB17</f>
        <v>2</v>
      </c>
      <c r="BG18" s="13">
        <f>Poeng!AI17</f>
        <v>0</v>
      </c>
      <c r="BH18" s="1076">
        <f>Poeng!AE17</f>
        <v>0</v>
      </c>
      <c r="BI18" s="1" t="str">
        <f>Poeng!BE17</f>
        <v>N/A</v>
      </c>
      <c r="BK18" s="1">
        <f>Poeng!AJ17</f>
        <v>0</v>
      </c>
      <c r="BL18" s="1076">
        <f>Poeng!AF17</f>
        <v>0</v>
      </c>
      <c r="BM18" s="1076" t="str">
        <f>Poeng!BH17</f>
        <v>N/A</v>
      </c>
      <c r="BO18" s="1">
        <f>Poeng!AK17</f>
        <v>0</v>
      </c>
      <c r="BP18" s="1076">
        <f>Poeng!AG17</f>
        <v>0</v>
      </c>
      <c r="BQ18" s="1076" t="str">
        <f>Poeng!BK17</f>
        <v>N/A</v>
      </c>
    </row>
    <row r="19" spans="1:69">
      <c r="A19" s="792">
        <v>10</v>
      </c>
      <c r="B19" s="791" t="s">
        <v>245</v>
      </c>
      <c r="C19" s="97" t="s">
        <v>259</v>
      </c>
      <c r="D19" s="621" t="s">
        <v>263</v>
      </c>
      <c r="E19" s="964" t="s">
        <v>264</v>
      </c>
      <c r="F19" s="655" t="str">
        <f t="shared" si="8"/>
        <v>Vurdering av bygningsdelers livssykluskostnader</v>
      </c>
      <c r="G19" s="95">
        <f t="shared" si="9"/>
        <v>1</v>
      </c>
      <c r="H19" s="29"/>
      <c r="I19" s="96">
        <f>BH19</f>
        <v>0</v>
      </c>
      <c r="J19" s="97" t="str">
        <f>BI19</f>
        <v>N/A</v>
      </c>
      <c r="K19" s="66"/>
      <c r="L19" s="228"/>
      <c r="M19" s="601"/>
      <c r="N19" s="616"/>
      <c r="O19" s="69"/>
      <c r="P19" s="96">
        <f>BL19</f>
        <v>0</v>
      </c>
      <c r="Q19" s="96" t="str">
        <f>BM19</f>
        <v>N/A</v>
      </c>
      <c r="R19" s="551"/>
      <c r="S19" s="552"/>
      <c r="T19" s="545"/>
      <c r="U19" s="261"/>
      <c r="V19" s="69"/>
      <c r="W19" s="96">
        <f>BP19</f>
        <v>0</v>
      </c>
      <c r="X19" s="96" t="str">
        <f>BQ19</f>
        <v>N/A</v>
      </c>
      <c r="Y19" s="67"/>
      <c r="Z19" s="66"/>
      <c r="AA19" s="545"/>
      <c r="AB19" s="105"/>
      <c r="AC19" s="473"/>
      <c r="AD19" s="17">
        <f t="shared" si="3"/>
        <v>0</v>
      </c>
      <c r="AE19" s="1">
        <f t="shared" ref="AE19:AE34" si="10">IF(L19=$AE$4,$AF$4,IF(L19=$AE$5,$AF$5,IF(L19=$AE$6,$AF$6,0)))</f>
        <v>0</v>
      </c>
      <c r="AF19" s="1">
        <f t="shared" ref="AF19:AF34" si="11">IF(S19=$AE$4,$AF$4,IF(S19=$AE$5,$AF$5,IF(S19=$AE$6,$AF$6,0)))</f>
        <v>0</v>
      </c>
      <c r="AG19" s="1">
        <f t="shared" ref="AG19:AG34" si="12">IF(Z19=$AE$4,$AF$4,IF(Z19=$AE$5,$AF$5,IF(Z19=$AE$6,$AF$6,0)))</f>
        <v>0</v>
      </c>
      <c r="AJ19" s="56"/>
      <c r="AK19" s="499"/>
      <c r="AL19" s="479"/>
      <c r="AM19" s="481"/>
      <c r="AN19" s="56"/>
      <c r="AO19" s="56"/>
      <c r="AP19" s="56"/>
      <c r="AQ19" s="56"/>
      <c r="AT19" s="17"/>
      <c r="AU19" s="17"/>
      <c r="AV19" s="17"/>
      <c r="AW19" s="17"/>
      <c r="AX19" s="17"/>
      <c r="AY19" s="17"/>
      <c r="AZ19" s="13"/>
      <c r="BA19" s="473"/>
      <c r="BB19" s="17"/>
      <c r="BC19" s="17" t="b">
        <f t="shared" si="7"/>
        <v>1</v>
      </c>
      <c r="BD19" s="17" t="str">
        <f>Poeng!B18</f>
        <v>Man 02b</v>
      </c>
      <c r="BE19" s="13" t="str">
        <f>Poeng!E18</f>
        <v>Vurdering av bygningsdelers livssykluskostnader</v>
      </c>
      <c r="BF19" s="13">
        <f>Poeng!AB18</f>
        <v>1</v>
      </c>
      <c r="BG19" s="13">
        <f>Poeng!AI18</f>
        <v>0</v>
      </c>
      <c r="BH19" s="1076">
        <f>Poeng!AE18</f>
        <v>0</v>
      </c>
      <c r="BI19" s="1" t="str">
        <f>Poeng!BE18</f>
        <v>N/A</v>
      </c>
      <c r="BK19" s="1">
        <f>Poeng!AJ18</f>
        <v>0</v>
      </c>
      <c r="BL19" s="1076">
        <f>Poeng!AF18</f>
        <v>0</v>
      </c>
      <c r="BM19" s="1076" t="str">
        <f>Poeng!BH18</f>
        <v>N/A</v>
      </c>
      <c r="BO19" s="1">
        <f>Poeng!AK18</f>
        <v>0</v>
      </c>
      <c r="BP19" s="1076">
        <f>Poeng!AG18</f>
        <v>0</v>
      </c>
      <c r="BQ19" s="1076" t="str">
        <f>Poeng!BK18</f>
        <v>N/A</v>
      </c>
    </row>
    <row r="20" spans="1:69">
      <c r="A20" s="792">
        <v>11</v>
      </c>
      <c r="B20" s="791" t="s">
        <v>245</v>
      </c>
      <c r="C20" s="704" t="s">
        <v>183</v>
      </c>
      <c r="D20" s="621" t="s">
        <v>183</v>
      </c>
      <c r="E20" s="963"/>
      <c r="F20" s="654" t="str">
        <f>BE20</f>
        <v>Man 03 Ansvarlig byggepraksis</v>
      </c>
      <c r="G20" s="659">
        <f t="shared" si="9"/>
        <v>7</v>
      </c>
      <c r="H20" s="746"/>
      <c r="I20" s="660" t="str">
        <f>BG20&amp;" c. "&amp;ROUND(BH20*100,1)&amp;" %"</f>
        <v>0 c. 0 %</v>
      </c>
      <c r="J20" s="703" t="str">
        <f>BI20</f>
        <v>N/A</v>
      </c>
      <c r="K20" s="66"/>
      <c r="L20" s="228"/>
      <c r="M20" s="601"/>
      <c r="N20" s="616"/>
      <c r="O20" s="746"/>
      <c r="P20" s="670" t="str">
        <f>BK20&amp;" c. "&amp;ROUND(BL20*100,1)&amp;" %"</f>
        <v>0 c. 0 %</v>
      </c>
      <c r="Q20" s="670" t="str">
        <f>BM20</f>
        <v>N/A</v>
      </c>
      <c r="R20" s="551"/>
      <c r="S20" s="552"/>
      <c r="T20" s="545"/>
      <c r="U20" s="261"/>
      <c r="V20" s="746"/>
      <c r="W20" s="670" t="str">
        <f>BO20&amp;" c. "&amp;ROUND(BP20*100,1)&amp;" %"</f>
        <v>0 c. 0 %</v>
      </c>
      <c r="X20" s="670" t="str">
        <f>BQ20</f>
        <v>N/A</v>
      </c>
      <c r="Y20" s="67"/>
      <c r="Z20" s="66"/>
      <c r="AA20" s="545"/>
      <c r="AB20" s="105"/>
      <c r="AC20" s="473" t="s">
        <v>209</v>
      </c>
      <c r="AD20" s="17">
        <f t="shared" si="3"/>
        <v>0</v>
      </c>
      <c r="AE20" s="1">
        <f t="shared" si="10"/>
        <v>0</v>
      </c>
      <c r="AF20" s="1">
        <f t="shared" si="11"/>
        <v>0</v>
      </c>
      <c r="AG20" s="1">
        <f t="shared" si="12"/>
        <v>0</v>
      </c>
      <c r="AJ20" s="56"/>
      <c r="AK20" s="499" t="s">
        <v>265</v>
      </c>
      <c r="AL20" s="56"/>
      <c r="AM20" s="56"/>
      <c r="AN20" s="56"/>
      <c r="AO20" s="56"/>
      <c r="AP20" s="56"/>
      <c r="AQ20" s="56"/>
      <c r="AT20" s="17" t="str">
        <f>IF($AK$4=ais_nei,AIS_NA,IF(AL20="",AIS_NA,AL20))</f>
        <v>N/A</v>
      </c>
      <c r="AU20" s="17" t="str">
        <f>IF($AK$4=ais_nei,AIS_NA,IF(AM20="",AIS_NA,AM20))</f>
        <v>N/A</v>
      </c>
      <c r="AV20" s="17" t="str">
        <f>IF($AK$4=ais_nei,AIS_NA,IF(AN20="",AIS_NA,AN20))</f>
        <v>N/A</v>
      </c>
      <c r="AW20" s="17"/>
      <c r="AX20" s="17"/>
      <c r="AY20" s="17"/>
      <c r="AZ20" s="13"/>
      <c r="BA20" s="473"/>
      <c r="BB20" s="17"/>
      <c r="BC20" s="17" t="b">
        <f t="shared" si="7"/>
        <v>1</v>
      </c>
      <c r="BD20" s="17" t="str">
        <f>Poeng!B19</f>
        <v>Man 03</v>
      </c>
      <c r="BE20" s="13" t="str">
        <f>Poeng!E19</f>
        <v>Man 03 Ansvarlig byggepraksis</v>
      </c>
      <c r="BF20" s="13">
        <f>Poeng!AB19</f>
        <v>7</v>
      </c>
      <c r="BG20" s="13">
        <f>Poeng!AI19</f>
        <v>0</v>
      </c>
      <c r="BH20" s="1076">
        <f>Poeng!AE19</f>
        <v>0</v>
      </c>
      <c r="BI20" s="1" t="str">
        <f>Poeng!BE19</f>
        <v>N/A</v>
      </c>
      <c r="BK20" s="1">
        <f>Poeng!AJ19</f>
        <v>0</v>
      </c>
      <c r="BL20" s="1076">
        <f>Poeng!AF19</f>
        <v>0</v>
      </c>
      <c r="BM20" s="1076" t="str">
        <f>Poeng!BH19</f>
        <v>N/A</v>
      </c>
      <c r="BO20" s="1">
        <f>Poeng!AK19</f>
        <v>0</v>
      </c>
      <c r="BP20" s="1076">
        <f>Poeng!AG19</f>
        <v>0</v>
      </c>
      <c r="BQ20" s="1076" t="str">
        <f>Poeng!BK19</f>
        <v>N/A</v>
      </c>
    </row>
    <row r="21" spans="1:69">
      <c r="A21" s="792">
        <v>12</v>
      </c>
      <c r="B21" s="791" t="s">
        <v>245</v>
      </c>
      <c r="C21" s="97" t="s">
        <v>183</v>
      </c>
      <c r="D21" s="14" t="s">
        <v>266</v>
      </c>
      <c r="E21" s="963">
        <v>1</v>
      </c>
      <c r="F21" s="787" t="str">
        <f t="shared" si="8"/>
        <v>Miljøledelse</v>
      </c>
      <c r="G21" s="95">
        <f t="shared" ref="G21:G26" si="13">BF21</f>
        <v>1</v>
      </c>
      <c r="H21" s="29"/>
      <c r="I21" s="96">
        <f t="shared" ref="I21:I26" si="14">BH21</f>
        <v>0</v>
      </c>
      <c r="J21" s="97" t="str">
        <f t="shared" ref="J21:J26" si="15">BI21</f>
        <v>N/A</v>
      </c>
      <c r="K21" s="66"/>
      <c r="L21" s="228"/>
      <c r="M21" s="601"/>
      <c r="N21" s="804"/>
      <c r="O21" s="69"/>
      <c r="P21" s="96">
        <f t="shared" ref="P21:P26" si="16">BL21</f>
        <v>0</v>
      </c>
      <c r="Q21" s="96" t="str">
        <f t="shared" ref="Q21:Q26" si="17">BM21</f>
        <v>N/A</v>
      </c>
      <c r="R21" s="551"/>
      <c r="S21" s="552"/>
      <c r="T21" s="545"/>
      <c r="U21" s="261"/>
      <c r="V21" s="69"/>
      <c r="W21" s="96">
        <f t="shared" ref="W21:W26" si="18">BP21</f>
        <v>0</v>
      </c>
      <c r="X21" s="96" t="str">
        <f t="shared" ref="X21:X26" si="19">BQ21</f>
        <v>N/A</v>
      </c>
      <c r="Y21" s="67"/>
      <c r="Z21" s="66"/>
      <c r="AA21" s="545"/>
      <c r="AD21" s="17">
        <f t="shared" si="3"/>
        <v>0</v>
      </c>
      <c r="AE21" s="1">
        <f t="shared" si="10"/>
        <v>0</v>
      </c>
      <c r="AF21" s="1">
        <f t="shared" si="11"/>
        <v>0</v>
      </c>
      <c r="AG21" s="1">
        <f t="shared" si="12"/>
        <v>0</v>
      </c>
      <c r="BB21" s="17"/>
      <c r="BC21" s="17" t="b">
        <f t="shared" si="7"/>
        <v>1</v>
      </c>
      <c r="BD21" s="17" t="str">
        <f>Poeng!B20</f>
        <v>Man 03a</v>
      </c>
      <c r="BE21" s="13" t="str">
        <f>Poeng!E20</f>
        <v>Miljøledelse</v>
      </c>
      <c r="BF21" s="13">
        <f>Poeng!AB20</f>
        <v>1</v>
      </c>
      <c r="BG21" s="13">
        <f>Poeng!AI20</f>
        <v>0</v>
      </c>
      <c r="BH21" s="1076">
        <f>Poeng!AE20</f>
        <v>0</v>
      </c>
      <c r="BI21" s="1" t="str">
        <f>Poeng!BE20</f>
        <v>N/A</v>
      </c>
      <c r="BK21" s="1">
        <f>Poeng!AJ20</f>
        <v>0</v>
      </c>
      <c r="BL21" s="1076">
        <f>Poeng!AF20</f>
        <v>0</v>
      </c>
      <c r="BM21" s="1076" t="str">
        <f>Poeng!BH20</f>
        <v>N/A</v>
      </c>
      <c r="BO21" s="1">
        <f>Poeng!AK20</f>
        <v>0</v>
      </c>
      <c r="BP21" s="1076">
        <f>Poeng!AG20</f>
        <v>0</v>
      </c>
      <c r="BQ21" s="1076" t="str">
        <f>Poeng!BK20</f>
        <v>N/A</v>
      </c>
    </row>
    <row r="22" spans="1:69">
      <c r="A22" s="792">
        <v>13</v>
      </c>
      <c r="B22" s="791" t="s">
        <v>245</v>
      </c>
      <c r="C22" s="97" t="s">
        <v>183</v>
      </c>
      <c r="D22" s="14" t="s">
        <v>267</v>
      </c>
      <c r="E22" s="964" t="s">
        <v>268</v>
      </c>
      <c r="F22" s="787" t="str">
        <f t="shared" si="8"/>
        <v>BREEAM-NOR AP og ytelsesnivå (steg 5 og 6)</v>
      </c>
      <c r="G22" s="95">
        <f t="shared" si="13"/>
        <v>1</v>
      </c>
      <c r="H22" s="29"/>
      <c r="I22" s="96">
        <f t="shared" si="14"/>
        <v>0</v>
      </c>
      <c r="J22" s="97" t="str">
        <f t="shared" si="15"/>
        <v>N/A</v>
      </c>
      <c r="K22" s="66"/>
      <c r="L22" s="228"/>
      <c r="M22" s="601"/>
      <c r="N22" s="804"/>
      <c r="O22" s="69"/>
      <c r="P22" s="96">
        <f t="shared" si="16"/>
        <v>0</v>
      </c>
      <c r="Q22" s="96" t="str">
        <f t="shared" si="17"/>
        <v>N/A</v>
      </c>
      <c r="R22" s="551"/>
      <c r="S22" s="552"/>
      <c r="T22" s="545"/>
      <c r="U22" s="261"/>
      <c r="V22" s="69"/>
      <c r="W22" s="96">
        <f t="shared" si="18"/>
        <v>0</v>
      </c>
      <c r="X22" s="96" t="str">
        <f t="shared" si="19"/>
        <v>N/A</v>
      </c>
      <c r="Y22" s="67"/>
      <c r="Z22" s="66"/>
      <c r="AA22" s="545"/>
      <c r="AD22" s="17">
        <f t="shared" si="3"/>
        <v>0</v>
      </c>
      <c r="AE22" s="1">
        <f t="shared" si="10"/>
        <v>0</v>
      </c>
      <c r="AF22" s="1">
        <f t="shared" si="11"/>
        <v>0</v>
      </c>
      <c r="AG22" s="1">
        <f t="shared" si="12"/>
        <v>0</v>
      </c>
      <c r="BB22" s="17"/>
      <c r="BC22" s="17" t="b">
        <f t="shared" si="7"/>
        <v>1</v>
      </c>
      <c r="BD22" s="17" t="str">
        <f>Poeng!B21</f>
        <v>Man 03b</v>
      </c>
      <c r="BE22" s="13" t="str">
        <f>Poeng!E21</f>
        <v>BREEAM-NOR AP og ytelsesnivå (steg 5 og 6)</v>
      </c>
      <c r="BF22" s="13">
        <f>Poeng!AB21</f>
        <v>1</v>
      </c>
      <c r="BG22" s="13">
        <f>Poeng!AI21</f>
        <v>0</v>
      </c>
      <c r="BH22" s="1076">
        <f>Poeng!AE21</f>
        <v>0</v>
      </c>
      <c r="BI22" s="1" t="str">
        <f>Poeng!BE21</f>
        <v>N/A</v>
      </c>
      <c r="BK22" s="1">
        <f>Poeng!AJ21</f>
        <v>0</v>
      </c>
      <c r="BL22" s="1076">
        <f>Poeng!AF21</f>
        <v>0</v>
      </c>
      <c r="BM22" s="1076" t="str">
        <f>Poeng!BH21</f>
        <v>N/A</v>
      </c>
      <c r="BO22" s="1">
        <f>Poeng!AK21</f>
        <v>0</v>
      </c>
      <c r="BP22" s="1076">
        <f>Poeng!AG21</f>
        <v>0</v>
      </c>
      <c r="BQ22" s="1076" t="str">
        <f>Poeng!BK21</f>
        <v>N/A</v>
      </c>
    </row>
    <row r="23" spans="1:69">
      <c r="A23" s="792">
        <v>14</v>
      </c>
      <c r="B23" s="791" t="s">
        <v>245</v>
      </c>
      <c r="C23" s="97" t="s">
        <v>183</v>
      </c>
      <c r="D23" s="14" t="s">
        <v>269</v>
      </c>
      <c r="E23" s="964" t="s">
        <v>264</v>
      </c>
      <c r="F23" s="787" t="str">
        <f t="shared" si="8"/>
        <v>Ansvarlig byggeledelse: rent tørt bygg og sjekkliste A1 (EU taksonomi: krit. 5-6)</v>
      </c>
      <c r="G23" s="95">
        <f t="shared" si="13"/>
        <v>1</v>
      </c>
      <c r="H23" s="29"/>
      <c r="I23" s="96">
        <f t="shared" si="14"/>
        <v>0</v>
      </c>
      <c r="J23" s="97" t="str">
        <f t="shared" si="15"/>
        <v>Unclassified</v>
      </c>
      <c r="K23" s="66"/>
      <c r="L23" s="228"/>
      <c r="M23" s="601"/>
      <c r="N23" s="804"/>
      <c r="O23" s="69"/>
      <c r="P23" s="96">
        <f t="shared" si="16"/>
        <v>0</v>
      </c>
      <c r="Q23" s="96" t="str">
        <f t="shared" si="17"/>
        <v>Unclassified</v>
      </c>
      <c r="R23" s="551"/>
      <c r="S23" s="552"/>
      <c r="T23" s="545"/>
      <c r="U23" s="261"/>
      <c r="V23" s="69"/>
      <c r="W23" s="96">
        <f t="shared" si="18"/>
        <v>0</v>
      </c>
      <c r="X23" s="96" t="str">
        <f t="shared" si="19"/>
        <v>Unclassified</v>
      </c>
      <c r="Y23" s="67"/>
      <c r="Z23" s="66"/>
      <c r="AA23" s="545"/>
      <c r="AD23" s="17">
        <f t="shared" si="3"/>
        <v>0</v>
      </c>
      <c r="AE23" s="1">
        <f t="shared" si="10"/>
        <v>0</v>
      </c>
      <c r="AF23" s="1">
        <f t="shared" si="11"/>
        <v>0</v>
      </c>
      <c r="AG23" s="1">
        <f t="shared" si="12"/>
        <v>0</v>
      </c>
      <c r="BB23" s="17"/>
      <c r="BC23" s="17" t="b">
        <f t="shared" si="7"/>
        <v>1</v>
      </c>
      <c r="BD23" s="17" t="str">
        <f>Poeng!B22</f>
        <v>Man 03c</v>
      </c>
      <c r="BE23" s="13" t="str">
        <f>Poeng!E22</f>
        <v>Ansvarlig byggeledelse: rent tørt bygg og sjekkliste A1 (EU taksonomi: krit. 5-6)</v>
      </c>
      <c r="BF23" s="13">
        <f>Poeng!AB22</f>
        <v>1</v>
      </c>
      <c r="BG23" s="13">
        <f>Poeng!AI22</f>
        <v>0</v>
      </c>
      <c r="BH23" s="1076">
        <f>Poeng!AE22</f>
        <v>0</v>
      </c>
      <c r="BI23" s="1" t="str">
        <f>Poeng!BE22</f>
        <v>Unclassified</v>
      </c>
      <c r="BK23" s="1">
        <f>Poeng!AJ22</f>
        <v>0</v>
      </c>
      <c r="BL23" s="1076">
        <f>Poeng!AF22</f>
        <v>0</v>
      </c>
      <c r="BM23" s="1076" t="str">
        <f>Poeng!BH22</f>
        <v>Unclassified</v>
      </c>
      <c r="BO23" s="1">
        <f>Poeng!AK22</f>
        <v>0</v>
      </c>
      <c r="BP23" s="1076">
        <f>Poeng!AG22</f>
        <v>0</v>
      </c>
      <c r="BQ23" s="1076" t="str">
        <f>Poeng!BK22</f>
        <v>Unclassified</v>
      </c>
    </row>
    <row r="24" spans="1:69">
      <c r="A24" s="792">
        <v>15</v>
      </c>
      <c r="B24" s="791" t="s">
        <v>245</v>
      </c>
      <c r="C24" s="97" t="s">
        <v>183</v>
      </c>
      <c r="D24" s="14" t="s">
        <v>270</v>
      </c>
      <c r="E24" s="964" t="s">
        <v>256</v>
      </c>
      <c r="F24" s="787" t="str">
        <f t="shared" si="8"/>
        <v>Ansvarlig byggeledelse: INSTA 800 og sjekkliste A1 (EU taksonomi: krit. 7-9)</v>
      </c>
      <c r="G24" s="95">
        <f t="shared" si="13"/>
        <v>1</v>
      </c>
      <c r="H24" s="29"/>
      <c r="I24" s="96">
        <f t="shared" si="14"/>
        <v>0</v>
      </c>
      <c r="J24" s="97" t="str">
        <f t="shared" si="15"/>
        <v>Good</v>
      </c>
      <c r="K24" s="66"/>
      <c r="L24" s="228"/>
      <c r="M24" s="601"/>
      <c r="N24" s="804"/>
      <c r="O24" s="69"/>
      <c r="P24" s="96">
        <f t="shared" si="16"/>
        <v>0</v>
      </c>
      <c r="Q24" s="96" t="str">
        <f t="shared" si="17"/>
        <v>Good</v>
      </c>
      <c r="R24" s="551"/>
      <c r="S24" s="552"/>
      <c r="T24" s="545"/>
      <c r="U24" s="261"/>
      <c r="V24" s="69"/>
      <c r="W24" s="96">
        <f t="shared" si="18"/>
        <v>0</v>
      </c>
      <c r="X24" s="96" t="str">
        <f t="shared" si="19"/>
        <v>Good</v>
      </c>
      <c r="Y24" s="67"/>
      <c r="Z24" s="66"/>
      <c r="AA24" s="545"/>
      <c r="AD24" s="17">
        <f t="shared" si="3"/>
        <v>0</v>
      </c>
      <c r="AE24" s="1">
        <f t="shared" si="10"/>
        <v>0</v>
      </c>
      <c r="AF24" s="1">
        <f t="shared" si="11"/>
        <v>0</v>
      </c>
      <c r="AG24" s="1">
        <f t="shared" si="12"/>
        <v>0</v>
      </c>
      <c r="BB24" s="17"/>
      <c r="BC24" s="17" t="b">
        <f t="shared" si="7"/>
        <v>1</v>
      </c>
      <c r="BD24" s="17" t="str">
        <f>Poeng!B23</f>
        <v>Man 03d</v>
      </c>
      <c r="BE24" s="13" t="str">
        <f>Poeng!E23</f>
        <v>Ansvarlig byggeledelse: INSTA 800 og sjekkliste A1 (EU taksonomi: krit. 7-9)</v>
      </c>
      <c r="BF24" s="13">
        <f>Poeng!AB23</f>
        <v>1</v>
      </c>
      <c r="BG24" s="13">
        <f>Poeng!AI23</f>
        <v>0</v>
      </c>
      <c r="BH24" s="1076">
        <f>Poeng!AE23</f>
        <v>0</v>
      </c>
      <c r="BI24" s="1" t="str">
        <f>Poeng!BE23</f>
        <v>Good</v>
      </c>
      <c r="BK24" s="1">
        <f>Poeng!AJ23</f>
        <v>0</v>
      </c>
      <c r="BL24" s="1076">
        <f>Poeng!AF23</f>
        <v>0</v>
      </c>
      <c r="BM24" s="1076" t="str">
        <f>Poeng!BH23</f>
        <v>Good</v>
      </c>
      <c r="BO24" s="1">
        <f>Poeng!AK23</f>
        <v>0</v>
      </c>
      <c r="BP24" s="1076">
        <f>Poeng!AG23</f>
        <v>0</v>
      </c>
      <c r="BQ24" s="1076" t="str">
        <f>Poeng!BK23</f>
        <v>Good</v>
      </c>
    </row>
    <row r="25" spans="1:69" ht="30">
      <c r="A25" s="792">
        <v>16</v>
      </c>
      <c r="B25" s="791" t="s">
        <v>245</v>
      </c>
      <c r="C25" s="97" t="s">
        <v>183</v>
      </c>
      <c r="D25" s="14" t="s">
        <v>271</v>
      </c>
      <c r="E25" s="964" t="s">
        <v>272</v>
      </c>
      <c r="F25" s="787" t="str">
        <f t="shared" si="8"/>
        <v>Reduksjon av klimagassutslipp fra aktiviteter: energibruk fra aktiviteter på utbyggingsområdet (steg 2-4)</v>
      </c>
      <c r="G25" s="95">
        <f t="shared" si="13"/>
        <v>1</v>
      </c>
      <c r="H25" s="29"/>
      <c r="I25" s="96">
        <f t="shared" si="14"/>
        <v>0</v>
      </c>
      <c r="J25" s="97" t="str">
        <f t="shared" si="15"/>
        <v>Very Good</v>
      </c>
      <c r="K25" s="66"/>
      <c r="L25" s="228"/>
      <c r="M25" s="601"/>
      <c r="N25" s="804"/>
      <c r="O25" s="69"/>
      <c r="P25" s="96">
        <f t="shared" si="16"/>
        <v>0</v>
      </c>
      <c r="Q25" s="96" t="str">
        <f t="shared" si="17"/>
        <v>Very Good</v>
      </c>
      <c r="R25" s="551"/>
      <c r="S25" s="552"/>
      <c r="T25" s="545"/>
      <c r="U25" s="261"/>
      <c r="V25" s="69"/>
      <c r="W25" s="96">
        <f t="shared" si="18"/>
        <v>0</v>
      </c>
      <c r="X25" s="96" t="str">
        <f t="shared" si="19"/>
        <v>Very Good</v>
      </c>
      <c r="Y25" s="67"/>
      <c r="Z25" s="66"/>
      <c r="AA25" s="545"/>
      <c r="AD25" s="17">
        <f t="shared" si="3"/>
        <v>0</v>
      </c>
      <c r="AE25" s="1">
        <f t="shared" si="10"/>
        <v>0</v>
      </c>
      <c r="AF25" s="1">
        <f t="shared" si="11"/>
        <v>0</v>
      </c>
      <c r="AG25" s="1">
        <f t="shared" si="12"/>
        <v>0</v>
      </c>
      <c r="BB25" s="17"/>
      <c r="BC25" s="17" t="b">
        <f t="shared" si="7"/>
        <v>1</v>
      </c>
      <c r="BD25" s="17" t="str">
        <f>Poeng!B24</f>
        <v>Man 03e</v>
      </c>
      <c r="BE25" s="13" t="str">
        <f>Poeng!E24</f>
        <v>Reduksjon av klimagassutslipp fra aktiviteter: energibruk fra aktiviteter på utbyggingsområdet (steg 2-4)</v>
      </c>
      <c r="BF25" s="13">
        <f>Poeng!AB24</f>
        <v>1</v>
      </c>
      <c r="BG25" s="13">
        <f>Poeng!AI24</f>
        <v>0</v>
      </c>
      <c r="BH25" s="1076">
        <f>Poeng!AE24</f>
        <v>0</v>
      </c>
      <c r="BI25" s="1" t="str">
        <f>Poeng!BE24</f>
        <v>Very Good</v>
      </c>
      <c r="BK25" s="1">
        <f>Poeng!AJ24</f>
        <v>0</v>
      </c>
      <c r="BL25" s="1076">
        <f>Poeng!AF24</f>
        <v>0</v>
      </c>
      <c r="BM25" s="1076" t="str">
        <f>Poeng!BH24</f>
        <v>Very Good</v>
      </c>
      <c r="BO25" s="1">
        <f>Poeng!AK24</f>
        <v>0</v>
      </c>
      <c r="BP25" s="1076">
        <f>Poeng!AG24</f>
        <v>0</v>
      </c>
      <c r="BQ25" s="1076" t="str">
        <f>Poeng!BK24</f>
        <v>Very Good</v>
      </c>
    </row>
    <row r="26" spans="1:69" ht="30">
      <c r="A26" s="792">
        <v>17</v>
      </c>
      <c r="B26" s="791" t="s">
        <v>245</v>
      </c>
      <c r="C26" s="97" t="s">
        <v>183</v>
      </c>
      <c r="D26" s="14" t="s">
        <v>273</v>
      </c>
      <c r="E26" s="964" t="s">
        <v>274</v>
      </c>
      <c r="F26" s="787" t="str">
        <f t="shared" si="8"/>
        <v>Reduksjon av klimagassutslipp fra aktiviteter: Energiforbruk fra transport av masser og avfall  (steg 2-4)</v>
      </c>
      <c r="G26" s="95">
        <f t="shared" si="13"/>
        <v>2</v>
      </c>
      <c r="H26" s="29"/>
      <c r="I26" s="96">
        <f t="shared" si="14"/>
        <v>0</v>
      </c>
      <c r="J26" s="97" t="str">
        <f t="shared" si="15"/>
        <v>Very Good</v>
      </c>
      <c r="K26" s="66"/>
      <c r="L26" s="228"/>
      <c r="M26" s="601"/>
      <c r="N26" s="804"/>
      <c r="O26" s="69"/>
      <c r="P26" s="96">
        <f t="shared" si="16"/>
        <v>0</v>
      </c>
      <c r="Q26" s="96" t="str">
        <f t="shared" si="17"/>
        <v>Very Good</v>
      </c>
      <c r="R26" s="551"/>
      <c r="S26" s="552"/>
      <c r="T26" s="545"/>
      <c r="U26" s="261"/>
      <c r="V26" s="69"/>
      <c r="W26" s="96">
        <f t="shared" si="18"/>
        <v>0</v>
      </c>
      <c r="X26" s="96" t="str">
        <f t="shared" si="19"/>
        <v>Very Good</v>
      </c>
      <c r="Y26" s="67"/>
      <c r="Z26" s="66"/>
      <c r="AA26" s="545"/>
      <c r="AD26" s="17">
        <f t="shared" si="3"/>
        <v>0</v>
      </c>
      <c r="AE26" s="1">
        <f t="shared" si="10"/>
        <v>0</v>
      </c>
      <c r="AF26" s="1">
        <f t="shared" si="11"/>
        <v>0</v>
      </c>
      <c r="AG26" s="1">
        <f t="shared" si="12"/>
        <v>0</v>
      </c>
      <c r="BB26" s="17"/>
      <c r="BC26" s="17" t="b">
        <f t="shared" si="7"/>
        <v>1</v>
      </c>
      <c r="BD26" s="17" t="str">
        <f>Poeng!B25</f>
        <v>Man 03f</v>
      </c>
      <c r="BE26" s="13" t="str">
        <f>Poeng!E25</f>
        <v>Reduksjon av klimagassutslipp fra aktiviteter: Energiforbruk fra transport av masser og avfall  (steg 2-4)</v>
      </c>
      <c r="BF26" s="13">
        <f>Poeng!AB25</f>
        <v>2</v>
      </c>
      <c r="BG26" s="13">
        <f>Poeng!AI25</f>
        <v>0</v>
      </c>
      <c r="BH26" s="1076">
        <f>Poeng!AE25</f>
        <v>0</v>
      </c>
      <c r="BI26" s="1" t="str">
        <f>Poeng!BE25</f>
        <v>Very Good</v>
      </c>
      <c r="BK26" s="1">
        <f>Poeng!AJ25</f>
        <v>0</v>
      </c>
      <c r="BL26" s="1076">
        <f>Poeng!AF25</f>
        <v>0</v>
      </c>
      <c r="BM26" s="1076" t="str">
        <f>Poeng!BH25</f>
        <v>Very Good</v>
      </c>
      <c r="BO26" s="1">
        <f>Poeng!AK25</f>
        <v>0</v>
      </c>
      <c r="BP26" s="1076">
        <f>Poeng!AG25</f>
        <v>0</v>
      </c>
      <c r="BQ26" s="1076" t="str">
        <f>Poeng!BK25</f>
        <v>Very Good</v>
      </c>
    </row>
    <row r="27" spans="1:69">
      <c r="A27" s="792">
        <v>18</v>
      </c>
      <c r="B27" s="791" t="s">
        <v>245</v>
      </c>
      <c r="C27" s="704" t="s">
        <v>275</v>
      </c>
      <c r="D27" s="621" t="s">
        <v>275</v>
      </c>
      <c r="E27" s="963"/>
      <c r="F27" s="654" t="str">
        <f>BE27</f>
        <v>Man 04  Idriftsetting og overlevering</v>
      </c>
      <c r="G27" s="659">
        <f>BF27</f>
        <v>3</v>
      </c>
      <c r="H27" s="746"/>
      <c r="I27" s="660" t="str">
        <f>BG27&amp;" c. "&amp;ROUND(BH27*100,1)&amp;" %"</f>
        <v>0 c. 0 %</v>
      </c>
      <c r="J27" s="703" t="str">
        <f>BI27</f>
        <v>N/A</v>
      </c>
      <c r="K27" s="66"/>
      <c r="L27" s="228"/>
      <c r="M27" s="601"/>
      <c r="N27" s="616"/>
      <c r="O27" s="746"/>
      <c r="P27" s="670" t="str">
        <f>BK27&amp;" c. "&amp;ROUND(BL27*100,1)&amp;" %"</f>
        <v>0 c. 0 %</v>
      </c>
      <c r="Q27" s="670" t="str">
        <f>BM27</f>
        <v>N/A</v>
      </c>
      <c r="R27" s="551"/>
      <c r="S27" s="552"/>
      <c r="T27" s="545"/>
      <c r="U27" s="261"/>
      <c r="V27" s="746"/>
      <c r="W27" s="670" t="str">
        <f>BO27&amp;" c. "&amp;ROUND(BP27*100,1)&amp;" %"</f>
        <v>0 c. 0 %</v>
      </c>
      <c r="X27" s="670" t="str">
        <f>BQ27</f>
        <v>N/A</v>
      </c>
      <c r="Y27" s="67"/>
      <c r="Z27" s="66"/>
      <c r="AA27" s="545"/>
      <c r="AB27" s="105"/>
      <c r="AC27" s="473" t="s">
        <v>123</v>
      </c>
      <c r="AD27" s="17">
        <f t="shared" si="3"/>
        <v>0</v>
      </c>
      <c r="AE27" s="1">
        <f t="shared" si="10"/>
        <v>0</v>
      </c>
      <c r="AF27" s="1">
        <f t="shared" si="11"/>
        <v>0</v>
      </c>
      <c r="AG27" s="1">
        <f t="shared" si="12"/>
        <v>0</v>
      </c>
      <c r="AJ27" s="56"/>
      <c r="AK27" s="499" t="s">
        <v>276</v>
      </c>
      <c r="AL27" s="479" t="s">
        <v>277</v>
      </c>
      <c r="AM27" s="479" t="s">
        <v>278</v>
      </c>
      <c r="AN27" s="479" t="s">
        <v>279</v>
      </c>
      <c r="AO27" s="56"/>
      <c r="AP27" s="56"/>
      <c r="AQ27" s="56"/>
      <c r="AS27" s="1" t="s">
        <v>123</v>
      </c>
      <c r="AT27" s="17" t="str">
        <f>IF($AK$4=ais_nei,AIS_NA,IF(AL27="",AIS_NA,AL27))</f>
        <v>N/A</v>
      </c>
      <c r="AU27" s="17" t="str">
        <f>IF($AK$4=ais_nei,AIS_NA,IF(AM27="",AIS_NA,AM27))</f>
        <v>N/A</v>
      </c>
      <c r="AV27" s="17" t="str">
        <f>IF($AK$4=ais_nei,AIS_NA,IF(AN27="",AIS_NA,AN27))</f>
        <v>N/A</v>
      </c>
      <c r="AW27" s="17"/>
      <c r="AX27" s="17"/>
      <c r="AY27" s="17"/>
      <c r="AZ27" s="13"/>
      <c r="BA27" s="473"/>
      <c r="BB27" s="17"/>
      <c r="BC27" s="17" t="b">
        <f t="shared" si="7"/>
        <v>1</v>
      </c>
      <c r="BD27" s="17" t="str">
        <f>Poeng!B26</f>
        <v>Man 04</v>
      </c>
      <c r="BE27" s="13" t="str">
        <f>Poeng!E26</f>
        <v>Man 04  Idriftsetting og overlevering</v>
      </c>
      <c r="BF27" s="13">
        <f>Poeng!AB26</f>
        <v>3</v>
      </c>
      <c r="BG27" s="13">
        <f>Poeng!AI26</f>
        <v>0</v>
      </c>
      <c r="BH27" s="1076">
        <f>Poeng!AE26</f>
        <v>0</v>
      </c>
      <c r="BI27" s="1" t="str">
        <f>Poeng!BE26</f>
        <v>N/A</v>
      </c>
      <c r="BK27" s="1">
        <f>Poeng!AJ26</f>
        <v>0</v>
      </c>
      <c r="BL27" s="1076">
        <f>Poeng!AF26</f>
        <v>0</v>
      </c>
      <c r="BM27" s="1076" t="str">
        <f>Poeng!BH26</f>
        <v>N/A</v>
      </c>
      <c r="BO27" s="1">
        <f>Poeng!AK26</f>
        <v>0</v>
      </c>
      <c r="BP27" s="1076">
        <f>Poeng!AG26</f>
        <v>0</v>
      </c>
      <c r="BQ27" s="1076" t="str">
        <f>Poeng!BK26</f>
        <v>N/A</v>
      </c>
    </row>
    <row r="28" spans="1:69">
      <c r="A28" s="792">
        <v>19</v>
      </c>
      <c r="B28" s="791" t="s">
        <v>245</v>
      </c>
      <c r="C28" s="97" t="s">
        <v>275</v>
      </c>
      <c r="D28" s="14" t="s">
        <v>280</v>
      </c>
      <c r="E28" s="964" t="s">
        <v>262</v>
      </c>
      <c r="F28" s="787" t="str">
        <f t="shared" si="8"/>
        <v>Plan for idriftsetting, testing og ansvar</v>
      </c>
      <c r="G28" s="95">
        <f t="shared" ref="G28:G34" si="20">BF28</f>
        <v>1</v>
      </c>
      <c r="H28" s="29"/>
      <c r="I28" s="96">
        <f t="shared" ref="I28:J30" si="21">BH28</f>
        <v>0</v>
      </c>
      <c r="J28" s="97" t="str">
        <f t="shared" si="21"/>
        <v>Unclassified</v>
      </c>
      <c r="K28" s="66"/>
      <c r="L28" s="228"/>
      <c r="M28" s="601"/>
      <c r="N28" s="804"/>
      <c r="O28" s="69"/>
      <c r="P28" s="96">
        <f t="shared" ref="P28:Q30" si="22">BL28</f>
        <v>0</v>
      </c>
      <c r="Q28" s="96" t="str">
        <f t="shared" si="22"/>
        <v>Unclassified</v>
      </c>
      <c r="R28" s="551"/>
      <c r="S28" s="552"/>
      <c r="T28" s="545"/>
      <c r="U28" s="261"/>
      <c r="V28" s="69"/>
      <c r="W28" s="96">
        <f t="shared" ref="W28:X30" si="23">BP28</f>
        <v>0</v>
      </c>
      <c r="X28" s="96" t="str">
        <f t="shared" si="23"/>
        <v>Unclassified</v>
      </c>
      <c r="Y28" s="67"/>
      <c r="Z28" s="66"/>
      <c r="AA28" s="545"/>
      <c r="AD28" s="17">
        <f t="shared" si="3"/>
        <v>0</v>
      </c>
      <c r="AE28" s="1">
        <f t="shared" si="10"/>
        <v>0</v>
      </c>
      <c r="AF28" s="1">
        <f t="shared" si="11"/>
        <v>0</v>
      </c>
      <c r="AG28" s="1">
        <f t="shared" si="12"/>
        <v>0</v>
      </c>
      <c r="BB28" s="17"/>
      <c r="BC28" s="17" t="b">
        <f t="shared" si="7"/>
        <v>1</v>
      </c>
      <c r="BD28" s="17" t="str">
        <f>Poeng!B27</f>
        <v>Man 04a</v>
      </c>
      <c r="BE28" s="13" t="str">
        <f>Poeng!E27</f>
        <v>Plan for idriftsetting, testing og ansvar</v>
      </c>
      <c r="BF28" s="13">
        <f>Poeng!AB27</f>
        <v>1</v>
      </c>
      <c r="BG28" s="13">
        <f>Poeng!AI27</f>
        <v>0</v>
      </c>
      <c r="BH28" s="1076">
        <f>Poeng!AE27</f>
        <v>0</v>
      </c>
      <c r="BI28" s="1" t="str">
        <f>Poeng!BE27</f>
        <v>Unclassified</v>
      </c>
      <c r="BK28" s="1">
        <f>Poeng!AJ27</f>
        <v>0</v>
      </c>
      <c r="BL28" s="1076">
        <f>Poeng!AF27</f>
        <v>0</v>
      </c>
      <c r="BM28" s="1076" t="str">
        <f>Poeng!BH27</f>
        <v>Unclassified</v>
      </c>
      <c r="BO28" s="1">
        <f>Poeng!AK27</f>
        <v>0</v>
      </c>
      <c r="BP28" s="1076">
        <f>Poeng!AG27</f>
        <v>0</v>
      </c>
      <c r="BQ28" s="1076" t="str">
        <f>Poeng!BK27</f>
        <v>Unclassified</v>
      </c>
    </row>
    <row r="29" spans="1:69">
      <c r="A29" s="792">
        <v>20</v>
      </c>
      <c r="B29" s="791" t="s">
        <v>245</v>
      </c>
      <c r="C29" s="97" t="s">
        <v>275</v>
      </c>
      <c r="D29" s="14" t="s">
        <v>281</v>
      </c>
      <c r="E29" s="964" t="s">
        <v>282</v>
      </c>
      <c r="F29" s="787" t="str">
        <f t="shared" si="8"/>
        <v>Utarbeidelse, klargjøring og gjennomføring av idriftsetting</v>
      </c>
      <c r="G29" s="95">
        <f t="shared" si="20"/>
        <v>1</v>
      </c>
      <c r="H29" s="29"/>
      <c r="I29" s="96">
        <f t="shared" si="21"/>
        <v>0</v>
      </c>
      <c r="J29" s="97" t="str">
        <f t="shared" si="21"/>
        <v>N/A</v>
      </c>
      <c r="K29" s="66"/>
      <c r="L29" s="228"/>
      <c r="M29" s="601"/>
      <c r="N29" s="804"/>
      <c r="O29" s="69"/>
      <c r="P29" s="96">
        <f t="shared" si="22"/>
        <v>0</v>
      </c>
      <c r="Q29" s="96" t="str">
        <f t="shared" si="22"/>
        <v>N/A</v>
      </c>
      <c r="R29" s="551"/>
      <c r="S29" s="552" t="s">
        <v>178</v>
      </c>
      <c r="T29" s="545"/>
      <c r="U29" s="261"/>
      <c r="V29" s="69"/>
      <c r="W29" s="96">
        <f t="shared" si="23"/>
        <v>0</v>
      </c>
      <c r="X29" s="96" t="str">
        <f t="shared" si="23"/>
        <v>N/A</v>
      </c>
      <c r="Y29" s="67"/>
      <c r="Z29" s="66"/>
      <c r="AA29" s="545"/>
      <c r="AD29" s="17">
        <f t="shared" si="3"/>
        <v>0</v>
      </c>
      <c r="AE29" s="1">
        <f t="shared" si="10"/>
        <v>0</v>
      </c>
      <c r="AF29" s="1">
        <f t="shared" si="11"/>
        <v>0</v>
      </c>
      <c r="AG29" s="1">
        <f t="shared" si="12"/>
        <v>0</v>
      </c>
      <c r="BB29" s="17"/>
      <c r="BC29" s="17" t="b">
        <f t="shared" si="7"/>
        <v>1</v>
      </c>
      <c r="BD29" s="17" t="str">
        <f>Poeng!B28</f>
        <v>Man 04b</v>
      </c>
      <c r="BE29" s="13" t="str">
        <f>Poeng!E28</f>
        <v>Utarbeidelse, klargjøring og gjennomføring av idriftsetting</v>
      </c>
      <c r="BF29" s="13">
        <f>Poeng!AB28</f>
        <v>1</v>
      </c>
      <c r="BG29" s="13">
        <f>Poeng!AI28</f>
        <v>0</v>
      </c>
      <c r="BH29" s="1076">
        <f>Poeng!AE28</f>
        <v>0</v>
      </c>
      <c r="BI29" s="1" t="str">
        <f>Poeng!BE28</f>
        <v>N/A</v>
      </c>
      <c r="BK29" s="1">
        <f>Poeng!AJ28</f>
        <v>0</v>
      </c>
      <c r="BL29" s="1076">
        <f>Poeng!AF28</f>
        <v>0</v>
      </c>
      <c r="BM29" s="1076" t="str">
        <f>Poeng!BH28</f>
        <v>N/A</v>
      </c>
      <c r="BO29" s="1">
        <f>Poeng!AK28</f>
        <v>0</v>
      </c>
      <c r="BP29" s="1076">
        <f>Poeng!AG28</f>
        <v>0</v>
      </c>
      <c r="BQ29" s="1076" t="str">
        <f>Poeng!BK28</f>
        <v>N/A</v>
      </c>
    </row>
    <row r="30" spans="1:69">
      <c r="A30" s="792">
        <v>21</v>
      </c>
      <c r="B30" s="791" t="s">
        <v>245</v>
      </c>
      <c r="C30" s="97" t="s">
        <v>275</v>
      </c>
      <c r="D30" s="14" t="s">
        <v>283</v>
      </c>
      <c r="E30" s="964" t="s">
        <v>284</v>
      </c>
      <c r="F30" s="787" t="str">
        <f t="shared" si="8"/>
        <v>Planlegging for god overlevering</v>
      </c>
      <c r="G30" s="95">
        <f t="shared" si="20"/>
        <v>1</v>
      </c>
      <c r="H30" s="29"/>
      <c r="I30" s="96">
        <f t="shared" si="21"/>
        <v>0</v>
      </c>
      <c r="J30" s="97" t="str">
        <f t="shared" si="21"/>
        <v>Good</v>
      </c>
      <c r="K30" s="66"/>
      <c r="L30" s="228"/>
      <c r="M30" s="601"/>
      <c r="N30" s="804"/>
      <c r="O30" s="69"/>
      <c r="P30" s="96">
        <f t="shared" si="22"/>
        <v>0</v>
      </c>
      <c r="Q30" s="96" t="str">
        <f t="shared" si="22"/>
        <v>Good</v>
      </c>
      <c r="R30" s="551"/>
      <c r="S30" s="552"/>
      <c r="T30" s="545"/>
      <c r="U30" s="261"/>
      <c r="V30" s="69"/>
      <c r="W30" s="96">
        <f t="shared" si="23"/>
        <v>0</v>
      </c>
      <c r="X30" s="96" t="str">
        <f t="shared" si="23"/>
        <v>Good</v>
      </c>
      <c r="Y30" s="67"/>
      <c r="Z30" s="66"/>
      <c r="AA30" s="545"/>
      <c r="AD30" s="17">
        <f t="shared" si="3"/>
        <v>0</v>
      </c>
      <c r="AE30" s="1">
        <f t="shared" si="10"/>
        <v>0</v>
      </c>
      <c r="AF30" s="1">
        <f t="shared" si="11"/>
        <v>0</v>
      </c>
      <c r="AG30" s="1">
        <f t="shared" si="12"/>
        <v>0</v>
      </c>
      <c r="BB30" s="17"/>
      <c r="BC30" s="17" t="b">
        <f t="shared" si="7"/>
        <v>1</v>
      </c>
      <c r="BD30" s="17" t="str">
        <f>Poeng!B29</f>
        <v>Man 04c</v>
      </c>
      <c r="BE30" s="13" t="str">
        <f>Poeng!E29</f>
        <v>Planlegging for god overlevering</v>
      </c>
      <c r="BF30" s="13">
        <f>Poeng!AB29</f>
        <v>1</v>
      </c>
      <c r="BG30" s="13">
        <f>Poeng!AI29</f>
        <v>0</v>
      </c>
      <c r="BH30" s="1076">
        <f>Poeng!AE29</f>
        <v>0</v>
      </c>
      <c r="BI30" s="1" t="str">
        <f>Poeng!BE29</f>
        <v>Good</v>
      </c>
      <c r="BK30" s="1">
        <f>Poeng!AJ29</f>
        <v>0</v>
      </c>
      <c r="BL30" s="1076">
        <f>Poeng!AF29</f>
        <v>0</v>
      </c>
      <c r="BM30" s="1076" t="str">
        <f>Poeng!BH29</f>
        <v>Good</v>
      </c>
      <c r="BO30" s="1">
        <f>Poeng!AK29</f>
        <v>0</v>
      </c>
      <c r="BP30" s="1076">
        <f>Poeng!AG29</f>
        <v>0</v>
      </c>
      <c r="BQ30" s="1076" t="str">
        <f>Poeng!BK29</f>
        <v>Good</v>
      </c>
    </row>
    <row r="31" spans="1:69">
      <c r="A31" s="792">
        <v>22</v>
      </c>
      <c r="B31" s="791" t="s">
        <v>245</v>
      </c>
      <c r="C31" s="704" t="s">
        <v>285</v>
      </c>
      <c r="D31" s="621" t="s">
        <v>285</v>
      </c>
      <c r="E31" s="963"/>
      <c r="F31" s="654" t="str">
        <f>BE31</f>
        <v>Man 05 Prøvedrift og oppfølging</v>
      </c>
      <c r="G31" s="659">
        <f t="shared" si="20"/>
        <v>3</v>
      </c>
      <c r="H31" s="746"/>
      <c r="I31" s="660" t="str">
        <f>BG31&amp;" c. "&amp;ROUND(BH31*100,1)&amp;" %"</f>
        <v>0 c. 0 %</v>
      </c>
      <c r="J31" s="703" t="str">
        <f>BI31</f>
        <v>N/A</v>
      </c>
      <c r="K31" s="66"/>
      <c r="L31" s="228"/>
      <c r="M31" s="601"/>
      <c r="N31" s="616"/>
      <c r="O31" s="746"/>
      <c r="P31" s="670" t="str">
        <f>BK31&amp;" c. "&amp;ROUND(BL31*100,1)&amp;" %"</f>
        <v>0 c. 0 %</v>
      </c>
      <c r="Q31" s="670" t="str">
        <f>BM31</f>
        <v>N/A</v>
      </c>
      <c r="R31" s="551"/>
      <c r="S31" s="552"/>
      <c r="T31" s="545"/>
      <c r="U31" s="261"/>
      <c r="V31" s="746"/>
      <c r="W31" s="670" t="str">
        <f>BO31&amp;" c. "&amp;ROUND(BP31*100,1)&amp;" %"</f>
        <v>0 c. 0 %</v>
      </c>
      <c r="X31" s="670" t="str">
        <f>BQ31</f>
        <v>N/A</v>
      </c>
      <c r="Y31" s="67"/>
      <c r="Z31" s="66"/>
      <c r="AA31" s="545"/>
      <c r="AB31" s="105"/>
      <c r="AC31" s="473" t="s">
        <v>123</v>
      </c>
      <c r="AD31" s="17">
        <f t="shared" si="3"/>
        <v>0</v>
      </c>
      <c r="AE31" s="1">
        <f t="shared" si="10"/>
        <v>0</v>
      </c>
      <c r="AF31" s="1">
        <f t="shared" si="11"/>
        <v>0</v>
      </c>
      <c r="AG31" s="1">
        <f t="shared" si="12"/>
        <v>0</v>
      </c>
      <c r="AH31" s="7"/>
      <c r="AJ31" s="56"/>
      <c r="AK31" s="499" t="s">
        <v>286</v>
      </c>
      <c r="AL31" s="479" t="s">
        <v>277</v>
      </c>
      <c r="AM31" s="479" t="s">
        <v>279</v>
      </c>
      <c r="AN31" s="56"/>
      <c r="AO31" s="56"/>
      <c r="AP31" s="56"/>
      <c r="AQ31" s="56"/>
      <c r="AS31" s="1" t="s">
        <v>123</v>
      </c>
      <c r="AT31" s="17" t="str">
        <f>IF($AK$4=ais_nei,AIS_NA,IF(AL31="",AIS_NA,AL31))</f>
        <v>N/A</v>
      </c>
      <c r="AU31" s="17" t="str">
        <f>IF($AK$4=ais_nei,AIS_NA,IF(AM31="",AIS_NA,AM31))</f>
        <v>N/A</v>
      </c>
      <c r="AV31" s="17" t="str">
        <f>IF($AK$4=ais_nei,AIS_NA,IF(AN31="",AIS_NA,AN31))</f>
        <v>N/A</v>
      </c>
      <c r="AW31" s="17"/>
      <c r="AX31" s="17"/>
      <c r="AY31" s="17"/>
      <c r="AZ31" s="13"/>
      <c r="BA31" s="473"/>
      <c r="BB31" s="17"/>
      <c r="BC31" s="17" t="b">
        <f t="shared" si="7"/>
        <v>1</v>
      </c>
      <c r="BD31" s="17" t="str">
        <f>Poeng!B30</f>
        <v>Man 05</v>
      </c>
      <c r="BE31" s="13" t="str">
        <f>Poeng!E30</f>
        <v>Man 05 Prøvedrift og oppfølging</v>
      </c>
      <c r="BF31" s="13">
        <f>Poeng!AB30</f>
        <v>3</v>
      </c>
      <c r="BG31" s="13">
        <f>Poeng!AI30</f>
        <v>0</v>
      </c>
      <c r="BH31" s="1076">
        <f>Poeng!AE30</f>
        <v>0</v>
      </c>
      <c r="BI31" s="1" t="str">
        <f>Poeng!BE30</f>
        <v>N/A</v>
      </c>
      <c r="BK31" s="1">
        <f>Poeng!AJ30</f>
        <v>0</v>
      </c>
      <c r="BL31" s="1076">
        <f>Poeng!AF30</f>
        <v>0</v>
      </c>
      <c r="BM31" s="1076" t="str">
        <f>Poeng!BH30</f>
        <v>N/A</v>
      </c>
      <c r="BO31" s="1">
        <f>Poeng!AK30</f>
        <v>0</v>
      </c>
      <c r="BP31" s="1076">
        <f>Poeng!AG30</f>
        <v>0</v>
      </c>
      <c r="BQ31" s="1076" t="str">
        <f>Poeng!BK30</f>
        <v>N/A</v>
      </c>
    </row>
    <row r="32" spans="1:69">
      <c r="A32" s="792">
        <v>23</v>
      </c>
      <c r="B32" s="791" t="s">
        <v>245</v>
      </c>
      <c r="C32" s="97" t="s">
        <v>285</v>
      </c>
      <c r="D32" s="14" t="s">
        <v>287</v>
      </c>
      <c r="E32" s="964" t="s">
        <v>288</v>
      </c>
      <c r="F32" s="787" t="str">
        <f t="shared" si="8"/>
        <v>Oppfølging etter innflytting</v>
      </c>
      <c r="G32" s="95">
        <f t="shared" si="20"/>
        <v>1</v>
      </c>
      <c r="H32" s="29"/>
      <c r="I32" s="96">
        <f t="shared" ref="I32:J34" si="24">BH32</f>
        <v>0</v>
      </c>
      <c r="J32" s="97" t="str">
        <f t="shared" si="24"/>
        <v>N/A</v>
      </c>
      <c r="K32" s="66"/>
      <c r="L32" s="228"/>
      <c r="M32" s="601"/>
      <c r="N32" s="804"/>
      <c r="O32" s="69"/>
      <c r="P32" s="96">
        <f t="shared" ref="P32:Q34" si="25">BL32</f>
        <v>0</v>
      </c>
      <c r="Q32" s="96" t="str">
        <f t="shared" si="25"/>
        <v>N/A</v>
      </c>
      <c r="R32" s="551"/>
      <c r="S32" s="552"/>
      <c r="T32" s="545"/>
      <c r="U32" s="261"/>
      <c r="V32" s="69"/>
      <c r="W32" s="96">
        <f t="shared" ref="W32:X34" si="26">BP32</f>
        <v>0</v>
      </c>
      <c r="X32" s="96" t="str">
        <f t="shared" si="26"/>
        <v>N/A</v>
      </c>
      <c r="Y32" s="67"/>
      <c r="Z32" s="66"/>
      <c r="AA32" s="545"/>
      <c r="AD32" s="17">
        <f t="shared" si="3"/>
        <v>0</v>
      </c>
      <c r="AE32" s="1">
        <f t="shared" si="10"/>
        <v>0</v>
      </c>
      <c r="AF32" s="1">
        <f t="shared" si="11"/>
        <v>0</v>
      </c>
      <c r="AG32" s="1">
        <f t="shared" si="12"/>
        <v>0</v>
      </c>
      <c r="BB32" s="17"/>
      <c r="BC32" s="17" t="b">
        <f t="shared" si="7"/>
        <v>1</v>
      </c>
      <c r="BD32" s="17" t="str">
        <f>Poeng!B31</f>
        <v>Man 05a</v>
      </c>
      <c r="BE32" s="13" t="str">
        <f>Poeng!E31</f>
        <v>Oppfølging etter innflytting</v>
      </c>
      <c r="BF32" s="13">
        <f>Poeng!AB31</f>
        <v>1</v>
      </c>
      <c r="BG32" s="13">
        <f>Poeng!AI31</f>
        <v>0</v>
      </c>
      <c r="BH32" s="1076">
        <f>Poeng!AE31</f>
        <v>0</v>
      </c>
      <c r="BI32" s="1" t="str">
        <f>Poeng!BE31</f>
        <v>N/A</v>
      </c>
      <c r="BK32" s="1">
        <f>Poeng!AJ31</f>
        <v>0</v>
      </c>
      <c r="BL32" s="1076">
        <f>Poeng!AF31</f>
        <v>0</v>
      </c>
      <c r="BM32" s="1076" t="str">
        <f>Poeng!BH31</f>
        <v>N/A</v>
      </c>
      <c r="BO32" s="1">
        <f>Poeng!AK31</f>
        <v>0</v>
      </c>
      <c r="BP32" s="1076">
        <f>Poeng!AG31</f>
        <v>0</v>
      </c>
      <c r="BQ32" s="1076" t="str">
        <f>Poeng!BK31</f>
        <v>N/A</v>
      </c>
    </row>
    <row r="33" spans="1:69">
      <c r="A33" s="792">
        <v>24</v>
      </c>
      <c r="B33" s="791" t="s">
        <v>245</v>
      </c>
      <c r="C33" s="97" t="s">
        <v>285</v>
      </c>
      <c r="D33" s="14" t="s">
        <v>289</v>
      </c>
      <c r="E33" s="963" t="s">
        <v>290</v>
      </c>
      <c r="F33" s="787" t="str">
        <f t="shared" si="8"/>
        <v>Sesongmessig prøvedrift eller kartlegging og utbedring</v>
      </c>
      <c r="G33" s="95">
        <f t="shared" si="20"/>
        <v>1</v>
      </c>
      <c r="H33" s="29"/>
      <c r="I33" s="96">
        <f t="shared" si="24"/>
        <v>0</v>
      </c>
      <c r="J33" s="97" t="str">
        <f t="shared" si="24"/>
        <v>Very Good</v>
      </c>
      <c r="K33" s="66"/>
      <c r="L33" s="228"/>
      <c r="M33" s="601"/>
      <c r="N33" s="804"/>
      <c r="O33" s="69"/>
      <c r="P33" s="96">
        <f t="shared" si="25"/>
        <v>0</v>
      </c>
      <c r="Q33" s="96" t="str">
        <f t="shared" si="25"/>
        <v>Very Good</v>
      </c>
      <c r="R33" s="551"/>
      <c r="S33" s="552"/>
      <c r="T33" s="545"/>
      <c r="U33" s="261"/>
      <c r="V33" s="69"/>
      <c r="W33" s="96">
        <f t="shared" si="26"/>
        <v>0</v>
      </c>
      <c r="X33" s="96" t="str">
        <f t="shared" si="26"/>
        <v>Very Good</v>
      </c>
      <c r="Y33" s="67"/>
      <c r="Z33" s="66"/>
      <c r="AA33" s="545"/>
      <c r="AD33" s="17">
        <f t="shared" si="3"/>
        <v>0</v>
      </c>
      <c r="AE33" s="1">
        <f t="shared" si="10"/>
        <v>0</v>
      </c>
      <c r="AF33" s="1">
        <f t="shared" si="11"/>
        <v>0</v>
      </c>
      <c r="AG33" s="1">
        <f t="shared" si="12"/>
        <v>0</v>
      </c>
      <c r="BB33" s="17"/>
      <c r="BC33" s="17" t="b">
        <f t="shared" si="7"/>
        <v>1</v>
      </c>
      <c r="BD33" s="17" t="str">
        <f>Poeng!B32</f>
        <v>Man 05b</v>
      </c>
      <c r="BE33" s="13" t="str">
        <f>Poeng!E32</f>
        <v>Sesongmessig prøvedrift eller kartlegging og utbedring</v>
      </c>
      <c r="BF33" s="13">
        <f>Poeng!AB32</f>
        <v>1</v>
      </c>
      <c r="BG33" s="13">
        <f>Poeng!AI32</f>
        <v>0</v>
      </c>
      <c r="BH33" s="1076">
        <f>Poeng!AE32</f>
        <v>0</v>
      </c>
      <c r="BI33" s="1" t="str">
        <f>Poeng!BE32</f>
        <v>Very Good</v>
      </c>
      <c r="BK33" s="1">
        <f>Poeng!AJ32</f>
        <v>0</v>
      </c>
      <c r="BL33" s="1076">
        <f>Poeng!AF32</f>
        <v>0</v>
      </c>
      <c r="BM33" s="1076" t="str">
        <f>Poeng!BH32</f>
        <v>Very Good</v>
      </c>
      <c r="BO33" s="1">
        <f>Poeng!AK32</f>
        <v>0</v>
      </c>
      <c r="BP33" s="1076">
        <f>Poeng!AG32</f>
        <v>0</v>
      </c>
      <c r="BQ33" s="1076" t="str">
        <f>Poeng!BK32</f>
        <v>Very Good</v>
      </c>
    </row>
    <row r="34" spans="1:69">
      <c r="A34" s="792">
        <v>25</v>
      </c>
      <c r="B34" s="791" t="s">
        <v>245</v>
      </c>
      <c r="C34" s="97" t="s">
        <v>285</v>
      </c>
      <c r="D34" s="14" t="s">
        <v>291</v>
      </c>
      <c r="E34" s="964" t="s">
        <v>264</v>
      </c>
      <c r="F34" s="787" t="str">
        <f t="shared" si="8"/>
        <v>Evaluering etter at bygget er tatt i bruk</v>
      </c>
      <c r="G34" s="95">
        <f t="shared" si="20"/>
        <v>1</v>
      </c>
      <c r="H34" s="29"/>
      <c r="I34" s="96">
        <f t="shared" si="24"/>
        <v>0</v>
      </c>
      <c r="J34" s="97" t="str">
        <f t="shared" si="24"/>
        <v>N/A</v>
      </c>
      <c r="K34" s="66"/>
      <c r="L34" s="228"/>
      <c r="M34" s="601"/>
      <c r="N34" s="804"/>
      <c r="O34" s="69"/>
      <c r="P34" s="96">
        <f t="shared" si="25"/>
        <v>0</v>
      </c>
      <c r="Q34" s="96" t="str">
        <f t="shared" si="25"/>
        <v>N/A</v>
      </c>
      <c r="R34" s="551"/>
      <c r="S34" s="552"/>
      <c r="T34" s="545"/>
      <c r="U34" s="261"/>
      <c r="V34" s="69"/>
      <c r="W34" s="96">
        <f t="shared" si="26"/>
        <v>0</v>
      </c>
      <c r="X34" s="96" t="str">
        <f t="shared" si="26"/>
        <v>N/A</v>
      </c>
      <c r="Y34" s="67"/>
      <c r="Z34" s="66"/>
      <c r="AA34" s="545"/>
      <c r="AD34" s="17">
        <f t="shared" si="3"/>
        <v>0</v>
      </c>
      <c r="AE34" s="1">
        <f t="shared" si="10"/>
        <v>0</v>
      </c>
      <c r="AF34" s="1">
        <f t="shared" si="11"/>
        <v>0</v>
      </c>
      <c r="AG34" s="1">
        <f t="shared" si="12"/>
        <v>0</v>
      </c>
      <c r="BB34" s="17"/>
      <c r="BC34" s="17" t="b">
        <f t="shared" si="7"/>
        <v>1</v>
      </c>
      <c r="BD34" s="17" t="str">
        <f>Poeng!B33</f>
        <v>Man 05c</v>
      </c>
      <c r="BE34" s="13" t="str">
        <f>Poeng!E33</f>
        <v>Evaluering etter at bygget er tatt i bruk</v>
      </c>
      <c r="BF34" s="13">
        <f>Poeng!AB33</f>
        <v>1</v>
      </c>
      <c r="BG34" s="13">
        <f>Poeng!AI33</f>
        <v>0</v>
      </c>
      <c r="BH34" s="1076">
        <f>Poeng!AE33</f>
        <v>0</v>
      </c>
      <c r="BI34" s="1" t="str">
        <f>Poeng!BE33</f>
        <v>N/A</v>
      </c>
      <c r="BK34" s="1">
        <f>Poeng!AJ33</f>
        <v>0</v>
      </c>
      <c r="BL34" s="1076">
        <f>Poeng!AF33</f>
        <v>0</v>
      </c>
      <c r="BM34" s="1076" t="str">
        <f>Poeng!BH33</f>
        <v>N/A</v>
      </c>
      <c r="BO34" s="1">
        <f>Poeng!AK33</f>
        <v>0</v>
      </c>
      <c r="BP34" s="1076">
        <f>Poeng!AG33</f>
        <v>0</v>
      </c>
      <c r="BQ34" s="1076" t="str">
        <f>Poeng!BK33</f>
        <v>N/A</v>
      </c>
    </row>
    <row r="35" spans="1:69" ht="15.75" thickBot="1">
      <c r="A35" s="792">
        <v>26</v>
      </c>
      <c r="B35" s="791" t="s">
        <v>245</v>
      </c>
      <c r="C35" s="796"/>
      <c r="D35" s="14" t="s">
        <v>292</v>
      </c>
      <c r="E35" s="965"/>
      <c r="F35" s="262" t="s">
        <v>293</v>
      </c>
      <c r="G35" s="98">
        <f>Man_Credits</f>
        <v>21</v>
      </c>
      <c r="H35" s="705"/>
      <c r="I35" s="99">
        <f>Man_cont_tot</f>
        <v>0</v>
      </c>
      <c r="J35" s="661" t="str">
        <f>"Poeng oppnådd: "&amp;Man_tot_user</f>
        <v>Poeng oppnådd: 0</v>
      </c>
      <c r="K35" s="106"/>
      <c r="L35" s="229"/>
      <c r="M35" s="553"/>
      <c r="N35" s="616"/>
      <c r="O35" s="317"/>
      <c r="P35" s="99">
        <f>BL35</f>
        <v>0</v>
      </c>
      <c r="Q35" s="661" t="str">
        <f>"Poeng oppnådd: "&amp;Man_d_user</f>
        <v>Poeng oppnådd: 0</v>
      </c>
      <c r="R35" s="554"/>
      <c r="S35" s="555"/>
      <c r="T35" s="553"/>
      <c r="U35" s="261"/>
      <c r="V35" s="317"/>
      <c r="W35" s="99">
        <f>BP35</f>
        <v>0</v>
      </c>
      <c r="X35" s="661" t="str">
        <f>"Poeng oppnådd: "&amp;Man_c_user</f>
        <v>Poeng oppnådd: 0</v>
      </c>
      <c r="Y35" s="316"/>
      <c r="Z35" s="107"/>
      <c r="AA35" s="553"/>
      <c r="AB35" s="105"/>
      <c r="AC35" s="474"/>
      <c r="AD35" s="17"/>
      <c r="AE35" s="225"/>
      <c r="AF35" s="225"/>
      <c r="AG35" s="225"/>
      <c r="AH35" s="7"/>
      <c r="AJ35" s="56"/>
      <c r="AK35" s="499" t="s">
        <v>294</v>
      </c>
      <c r="AL35" s="56"/>
      <c r="AM35" s="56"/>
      <c r="AN35" s="56"/>
      <c r="AO35" s="56"/>
      <c r="AP35" s="56"/>
      <c r="AQ35" s="56"/>
      <c r="AT35" s="17" t="str">
        <f>IF($AK$4=ais_nei,AIS_NA,IF(AL35="",AIS_NA,AL35))</f>
        <v>N/A</v>
      </c>
      <c r="AU35" s="17" t="str">
        <f>IF($AK$4=ais_nei,AIS_NA,IF(AM35="",AIS_NA,AM35))</f>
        <v>N/A</v>
      </c>
      <c r="AV35" s="17" t="str">
        <f>IF($AK$4=ais_nei,AIS_NA,IF(AN35="",AIS_NA,AN35))</f>
        <v>N/A</v>
      </c>
      <c r="AW35" s="17"/>
      <c r="AX35" s="17"/>
      <c r="AY35" s="17"/>
      <c r="AZ35" s="13"/>
      <c r="BA35" s="474"/>
      <c r="BB35" s="17"/>
      <c r="BC35" s="17" t="b">
        <f t="shared" si="7"/>
        <v>1</v>
      </c>
      <c r="BD35" s="17" t="str">
        <f>Poeng!B36</f>
        <v>Man Sum</v>
      </c>
      <c r="BE35" s="13" t="str">
        <f>Poeng!E36</f>
        <v>Sum</v>
      </c>
      <c r="BF35" s="13">
        <f>Poeng!AB36</f>
        <v>21</v>
      </c>
      <c r="BG35" s="13">
        <f>Poeng!AI36</f>
        <v>0</v>
      </c>
      <c r="BH35" s="1076">
        <f>Poeng!AE36</f>
        <v>0</v>
      </c>
      <c r="BI35" s="1">
        <f>Poeng!BE36</f>
        <v>0</v>
      </c>
      <c r="BK35" s="1">
        <f>Poeng!AJ36</f>
        <v>0</v>
      </c>
      <c r="BL35" s="1076">
        <f>Poeng!AF36</f>
        <v>0</v>
      </c>
      <c r="BM35" s="1076">
        <f>Poeng!BH36</f>
        <v>0</v>
      </c>
      <c r="BO35" s="1">
        <f>Poeng!AK36</f>
        <v>0</v>
      </c>
      <c r="BP35" s="1076">
        <f>Poeng!AG36</f>
        <v>0</v>
      </c>
      <c r="BQ35" s="1076">
        <f>Poeng!BK36</f>
        <v>0</v>
      </c>
    </row>
    <row r="36" spans="1:69">
      <c r="A36" s="792">
        <v>27</v>
      </c>
      <c r="B36" s="791" t="s">
        <v>245</v>
      </c>
      <c r="C36" s="264"/>
      <c r="D36" s="621"/>
      <c r="E36" s="966"/>
      <c r="F36" s="263"/>
      <c r="G36" s="264"/>
      <c r="H36" s="265"/>
      <c r="I36" s="264"/>
      <c r="J36" s="264"/>
      <c r="K36" s="266"/>
      <c r="L36" s="265"/>
      <c r="M36" s="556"/>
      <c r="N36" s="616"/>
      <c r="O36" s="267"/>
      <c r="P36" s="267"/>
      <c r="Q36" s="556"/>
      <c r="R36" s="556"/>
      <c r="S36" s="557"/>
      <c r="T36" s="556"/>
      <c r="U36" s="261"/>
      <c r="V36" s="267"/>
      <c r="W36" s="267"/>
      <c r="X36" s="556"/>
      <c r="Y36" s="266"/>
      <c r="Z36" s="267"/>
      <c r="AA36" s="556"/>
      <c r="AB36" s="105"/>
      <c r="AC36" s="266"/>
      <c r="AD36" s="17"/>
      <c r="AE36" s="226"/>
      <c r="AF36" s="226"/>
      <c r="AG36" s="226"/>
      <c r="AJ36" s="56"/>
      <c r="AK36" s="500"/>
      <c r="AL36" s="56"/>
      <c r="AM36" s="56"/>
      <c r="AN36" s="56"/>
      <c r="AO36" s="56"/>
      <c r="AP36" s="56"/>
      <c r="AQ36" s="56"/>
      <c r="AT36" s="17"/>
      <c r="AU36" s="17"/>
      <c r="AV36" s="17"/>
      <c r="AW36" s="17"/>
      <c r="AX36" s="17"/>
      <c r="AY36" s="17"/>
      <c r="BA36" s="266"/>
      <c r="BB36" s="17"/>
      <c r="BC36" s="17" t="b">
        <f t="shared" si="7"/>
        <v>1</v>
      </c>
      <c r="BD36" s="17"/>
      <c r="BE36" s="13"/>
      <c r="BF36" s="13"/>
      <c r="BG36" s="13"/>
      <c r="BH36" s="1076"/>
      <c r="BL36" s="1076"/>
      <c r="BM36" s="1076"/>
      <c r="BP36" s="1076"/>
      <c r="BQ36" s="1076"/>
    </row>
    <row r="37" spans="1:69" ht="18.75">
      <c r="A37" s="792">
        <v>28</v>
      </c>
      <c r="B37" s="793" t="s">
        <v>295</v>
      </c>
      <c r="C37" s="797"/>
      <c r="D37" s="621"/>
      <c r="E37" s="961"/>
      <c r="F37" s="268" t="s">
        <v>296</v>
      </c>
      <c r="G37" s="257"/>
      <c r="H37" s="258"/>
      <c r="I37" s="257"/>
      <c r="J37" s="257"/>
      <c r="K37" s="269"/>
      <c r="L37" s="270"/>
      <c r="M37" s="548"/>
      <c r="N37" s="616"/>
      <c r="O37" s="274"/>
      <c r="P37" s="273"/>
      <c r="Q37" s="549"/>
      <c r="R37" s="549"/>
      <c r="S37" s="558"/>
      <c r="T37" s="550"/>
      <c r="U37" s="261"/>
      <c r="V37" s="274"/>
      <c r="W37" s="273"/>
      <c r="X37" s="549"/>
      <c r="Y37" s="272"/>
      <c r="Z37" s="273"/>
      <c r="AA37" s="548"/>
      <c r="AB37" s="105"/>
      <c r="AC37" s="271"/>
      <c r="AD37" s="17"/>
      <c r="AE37" s="224"/>
      <c r="AF37" s="224"/>
      <c r="AG37" s="224"/>
      <c r="AJ37" s="56"/>
      <c r="AK37" s="500" t="s">
        <v>297</v>
      </c>
      <c r="AL37" s="56"/>
      <c r="AM37" s="56"/>
      <c r="AN37" s="56"/>
      <c r="AO37" s="56"/>
      <c r="AP37" s="56"/>
      <c r="AQ37" s="56"/>
      <c r="AT37" s="17" t="str">
        <f>IF($AK$4=ais_nei,AIS_NA,IF(AL37="",AIS_NA,AL37))</f>
        <v>N/A</v>
      </c>
      <c r="AU37" s="17" t="str">
        <f>IF($AK$4=ais_nei,AIS_NA,IF(AM37="",AIS_NA,AM37))</f>
        <v>N/A</v>
      </c>
      <c r="AV37" s="17" t="str">
        <f>IF($AK$4=ais_nei,AIS_NA,IF(AN37="",AIS_NA,AN37))</f>
        <v>N/A</v>
      </c>
      <c r="AW37" s="17"/>
      <c r="AX37" s="17"/>
      <c r="AY37" s="17"/>
      <c r="BA37" s="271"/>
      <c r="BB37" s="17"/>
      <c r="BC37" s="17" t="b">
        <f t="shared" si="7"/>
        <v>1</v>
      </c>
    </row>
    <row r="38" spans="1:69">
      <c r="A38" s="792">
        <v>29</v>
      </c>
      <c r="B38" s="793" t="s">
        <v>295</v>
      </c>
      <c r="C38" s="704" t="s">
        <v>298</v>
      </c>
      <c r="D38" s="621" t="s">
        <v>298</v>
      </c>
      <c r="E38" s="963"/>
      <c r="F38" s="654" t="str">
        <f>BE38</f>
        <v>Hea 01 Visuell komfort</v>
      </c>
      <c r="G38" s="659">
        <f>BF38</f>
        <v>7</v>
      </c>
      <c r="H38" s="745"/>
      <c r="I38" s="660" t="str">
        <f>BG38&amp;" c. "&amp;ROUND(BH38*100,1)&amp;" %"</f>
        <v>0 c. 0 %</v>
      </c>
      <c r="J38" s="703" t="str">
        <f>BI38</f>
        <v>N/A</v>
      </c>
      <c r="K38" s="667"/>
      <c r="L38" s="668"/>
      <c r="M38" s="669"/>
      <c r="N38" s="616"/>
      <c r="O38" s="746"/>
      <c r="P38" s="670" t="str">
        <f>BK38&amp;" c. "&amp;ROUND(BL38*100,1)&amp;" %"</f>
        <v>0 c. 0 %</v>
      </c>
      <c r="Q38" s="670" t="str">
        <f>BM38</f>
        <v>N/A</v>
      </c>
      <c r="R38" s="551"/>
      <c r="S38" s="552"/>
      <c r="T38" s="545"/>
      <c r="U38" s="261"/>
      <c r="V38" s="746"/>
      <c r="W38" s="670" t="str">
        <f>BO38&amp;" c. "&amp;ROUND(BP38*100,1)&amp;" %"</f>
        <v>0 c. 0 %</v>
      </c>
      <c r="X38" s="670" t="str">
        <f>BQ38</f>
        <v>N/A</v>
      </c>
      <c r="Y38" s="67"/>
      <c r="Z38" s="66"/>
      <c r="AA38" s="545"/>
      <c r="AB38" s="105"/>
      <c r="AC38" s="509" t="s">
        <v>123</v>
      </c>
      <c r="AD38" s="17">
        <f t="shared" si="3"/>
        <v>0</v>
      </c>
      <c r="AE38" s="1">
        <f t="shared" ref="AE38:AE62" si="27">IF(L38=$AE$4,$AF$4,IF(L38=$AE$5,$AF$5,IF(L38=$AE$6,$AF$6,0)))</f>
        <v>0</v>
      </c>
      <c r="AF38" s="1">
        <f t="shared" ref="AF38:AF62" si="28">IF(S38=$AE$4,$AF$4,IF(S38=$AE$5,$AF$5,IF(S38=$AE$6,$AF$6,0)))</f>
        <v>0</v>
      </c>
      <c r="AG38" s="1">
        <f t="shared" ref="AG38:AG62" si="29">IF(Z38=$AE$4,$AF$4,IF(Z38=$AE$5,$AF$5,IF(Z38=$AE$6,$AF$6,0)))</f>
        <v>0</v>
      </c>
      <c r="AJ38" s="56" t="str">
        <f>ais_ja</f>
        <v>Ja</v>
      </c>
      <c r="AK38" s="500" t="s">
        <v>299</v>
      </c>
      <c r="AL38" s="480" t="s">
        <v>300</v>
      </c>
      <c r="AM38" s="480" t="s">
        <v>301</v>
      </c>
      <c r="AN38" s="480" t="s">
        <v>302</v>
      </c>
      <c r="AO38" s="480" t="s">
        <v>303</v>
      </c>
      <c r="AP38" s="480" t="s">
        <v>304</v>
      </c>
      <c r="AQ38" s="480" t="s">
        <v>305</v>
      </c>
      <c r="AS38" s="1" t="str">
        <f>IF($AK$8=ais_nei,AIS_NA,"No")</f>
        <v>No</v>
      </c>
      <c r="AT38" s="17" t="str">
        <f t="shared" ref="AT38:AY38" si="30">IF(OR($AK$4=ais_nei,$AK$8=ais_nei),AIS_NA,IF(AL38="",AIS_NA,AL38))</f>
        <v>N/A</v>
      </c>
      <c r="AU38" s="17" t="str">
        <f t="shared" si="30"/>
        <v>N/A</v>
      </c>
      <c r="AV38" s="17" t="str">
        <f t="shared" si="30"/>
        <v>N/A</v>
      </c>
      <c r="AW38" s="17" t="str">
        <f t="shared" si="30"/>
        <v>N/A</v>
      </c>
      <c r="AX38" s="17" t="str">
        <f t="shared" si="30"/>
        <v>N/A</v>
      </c>
      <c r="AY38" s="17" t="str">
        <f t="shared" si="30"/>
        <v>N/A</v>
      </c>
      <c r="BA38" s="473"/>
      <c r="BB38" s="17"/>
      <c r="BC38" s="17" t="b">
        <f t="shared" si="7"/>
        <v>1</v>
      </c>
      <c r="BD38" s="17" t="str">
        <f>Poeng!B39</f>
        <v>Hea 01</v>
      </c>
      <c r="BE38" s="13" t="str">
        <f>Poeng!E39</f>
        <v>Hea 01 Visuell komfort</v>
      </c>
      <c r="BF38" s="13">
        <f>Poeng!AB39</f>
        <v>7</v>
      </c>
      <c r="BG38" s="13">
        <f>Poeng!AI39</f>
        <v>0</v>
      </c>
      <c r="BH38" s="1076">
        <f>Poeng!AE39</f>
        <v>0</v>
      </c>
      <c r="BI38" s="1" t="str">
        <f>Poeng!BE39</f>
        <v>N/A</v>
      </c>
      <c r="BK38" s="1">
        <f>Poeng!AJ39</f>
        <v>0</v>
      </c>
      <c r="BL38" s="1076">
        <f>Poeng!AF39</f>
        <v>0</v>
      </c>
      <c r="BM38" s="1076" t="str">
        <f>Poeng!BH39</f>
        <v>N/A</v>
      </c>
      <c r="BO38" s="1">
        <f>Poeng!AK39</f>
        <v>0</v>
      </c>
      <c r="BP38" s="1076">
        <f>Poeng!AG39</f>
        <v>0</v>
      </c>
      <c r="BQ38" s="1076" t="str">
        <f>Poeng!BK39</f>
        <v>N/A</v>
      </c>
    </row>
    <row r="39" spans="1:69">
      <c r="A39" s="792">
        <v>30</v>
      </c>
      <c r="B39" s="793" t="s">
        <v>295</v>
      </c>
      <c r="C39" s="97" t="str">
        <f>C38</f>
        <v>Hea 01</v>
      </c>
      <c r="D39" s="621" t="s">
        <v>306</v>
      </c>
      <c r="E39" s="964" t="s">
        <v>288</v>
      </c>
      <c r="F39" s="787" t="str">
        <f t="shared" ref="F39:F45" si="31">BE39</f>
        <v>Forkrav: begrensning av flimmer</v>
      </c>
      <c r="G39" s="95" t="str">
        <f t="shared" ref="G39:G45" si="32">BF39</f>
        <v>Yes/No</v>
      </c>
      <c r="H39" s="29"/>
      <c r="I39" s="96" t="str">
        <f t="shared" ref="I39:I45" si="33">BH39</f>
        <v>-</v>
      </c>
      <c r="J39" s="97" t="str">
        <f t="shared" ref="J39:J45" si="34">BI39</f>
        <v>Unclassified</v>
      </c>
      <c r="K39" s="823"/>
      <c r="L39" s="824"/>
      <c r="M39" s="825"/>
      <c r="N39" s="616"/>
      <c r="O39" s="69"/>
      <c r="P39" s="96" t="str">
        <f t="shared" ref="P39:P45" si="35">BL39</f>
        <v>-</v>
      </c>
      <c r="Q39" s="96" t="str">
        <f t="shared" ref="Q39:Q45" si="36">BM39</f>
        <v>Unclassified</v>
      </c>
      <c r="R39" s="551"/>
      <c r="S39" s="552"/>
      <c r="T39" s="545"/>
      <c r="U39" s="261"/>
      <c r="V39" s="69"/>
      <c r="W39" s="96" t="str">
        <f t="shared" ref="W39:W45" si="37">BP39</f>
        <v>-</v>
      </c>
      <c r="X39" s="96" t="str">
        <f t="shared" ref="X39:X45" si="38">BQ39</f>
        <v>Unclassified</v>
      </c>
      <c r="Y39" s="67"/>
      <c r="Z39" s="66"/>
      <c r="AA39" s="545"/>
      <c r="AB39" s="105"/>
      <c r="AC39" s="509"/>
      <c r="AD39" s="17">
        <f t="shared" si="3"/>
        <v>0</v>
      </c>
      <c r="AE39" s="1">
        <f t="shared" si="27"/>
        <v>0</v>
      </c>
      <c r="AF39" s="1">
        <f t="shared" si="28"/>
        <v>0</v>
      </c>
      <c r="AG39" s="1">
        <f t="shared" si="29"/>
        <v>0</v>
      </c>
      <c r="AJ39" s="56"/>
      <c r="AK39" s="500"/>
      <c r="AL39" s="480"/>
      <c r="AM39" s="480"/>
      <c r="AN39" s="480"/>
      <c r="AO39" s="480"/>
      <c r="AP39" s="480"/>
      <c r="AQ39" s="480"/>
      <c r="AT39" s="17"/>
      <c r="AU39" s="17"/>
      <c r="AV39" s="17"/>
      <c r="AW39" s="17"/>
      <c r="AX39" s="17"/>
      <c r="AY39" s="17"/>
      <c r="BA39" s="473"/>
      <c r="BB39" s="17"/>
      <c r="BC39" s="17" t="b">
        <f t="shared" si="7"/>
        <v>1</v>
      </c>
      <c r="BD39" s="17" t="str">
        <f>Poeng!B234</f>
        <v>Hea 01a</v>
      </c>
      <c r="BE39" s="13" t="str">
        <f>Poeng!E234</f>
        <v>Forkrav: begrensning av flimmer</v>
      </c>
      <c r="BF39" s="13" t="str">
        <f>Poeng!AB234</f>
        <v>Yes/No</v>
      </c>
      <c r="BG39" s="13">
        <f>Poeng!AI234</f>
        <v>0</v>
      </c>
      <c r="BH39" s="1076" t="str">
        <f>Poeng!AE234</f>
        <v>-</v>
      </c>
      <c r="BI39" s="1" t="str">
        <f>Poeng!BE234</f>
        <v>Unclassified</v>
      </c>
      <c r="BK39" s="1">
        <f>Poeng!AJ234</f>
        <v>0</v>
      </c>
      <c r="BL39" s="1076" t="str">
        <f>Poeng!AF234</f>
        <v>-</v>
      </c>
      <c r="BM39" s="1076" t="str">
        <f>Poeng!BH234</f>
        <v>Unclassified</v>
      </c>
      <c r="BO39" s="1">
        <f>Poeng!AK234</f>
        <v>0</v>
      </c>
      <c r="BP39" s="1076" t="str">
        <f>Poeng!AG234</f>
        <v>-</v>
      </c>
      <c r="BQ39" s="1076" t="str">
        <f>Poeng!BK234</f>
        <v>Unclassified</v>
      </c>
    </row>
    <row r="40" spans="1:69">
      <c r="A40" s="792">
        <v>31</v>
      </c>
      <c r="B40" s="793" t="s">
        <v>295</v>
      </c>
      <c r="C40" s="97" t="str">
        <f>C39</f>
        <v>Hea 01</v>
      </c>
      <c r="D40" s="621" t="s">
        <v>307</v>
      </c>
      <c r="E40" s="963">
        <v>3</v>
      </c>
      <c r="F40" s="787" t="str">
        <f t="shared" si="31"/>
        <v>Forkrav: dagslysvurdering</v>
      </c>
      <c r="G40" s="95" t="str">
        <f t="shared" si="32"/>
        <v>Yes/No</v>
      </c>
      <c r="H40" s="29"/>
      <c r="I40" s="96" t="str">
        <f t="shared" si="33"/>
        <v>-</v>
      </c>
      <c r="J40" s="97" t="str">
        <f t="shared" si="34"/>
        <v>Unclassified</v>
      </c>
      <c r="K40" s="823"/>
      <c r="L40" s="824"/>
      <c r="M40" s="825"/>
      <c r="N40" s="616"/>
      <c r="O40" s="69"/>
      <c r="P40" s="96" t="str">
        <f t="shared" si="35"/>
        <v>-</v>
      </c>
      <c r="Q40" s="96" t="str">
        <f t="shared" si="36"/>
        <v>Unclassified</v>
      </c>
      <c r="R40" s="551"/>
      <c r="S40" s="552"/>
      <c r="T40" s="545"/>
      <c r="U40" s="261"/>
      <c r="V40" s="69"/>
      <c r="W40" s="96" t="str">
        <f t="shared" si="37"/>
        <v>-</v>
      </c>
      <c r="X40" s="96" t="str">
        <f t="shared" si="38"/>
        <v>Unclassified</v>
      </c>
      <c r="Y40" s="67"/>
      <c r="Z40" s="66"/>
      <c r="AA40" s="545"/>
      <c r="AB40" s="105"/>
      <c r="AC40" s="509"/>
      <c r="AD40" s="17">
        <f t="shared" si="3"/>
        <v>0</v>
      </c>
      <c r="AE40" s="1">
        <f t="shared" si="27"/>
        <v>0</v>
      </c>
      <c r="AF40" s="1">
        <f t="shared" si="28"/>
        <v>0</v>
      </c>
      <c r="AG40" s="1">
        <f t="shared" si="29"/>
        <v>0</v>
      </c>
      <c r="AJ40" s="56"/>
      <c r="AK40" s="500"/>
      <c r="AL40" s="480"/>
      <c r="AM40" s="480"/>
      <c r="AN40" s="480"/>
      <c r="AO40" s="480"/>
      <c r="AP40" s="480"/>
      <c r="AQ40" s="480"/>
      <c r="AT40" s="17"/>
      <c r="AU40" s="17"/>
      <c r="AV40" s="17"/>
      <c r="AW40" s="17"/>
      <c r="AX40" s="17"/>
      <c r="AY40" s="17"/>
      <c r="BA40" s="473"/>
      <c r="BB40" s="17"/>
      <c r="BC40" s="17" t="b">
        <f t="shared" si="7"/>
        <v>1</v>
      </c>
      <c r="BD40" s="17" t="str">
        <f>Poeng!B235</f>
        <v>Hea 01g</v>
      </c>
      <c r="BE40" s="13" t="str">
        <f>Poeng!E235</f>
        <v>Forkrav: dagslysvurdering</v>
      </c>
      <c r="BF40" s="13" t="str">
        <f>Poeng!AB235</f>
        <v>Yes/No</v>
      </c>
      <c r="BG40" s="13">
        <f>Poeng!AI235</f>
        <v>0</v>
      </c>
      <c r="BH40" s="1076" t="str">
        <f>Poeng!AE235</f>
        <v>-</v>
      </c>
      <c r="BI40" s="1" t="str">
        <f>Poeng!BE235</f>
        <v>Unclassified</v>
      </c>
      <c r="BK40" s="1">
        <f>Poeng!AJ235</f>
        <v>0</v>
      </c>
      <c r="BL40" s="1076" t="str">
        <f>Poeng!AF235</f>
        <v>-</v>
      </c>
      <c r="BM40" s="1076" t="str">
        <f>Poeng!BH235</f>
        <v>Unclassified</v>
      </c>
      <c r="BO40" s="1">
        <f>Poeng!AK235</f>
        <v>0</v>
      </c>
      <c r="BP40" s="1076" t="str">
        <f>Poeng!AG235</f>
        <v>-</v>
      </c>
      <c r="BQ40" s="1076" t="str">
        <f>Poeng!BK235</f>
        <v>Unclassified</v>
      </c>
    </row>
    <row r="41" spans="1:69">
      <c r="A41" s="792">
        <v>32</v>
      </c>
      <c r="B41" s="793" t="s">
        <v>295</v>
      </c>
      <c r="C41" s="97" t="str">
        <f>C38</f>
        <v>Hea 01</v>
      </c>
      <c r="D41" s="621" t="s">
        <v>308</v>
      </c>
      <c r="E41" s="963">
        <v>4</v>
      </c>
      <c r="F41" s="787" t="str">
        <f t="shared" si="31"/>
        <v>Dagslys</v>
      </c>
      <c r="G41" s="95">
        <f t="shared" si="32"/>
        <v>3</v>
      </c>
      <c r="H41" s="29"/>
      <c r="I41" s="96">
        <f t="shared" si="33"/>
        <v>0</v>
      </c>
      <c r="J41" s="97" t="str">
        <f t="shared" si="34"/>
        <v>N/A</v>
      </c>
      <c r="K41" s="66"/>
      <c r="L41" s="228"/>
      <c r="M41" s="601"/>
      <c r="N41" s="616"/>
      <c r="O41" s="69"/>
      <c r="P41" s="96">
        <f t="shared" si="35"/>
        <v>0</v>
      </c>
      <c r="Q41" s="96" t="str">
        <f t="shared" si="36"/>
        <v>N/A</v>
      </c>
      <c r="R41" s="551"/>
      <c r="S41" s="552"/>
      <c r="T41" s="545"/>
      <c r="U41" s="261"/>
      <c r="V41" s="69"/>
      <c r="W41" s="96">
        <f t="shared" si="37"/>
        <v>0</v>
      </c>
      <c r="X41" s="96" t="str">
        <f t="shared" si="38"/>
        <v>N/A</v>
      </c>
      <c r="Y41" s="67"/>
      <c r="Z41" s="66"/>
      <c r="AA41" s="545"/>
      <c r="AB41" s="105"/>
      <c r="AC41" s="509"/>
      <c r="AD41" s="17">
        <f t="shared" si="3"/>
        <v>0</v>
      </c>
      <c r="AE41" s="1">
        <f t="shared" si="27"/>
        <v>0</v>
      </c>
      <c r="AF41" s="1">
        <f t="shared" si="28"/>
        <v>0</v>
      </c>
      <c r="AG41" s="1">
        <f t="shared" si="29"/>
        <v>0</v>
      </c>
      <c r="AJ41" s="56"/>
      <c r="AK41" s="500"/>
      <c r="AL41" s="480"/>
      <c r="AM41" s="480"/>
      <c r="AN41" s="480"/>
      <c r="AO41" s="480"/>
      <c r="AP41" s="480"/>
      <c r="AQ41" s="480"/>
      <c r="AT41" s="17"/>
      <c r="AU41" s="17"/>
      <c r="AV41" s="17"/>
      <c r="AW41" s="17"/>
      <c r="AX41" s="17"/>
      <c r="AY41" s="17"/>
      <c r="BA41" s="473"/>
      <c r="BB41" s="17"/>
      <c r="BC41" s="17" t="b">
        <f t="shared" si="7"/>
        <v>1</v>
      </c>
      <c r="BD41" s="17" t="str">
        <f>Poeng!B41</f>
        <v>Hea 01b</v>
      </c>
      <c r="BE41" s="13" t="str">
        <f>Poeng!E41</f>
        <v>Dagslys</v>
      </c>
      <c r="BF41" s="13">
        <f>Poeng!AB41</f>
        <v>3</v>
      </c>
      <c r="BG41" s="13">
        <f>Poeng!AI41</f>
        <v>0</v>
      </c>
      <c r="BH41" s="1076">
        <f>Poeng!AE41</f>
        <v>0</v>
      </c>
      <c r="BI41" s="1" t="str">
        <f>Poeng!BE41</f>
        <v>N/A</v>
      </c>
      <c r="BK41" s="1">
        <f>Poeng!AJ41</f>
        <v>0</v>
      </c>
      <c r="BL41" s="1076">
        <f>Poeng!AF41</f>
        <v>0</v>
      </c>
      <c r="BM41" s="1076" t="str">
        <f>Poeng!BH41</f>
        <v>N/A</v>
      </c>
      <c r="BO41" s="1">
        <f>Poeng!AK41</f>
        <v>0</v>
      </c>
      <c r="BP41" s="1076">
        <f>Poeng!AG41</f>
        <v>0</v>
      </c>
      <c r="BQ41" s="1076" t="str">
        <f>Poeng!BK41</f>
        <v>N/A</v>
      </c>
    </row>
    <row r="42" spans="1:69">
      <c r="A42" s="792">
        <v>33</v>
      </c>
      <c r="B42" s="793" t="s">
        <v>295</v>
      </c>
      <c r="C42" s="97" t="str">
        <f t="shared" ref="C42:C91" si="39">C41</f>
        <v>Hea 01</v>
      </c>
      <c r="D42" s="621" t="s">
        <v>309</v>
      </c>
      <c r="E42" s="964" t="s">
        <v>282</v>
      </c>
      <c r="F42" s="787" t="str">
        <f t="shared" si="31"/>
        <v>Kontroll av blending fra dagslys</v>
      </c>
      <c r="G42" s="95">
        <f t="shared" si="32"/>
        <v>1</v>
      </c>
      <c r="H42" s="29"/>
      <c r="I42" s="96">
        <f t="shared" si="33"/>
        <v>0</v>
      </c>
      <c r="J42" s="97" t="str">
        <f t="shared" si="34"/>
        <v>N/A</v>
      </c>
      <c r="K42" s="66"/>
      <c r="L42" s="228"/>
      <c r="M42" s="601"/>
      <c r="N42" s="616"/>
      <c r="O42" s="69"/>
      <c r="P42" s="96">
        <f t="shared" si="35"/>
        <v>0</v>
      </c>
      <c r="Q42" s="96" t="str">
        <f t="shared" si="36"/>
        <v>N/A</v>
      </c>
      <c r="R42" s="551"/>
      <c r="S42" s="552"/>
      <c r="T42" s="545"/>
      <c r="U42" s="261"/>
      <c r="V42" s="69"/>
      <c r="W42" s="96">
        <f t="shared" si="37"/>
        <v>0</v>
      </c>
      <c r="X42" s="96" t="str">
        <f t="shared" si="38"/>
        <v>N/A</v>
      </c>
      <c r="Y42" s="67"/>
      <c r="Z42" s="66"/>
      <c r="AA42" s="545"/>
      <c r="AB42" s="105"/>
      <c r="AC42" s="509"/>
      <c r="AD42" s="17">
        <f t="shared" si="3"/>
        <v>0</v>
      </c>
      <c r="AE42" s="1">
        <f t="shared" si="27"/>
        <v>0</v>
      </c>
      <c r="AF42" s="1">
        <f t="shared" si="28"/>
        <v>0</v>
      </c>
      <c r="AG42" s="1">
        <f t="shared" si="29"/>
        <v>0</v>
      </c>
      <c r="AJ42" s="56"/>
      <c r="AK42" s="500"/>
      <c r="AL42" s="480"/>
      <c r="AM42" s="480"/>
      <c r="AN42" s="480"/>
      <c r="AO42" s="480"/>
      <c r="AP42" s="480"/>
      <c r="AQ42" s="480"/>
      <c r="AT42" s="17"/>
      <c r="AU42" s="17"/>
      <c r="AV42" s="17"/>
      <c r="AW42" s="17"/>
      <c r="AX42" s="17"/>
      <c r="AY42" s="17"/>
      <c r="BA42" s="473"/>
      <c r="BB42" s="17"/>
      <c r="BC42" s="17" t="b">
        <f t="shared" si="7"/>
        <v>1</v>
      </c>
      <c r="BD42" s="17" t="str">
        <f>Poeng!B42</f>
        <v>Hea 01c</v>
      </c>
      <c r="BE42" s="13" t="str">
        <f>Poeng!E42</f>
        <v>Kontroll av blending fra dagslys</v>
      </c>
      <c r="BF42" s="13">
        <f>Poeng!AB42</f>
        <v>1</v>
      </c>
      <c r="BG42" s="13">
        <f>Poeng!AI42</f>
        <v>0</v>
      </c>
      <c r="BH42" s="1076">
        <f>Poeng!AE42</f>
        <v>0</v>
      </c>
      <c r="BI42" s="1" t="str">
        <f>Poeng!BE42</f>
        <v>N/A</v>
      </c>
      <c r="BK42" s="1">
        <f>Poeng!AJ42</f>
        <v>0</v>
      </c>
      <c r="BL42" s="1076">
        <f>Poeng!AF42</f>
        <v>0</v>
      </c>
      <c r="BM42" s="1076" t="str">
        <f>Poeng!BH42</f>
        <v>N/A</v>
      </c>
      <c r="BO42" s="1">
        <f>Poeng!AK42</f>
        <v>0</v>
      </c>
      <c r="BP42" s="1076">
        <f>Poeng!AG42</f>
        <v>0</v>
      </c>
      <c r="BQ42" s="1076" t="str">
        <f>Poeng!BK42</f>
        <v>N/A</v>
      </c>
    </row>
    <row r="43" spans="1:69">
      <c r="A43" s="792">
        <v>34</v>
      </c>
      <c r="B43" s="793" t="s">
        <v>295</v>
      </c>
      <c r="C43" s="97" t="str">
        <f t="shared" si="39"/>
        <v>Hea 01</v>
      </c>
      <c r="D43" s="621" t="s">
        <v>310</v>
      </c>
      <c r="E43" s="964" t="s">
        <v>284</v>
      </c>
      <c r="F43" s="787" t="str">
        <f t="shared" si="31"/>
        <v>Utsyn</v>
      </c>
      <c r="G43" s="95">
        <f t="shared" si="32"/>
        <v>1</v>
      </c>
      <c r="H43" s="29"/>
      <c r="I43" s="96">
        <f t="shared" si="33"/>
        <v>0</v>
      </c>
      <c r="J43" s="97" t="str">
        <f t="shared" si="34"/>
        <v>N/A</v>
      </c>
      <c r="K43" s="66"/>
      <c r="L43" s="228"/>
      <c r="M43" s="601"/>
      <c r="N43" s="616"/>
      <c r="O43" s="69"/>
      <c r="P43" s="96">
        <f t="shared" si="35"/>
        <v>0</v>
      </c>
      <c r="Q43" s="96" t="str">
        <f t="shared" si="36"/>
        <v>N/A</v>
      </c>
      <c r="R43" s="551"/>
      <c r="S43" s="552"/>
      <c r="T43" s="601"/>
      <c r="U43" s="261"/>
      <c r="V43" s="69"/>
      <c r="W43" s="96">
        <f t="shared" si="37"/>
        <v>0</v>
      </c>
      <c r="X43" s="96" t="str">
        <f t="shared" si="38"/>
        <v>N/A</v>
      </c>
      <c r="Y43" s="67"/>
      <c r="Z43" s="66"/>
      <c r="AA43" s="601"/>
      <c r="AB43" s="105"/>
      <c r="AC43" s="509"/>
      <c r="AD43" s="17">
        <f t="shared" si="3"/>
        <v>0</v>
      </c>
      <c r="AE43" s="1">
        <f t="shared" si="27"/>
        <v>0</v>
      </c>
      <c r="AF43" s="1">
        <f t="shared" si="28"/>
        <v>0</v>
      </c>
      <c r="AG43" s="1">
        <f t="shared" si="29"/>
        <v>0</v>
      </c>
      <c r="AJ43" s="56"/>
      <c r="AK43" s="500"/>
      <c r="AL43" s="480"/>
      <c r="AM43" s="480"/>
      <c r="AN43" s="480"/>
      <c r="AO43" s="480"/>
      <c r="AP43" s="480"/>
      <c r="AQ43" s="480"/>
      <c r="AT43" s="17"/>
      <c r="AU43" s="17"/>
      <c r="AV43" s="17"/>
      <c r="AW43" s="17"/>
      <c r="AX43" s="17"/>
      <c r="AY43" s="17"/>
      <c r="BA43" s="473"/>
      <c r="BB43" s="17"/>
      <c r="BC43" s="17" t="b">
        <f t="shared" si="7"/>
        <v>1</v>
      </c>
      <c r="BD43" s="17" t="str">
        <f>Poeng!B43</f>
        <v>Hea 01d</v>
      </c>
      <c r="BE43" s="13" t="str">
        <f>Poeng!E43</f>
        <v>Utsyn</v>
      </c>
      <c r="BF43" s="13">
        <f>Poeng!AB43</f>
        <v>1</v>
      </c>
      <c r="BG43" s="13">
        <f>Poeng!AI43</f>
        <v>0</v>
      </c>
      <c r="BH43" s="1076">
        <f>Poeng!AE43</f>
        <v>0</v>
      </c>
      <c r="BI43" s="1" t="str">
        <f>Poeng!BE43</f>
        <v>N/A</v>
      </c>
      <c r="BK43" s="1">
        <f>Poeng!AJ43</f>
        <v>0</v>
      </c>
      <c r="BL43" s="1076">
        <f>Poeng!AF43</f>
        <v>0</v>
      </c>
      <c r="BM43" s="1076" t="str">
        <f>Poeng!BH43</f>
        <v>N/A</v>
      </c>
      <c r="BO43" s="1">
        <f>Poeng!AK43</f>
        <v>0</v>
      </c>
      <c r="BP43" s="1076">
        <f>Poeng!AG43</f>
        <v>0</v>
      </c>
      <c r="BQ43" s="1076" t="str">
        <f>Poeng!BK43</f>
        <v>N/A</v>
      </c>
    </row>
    <row r="44" spans="1:69">
      <c r="A44" s="792">
        <v>35</v>
      </c>
      <c r="B44" s="793" t="s">
        <v>295</v>
      </c>
      <c r="C44" s="97" t="str">
        <f t="shared" si="39"/>
        <v>Hea 01</v>
      </c>
      <c r="D44" s="621" t="s">
        <v>311</v>
      </c>
      <c r="E44" s="963">
        <v>10</v>
      </c>
      <c r="F44" s="787" t="str">
        <f t="shared" si="31"/>
        <v>Sollys</v>
      </c>
      <c r="G44" s="95">
        <f t="shared" si="32"/>
        <v>1</v>
      </c>
      <c r="H44" s="29"/>
      <c r="I44" s="96">
        <f t="shared" si="33"/>
        <v>0</v>
      </c>
      <c r="J44" s="97" t="str">
        <f t="shared" si="34"/>
        <v>N/A</v>
      </c>
      <c r="K44" s="66"/>
      <c r="L44" s="228"/>
      <c r="M44" s="601"/>
      <c r="N44" s="616"/>
      <c r="O44" s="69"/>
      <c r="P44" s="96">
        <f t="shared" si="35"/>
        <v>0</v>
      </c>
      <c r="Q44" s="96" t="str">
        <f t="shared" si="36"/>
        <v>N/A</v>
      </c>
      <c r="R44" s="551"/>
      <c r="S44" s="552"/>
      <c r="T44" s="601"/>
      <c r="U44" s="261"/>
      <c r="V44" s="69"/>
      <c r="W44" s="96">
        <f t="shared" si="37"/>
        <v>0</v>
      </c>
      <c r="X44" s="96" t="str">
        <f t="shared" si="38"/>
        <v>N/A</v>
      </c>
      <c r="Y44" s="67"/>
      <c r="Z44" s="66"/>
      <c r="AA44" s="601"/>
      <c r="AB44" s="105"/>
      <c r="AC44" s="509"/>
      <c r="AD44" s="17">
        <f t="shared" si="3"/>
        <v>0</v>
      </c>
      <c r="AE44" s="1">
        <f t="shared" si="27"/>
        <v>0</v>
      </c>
      <c r="AF44" s="1">
        <f t="shared" si="28"/>
        <v>0</v>
      </c>
      <c r="AG44" s="1">
        <f t="shared" si="29"/>
        <v>0</v>
      </c>
      <c r="AJ44" s="56"/>
      <c r="AK44" s="500"/>
      <c r="AL44" s="480"/>
      <c r="AM44" s="480"/>
      <c r="AN44" s="480"/>
      <c r="AO44" s="480"/>
      <c r="AP44" s="480"/>
      <c r="AQ44" s="480"/>
      <c r="AT44" s="17"/>
      <c r="AU44" s="17"/>
      <c r="AV44" s="17"/>
      <c r="AW44" s="17"/>
      <c r="AX44" s="17"/>
      <c r="AY44" s="17"/>
      <c r="BA44" s="473"/>
      <c r="BB44" s="17"/>
      <c r="BC44" s="17" t="b">
        <f t="shared" si="7"/>
        <v>1</v>
      </c>
      <c r="BD44" s="17" t="str">
        <f>Poeng!B44</f>
        <v>Hea 01e</v>
      </c>
      <c r="BE44" s="13" t="str">
        <f>Poeng!E44</f>
        <v>Sollys</v>
      </c>
      <c r="BF44" s="13">
        <f>Poeng!AB44</f>
        <v>1</v>
      </c>
      <c r="BG44" s="13">
        <f>Poeng!AI44</f>
        <v>0</v>
      </c>
      <c r="BH44" s="1076">
        <f>Poeng!AE44</f>
        <v>0</v>
      </c>
      <c r="BI44" s="1" t="str">
        <f>Poeng!BE44</f>
        <v>N/A</v>
      </c>
      <c r="BK44" s="1">
        <f>Poeng!AJ44</f>
        <v>0</v>
      </c>
      <c r="BL44" s="1076">
        <f>Poeng!AF44</f>
        <v>0</v>
      </c>
      <c r="BM44" s="1076" t="str">
        <f>Poeng!BH44</f>
        <v>N/A</v>
      </c>
      <c r="BO44" s="1">
        <f>Poeng!AK44</f>
        <v>0</v>
      </c>
      <c r="BP44" s="1076">
        <f>Poeng!AG44</f>
        <v>0</v>
      </c>
      <c r="BQ44" s="1076" t="str">
        <f>Poeng!BK44</f>
        <v>N/A</v>
      </c>
    </row>
    <row r="45" spans="1:69">
      <c r="A45" s="792">
        <v>36</v>
      </c>
      <c r="B45" s="793" t="s">
        <v>295</v>
      </c>
      <c r="C45" s="97" t="str">
        <f t="shared" si="39"/>
        <v>Hea 01</v>
      </c>
      <c r="D45" s="621" t="s">
        <v>312</v>
      </c>
      <c r="E45" s="964" t="s">
        <v>1381</v>
      </c>
      <c r="F45" s="787" t="str">
        <f t="shared" si="31"/>
        <v>Innendørs og utendørs belysningsnivåer og soneinndeling</v>
      </c>
      <c r="G45" s="95">
        <f t="shared" si="32"/>
        <v>1</v>
      </c>
      <c r="H45" s="29"/>
      <c r="I45" s="96">
        <f t="shared" si="33"/>
        <v>0</v>
      </c>
      <c r="J45" s="97" t="str">
        <f t="shared" si="34"/>
        <v>N/A</v>
      </c>
      <c r="K45" s="66"/>
      <c r="L45" s="228"/>
      <c r="M45" s="601"/>
      <c r="N45" s="616"/>
      <c r="O45" s="69"/>
      <c r="P45" s="96">
        <f t="shared" si="35"/>
        <v>0</v>
      </c>
      <c r="Q45" s="96" t="str">
        <f t="shared" si="36"/>
        <v>N/A</v>
      </c>
      <c r="R45" s="551"/>
      <c r="S45" s="552"/>
      <c r="T45" s="545"/>
      <c r="U45" s="261"/>
      <c r="V45" s="69"/>
      <c r="W45" s="96">
        <f t="shared" si="37"/>
        <v>0</v>
      </c>
      <c r="X45" s="96" t="str">
        <f t="shared" si="38"/>
        <v>N/A</v>
      </c>
      <c r="Y45" s="67"/>
      <c r="Z45" s="66"/>
      <c r="AA45" s="545"/>
      <c r="AB45" s="105"/>
      <c r="AC45" s="509"/>
      <c r="AD45" s="17">
        <f t="shared" si="3"/>
        <v>0</v>
      </c>
      <c r="AE45" s="1">
        <f t="shared" si="27"/>
        <v>0</v>
      </c>
      <c r="AF45" s="1">
        <f t="shared" si="28"/>
        <v>0</v>
      </c>
      <c r="AG45" s="1">
        <f t="shared" si="29"/>
        <v>0</v>
      </c>
      <c r="AJ45" s="56"/>
      <c r="AK45" s="500"/>
      <c r="AL45" s="480"/>
      <c r="AM45" s="480"/>
      <c r="AN45" s="480"/>
      <c r="AO45" s="480"/>
      <c r="AP45" s="480"/>
      <c r="AQ45" s="480"/>
      <c r="AT45" s="17"/>
      <c r="AU45" s="17"/>
      <c r="AV45" s="17"/>
      <c r="AW45" s="17"/>
      <c r="AX45" s="17"/>
      <c r="AY45" s="17"/>
      <c r="BA45" s="473"/>
      <c r="BB45" s="17"/>
      <c r="BC45" s="17" t="b">
        <f t="shared" si="7"/>
        <v>1</v>
      </c>
      <c r="BD45" s="17" t="str">
        <f>Poeng!B45</f>
        <v>Hea 01f</v>
      </c>
      <c r="BE45" s="13" t="str">
        <f>Poeng!E45</f>
        <v>Innendørs og utendørs belysningsnivåer og soneinndeling</v>
      </c>
      <c r="BF45" s="13">
        <f>Poeng!AB45</f>
        <v>1</v>
      </c>
      <c r="BG45" s="13">
        <f>Poeng!AI45</f>
        <v>0</v>
      </c>
      <c r="BH45" s="1076">
        <f>Poeng!AE45</f>
        <v>0</v>
      </c>
      <c r="BI45" s="1" t="str">
        <f>Poeng!BE45</f>
        <v>N/A</v>
      </c>
      <c r="BK45" s="1">
        <f>Poeng!AJ45</f>
        <v>0</v>
      </c>
      <c r="BL45" s="1076">
        <f>Poeng!AF45</f>
        <v>0</v>
      </c>
      <c r="BM45" s="1076" t="str">
        <f>Poeng!BH45</f>
        <v>N/A</v>
      </c>
      <c r="BO45" s="1">
        <f>Poeng!AK45</f>
        <v>0</v>
      </c>
      <c r="BP45" s="1076">
        <f>Poeng!AG45</f>
        <v>0</v>
      </c>
      <c r="BQ45" s="1076" t="str">
        <f>Poeng!BK45</f>
        <v>N/A</v>
      </c>
    </row>
    <row r="46" spans="1:69" ht="14.25" customHeight="1">
      <c r="A46" s="792">
        <v>37</v>
      </c>
      <c r="B46" s="793" t="s">
        <v>295</v>
      </c>
      <c r="C46" s="704" t="s">
        <v>182</v>
      </c>
      <c r="D46" s="621" t="s">
        <v>182</v>
      </c>
      <c r="E46" s="963"/>
      <c r="F46" s="654" t="str">
        <f t="shared" ref="F46:G50" si="40">BE46</f>
        <v>Hea 02 Inneluftkvalitet</v>
      </c>
      <c r="G46" s="659">
        <f t="shared" si="40"/>
        <v>4</v>
      </c>
      <c r="H46" s="746"/>
      <c r="I46" s="660" t="str">
        <f>BG46&amp;" c. "&amp;ROUND(BH46*100,1)&amp;" %"</f>
        <v>0 c. 0 %</v>
      </c>
      <c r="J46" s="703" t="str">
        <f>BI46</f>
        <v>N/A</v>
      </c>
      <c r="K46" s="66"/>
      <c r="L46" s="228"/>
      <c r="M46" s="601"/>
      <c r="N46" s="616"/>
      <c r="O46" s="746"/>
      <c r="P46" s="670" t="str">
        <f>BK46&amp;" c. "&amp;ROUND(BL46*100,1)&amp;" %"</f>
        <v>0 c. 0 %</v>
      </c>
      <c r="Q46" s="670" t="str">
        <f>BM46</f>
        <v>N/A</v>
      </c>
      <c r="R46" s="551"/>
      <c r="S46" s="552"/>
      <c r="T46" s="545"/>
      <c r="U46" s="261"/>
      <c r="V46" s="746"/>
      <c r="W46" s="670" t="str">
        <f>BO46&amp;" c. "&amp;ROUND(BP46*100,1)&amp;" %"</f>
        <v>0 c. 0 %</v>
      </c>
      <c r="X46" s="670" t="str">
        <f>BQ46</f>
        <v>N/A</v>
      </c>
      <c r="Y46" s="67"/>
      <c r="Z46" s="66"/>
      <c r="AA46" s="545"/>
      <c r="AB46" s="105"/>
      <c r="AC46" s="473" t="s">
        <v>313</v>
      </c>
      <c r="AD46" s="17">
        <f t="shared" si="3"/>
        <v>0</v>
      </c>
      <c r="AE46" s="1">
        <f t="shared" si="27"/>
        <v>0</v>
      </c>
      <c r="AF46" s="1">
        <f t="shared" si="28"/>
        <v>0</v>
      </c>
      <c r="AG46" s="1">
        <f t="shared" si="29"/>
        <v>0</v>
      </c>
      <c r="AJ46" s="56" t="str">
        <f>ais_ja</f>
        <v>Ja</v>
      </c>
      <c r="AK46" s="500" t="s">
        <v>314</v>
      </c>
      <c r="AL46" s="480" t="s">
        <v>315</v>
      </c>
      <c r="AM46" s="480" t="s">
        <v>316</v>
      </c>
      <c r="AN46" s="480" t="s">
        <v>313</v>
      </c>
      <c r="AO46" s="480" t="s">
        <v>317</v>
      </c>
      <c r="AP46" s="480" t="s">
        <v>318</v>
      </c>
      <c r="AQ46" s="480"/>
      <c r="AS46" s="1" t="s">
        <v>123</v>
      </c>
      <c r="AT46" s="17" t="str">
        <f>IF($AK$4=ais_nei,AIS_NA,IF(AL46="",AIS_NA,AL46))</f>
        <v>N/A</v>
      </c>
      <c r="AU46" s="17" t="str">
        <f>IF($AK$4=ais_nei,AIS_NA,IF(AM46="",AIS_NA,AM46))</f>
        <v>N/A</v>
      </c>
      <c r="AV46" s="17" t="str">
        <f>IF($AK$4=ais_nei,AIS_NA,IF(AN46="",AIS_NA,AN46))</f>
        <v>N/A</v>
      </c>
      <c r="AW46" s="17" t="str">
        <f>IF($AK$4=ais_nei,AIS_NA,IF(AO46="",AIS_NA,AO46))</f>
        <v>N/A</v>
      </c>
      <c r="AX46" s="17" t="str">
        <f>IF($AK$4=ais_nei,AIS_NA,IF(AP46="",AIS_NA,AP46))</f>
        <v>N/A</v>
      </c>
      <c r="AY46" s="17"/>
      <c r="BA46" s="473"/>
      <c r="BB46" s="17"/>
      <c r="BC46" s="17" t="b">
        <f t="shared" si="7"/>
        <v>1</v>
      </c>
      <c r="BD46" s="17" t="str">
        <f>Poeng!B46</f>
        <v>Hea 02</v>
      </c>
      <c r="BE46" s="13" t="str">
        <f>Poeng!E46</f>
        <v>Hea 02 Inneluftkvalitet</v>
      </c>
      <c r="BF46" s="13">
        <f>Poeng!AB46</f>
        <v>4</v>
      </c>
      <c r="BG46" s="13">
        <f>Poeng!AI46</f>
        <v>0</v>
      </c>
      <c r="BH46" s="1076">
        <f>Poeng!AE46</f>
        <v>0</v>
      </c>
      <c r="BI46" s="1" t="str">
        <f>Poeng!BE46</f>
        <v>N/A</v>
      </c>
      <c r="BK46" s="1">
        <f>Poeng!AJ46</f>
        <v>0</v>
      </c>
      <c r="BL46" s="1076">
        <f>Poeng!AF46</f>
        <v>0</v>
      </c>
      <c r="BM46" s="1076" t="str">
        <f>Poeng!BH46</f>
        <v>N/A</v>
      </c>
      <c r="BO46" s="1">
        <f>Poeng!AK46</f>
        <v>0</v>
      </c>
      <c r="BP46" s="1076">
        <f>Poeng!AG46</f>
        <v>0</v>
      </c>
      <c r="BQ46" s="1076" t="str">
        <f>Poeng!BK46</f>
        <v>N/A</v>
      </c>
    </row>
    <row r="47" spans="1:69">
      <c r="A47" s="792">
        <v>38</v>
      </c>
      <c r="B47" s="793" t="s">
        <v>295</v>
      </c>
      <c r="C47" s="97" t="str">
        <f t="shared" si="39"/>
        <v>Hea 02</v>
      </c>
      <c r="D47" s="14" t="s">
        <v>319</v>
      </c>
      <c r="E47" s="964" t="s">
        <v>288</v>
      </c>
      <c r="F47" s="787" t="str">
        <f t="shared" si="40"/>
        <v>Forkrav: plan for inneluftkvalitet</v>
      </c>
      <c r="G47" s="95" t="str">
        <f t="shared" si="40"/>
        <v>Yes/No</v>
      </c>
      <c r="H47" s="29"/>
      <c r="I47" s="96" t="str">
        <f t="shared" ref="I47:J50" si="41">BH47</f>
        <v>-</v>
      </c>
      <c r="J47" s="97" t="str">
        <f t="shared" si="41"/>
        <v>Unclassified</v>
      </c>
      <c r="K47" s="66"/>
      <c r="L47" s="228"/>
      <c r="M47" s="601"/>
      <c r="N47" s="616"/>
      <c r="O47" s="69"/>
      <c r="P47" s="96" t="str">
        <f t="shared" ref="P47:Q50" si="42">BL47</f>
        <v>-</v>
      </c>
      <c r="Q47" s="96" t="str">
        <f t="shared" si="42"/>
        <v>Unclassified</v>
      </c>
      <c r="R47" s="551"/>
      <c r="S47" s="552"/>
      <c r="T47" s="545"/>
      <c r="U47" s="261"/>
      <c r="V47" s="69"/>
      <c r="W47" s="96" t="str">
        <f t="shared" ref="W47:X50" si="43">BP47</f>
        <v>-</v>
      </c>
      <c r="X47" s="96" t="str">
        <f t="shared" si="43"/>
        <v>Unclassified</v>
      </c>
      <c r="Y47" s="67"/>
      <c r="Z47" s="66"/>
      <c r="AA47" s="545"/>
      <c r="AD47" s="17">
        <f t="shared" si="3"/>
        <v>0</v>
      </c>
      <c r="AE47" s="1">
        <f t="shared" si="27"/>
        <v>0</v>
      </c>
      <c r="AF47" s="1">
        <f t="shared" si="28"/>
        <v>0</v>
      </c>
      <c r="AG47" s="1">
        <f t="shared" si="29"/>
        <v>0</v>
      </c>
      <c r="BB47" s="17"/>
      <c r="BC47" s="17" t="b">
        <f t="shared" si="7"/>
        <v>1</v>
      </c>
      <c r="BD47" s="17" t="str">
        <f>Poeng!B236</f>
        <v>Hea 02a</v>
      </c>
      <c r="BE47" s="13" t="str">
        <f>Poeng!E236</f>
        <v>Forkrav: plan for inneluftkvalitet</v>
      </c>
      <c r="BF47" s="13" t="str">
        <f>Poeng!AB236</f>
        <v>Yes/No</v>
      </c>
      <c r="BG47" s="13">
        <f>Poeng!AI236</f>
        <v>0</v>
      </c>
      <c r="BH47" s="1076" t="str">
        <f>Poeng!AE236</f>
        <v>-</v>
      </c>
      <c r="BI47" s="1" t="str">
        <f>Poeng!BE236</f>
        <v>Unclassified</v>
      </c>
      <c r="BK47" s="1">
        <f>Poeng!AJ236</f>
        <v>0</v>
      </c>
      <c r="BL47" s="1076" t="str">
        <f>Poeng!AF236</f>
        <v>-</v>
      </c>
      <c r="BM47" s="1076" t="str">
        <f>Poeng!BH236</f>
        <v>Unclassified</v>
      </c>
      <c r="BO47" s="1">
        <f>Poeng!AK236</f>
        <v>0</v>
      </c>
      <c r="BP47" s="1076" t="str">
        <f>Poeng!AG236</f>
        <v>-</v>
      </c>
      <c r="BQ47" s="1076" t="str">
        <f>Poeng!BK236</f>
        <v>Unclassified</v>
      </c>
    </row>
    <row r="48" spans="1:69">
      <c r="A48" s="792">
        <v>39</v>
      </c>
      <c r="B48" s="793" t="s">
        <v>295</v>
      </c>
      <c r="C48" s="97" t="str">
        <f t="shared" si="39"/>
        <v>Hea 02</v>
      </c>
      <c r="D48" s="14" t="s">
        <v>320</v>
      </c>
      <c r="E48" s="963">
        <v>3</v>
      </c>
      <c r="F48" s="787" t="str">
        <f t="shared" si="40"/>
        <v>Ventilasjon</v>
      </c>
      <c r="G48" s="95">
        <f t="shared" si="40"/>
        <v>1</v>
      </c>
      <c r="H48" s="29"/>
      <c r="I48" s="96">
        <f t="shared" si="41"/>
        <v>0</v>
      </c>
      <c r="J48" s="97" t="str">
        <f t="shared" si="41"/>
        <v>N/A</v>
      </c>
      <c r="K48" s="66"/>
      <c r="L48" s="228"/>
      <c r="M48" s="601"/>
      <c r="N48" s="616"/>
      <c r="O48" s="69"/>
      <c r="P48" s="96">
        <f t="shared" si="42"/>
        <v>0</v>
      </c>
      <c r="Q48" s="96" t="str">
        <f t="shared" si="42"/>
        <v>N/A</v>
      </c>
      <c r="R48" s="551"/>
      <c r="S48" s="552"/>
      <c r="T48" s="545"/>
      <c r="U48" s="261"/>
      <c r="V48" s="69"/>
      <c r="W48" s="96">
        <f t="shared" si="43"/>
        <v>0</v>
      </c>
      <c r="X48" s="96" t="str">
        <f t="shared" si="43"/>
        <v>N/A</v>
      </c>
      <c r="Y48" s="67"/>
      <c r="Z48" s="66"/>
      <c r="AA48" s="545"/>
      <c r="AD48" s="17">
        <f t="shared" si="3"/>
        <v>0</v>
      </c>
      <c r="AE48" s="1">
        <f t="shared" si="27"/>
        <v>0</v>
      </c>
      <c r="AF48" s="1">
        <f t="shared" si="28"/>
        <v>0</v>
      </c>
      <c r="AG48" s="1">
        <f t="shared" si="29"/>
        <v>0</v>
      </c>
      <c r="BB48" s="17"/>
      <c r="BC48" s="17" t="b">
        <f t="shared" si="7"/>
        <v>1</v>
      </c>
      <c r="BD48" s="17" t="str">
        <f>Poeng!B48</f>
        <v>Hea 02b</v>
      </c>
      <c r="BE48" s="13" t="str">
        <f>Poeng!E48</f>
        <v>Ventilasjon</v>
      </c>
      <c r="BF48" s="13">
        <f>Poeng!AB48</f>
        <v>1</v>
      </c>
      <c r="BG48" s="13">
        <f>Poeng!AI48</f>
        <v>0</v>
      </c>
      <c r="BH48" s="1076">
        <f>Poeng!AE48</f>
        <v>0</v>
      </c>
      <c r="BI48" s="1" t="str">
        <f>Poeng!BE48</f>
        <v>N/A</v>
      </c>
      <c r="BK48" s="1">
        <f>Poeng!AJ48</f>
        <v>0</v>
      </c>
      <c r="BL48" s="1076">
        <f>Poeng!AF48</f>
        <v>0</v>
      </c>
      <c r="BM48" s="1076" t="str">
        <f>Poeng!BH48</f>
        <v>N/A</v>
      </c>
      <c r="BO48" s="1">
        <f>Poeng!AK48</f>
        <v>0</v>
      </c>
      <c r="BP48" s="1076">
        <f>Poeng!AG48</f>
        <v>0</v>
      </c>
      <c r="BQ48" s="1076" t="str">
        <f>Poeng!BK48</f>
        <v>N/A</v>
      </c>
    </row>
    <row r="49" spans="1:69" ht="14.25" customHeight="1">
      <c r="A49" s="792">
        <v>40</v>
      </c>
      <c r="B49" s="793" t="s">
        <v>295</v>
      </c>
      <c r="C49" s="97" t="str">
        <f t="shared" si="39"/>
        <v>Hea 02</v>
      </c>
      <c r="D49" s="14" t="s">
        <v>321</v>
      </c>
      <c r="E49" s="963" t="s">
        <v>322</v>
      </c>
      <c r="F49" s="787" t="str">
        <f t="shared" si="40"/>
        <v>Emisjoner fra bygningsprodukter (EU taksonomi: krit. 5)</v>
      </c>
      <c r="G49" s="95">
        <f t="shared" si="40"/>
        <v>2</v>
      </c>
      <c r="H49" s="29"/>
      <c r="I49" s="96">
        <f t="shared" si="41"/>
        <v>0</v>
      </c>
      <c r="J49" s="97" t="str">
        <f t="shared" si="41"/>
        <v>Good</v>
      </c>
      <c r="K49" s="66"/>
      <c r="L49" s="228"/>
      <c r="M49" s="601"/>
      <c r="N49" s="616"/>
      <c r="O49" s="69"/>
      <c r="P49" s="96">
        <f t="shared" si="42"/>
        <v>0</v>
      </c>
      <c r="Q49" s="96" t="str">
        <f t="shared" si="42"/>
        <v>Good</v>
      </c>
      <c r="R49" s="551"/>
      <c r="S49" s="552"/>
      <c r="T49" s="545"/>
      <c r="U49" s="261"/>
      <c r="V49" s="69"/>
      <c r="W49" s="96">
        <f t="shared" si="43"/>
        <v>0</v>
      </c>
      <c r="X49" s="96" t="str">
        <f t="shared" si="43"/>
        <v>Good</v>
      </c>
      <c r="Y49" s="67"/>
      <c r="Z49" s="66"/>
      <c r="AA49" s="545"/>
      <c r="AD49" s="17">
        <f t="shared" si="3"/>
        <v>0</v>
      </c>
      <c r="AE49" s="1">
        <f t="shared" si="27"/>
        <v>0</v>
      </c>
      <c r="AF49" s="1">
        <f t="shared" si="28"/>
        <v>0</v>
      </c>
      <c r="AG49" s="1">
        <f t="shared" si="29"/>
        <v>0</v>
      </c>
      <c r="BB49" s="17"/>
      <c r="BC49" s="17" t="b">
        <f t="shared" si="7"/>
        <v>1</v>
      </c>
      <c r="BD49" s="17" t="str">
        <f>Poeng!B49</f>
        <v>Hea 02c</v>
      </c>
      <c r="BE49" s="13" t="str">
        <f>Poeng!E49</f>
        <v>Emisjoner fra bygningsprodukter (EU taksonomi: krit. 5)</v>
      </c>
      <c r="BF49" s="13">
        <f>Poeng!AB49</f>
        <v>2</v>
      </c>
      <c r="BG49" s="13">
        <f>Poeng!AI49</f>
        <v>0</v>
      </c>
      <c r="BH49" s="1076">
        <f>Poeng!AE49</f>
        <v>0</v>
      </c>
      <c r="BI49" s="1" t="str">
        <f>Poeng!BE49</f>
        <v>Good</v>
      </c>
      <c r="BK49" s="1">
        <f>Poeng!AJ49</f>
        <v>0</v>
      </c>
      <c r="BL49" s="1076">
        <f>Poeng!AF49</f>
        <v>0</v>
      </c>
      <c r="BM49" s="1076" t="str">
        <f>Poeng!BH49</f>
        <v>Good</v>
      </c>
      <c r="BO49" s="1">
        <f>Poeng!AK49</f>
        <v>0</v>
      </c>
      <c r="BP49" s="1076">
        <f>Poeng!AG49</f>
        <v>0</v>
      </c>
      <c r="BQ49" s="1076" t="str">
        <f>Poeng!BK49</f>
        <v>Good</v>
      </c>
    </row>
    <row r="50" spans="1:69">
      <c r="A50" s="792">
        <v>41</v>
      </c>
      <c r="B50" s="793" t="s">
        <v>295</v>
      </c>
      <c r="C50" s="97" t="str">
        <f t="shared" si="39"/>
        <v>Hea 02</v>
      </c>
      <c r="D50" s="14" t="s">
        <v>323</v>
      </c>
      <c r="E50" s="964" t="s">
        <v>324</v>
      </c>
      <c r="F50" s="787" t="str">
        <f t="shared" si="40"/>
        <v>Måling av inneluftkvalitet</v>
      </c>
      <c r="G50" s="95">
        <f t="shared" si="40"/>
        <v>1</v>
      </c>
      <c r="H50" s="29"/>
      <c r="I50" s="96">
        <f t="shared" si="41"/>
        <v>0</v>
      </c>
      <c r="J50" s="97" t="str">
        <f t="shared" si="41"/>
        <v>N/A</v>
      </c>
      <c r="K50" s="66"/>
      <c r="L50" s="228"/>
      <c r="M50" s="601"/>
      <c r="N50" s="616"/>
      <c r="O50" s="69"/>
      <c r="P50" s="96">
        <f t="shared" si="42"/>
        <v>0</v>
      </c>
      <c r="Q50" s="96" t="str">
        <f t="shared" si="42"/>
        <v>N/A</v>
      </c>
      <c r="R50" s="551"/>
      <c r="S50" s="552"/>
      <c r="T50" s="545"/>
      <c r="U50" s="261"/>
      <c r="V50" s="69"/>
      <c r="W50" s="96">
        <f t="shared" si="43"/>
        <v>0</v>
      </c>
      <c r="X50" s="96" t="str">
        <f t="shared" si="43"/>
        <v>N/A</v>
      </c>
      <c r="Y50" s="67"/>
      <c r="Z50" s="66"/>
      <c r="AA50" s="545"/>
      <c r="AD50" s="17">
        <f t="shared" si="3"/>
        <v>0</v>
      </c>
      <c r="AE50" s="1">
        <f t="shared" si="27"/>
        <v>0</v>
      </c>
      <c r="AF50" s="1">
        <f t="shared" si="28"/>
        <v>0</v>
      </c>
      <c r="AG50" s="1">
        <f t="shared" si="29"/>
        <v>0</v>
      </c>
      <c r="BB50" s="17"/>
      <c r="BC50" s="17" t="b">
        <f t="shared" si="7"/>
        <v>1</v>
      </c>
      <c r="BD50" s="17" t="str">
        <f>Poeng!B50</f>
        <v>Hea 02d</v>
      </c>
      <c r="BE50" s="13" t="str">
        <f>Poeng!E50</f>
        <v>Måling av inneluftkvalitet</v>
      </c>
      <c r="BF50" s="13">
        <f>Poeng!AB50</f>
        <v>1</v>
      </c>
      <c r="BG50" s="13">
        <f>Poeng!AI50</f>
        <v>0</v>
      </c>
      <c r="BH50" s="1076">
        <f>Poeng!AE50</f>
        <v>0</v>
      </c>
      <c r="BI50" s="1" t="str">
        <f>Poeng!BE50</f>
        <v>N/A</v>
      </c>
      <c r="BK50" s="1">
        <f>Poeng!AJ50</f>
        <v>0</v>
      </c>
      <c r="BL50" s="1076">
        <f>Poeng!AF50</f>
        <v>0</v>
      </c>
      <c r="BM50" s="1076" t="str">
        <f>Poeng!BH50</f>
        <v>N/A</v>
      </c>
      <c r="BO50" s="1">
        <f>Poeng!AK50</f>
        <v>0</v>
      </c>
      <c r="BP50" s="1076">
        <f>Poeng!AG50</f>
        <v>0</v>
      </c>
      <c r="BQ50" s="1076" t="str">
        <f>Poeng!BK50</f>
        <v>N/A</v>
      </c>
    </row>
    <row r="51" spans="1:69">
      <c r="A51" s="792">
        <v>42</v>
      </c>
      <c r="B51" s="793" t="s">
        <v>295</v>
      </c>
      <c r="C51" s="704" t="s">
        <v>325</v>
      </c>
      <c r="D51" s="621" t="s">
        <v>325</v>
      </c>
      <c r="E51" s="963"/>
      <c r="F51" s="654" t="str">
        <f t="shared" ref="F51:F62" si="44">BE51</f>
        <v>Hea 03 Termisk komfort</v>
      </c>
      <c r="G51" s="659">
        <f>VLOOKUP(D51,Poeng!$B$10:$AB$252,Poeng!AB$1,FALSE)</f>
        <v>3</v>
      </c>
      <c r="H51" s="29"/>
      <c r="I51" s="660" t="str">
        <f>BG51&amp;" c. "&amp;ROUND(BH51*100,1)&amp;" %"</f>
        <v>0 c. 0 %</v>
      </c>
      <c r="J51" s="703" t="str">
        <f>BI51</f>
        <v>N/A</v>
      </c>
      <c r="K51" s="66"/>
      <c r="L51" s="228"/>
      <c r="M51" s="601"/>
      <c r="N51" s="616"/>
      <c r="O51" s="746"/>
      <c r="P51" s="670" t="str">
        <f>BK51&amp;" c. "&amp;ROUND(BL51*100,1)&amp;" %"</f>
        <v>0 c. 0 %</v>
      </c>
      <c r="Q51" s="670" t="str">
        <f>BM51</f>
        <v>N/A</v>
      </c>
      <c r="R51" s="551"/>
      <c r="S51" s="552"/>
      <c r="T51" s="545"/>
      <c r="U51" s="261"/>
      <c r="V51" s="746"/>
      <c r="W51" s="670" t="str">
        <f>BO51&amp;" c. "&amp;ROUND(BP51*100,1)&amp;" %"</f>
        <v>0 c. 0 %</v>
      </c>
      <c r="X51" s="670" t="str">
        <f>BQ51</f>
        <v>N/A</v>
      </c>
      <c r="Y51" s="67"/>
      <c r="Z51" s="66"/>
      <c r="AA51" s="545"/>
      <c r="AB51" s="105"/>
      <c r="AC51" s="473" t="s">
        <v>123</v>
      </c>
      <c r="AD51" s="17">
        <f t="shared" si="3"/>
        <v>0</v>
      </c>
      <c r="AE51" s="1">
        <f t="shared" si="27"/>
        <v>0</v>
      </c>
      <c r="AF51" s="1">
        <f t="shared" si="28"/>
        <v>0</v>
      </c>
      <c r="AG51" s="1">
        <f t="shared" si="29"/>
        <v>0</v>
      </c>
      <c r="AJ51" s="56" t="str">
        <f>ais_ja</f>
        <v>Ja</v>
      </c>
      <c r="AK51" s="500" t="s">
        <v>326</v>
      </c>
      <c r="AL51" s="479" t="s">
        <v>277</v>
      </c>
      <c r="AM51" s="479" t="s">
        <v>327</v>
      </c>
      <c r="AN51" s="479" t="s">
        <v>279</v>
      </c>
      <c r="AO51" s="56"/>
      <c r="AP51" s="56"/>
      <c r="AQ51" s="56"/>
      <c r="AS51" s="1" t="s">
        <v>123</v>
      </c>
      <c r="AT51" s="17" t="str">
        <f>IF($AK$4=ais_nei,AIS_NA,IF(AL51="",AIS_NA,AL51))</f>
        <v>N/A</v>
      </c>
      <c r="AU51" s="17" t="str">
        <f>IF($AK$4=ais_nei,AIS_NA,IF(AM51="",AIS_NA,AM51))</f>
        <v>N/A</v>
      </c>
      <c r="AV51" s="17" t="str">
        <f>IF($AK$4=ais_nei,AIS_NA,IF(AN51="",AIS_NA,AN51))</f>
        <v>N/A</v>
      </c>
      <c r="AW51" s="17"/>
      <c r="AX51" s="17"/>
      <c r="AY51" s="17"/>
      <c r="BA51" s="473"/>
      <c r="BB51" s="17"/>
      <c r="BC51" s="17" t="b">
        <f t="shared" si="7"/>
        <v>1</v>
      </c>
      <c r="BD51" s="17" t="str">
        <f>Poeng!B51</f>
        <v>Hea 03</v>
      </c>
      <c r="BE51" s="13" t="str">
        <f>Poeng!E51</f>
        <v>Hea 03 Termisk komfort</v>
      </c>
      <c r="BF51" s="13">
        <f>Poeng!AB51</f>
        <v>3</v>
      </c>
      <c r="BG51" s="13">
        <f>Poeng!AI51</f>
        <v>0</v>
      </c>
      <c r="BH51" s="1076">
        <f>Poeng!AE51</f>
        <v>0</v>
      </c>
      <c r="BI51" s="1" t="str">
        <f>Poeng!BE51</f>
        <v>N/A</v>
      </c>
      <c r="BK51" s="1">
        <f>Poeng!AJ51</f>
        <v>0</v>
      </c>
      <c r="BL51" s="1076">
        <f>Poeng!AF51</f>
        <v>0</v>
      </c>
      <c r="BM51" s="1076" t="str">
        <f>Poeng!BH51</f>
        <v>N/A</v>
      </c>
      <c r="BO51" s="1">
        <f>Poeng!AK51</f>
        <v>0</v>
      </c>
      <c r="BP51" s="1076">
        <f>Poeng!AG51</f>
        <v>0</v>
      </c>
      <c r="BQ51" s="1076" t="str">
        <f>Poeng!BK51</f>
        <v>N/A</v>
      </c>
    </row>
    <row r="52" spans="1:69">
      <c r="A52" s="792">
        <v>43</v>
      </c>
      <c r="B52" s="793" t="s">
        <v>295</v>
      </c>
      <c r="C52" s="97" t="str">
        <f t="shared" si="39"/>
        <v>Hea 03</v>
      </c>
      <c r="D52" s="621" t="s">
        <v>328</v>
      </c>
      <c r="E52" s="964" t="s">
        <v>262</v>
      </c>
      <c r="F52" s="787" t="str">
        <f t="shared" si="44"/>
        <v>Termisk modellering</v>
      </c>
      <c r="G52" s="95">
        <f t="shared" ref="G52:G62" si="45">BF52</f>
        <v>1</v>
      </c>
      <c r="H52" s="29"/>
      <c r="I52" s="96">
        <f t="shared" ref="I52:J54" si="46">BH52</f>
        <v>0</v>
      </c>
      <c r="J52" s="97" t="str">
        <f t="shared" si="46"/>
        <v>N/A</v>
      </c>
      <c r="K52" s="66"/>
      <c r="L52" s="228"/>
      <c r="M52" s="601"/>
      <c r="N52" s="616"/>
      <c r="O52" s="69"/>
      <c r="P52" s="96">
        <f t="shared" ref="P52:Q54" si="47">BL52</f>
        <v>0</v>
      </c>
      <c r="Q52" s="96" t="str">
        <f t="shared" si="47"/>
        <v>N/A</v>
      </c>
      <c r="R52" s="551"/>
      <c r="S52" s="552"/>
      <c r="T52" s="545"/>
      <c r="U52" s="261"/>
      <c r="V52" s="69"/>
      <c r="W52" s="96">
        <f t="shared" ref="W52:X54" si="48">BP52</f>
        <v>0</v>
      </c>
      <c r="X52" s="96" t="str">
        <f t="shared" si="48"/>
        <v>N/A</v>
      </c>
      <c r="Y52" s="67"/>
      <c r="Z52" s="66"/>
      <c r="AA52" s="601"/>
      <c r="AB52" s="105"/>
      <c r="AC52" s="473"/>
      <c r="AD52" s="17">
        <f t="shared" si="3"/>
        <v>0</v>
      </c>
      <c r="AE52" s="1">
        <f t="shared" si="27"/>
        <v>0</v>
      </c>
      <c r="AF52" s="1">
        <f t="shared" si="28"/>
        <v>0</v>
      </c>
      <c r="AG52" s="1">
        <f t="shared" si="29"/>
        <v>0</v>
      </c>
      <c r="AJ52" s="56"/>
      <c r="AK52" s="500"/>
      <c r="AL52" s="479"/>
      <c r="AM52" s="479"/>
      <c r="AN52" s="479"/>
      <c r="AO52" s="56"/>
      <c r="AP52" s="56"/>
      <c r="AQ52" s="56"/>
      <c r="AT52" s="17"/>
      <c r="AU52" s="17"/>
      <c r="AV52" s="17"/>
      <c r="AW52" s="17"/>
      <c r="AX52" s="17"/>
      <c r="AY52" s="17"/>
      <c r="BA52" s="473"/>
      <c r="BB52" s="17"/>
      <c r="BC52" s="17" t="b">
        <f t="shared" si="7"/>
        <v>1</v>
      </c>
      <c r="BD52" s="17" t="str">
        <f>Poeng!B52</f>
        <v>Hea 03a</v>
      </c>
      <c r="BE52" s="13" t="str">
        <f>Poeng!E52</f>
        <v>Termisk modellering</v>
      </c>
      <c r="BF52" s="13">
        <f>Poeng!AB52</f>
        <v>1</v>
      </c>
      <c r="BG52" s="13">
        <f>Poeng!AI52</f>
        <v>0</v>
      </c>
      <c r="BH52" s="1076">
        <f>Poeng!AE52</f>
        <v>0</v>
      </c>
      <c r="BI52" s="1" t="str">
        <f>Poeng!BE52</f>
        <v>N/A</v>
      </c>
      <c r="BK52" s="1">
        <f>Poeng!AJ52</f>
        <v>0</v>
      </c>
      <c r="BL52" s="1076">
        <f>Poeng!AF52</f>
        <v>0</v>
      </c>
      <c r="BM52" s="1076" t="str">
        <f>Poeng!BH52</f>
        <v>N/A</v>
      </c>
      <c r="BO52" s="1">
        <f>Poeng!AK52</f>
        <v>0</v>
      </c>
      <c r="BP52" s="1076">
        <f>Poeng!AG52</f>
        <v>0</v>
      </c>
      <c r="BQ52" s="1076" t="str">
        <f>Poeng!BK52</f>
        <v>N/A</v>
      </c>
    </row>
    <row r="53" spans="1:69">
      <c r="A53" s="792">
        <v>44</v>
      </c>
      <c r="B53" s="793" t="s">
        <v>295</v>
      </c>
      <c r="C53" s="97" t="str">
        <f t="shared" si="39"/>
        <v>Hea 03</v>
      </c>
      <c r="D53" s="621" t="s">
        <v>329</v>
      </c>
      <c r="E53" s="964" t="s">
        <v>330</v>
      </c>
      <c r="F53" s="787" t="str">
        <f t="shared" si="44"/>
        <v>Prosjektering for fremtidig termisk komfort</v>
      </c>
      <c r="G53" s="95">
        <f t="shared" si="45"/>
        <v>1</v>
      </c>
      <c r="H53" s="29"/>
      <c r="I53" s="96">
        <f t="shared" si="46"/>
        <v>0</v>
      </c>
      <c r="J53" s="97" t="str">
        <f t="shared" si="46"/>
        <v>N/A</v>
      </c>
      <c r="K53" s="66"/>
      <c r="L53" s="228"/>
      <c r="M53" s="601"/>
      <c r="N53" s="616"/>
      <c r="O53" s="69"/>
      <c r="P53" s="96">
        <f t="shared" si="47"/>
        <v>0</v>
      </c>
      <c r="Q53" s="96" t="str">
        <f t="shared" si="47"/>
        <v>N/A</v>
      </c>
      <c r="R53" s="551"/>
      <c r="S53" s="552"/>
      <c r="T53" s="545"/>
      <c r="U53" s="261"/>
      <c r="V53" s="69"/>
      <c r="W53" s="96">
        <f t="shared" si="48"/>
        <v>0</v>
      </c>
      <c r="X53" s="96" t="str">
        <f t="shared" si="48"/>
        <v>N/A</v>
      </c>
      <c r="Y53" s="67"/>
      <c r="Z53" s="66"/>
      <c r="AA53" s="601"/>
      <c r="AB53" s="105"/>
      <c r="AC53" s="473"/>
      <c r="AD53" s="17">
        <f t="shared" si="3"/>
        <v>0</v>
      </c>
      <c r="AE53" s="1">
        <f t="shared" si="27"/>
        <v>0</v>
      </c>
      <c r="AF53" s="1">
        <f t="shared" si="28"/>
        <v>0</v>
      </c>
      <c r="AG53" s="1">
        <f t="shared" si="29"/>
        <v>0</v>
      </c>
      <c r="AJ53" s="56"/>
      <c r="AK53" s="500"/>
      <c r="AL53" s="479"/>
      <c r="AM53" s="479"/>
      <c r="AN53" s="479"/>
      <c r="AO53" s="56"/>
      <c r="AP53" s="56"/>
      <c r="AQ53" s="56"/>
      <c r="AT53" s="17"/>
      <c r="AU53" s="17"/>
      <c r="AV53" s="17"/>
      <c r="AW53" s="17"/>
      <c r="AX53" s="17"/>
      <c r="AY53" s="17"/>
      <c r="BA53" s="473"/>
      <c r="BB53" s="17"/>
      <c r="BC53" s="17" t="b">
        <f t="shared" si="7"/>
        <v>1</v>
      </c>
      <c r="BD53" s="17" t="str">
        <f>Poeng!B53</f>
        <v>Hea 03b</v>
      </c>
      <c r="BE53" s="13" t="str">
        <f>Poeng!E53</f>
        <v>Prosjektering for fremtidig termisk komfort</v>
      </c>
      <c r="BF53" s="13">
        <f>Poeng!AB53</f>
        <v>1</v>
      </c>
      <c r="BG53" s="13">
        <f>Poeng!AI53</f>
        <v>0</v>
      </c>
      <c r="BH53" s="1076">
        <f>Poeng!AE53</f>
        <v>0</v>
      </c>
      <c r="BI53" s="1" t="str">
        <f>Poeng!BE53</f>
        <v>N/A</v>
      </c>
      <c r="BK53" s="1">
        <f>Poeng!AJ53</f>
        <v>0</v>
      </c>
      <c r="BL53" s="1076">
        <f>Poeng!AF53</f>
        <v>0</v>
      </c>
      <c r="BM53" s="1076" t="str">
        <f>Poeng!BH53</f>
        <v>N/A</v>
      </c>
      <c r="BO53" s="1">
        <f>Poeng!AK53</f>
        <v>0</v>
      </c>
      <c r="BP53" s="1076">
        <f>Poeng!AG53</f>
        <v>0</v>
      </c>
      <c r="BQ53" s="1076" t="str">
        <f>Poeng!BK53</f>
        <v>N/A</v>
      </c>
    </row>
    <row r="54" spans="1:69">
      <c r="A54" s="792">
        <v>45</v>
      </c>
      <c r="B54" s="793" t="s">
        <v>295</v>
      </c>
      <c r="C54" s="97" t="str">
        <f t="shared" si="39"/>
        <v>Hea 03</v>
      </c>
      <c r="D54" s="621" t="s">
        <v>331</v>
      </c>
      <c r="E54" s="964" t="s">
        <v>332</v>
      </c>
      <c r="F54" s="787" t="str">
        <f t="shared" si="44"/>
        <v>Termisk soning og reguleringsfunksjoner</v>
      </c>
      <c r="G54" s="95">
        <f t="shared" si="45"/>
        <v>1</v>
      </c>
      <c r="H54" s="29"/>
      <c r="I54" s="96">
        <f t="shared" si="46"/>
        <v>0</v>
      </c>
      <c r="J54" s="97" t="str">
        <f t="shared" si="46"/>
        <v>N/A</v>
      </c>
      <c r="K54" s="66"/>
      <c r="L54" s="228"/>
      <c r="M54" s="601"/>
      <c r="N54" s="616"/>
      <c r="O54" s="69"/>
      <c r="P54" s="96">
        <f t="shared" si="47"/>
        <v>0</v>
      </c>
      <c r="Q54" s="96" t="str">
        <f t="shared" si="47"/>
        <v>N/A</v>
      </c>
      <c r="R54" s="551"/>
      <c r="S54" s="552"/>
      <c r="T54" s="545"/>
      <c r="U54" s="261"/>
      <c r="V54" s="69"/>
      <c r="W54" s="96">
        <f t="shared" si="48"/>
        <v>0</v>
      </c>
      <c r="X54" s="96" t="str">
        <f t="shared" si="48"/>
        <v>N/A</v>
      </c>
      <c r="Y54" s="67"/>
      <c r="Z54" s="66"/>
      <c r="AA54" s="601"/>
      <c r="AB54" s="105"/>
      <c r="AC54" s="473"/>
      <c r="AD54" s="17">
        <f t="shared" si="3"/>
        <v>0</v>
      </c>
      <c r="AE54" s="1">
        <f t="shared" si="27"/>
        <v>0</v>
      </c>
      <c r="AF54" s="1">
        <f t="shared" si="28"/>
        <v>0</v>
      </c>
      <c r="AG54" s="1">
        <f t="shared" si="29"/>
        <v>0</v>
      </c>
      <c r="AJ54" s="56"/>
      <c r="AK54" s="500"/>
      <c r="AL54" s="479"/>
      <c r="AM54" s="479"/>
      <c r="AN54" s="479"/>
      <c r="AO54" s="56"/>
      <c r="AP54" s="56"/>
      <c r="AQ54" s="56"/>
      <c r="AT54" s="17"/>
      <c r="AU54" s="17"/>
      <c r="AV54" s="17"/>
      <c r="AW54" s="17"/>
      <c r="AX54" s="17"/>
      <c r="AY54" s="17"/>
      <c r="BA54" s="473"/>
      <c r="BB54" s="17"/>
      <c r="BC54" s="17" t="b">
        <f t="shared" si="7"/>
        <v>1</v>
      </c>
      <c r="BD54" s="17" t="str">
        <f>Poeng!B54</f>
        <v>Hea 03c</v>
      </c>
      <c r="BE54" s="13" t="str">
        <f>Poeng!E54</f>
        <v>Termisk soning og reguleringsfunksjoner</v>
      </c>
      <c r="BF54" s="13">
        <f>Poeng!AB54</f>
        <v>1</v>
      </c>
      <c r="BG54" s="13">
        <f>Poeng!AI54</f>
        <v>0</v>
      </c>
      <c r="BH54" s="1076">
        <f>Poeng!AE54</f>
        <v>0</v>
      </c>
      <c r="BI54" s="1" t="str">
        <f>Poeng!BE54</f>
        <v>N/A</v>
      </c>
      <c r="BK54" s="1">
        <f>Poeng!AJ54</f>
        <v>0</v>
      </c>
      <c r="BL54" s="1076">
        <f>Poeng!AF54</f>
        <v>0</v>
      </c>
      <c r="BM54" s="1076" t="str">
        <f>Poeng!BH54</f>
        <v>N/A</v>
      </c>
      <c r="BO54" s="1">
        <f>Poeng!AK54</f>
        <v>0</v>
      </c>
      <c r="BP54" s="1076">
        <f>Poeng!AG54</f>
        <v>0</v>
      </c>
      <c r="BQ54" s="1076" t="str">
        <f>Poeng!BK54</f>
        <v>N/A</v>
      </c>
    </row>
    <row r="55" spans="1:69">
      <c r="A55" s="792">
        <v>46</v>
      </c>
      <c r="B55" s="793" t="s">
        <v>295</v>
      </c>
      <c r="C55" s="704" t="s">
        <v>333</v>
      </c>
      <c r="D55" s="621" t="s">
        <v>333</v>
      </c>
      <c r="E55" s="963"/>
      <c r="F55" s="654" t="str">
        <f t="shared" si="44"/>
        <v>Hea 05 Lydforhold</v>
      </c>
      <c r="G55" s="659">
        <f t="shared" si="45"/>
        <v>3</v>
      </c>
      <c r="H55" s="746"/>
      <c r="I55" s="660" t="str">
        <f>BG55&amp;" c. "&amp;ROUND(BH55*100,1)&amp;" %"</f>
        <v>0 c. 0 %</v>
      </c>
      <c r="J55" s="703" t="str">
        <f>BI55</f>
        <v>N/A</v>
      </c>
      <c r="K55" s="66"/>
      <c r="L55" s="228"/>
      <c r="M55" s="601"/>
      <c r="N55" s="616"/>
      <c r="O55" s="746"/>
      <c r="P55" s="670" t="str">
        <f>BK55&amp;" c. "&amp;ROUND(BL55*100,1)&amp;" %"</f>
        <v>0 c. 0 %</v>
      </c>
      <c r="Q55" s="670" t="str">
        <f>BM55</f>
        <v>N/A</v>
      </c>
      <c r="R55" s="551"/>
      <c r="S55" s="552"/>
      <c r="T55" s="545"/>
      <c r="U55" s="261"/>
      <c r="V55" s="746"/>
      <c r="W55" s="670" t="str">
        <f>BO55&amp;" c. "&amp;ROUND(BP55*100,1)&amp;" %"</f>
        <v>0 c. 0 %</v>
      </c>
      <c r="X55" s="670" t="str">
        <f>BQ55</f>
        <v>N/A</v>
      </c>
      <c r="Y55" s="67"/>
      <c r="Z55" s="66"/>
      <c r="AA55" s="545"/>
      <c r="AB55" s="105"/>
      <c r="AC55" s="473" t="s">
        <v>123</v>
      </c>
      <c r="AD55" s="17">
        <f t="shared" si="3"/>
        <v>0</v>
      </c>
      <c r="AE55" s="1">
        <f t="shared" si="27"/>
        <v>0</v>
      </c>
      <c r="AF55" s="1">
        <f t="shared" si="28"/>
        <v>0</v>
      </c>
      <c r="AG55" s="1">
        <f t="shared" si="29"/>
        <v>0</v>
      </c>
      <c r="AJ55" s="56"/>
      <c r="AK55" s="500" t="s">
        <v>334</v>
      </c>
      <c r="AL55" s="479" t="s">
        <v>123</v>
      </c>
      <c r="AM55" s="481" t="s">
        <v>119</v>
      </c>
      <c r="AN55" s="56"/>
      <c r="AO55" s="56"/>
      <c r="AP55" s="56"/>
      <c r="AQ55" s="56"/>
      <c r="AT55" s="17" t="str">
        <f>IF($AK$4=ais_nei,AIS_NA,IF(AL55="",AIS_NA,AL55))</f>
        <v>N/A</v>
      </c>
      <c r="AU55" s="17" t="str">
        <f>IF($AK$4=ais_nei,AIS_NA,IF(AM55="",AIS_NA,AM55))</f>
        <v>N/A</v>
      </c>
      <c r="AV55" s="17" t="str">
        <f>IF($AK$4=ais_nei,AIS_NA,IF(AN55="",AIS_NA,AN55))</f>
        <v>N/A</v>
      </c>
      <c r="AW55" s="17"/>
      <c r="AX55" s="17"/>
      <c r="AY55" s="17"/>
      <c r="BA55" s="473"/>
      <c r="BB55" s="17"/>
      <c r="BC55" s="17" t="b">
        <f t="shared" si="7"/>
        <v>1</v>
      </c>
      <c r="BD55" s="17" t="str">
        <f>Poeng!B56</f>
        <v>Hea 05</v>
      </c>
      <c r="BE55" s="13" t="str">
        <f>Poeng!E56</f>
        <v>Hea 05 Lydforhold</v>
      </c>
      <c r="BF55" s="13">
        <f>Poeng!AB56</f>
        <v>3</v>
      </c>
      <c r="BG55" s="13">
        <f>Poeng!AI56</f>
        <v>0</v>
      </c>
      <c r="BH55" s="1076">
        <f>Poeng!AE56</f>
        <v>0</v>
      </c>
      <c r="BI55" s="1" t="str">
        <f>Poeng!BE56</f>
        <v>N/A</v>
      </c>
      <c r="BK55" s="1">
        <f>Poeng!AJ56</f>
        <v>0</v>
      </c>
      <c r="BL55" s="1076">
        <f>Poeng!AF56</f>
        <v>0</v>
      </c>
      <c r="BM55" s="1076" t="str">
        <f>Poeng!BH56</f>
        <v>N/A</v>
      </c>
      <c r="BO55" s="1">
        <f>Poeng!AK56</f>
        <v>0</v>
      </c>
      <c r="BP55" s="1076">
        <f>Poeng!AG56</f>
        <v>0</v>
      </c>
      <c r="BQ55" s="1076" t="str">
        <f>Poeng!BK56</f>
        <v>N/A</v>
      </c>
    </row>
    <row r="56" spans="1:69">
      <c r="A56" s="792">
        <v>47</v>
      </c>
      <c r="B56" s="793" t="s">
        <v>295</v>
      </c>
      <c r="C56" s="97" t="str">
        <f t="shared" si="39"/>
        <v>Hea 05</v>
      </c>
      <c r="D56" s="621" t="s">
        <v>335</v>
      </c>
      <c r="E56" s="964">
        <v>1</v>
      </c>
      <c r="F56" s="787" t="str">
        <f t="shared" si="44"/>
        <v>Forkrav: kvalifisert akustiker</v>
      </c>
      <c r="G56" s="95" t="str">
        <f t="shared" si="45"/>
        <v>Yes/No</v>
      </c>
      <c r="H56" s="29"/>
      <c r="I56" s="96" t="str">
        <f>BH56</f>
        <v>-</v>
      </c>
      <c r="J56" s="97" t="str">
        <f>BI56</f>
        <v>N/A</v>
      </c>
      <c r="K56" s="66"/>
      <c r="L56" s="228"/>
      <c r="M56" s="601"/>
      <c r="N56" s="616"/>
      <c r="O56" s="69"/>
      <c r="P56" s="96" t="str">
        <f>BL56</f>
        <v>-</v>
      </c>
      <c r="Q56" s="96" t="str">
        <f>BM56</f>
        <v>N/A</v>
      </c>
      <c r="R56" s="551"/>
      <c r="S56" s="552"/>
      <c r="T56" s="545"/>
      <c r="U56" s="261"/>
      <c r="V56" s="69"/>
      <c r="W56" s="96" t="str">
        <f>BP56</f>
        <v>-</v>
      </c>
      <c r="X56" s="96" t="str">
        <f>BQ56</f>
        <v>N/A</v>
      </c>
      <c r="Y56" s="67"/>
      <c r="Z56" s="66"/>
      <c r="AA56" s="545"/>
      <c r="AB56" s="105"/>
      <c r="AC56" s="473"/>
      <c r="AD56" s="17">
        <f t="shared" si="3"/>
        <v>0</v>
      </c>
      <c r="AE56" s="1">
        <f t="shared" si="27"/>
        <v>0</v>
      </c>
      <c r="AF56" s="1">
        <f t="shared" si="28"/>
        <v>0</v>
      </c>
      <c r="AG56" s="1">
        <f t="shared" si="29"/>
        <v>0</v>
      </c>
      <c r="AJ56" s="56"/>
      <c r="AK56" s="500"/>
      <c r="AL56" s="479"/>
      <c r="AM56" s="481"/>
      <c r="AN56" s="56"/>
      <c r="AO56" s="56"/>
      <c r="AP56" s="56"/>
      <c r="AQ56" s="56"/>
      <c r="AT56" s="17"/>
      <c r="AU56" s="17"/>
      <c r="AV56" s="17"/>
      <c r="AW56" s="17"/>
      <c r="AX56" s="17"/>
      <c r="AY56" s="17"/>
      <c r="BA56" s="473"/>
      <c r="BB56" s="17"/>
      <c r="BC56" s="17" t="b">
        <f t="shared" si="7"/>
        <v>1</v>
      </c>
      <c r="BD56" s="17" t="str">
        <f>Poeng!B237</f>
        <v>Hea 05a</v>
      </c>
      <c r="BE56" s="13" t="str">
        <f>Poeng!E237</f>
        <v>Forkrav: kvalifisert akustiker</v>
      </c>
      <c r="BF56" s="13" t="str">
        <f>Poeng!AB237</f>
        <v>Yes/No</v>
      </c>
      <c r="BG56" s="13">
        <f>Poeng!AI237</f>
        <v>0</v>
      </c>
      <c r="BH56" s="1076" t="str">
        <f>Poeng!AE237</f>
        <v>-</v>
      </c>
      <c r="BI56" s="1" t="str">
        <f>Poeng!BE237</f>
        <v>N/A</v>
      </c>
      <c r="BK56" s="1">
        <f>Poeng!AJ237</f>
        <v>0</v>
      </c>
      <c r="BL56" s="1076" t="str">
        <f>Poeng!AF237</f>
        <v>-</v>
      </c>
      <c r="BM56" s="1076" t="str">
        <f>Poeng!BH237</f>
        <v>N/A</v>
      </c>
      <c r="BO56" s="1">
        <f>Poeng!AK237</f>
        <v>0</v>
      </c>
      <c r="BP56" s="1076" t="str">
        <f>Poeng!AG237</f>
        <v>-</v>
      </c>
      <c r="BQ56" s="1076" t="str">
        <f>Poeng!BK237</f>
        <v>N/A</v>
      </c>
    </row>
    <row r="57" spans="1:69">
      <c r="A57" s="792">
        <v>48</v>
      </c>
      <c r="B57" s="793" t="s">
        <v>295</v>
      </c>
      <c r="C57" s="97" t="str">
        <f t="shared" si="39"/>
        <v>Hea 05</v>
      </c>
      <c r="D57" s="621" t="s">
        <v>336</v>
      </c>
      <c r="E57" s="964" t="s">
        <v>252</v>
      </c>
      <c r="F57" s="787" t="str">
        <f t="shared" si="44"/>
        <v>Krav til lydklasse</v>
      </c>
      <c r="G57" s="95">
        <f t="shared" si="45"/>
        <v>3</v>
      </c>
      <c r="H57" s="29"/>
      <c r="I57" s="96">
        <f>BH57</f>
        <v>0</v>
      </c>
      <c r="J57" s="97" t="str">
        <f>BI57</f>
        <v>N/A</v>
      </c>
      <c r="K57" s="66"/>
      <c r="L57" s="228"/>
      <c r="M57" s="601"/>
      <c r="N57" s="616"/>
      <c r="O57" s="69"/>
      <c r="P57" s="96">
        <f>BL57</f>
        <v>0</v>
      </c>
      <c r="Q57" s="96" t="str">
        <f>BM57</f>
        <v>N/A</v>
      </c>
      <c r="R57" s="551"/>
      <c r="S57" s="552"/>
      <c r="T57" s="601"/>
      <c r="U57" s="261"/>
      <c r="V57" s="69"/>
      <c r="W57" s="96">
        <f>BP57</f>
        <v>0</v>
      </c>
      <c r="X57" s="96" t="str">
        <f>BQ57</f>
        <v>N/A</v>
      </c>
      <c r="Y57" s="67"/>
      <c r="Z57" s="66"/>
      <c r="AA57" s="601"/>
      <c r="AB57" s="105"/>
      <c r="AC57" s="473"/>
      <c r="AD57" s="17">
        <f t="shared" si="3"/>
        <v>0</v>
      </c>
      <c r="AE57" s="1">
        <f t="shared" si="27"/>
        <v>0</v>
      </c>
      <c r="AF57" s="1">
        <f t="shared" si="28"/>
        <v>0</v>
      </c>
      <c r="AG57" s="1">
        <f t="shared" si="29"/>
        <v>0</v>
      </c>
      <c r="AJ57" s="56"/>
      <c r="AK57" s="500"/>
      <c r="AL57" s="479"/>
      <c r="AM57" s="481"/>
      <c r="AN57" s="56"/>
      <c r="AO57" s="56"/>
      <c r="AP57" s="56"/>
      <c r="AQ57" s="56"/>
      <c r="AT57" s="17"/>
      <c r="AU57" s="17"/>
      <c r="AV57" s="17"/>
      <c r="AW57" s="17"/>
      <c r="AX57" s="17"/>
      <c r="AY57" s="17"/>
      <c r="BA57" s="473"/>
      <c r="BB57" s="17"/>
      <c r="BC57" s="17" t="b">
        <f t="shared" si="7"/>
        <v>1</v>
      </c>
      <c r="BD57" s="17" t="str">
        <f>Poeng!B58</f>
        <v>Hea 05b</v>
      </c>
      <c r="BE57" s="13" t="str">
        <f>Poeng!E58</f>
        <v>Krav til lydklasse</v>
      </c>
      <c r="BF57" s="13">
        <f>Poeng!AB58</f>
        <v>3</v>
      </c>
      <c r="BG57" s="13">
        <f>Poeng!AI58</f>
        <v>0</v>
      </c>
      <c r="BH57" s="1076">
        <f>Poeng!AE58</f>
        <v>0</v>
      </c>
      <c r="BI57" s="1" t="str">
        <f>Poeng!BE58</f>
        <v>N/A</v>
      </c>
      <c r="BK57" s="1">
        <f>Poeng!AJ58</f>
        <v>0</v>
      </c>
      <c r="BL57" s="1076">
        <f>Poeng!AF58</f>
        <v>0</v>
      </c>
      <c r="BM57" s="1076" t="str">
        <f>Poeng!BH58</f>
        <v>N/A</v>
      </c>
      <c r="BO57" s="1">
        <f>Poeng!AK58</f>
        <v>0</v>
      </c>
      <c r="BP57" s="1076">
        <f>Poeng!AG58</f>
        <v>0</v>
      </c>
      <c r="BQ57" s="1076" t="str">
        <f>Poeng!BK58</f>
        <v>N/A</v>
      </c>
    </row>
    <row r="58" spans="1:69">
      <c r="A58" s="792">
        <v>49</v>
      </c>
      <c r="B58" s="793" t="s">
        <v>295</v>
      </c>
      <c r="C58" s="704" t="s">
        <v>337</v>
      </c>
      <c r="D58" s="621" t="s">
        <v>337</v>
      </c>
      <c r="E58" s="963"/>
      <c r="F58" s="654" t="str">
        <f t="shared" si="44"/>
        <v>Hea 06 Trygge og sunne omgivelser</v>
      </c>
      <c r="G58" s="659">
        <f t="shared" si="45"/>
        <v>2</v>
      </c>
      <c r="H58" s="746"/>
      <c r="I58" s="660" t="str">
        <f>BG58&amp;" c. "&amp;ROUND(BH58*100,1)&amp;" %"</f>
        <v>0 c. 0 %</v>
      </c>
      <c r="J58" s="703" t="str">
        <f>BI58</f>
        <v>N/A</v>
      </c>
      <c r="K58" s="66"/>
      <c r="L58" s="228"/>
      <c r="M58" s="601"/>
      <c r="N58" s="616"/>
      <c r="O58" s="746"/>
      <c r="P58" s="670" t="str">
        <f>BK58&amp;" c. "&amp;ROUND(BL58*100,1)&amp;" %"</f>
        <v>0 c. 0 %</v>
      </c>
      <c r="Q58" s="670" t="str">
        <f>BM58</f>
        <v>N/A</v>
      </c>
      <c r="R58" s="551"/>
      <c r="S58" s="552"/>
      <c r="T58" s="545"/>
      <c r="U58" s="261"/>
      <c r="V58" s="746"/>
      <c r="W58" s="670" t="str">
        <f>BO58&amp;" c. "&amp;ROUND(BP58*100,1)&amp;" %"</f>
        <v>0 c. 0 %</v>
      </c>
      <c r="X58" s="670" t="str">
        <f>BQ58</f>
        <v>N/A</v>
      </c>
      <c r="Y58" s="67"/>
      <c r="Z58" s="66"/>
      <c r="AA58" s="545"/>
      <c r="AB58" s="105"/>
      <c r="AC58" s="473" t="s">
        <v>209</v>
      </c>
      <c r="AD58" s="17">
        <f t="shared" si="3"/>
        <v>0</v>
      </c>
      <c r="AE58" s="1">
        <f t="shared" si="27"/>
        <v>0</v>
      </c>
      <c r="AF58" s="1">
        <f t="shared" si="28"/>
        <v>0</v>
      </c>
      <c r="AG58" s="1">
        <f t="shared" si="29"/>
        <v>0</v>
      </c>
      <c r="AJ58" s="56"/>
      <c r="AK58" s="500" t="s">
        <v>338</v>
      </c>
      <c r="AL58" s="56"/>
      <c r="AM58" s="56"/>
      <c r="AN58" s="56"/>
      <c r="AO58" s="56"/>
      <c r="AP58" s="56"/>
      <c r="AQ58" s="56"/>
      <c r="AT58" s="17" t="str">
        <f>IF($AK$4=ais_nei,AIS_NA,IF(AL58="",AIS_NA,AL58))</f>
        <v>N/A</v>
      </c>
      <c r="AU58" s="17" t="str">
        <f>IF($AK$4=ais_nei,AIS_NA,IF(AM58="",AIS_NA,AM58))</f>
        <v>N/A</v>
      </c>
      <c r="AV58" s="17" t="str">
        <f>IF($AK$4=ais_nei,AIS_NA,IF(AN58="",AIS_NA,AN58))</f>
        <v>N/A</v>
      </c>
      <c r="AW58" s="17"/>
      <c r="AX58" s="17"/>
      <c r="AY58" s="17"/>
      <c r="BA58" s="473"/>
      <c r="BB58" s="17"/>
      <c r="BC58" s="17" t="b">
        <f t="shared" si="7"/>
        <v>1</v>
      </c>
      <c r="BD58" s="17" t="str">
        <f>Poeng!B59</f>
        <v>Hea 06</v>
      </c>
      <c r="BE58" s="13" t="str">
        <f>Poeng!E59</f>
        <v>Hea 06 Trygge og sunne omgivelser</v>
      </c>
      <c r="BF58" s="13">
        <f>Poeng!AB59</f>
        <v>2</v>
      </c>
      <c r="BG58" s="13">
        <f>Poeng!AI59</f>
        <v>0</v>
      </c>
      <c r="BH58" s="1076">
        <f>Poeng!AE59</f>
        <v>0</v>
      </c>
      <c r="BI58" s="1" t="str">
        <f>Poeng!BE59</f>
        <v>N/A</v>
      </c>
      <c r="BK58" s="1">
        <f>Poeng!AJ59</f>
        <v>0</v>
      </c>
      <c r="BL58" s="1076">
        <f>Poeng!AF59</f>
        <v>0</v>
      </c>
      <c r="BM58" s="1076" t="str">
        <f>Poeng!BH59</f>
        <v>N/A</v>
      </c>
      <c r="BO58" s="1">
        <f>Poeng!AK59</f>
        <v>0</v>
      </c>
      <c r="BP58" s="1076">
        <f>Poeng!AG59</f>
        <v>0</v>
      </c>
      <c r="BQ58" s="1076" t="str">
        <f>Poeng!BK59</f>
        <v>N/A</v>
      </c>
    </row>
    <row r="59" spans="1:69">
      <c r="A59" s="792">
        <v>50</v>
      </c>
      <c r="B59" s="793" t="s">
        <v>295</v>
      </c>
      <c r="C59" s="97" t="str">
        <f t="shared" si="39"/>
        <v>Hea 06</v>
      </c>
      <c r="D59" s="621" t="s">
        <v>339</v>
      </c>
      <c r="E59" s="964" t="s">
        <v>340</v>
      </c>
      <c r="F59" s="787" t="str">
        <f t="shared" si="44"/>
        <v>Inkluderende design</v>
      </c>
      <c r="G59" s="95">
        <f t="shared" si="45"/>
        <v>1</v>
      </c>
      <c r="H59" s="29"/>
      <c r="I59" s="96">
        <f t="shared" ref="I59:J62" si="49">BH59</f>
        <v>0</v>
      </c>
      <c r="J59" s="97" t="str">
        <f t="shared" si="49"/>
        <v>N/A</v>
      </c>
      <c r="K59" s="66"/>
      <c r="L59" s="228"/>
      <c r="M59" s="601"/>
      <c r="N59" s="616"/>
      <c r="O59" s="69"/>
      <c r="P59" s="96">
        <f t="shared" ref="P59:Q62" si="50">BL59</f>
        <v>0</v>
      </c>
      <c r="Q59" s="96" t="str">
        <f t="shared" si="50"/>
        <v>N/A</v>
      </c>
      <c r="R59" s="551"/>
      <c r="S59" s="552"/>
      <c r="T59" s="545"/>
      <c r="U59" s="261"/>
      <c r="V59" s="69"/>
      <c r="W59" s="96">
        <f t="shared" ref="W59:X62" si="51">BP59</f>
        <v>0</v>
      </c>
      <c r="X59" s="96" t="str">
        <f t="shared" si="51"/>
        <v>N/A</v>
      </c>
      <c r="Y59" s="67"/>
      <c r="Z59" s="66"/>
      <c r="AA59" s="601"/>
      <c r="AB59" s="105"/>
      <c r="AC59" s="473"/>
      <c r="AD59" s="17">
        <f t="shared" si="3"/>
        <v>0</v>
      </c>
      <c r="AE59" s="1">
        <f t="shared" si="27"/>
        <v>0</v>
      </c>
      <c r="AF59" s="1">
        <f t="shared" si="28"/>
        <v>0</v>
      </c>
      <c r="AG59" s="1">
        <f t="shared" si="29"/>
        <v>0</v>
      </c>
      <c r="AJ59" s="56"/>
      <c r="AK59" s="500"/>
      <c r="AL59" s="56"/>
      <c r="AM59" s="56"/>
      <c r="AN59" s="56"/>
      <c r="AO59" s="56"/>
      <c r="AP59" s="56"/>
      <c r="AQ59" s="56"/>
      <c r="AT59" s="17"/>
      <c r="AU59" s="17"/>
      <c r="AV59" s="17"/>
      <c r="AW59" s="17"/>
      <c r="AX59" s="17"/>
      <c r="AY59" s="17"/>
      <c r="BA59" s="473"/>
      <c r="BB59" s="17"/>
      <c r="BC59" s="17" t="b">
        <f t="shared" si="7"/>
        <v>1</v>
      </c>
      <c r="BD59" s="17" t="str">
        <f>Poeng!B60</f>
        <v>Hea 06a</v>
      </c>
      <c r="BE59" s="13" t="str">
        <f>Poeng!E60</f>
        <v>Inkluderende design</v>
      </c>
      <c r="BF59" s="13">
        <f>Poeng!AB60</f>
        <v>1</v>
      </c>
      <c r="BG59" s="13">
        <f>Poeng!AI60</f>
        <v>0</v>
      </c>
      <c r="BH59" s="1076">
        <f>Poeng!AE60</f>
        <v>0</v>
      </c>
      <c r="BI59" s="1" t="str">
        <f>Poeng!BE60</f>
        <v>N/A</v>
      </c>
      <c r="BK59" s="1">
        <f>Poeng!AJ60</f>
        <v>0</v>
      </c>
      <c r="BL59" s="1076">
        <f>Poeng!AF60</f>
        <v>0</v>
      </c>
      <c r="BM59" s="1076" t="str">
        <f>Poeng!BH60</f>
        <v>N/A</v>
      </c>
      <c r="BO59" s="1">
        <f>Poeng!AK60</f>
        <v>0</v>
      </c>
      <c r="BP59" s="1076">
        <f>Poeng!AG60</f>
        <v>0</v>
      </c>
      <c r="BQ59" s="1076" t="str">
        <f>Poeng!BK60</f>
        <v>N/A</v>
      </c>
    </row>
    <row r="60" spans="1:69">
      <c r="A60" s="792">
        <v>51</v>
      </c>
      <c r="B60" s="793" t="s">
        <v>295</v>
      </c>
      <c r="C60" s="97" t="str">
        <f t="shared" si="39"/>
        <v>Hea 06</v>
      </c>
      <c r="D60" s="621" t="s">
        <v>341</v>
      </c>
      <c r="E60" s="964" t="s">
        <v>342</v>
      </c>
      <c r="F60" s="787" t="str">
        <f t="shared" si="44"/>
        <v xml:space="preserve">Biofilisk design </v>
      </c>
      <c r="G60" s="95">
        <f t="shared" si="45"/>
        <v>1</v>
      </c>
      <c r="H60" s="29"/>
      <c r="I60" s="96">
        <f t="shared" si="49"/>
        <v>0</v>
      </c>
      <c r="J60" s="97" t="str">
        <f t="shared" si="49"/>
        <v>N/A</v>
      </c>
      <c r="K60" s="66"/>
      <c r="L60" s="228"/>
      <c r="M60" s="601"/>
      <c r="N60" s="616"/>
      <c r="O60" s="69"/>
      <c r="P60" s="96">
        <f t="shared" si="50"/>
        <v>0</v>
      </c>
      <c r="Q60" s="96" t="str">
        <f t="shared" si="50"/>
        <v>N/A</v>
      </c>
      <c r="R60" s="551"/>
      <c r="S60" s="552"/>
      <c r="T60" s="545"/>
      <c r="U60" s="261"/>
      <c r="V60" s="69"/>
      <c r="W60" s="96">
        <f t="shared" si="51"/>
        <v>0</v>
      </c>
      <c r="X60" s="96" t="str">
        <f t="shared" si="51"/>
        <v>N/A</v>
      </c>
      <c r="Y60" s="67"/>
      <c r="Z60" s="66"/>
      <c r="AA60" s="545"/>
      <c r="AB60" s="105"/>
      <c r="AC60" s="473"/>
      <c r="AD60" s="17">
        <f t="shared" si="3"/>
        <v>0</v>
      </c>
      <c r="AE60" s="1">
        <f t="shared" si="27"/>
        <v>0</v>
      </c>
      <c r="AF60" s="1">
        <f t="shared" si="28"/>
        <v>0</v>
      </c>
      <c r="AG60" s="1">
        <f t="shared" si="29"/>
        <v>0</v>
      </c>
      <c r="AJ60" s="56"/>
      <c r="AK60" s="500"/>
      <c r="AL60" s="56"/>
      <c r="AM60" s="56"/>
      <c r="AN60" s="56"/>
      <c r="AO60" s="56"/>
      <c r="AP60" s="56"/>
      <c r="AQ60" s="56"/>
      <c r="AT60" s="17"/>
      <c r="AU60" s="17"/>
      <c r="AV60" s="17"/>
      <c r="AW60" s="17"/>
      <c r="AX60" s="17"/>
      <c r="AY60" s="17"/>
      <c r="BA60" s="473"/>
      <c r="BB60" s="17"/>
      <c r="BC60" s="17" t="b">
        <f t="shared" si="7"/>
        <v>1</v>
      </c>
      <c r="BD60" s="17" t="str">
        <f>Poeng!B61</f>
        <v>Hea 06b</v>
      </c>
      <c r="BE60" s="13" t="str">
        <f>Poeng!E61</f>
        <v xml:space="preserve">Biofilisk design </v>
      </c>
      <c r="BF60" s="13">
        <f>Poeng!AB61</f>
        <v>1</v>
      </c>
      <c r="BG60" s="13">
        <f>Poeng!AI61</f>
        <v>0</v>
      </c>
      <c r="BH60" s="1076">
        <f>Poeng!AE61</f>
        <v>0</v>
      </c>
      <c r="BI60" s="1" t="str">
        <f>Poeng!BE61</f>
        <v>N/A</v>
      </c>
      <c r="BK60" s="1">
        <f>Poeng!AJ61</f>
        <v>0</v>
      </c>
      <c r="BL60" s="1076">
        <f>Poeng!AF61</f>
        <v>0</v>
      </c>
      <c r="BM60" s="1076" t="str">
        <f>Poeng!BH61</f>
        <v>N/A</v>
      </c>
      <c r="BO60" s="1">
        <f>Poeng!AK61</f>
        <v>0</v>
      </c>
      <c r="BP60" s="1076">
        <f>Poeng!AG61</f>
        <v>0</v>
      </c>
      <c r="BQ60" s="1076" t="str">
        <f>Poeng!BK61</f>
        <v>N/A</v>
      </c>
    </row>
    <row r="61" spans="1:69">
      <c r="A61" s="792">
        <v>52</v>
      </c>
      <c r="B61" s="793" t="s">
        <v>295</v>
      </c>
      <c r="C61" s="704" t="s">
        <v>343</v>
      </c>
      <c r="D61" s="621" t="s">
        <v>343</v>
      </c>
      <c r="E61" s="963"/>
      <c r="F61" s="654" t="str">
        <f t="shared" si="44"/>
        <v>Hea 08 Privatområde</v>
      </c>
      <c r="G61" s="659">
        <f t="shared" si="45"/>
        <v>0</v>
      </c>
      <c r="H61" s="746"/>
      <c r="I61" s="96">
        <f t="shared" si="49"/>
        <v>0</v>
      </c>
      <c r="J61" s="97" t="str">
        <f t="shared" si="49"/>
        <v>N/A</v>
      </c>
      <c r="K61" s="66"/>
      <c r="L61" s="228"/>
      <c r="M61" s="601"/>
      <c r="N61" s="616"/>
      <c r="O61" s="746"/>
      <c r="P61" s="96">
        <f t="shared" si="50"/>
        <v>0</v>
      </c>
      <c r="Q61" s="96" t="str">
        <f t="shared" si="50"/>
        <v>N/A</v>
      </c>
      <c r="R61" s="551"/>
      <c r="S61" s="552"/>
      <c r="T61" s="545"/>
      <c r="U61" s="261"/>
      <c r="V61" s="746"/>
      <c r="W61" s="96">
        <f t="shared" si="51"/>
        <v>0</v>
      </c>
      <c r="X61" s="96" t="str">
        <f t="shared" si="51"/>
        <v>N/A</v>
      </c>
      <c r="Y61" s="67"/>
      <c r="Z61" s="66"/>
      <c r="AA61" s="545"/>
      <c r="AB61" s="105"/>
      <c r="AC61" s="473" t="s">
        <v>209</v>
      </c>
      <c r="AD61" s="17">
        <f t="shared" si="3"/>
        <v>1</v>
      </c>
      <c r="AE61" s="1">
        <f t="shared" si="27"/>
        <v>0</v>
      </c>
      <c r="AF61" s="1">
        <f t="shared" si="28"/>
        <v>0</v>
      </c>
      <c r="AG61" s="1">
        <f t="shared" si="29"/>
        <v>0</v>
      </c>
      <c r="AJ61" s="56"/>
      <c r="AK61" s="500" t="s">
        <v>344</v>
      </c>
      <c r="AL61" s="56"/>
      <c r="AM61" s="56"/>
      <c r="AN61" s="56"/>
      <c r="AO61" s="56"/>
      <c r="AP61" s="56"/>
      <c r="AQ61" s="56"/>
      <c r="AT61" s="17" t="str">
        <f>IF($AK$4=ais_nei,AIS_NA,IF(AL61="",AIS_NA,AL61))</f>
        <v>N/A</v>
      </c>
      <c r="AU61" s="17" t="str">
        <f>IF($AK$4=ais_nei,AIS_NA,IF(AM61="",AIS_NA,AM61))</f>
        <v>N/A</v>
      </c>
      <c r="AV61" s="17" t="str">
        <f>IF($AK$4=ais_nei,AIS_NA,IF(AN61="",AIS_NA,AN61))</f>
        <v>N/A</v>
      </c>
      <c r="AW61" s="17"/>
      <c r="AX61" s="17"/>
      <c r="AY61" s="17"/>
      <c r="BA61" s="473"/>
      <c r="BB61" s="17"/>
      <c r="BC61" s="17" t="b">
        <f t="shared" si="7"/>
        <v>1</v>
      </c>
      <c r="BD61" s="17" t="str">
        <f>Poeng!B63</f>
        <v>Hea 08</v>
      </c>
      <c r="BE61" s="13" t="str">
        <f>Poeng!E63</f>
        <v>Hea 08 Privatområde</v>
      </c>
      <c r="BF61" s="13">
        <f>Poeng!AB63</f>
        <v>0</v>
      </c>
      <c r="BG61" s="13">
        <f>Poeng!AI63</f>
        <v>0</v>
      </c>
      <c r="BH61" s="1076">
        <f>Poeng!AE63</f>
        <v>0</v>
      </c>
      <c r="BI61" s="1" t="str">
        <f>Poeng!BE63</f>
        <v>N/A</v>
      </c>
      <c r="BK61" s="1">
        <f>Poeng!AJ63</f>
        <v>0</v>
      </c>
      <c r="BL61" s="1076">
        <f>Poeng!AF63</f>
        <v>0</v>
      </c>
      <c r="BM61" s="1076" t="str">
        <f>Poeng!BH63</f>
        <v>N/A</v>
      </c>
      <c r="BO61" s="1">
        <f>Poeng!AK63</f>
        <v>0</v>
      </c>
      <c r="BP61" s="1076">
        <f>Poeng!AG63</f>
        <v>0</v>
      </c>
      <c r="BQ61" s="1076" t="str">
        <f>Poeng!BK63</f>
        <v>N/A</v>
      </c>
    </row>
    <row r="62" spans="1:69">
      <c r="A62" s="792">
        <v>53</v>
      </c>
      <c r="B62" s="793" t="s">
        <v>295</v>
      </c>
      <c r="C62" s="97" t="str">
        <f t="shared" si="39"/>
        <v>Hea 08</v>
      </c>
      <c r="D62" s="621" t="s">
        <v>345</v>
      </c>
      <c r="E62" s="963">
        <v>1</v>
      </c>
      <c r="F62" s="787" t="str">
        <f t="shared" si="44"/>
        <v>Private uteoppholdsarealer</v>
      </c>
      <c r="G62" s="95">
        <f t="shared" si="45"/>
        <v>0</v>
      </c>
      <c r="H62" s="29"/>
      <c r="I62" s="96">
        <f t="shared" si="49"/>
        <v>0</v>
      </c>
      <c r="J62" s="97" t="str">
        <f t="shared" si="49"/>
        <v>N/A</v>
      </c>
      <c r="K62" s="66"/>
      <c r="L62" s="228"/>
      <c r="M62" s="601"/>
      <c r="N62" s="616"/>
      <c r="O62" s="69"/>
      <c r="P62" s="96">
        <f t="shared" si="50"/>
        <v>0</v>
      </c>
      <c r="Q62" s="96" t="str">
        <f t="shared" si="50"/>
        <v>N/A</v>
      </c>
      <c r="R62" s="551"/>
      <c r="S62" s="552"/>
      <c r="T62" s="601"/>
      <c r="U62" s="261"/>
      <c r="V62" s="69"/>
      <c r="W62" s="96">
        <f t="shared" si="51"/>
        <v>0</v>
      </c>
      <c r="X62" s="96" t="str">
        <f t="shared" si="51"/>
        <v>N/A</v>
      </c>
      <c r="Y62" s="67"/>
      <c r="Z62" s="66"/>
      <c r="AA62" s="601"/>
      <c r="AB62" s="105"/>
      <c r="AC62" s="527"/>
      <c r="AD62" s="17">
        <f t="shared" si="3"/>
        <v>1</v>
      </c>
      <c r="AE62" s="1">
        <f t="shared" si="27"/>
        <v>0</v>
      </c>
      <c r="AF62" s="1">
        <f t="shared" si="28"/>
        <v>0</v>
      </c>
      <c r="AG62" s="1">
        <f t="shared" si="29"/>
        <v>0</v>
      </c>
      <c r="AJ62" s="56"/>
      <c r="AK62" s="500"/>
      <c r="AL62" s="56"/>
      <c r="AM62" s="56"/>
      <c r="AN62" s="56"/>
      <c r="AO62" s="56"/>
      <c r="AP62" s="56"/>
      <c r="AQ62" s="56"/>
      <c r="AT62" s="17"/>
      <c r="AU62" s="17"/>
      <c r="AV62" s="17"/>
      <c r="AW62" s="17"/>
      <c r="AX62" s="17"/>
      <c r="AY62" s="17"/>
      <c r="BA62" s="527"/>
      <c r="BB62" s="17"/>
      <c r="BC62" s="17" t="b">
        <f t="shared" si="7"/>
        <v>1</v>
      </c>
      <c r="BD62" s="17" t="str">
        <f>Poeng!B64</f>
        <v>Hea 08a</v>
      </c>
      <c r="BE62" s="13" t="str">
        <f>Poeng!E64</f>
        <v>Private uteoppholdsarealer</v>
      </c>
      <c r="BF62" s="13">
        <f>Poeng!AB64</f>
        <v>0</v>
      </c>
      <c r="BG62" s="13">
        <f>Poeng!AI64</f>
        <v>0</v>
      </c>
      <c r="BH62" s="1076">
        <f>Poeng!AE64</f>
        <v>0</v>
      </c>
      <c r="BI62" s="1" t="str">
        <f>Poeng!BE64</f>
        <v>N/A</v>
      </c>
      <c r="BK62" s="1">
        <f>Poeng!AJ64</f>
        <v>0</v>
      </c>
      <c r="BL62" s="1076">
        <f>Poeng!AF64</f>
        <v>0</v>
      </c>
      <c r="BM62" s="1076" t="str">
        <f>Poeng!BH64</f>
        <v>N/A</v>
      </c>
      <c r="BO62" s="1">
        <f>Poeng!AK64</f>
        <v>0</v>
      </c>
      <c r="BP62" s="1076">
        <f>Poeng!AG64</f>
        <v>0</v>
      </c>
      <c r="BQ62" s="1076" t="str">
        <f>Poeng!BK64</f>
        <v>N/A</v>
      </c>
    </row>
    <row r="63" spans="1:69" ht="15.75" thickBot="1">
      <c r="A63" s="792">
        <v>54</v>
      </c>
      <c r="B63" s="793" t="s">
        <v>295</v>
      </c>
      <c r="C63" s="796"/>
      <c r="D63" s="621" t="s">
        <v>346</v>
      </c>
      <c r="E63" s="967"/>
      <c r="F63" s="262" t="s">
        <v>347</v>
      </c>
      <c r="G63" s="98">
        <f>Hea_Credits</f>
        <v>19</v>
      </c>
      <c r="H63" s="103"/>
      <c r="I63" s="99">
        <f>Hea_cont_tot</f>
        <v>0</v>
      </c>
      <c r="J63" s="661" t="str">
        <f>"Poeng oppnådd: "&amp;HW_tot_user</f>
        <v>Poeng oppnådd: 0</v>
      </c>
      <c r="K63" s="106"/>
      <c r="L63" s="229"/>
      <c r="M63" s="553"/>
      <c r="N63" s="616"/>
      <c r="O63" s="317"/>
      <c r="P63" s="99">
        <f>BL63</f>
        <v>0</v>
      </c>
      <c r="Q63" s="661" t="str">
        <f>"Poeng oppnådd: "&amp;HW_d_user</f>
        <v>Poeng oppnådd: 0</v>
      </c>
      <c r="R63" s="554"/>
      <c r="S63" s="555"/>
      <c r="T63" s="553"/>
      <c r="U63" s="261"/>
      <c r="V63" s="317"/>
      <c r="W63" s="99">
        <f>BP63</f>
        <v>0</v>
      </c>
      <c r="X63" s="661" t="str">
        <f>"Poeng oppnådd: "&amp;HW_c_user</f>
        <v>Poeng oppnådd: 0</v>
      </c>
      <c r="Y63" s="316"/>
      <c r="Z63" s="108"/>
      <c r="AA63" s="553"/>
      <c r="AB63" s="105"/>
      <c r="AC63" s="474"/>
      <c r="AD63" s="17"/>
      <c r="AE63" s="225"/>
      <c r="AF63" s="225"/>
      <c r="AG63" s="225"/>
      <c r="AJ63" s="56"/>
      <c r="AK63" s="500" t="s">
        <v>348</v>
      </c>
      <c r="AL63" s="56"/>
      <c r="AM63" s="56"/>
      <c r="AN63" s="56"/>
      <c r="AO63" s="56"/>
      <c r="AP63" s="56"/>
      <c r="AQ63" s="56"/>
      <c r="AT63" s="17" t="str">
        <f t="shared" ref="AT63:AV66" si="52">IF($AK$4=ais_nei,AIS_NA,IF(AL63="",AIS_NA,AL63))</f>
        <v>N/A</v>
      </c>
      <c r="AU63" s="17" t="str">
        <f t="shared" si="52"/>
        <v>N/A</v>
      </c>
      <c r="AV63" s="17" t="str">
        <f t="shared" si="52"/>
        <v>N/A</v>
      </c>
      <c r="AW63" s="17"/>
      <c r="AX63" s="17"/>
      <c r="AY63" s="17"/>
      <c r="BA63" s="474"/>
      <c r="BB63" s="17"/>
      <c r="BC63" s="17" t="b">
        <f t="shared" si="7"/>
        <v>1</v>
      </c>
      <c r="BD63" s="17" t="str">
        <f>Poeng!B66</f>
        <v>Hea sum</v>
      </c>
      <c r="BE63" s="13" t="str">
        <f>Poeng!E66</f>
        <v>Sum</v>
      </c>
      <c r="BF63" s="13">
        <f>Poeng!AB66</f>
        <v>19</v>
      </c>
      <c r="BG63" s="13">
        <f>Poeng!AI66</f>
        <v>0</v>
      </c>
      <c r="BH63" s="1076">
        <f>Poeng!AE66</f>
        <v>0</v>
      </c>
      <c r="BI63" s="1">
        <f>Poeng!BE66</f>
        <v>0</v>
      </c>
      <c r="BK63" s="1">
        <f>Poeng!AJ66</f>
        <v>0</v>
      </c>
      <c r="BL63" s="1076">
        <f>Poeng!AF66</f>
        <v>0</v>
      </c>
      <c r="BM63" s="1076">
        <f>Poeng!BH66</f>
        <v>0</v>
      </c>
      <c r="BO63" s="1">
        <f>Poeng!AK66</f>
        <v>0</v>
      </c>
      <c r="BP63" s="1076">
        <f>Poeng!AG66</f>
        <v>0</v>
      </c>
      <c r="BQ63" s="1076">
        <f>Poeng!BK66</f>
        <v>0</v>
      </c>
    </row>
    <row r="64" spans="1:69">
      <c r="A64" s="792">
        <v>55</v>
      </c>
      <c r="B64" s="793" t="s">
        <v>295</v>
      </c>
      <c r="C64" s="798"/>
      <c r="D64" s="621"/>
      <c r="E64" s="966"/>
      <c r="F64" s="275"/>
      <c r="G64" s="264"/>
      <c r="H64" s="265"/>
      <c r="I64" s="264"/>
      <c r="J64" s="264"/>
      <c r="K64" s="266"/>
      <c r="L64" s="265"/>
      <c r="M64" s="556"/>
      <c r="N64" s="616"/>
      <c r="O64" s="267"/>
      <c r="P64" s="267"/>
      <c r="Q64" s="556"/>
      <c r="R64" s="556"/>
      <c r="S64" s="557"/>
      <c r="T64" s="556"/>
      <c r="U64" s="261"/>
      <c r="V64" s="267"/>
      <c r="W64" s="267"/>
      <c r="X64" s="556"/>
      <c r="Y64" s="266"/>
      <c r="Z64" s="267"/>
      <c r="AA64" s="556"/>
      <c r="AB64" s="105"/>
      <c r="AC64" s="266"/>
      <c r="AD64" s="17"/>
      <c r="AE64" s="226"/>
      <c r="AF64" s="226"/>
      <c r="AG64" s="226"/>
      <c r="AJ64" s="56"/>
      <c r="AK64" s="500"/>
      <c r="AL64" s="56"/>
      <c r="AM64" s="56"/>
      <c r="AN64" s="56"/>
      <c r="AO64" s="56"/>
      <c r="AP64" s="56"/>
      <c r="AQ64" s="56"/>
      <c r="AT64" s="17" t="str">
        <f t="shared" si="52"/>
        <v>N/A</v>
      </c>
      <c r="AU64" s="17" t="str">
        <f t="shared" si="52"/>
        <v>N/A</v>
      </c>
      <c r="AV64" s="17" t="str">
        <f t="shared" si="52"/>
        <v>N/A</v>
      </c>
      <c r="AW64" s="17"/>
      <c r="AX64" s="17"/>
      <c r="AY64" s="17"/>
      <c r="BA64" s="266"/>
      <c r="BB64" s="17"/>
      <c r="BC64" s="17"/>
    </row>
    <row r="65" spans="1:69" ht="18.75">
      <c r="A65" s="792">
        <v>56</v>
      </c>
      <c r="B65" s="793" t="s">
        <v>349</v>
      </c>
      <c r="C65" s="799"/>
      <c r="D65" s="621"/>
      <c r="E65" s="968"/>
      <c r="F65" s="276" t="s">
        <v>350</v>
      </c>
      <c r="G65" s="257"/>
      <c r="H65" s="258"/>
      <c r="I65" s="277"/>
      <c r="J65" s="257"/>
      <c r="K65" s="269"/>
      <c r="L65" s="270"/>
      <c r="M65" s="559"/>
      <c r="N65" s="616"/>
      <c r="O65" s="280"/>
      <c r="P65" s="273"/>
      <c r="Q65" s="549"/>
      <c r="R65" s="560"/>
      <c r="S65" s="561"/>
      <c r="T65" s="562"/>
      <c r="U65" s="261"/>
      <c r="V65" s="280"/>
      <c r="W65" s="279"/>
      <c r="X65" s="549"/>
      <c r="Y65" s="269"/>
      <c r="Z65" s="279"/>
      <c r="AA65" s="559"/>
      <c r="AB65" s="105"/>
      <c r="AC65" s="278"/>
      <c r="AD65" s="17"/>
      <c r="AE65" s="224"/>
      <c r="AF65" s="224"/>
      <c r="AG65" s="224"/>
      <c r="AJ65" s="56"/>
      <c r="AK65" s="500" t="s">
        <v>351</v>
      </c>
      <c r="AL65" s="56"/>
      <c r="AM65" s="56"/>
      <c r="AN65" s="56"/>
      <c r="AO65" s="56"/>
      <c r="AP65" s="56"/>
      <c r="AQ65" s="56"/>
      <c r="AT65" s="17" t="str">
        <f t="shared" si="52"/>
        <v>N/A</v>
      </c>
      <c r="AU65" s="17" t="str">
        <f t="shared" si="52"/>
        <v>N/A</v>
      </c>
      <c r="AV65" s="17" t="str">
        <f t="shared" si="52"/>
        <v>N/A</v>
      </c>
      <c r="AW65" s="17"/>
      <c r="AX65" s="17"/>
      <c r="AY65" s="17"/>
      <c r="BA65" s="278"/>
      <c r="BB65" s="17"/>
      <c r="BC65" s="17"/>
      <c r="BD65" s="17"/>
      <c r="BE65" s="13"/>
      <c r="BF65" s="13"/>
      <c r="BG65" s="13"/>
      <c r="BH65" s="1076"/>
      <c r="BL65" s="1076"/>
      <c r="BM65" s="1076"/>
      <c r="BP65" s="1076"/>
      <c r="BQ65" s="1076"/>
    </row>
    <row r="66" spans="1:69">
      <c r="A66" s="792">
        <v>57</v>
      </c>
      <c r="B66" s="793" t="s">
        <v>349</v>
      </c>
      <c r="C66" s="704" t="s">
        <v>352</v>
      </c>
      <c r="D66" s="621" t="s">
        <v>352</v>
      </c>
      <c r="E66" s="963"/>
      <c r="F66" s="654" t="str">
        <f>BE66</f>
        <v>Ene 01 Bygningens energiytelse</v>
      </c>
      <c r="G66" s="659">
        <f>BF66</f>
        <v>12</v>
      </c>
      <c r="H66" s="745"/>
      <c r="I66" s="660" t="str">
        <f>BG66&amp;" c. "&amp;ROUND(BH66*100,1)&amp;" %"</f>
        <v>0 c. 0 %</v>
      </c>
      <c r="J66" s="703" t="str">
        <f>BI66</f>
        <v>N/A</v>
      </c>
      <c r="K66" s="667"/>
      <c r="L66" s="668"/>
      <c r="M66" s="669"/>
      <c r="N66" s="616"/>
      <c r="O66" s="746"/>
      <c r="P66" s="670" t="str">
        <f>BK66&amp;" c. "&amp;ROUND(BL66*100,1)&amp;" %"</f>
        <v>0 c. 0 %</v>
      </c>
      <c r="Q66" s="670" t="str">
        <f>BM66</f>
        <v>N/A</v>
      </c>
      <c r="R66" s="551"/>
      <c r="S66" s="552"/>
      <c r="T66" s="545"/>
      <c r="U66" s="261"/>
      <c r="V66" s="746"/>
      <c r="W66" s="670" t="str">
        <f>BO66&amp;" c. "&amp;ROUND(BP66*100,1)&amp;" %"</f>
        <v>0 c. 0 %</v>
      </c>
      <c r="X66" s="670" t="str">
        <f>BQ66</f>
        <v>N/A</v>
      </c>
      <c r="Y66" s="67"/>
      <c r="Z66" s="66"/>
      <c r="AA66" s="545"/>
      <c r="AB66" s="105"/>
      <c r="AC66" s="473" t="s">
        <v>123</v>
      </c>
      <c r="AD66" s="17">
        <f t="shared" si="3"/>
        <v>0</v>
      </c>
      <c r="AE66" s="1">
        <f t="shared" ref="AE66:AE91" si="53">IF(L66=$AE$4,$AF$4,IF(L66=$AE$5,$AF$5,IF(L66=$AE$6,$AF$6,0)))</f>
        <v>0</v>
      </c>
      <c r="AF66" s="1">
        <f t="shared" ref="AF66:AF91" si="54">IF(S66=$AE$4,$AF$4,IF(S66=$AE$5,$AF$5,IF(S66=$AE$6,$AF$6,0)))</f>
        <v>0</v>
      </c>
      <c r="AG66" s="1">
        <f t="shared" ref="AG66:AG91" si="55">IF(Z66=$AE$4,$AF$4,IF(Z66=$AE$5,$AF$5,IF(Z66=$AE$6,$AF$6,0)))</f>
        <v>0</v>
      </c>
      <c r="AJ66" s="56"/>
      <c r="AK66" s="500" t="s">
        <v>353</v>
      </c>
      <c r="AL66" s="479" t="s">
        <v>277</v>
      </c>
      <c r="AM66" s="479" t="s">
        <v>279</v>
      </c>
      <c r="AN66" s="56"/>
      <c r="AO66" s="56"/>
      <c r="AP66" s="56"/>
      <c r="AQ66" s="56"/>
      <c r="AS66" s="1" t="s">
        <v>123</v>
      </c>
      <c r="AT66" s="17" t="str">
        <f t="shared" si="52"/>
        <v>N/A</v>
      </c>
      <c r="AU66" s="17" t="str">
        <f t="shared" si="52"/>
        <v>N/A</v>
      </c>
      <c r="AV66" s="17" t="str">
        <f t="shared" si="52"/>
        <v>N/A</v>
      </c>
      <c r="AW66" s="17"/>
      <c r="AX66" s="17"/>
      <c r="AY66" s="17"/>
      <c r="BA66" s="473"/>
      <c r="BB66" s="17"/>
      <c r="BC66" s="17" t="b">
        <f t="shared" si="7"/>
        <v>1</v>
      </c>
      <c r="BD66" s="17" t="str">
        <f>Poeng!B69</f>
        <v>Ene 01</v>
      </c>
      <c r="BE66" s="13" t="str">
        <f>Poeng!E69</f>
        <v>Ene 01 Bygningens energiytelse</v>
      </c>
      <c r="BF66" s="13">
        <f>Poeng!AB69</f>
        <v>12</v>
      </c>
      <c r="BG66" s="13">
        <f>Poeng!AI69</f>
        <v>0</v>
      </c>
      <c r="BH66" s="1076">
        <f>Poeng!AE69</f>
        <v>0</v>
      </c>
      <c r="BI66" s="1" t="str">
        <f>Poeng!BE69</f>
        <v>N/A</v>
      </c>
      <c r="BK66" s="1">
        <f>Poeng!AJ69</f>
        <v>0</v>
      </c>
      <c r="BL66" s="1076">
        <f>Poeng!AF69</f>
        <v>0</v>
      </c>
      <c r="BM66" s="1076" t="str">
        <f>Poeng!BH69</f>
        <v>N/A</v>
      </c>
      <c r="BO66" s="1">
        <f>Poeng!AK69</f>
        <v>0</v>
      </c>
      <c r="BP66" s="1076">
        <f>Poeng!AG69</f>
        <v>0</v>
      </c>
      <c r="BQ66" s="1076" t="str">
        <f>Poeng!BK69</f>
        <v>N/A</v>
      </c>
    </row>
    <row r="67" spans="1:69">
      <c r="A67" s="792">
        <v>58</v>
      </c>
      <c r="B67" s="793" t="s">
        <v>349</v>
      </c>
      <c r="C67" s="97" t="str">
        <f t="shared" si="39"/>
        <v>Ene 01</v>
      </c>
      <c r="D67" s="14" t="s">
        <v>354</v>
      </c>
      <c r="E67" s="964" t="s">
        <v>262</v>
      </c>
      <c r="F67" s="787" t="str">
        <f t="shared" ref="F67:F91" si="56">BE67</f>
        <v xml:space="preserve">Passivdesign </v>
      </c>
      <c r="G67" s="95">
        <f t="shared" ref="G67:G72" si="57">BF67</f>
        <v>2</v>
      </c>
      <c r="H67" s="29"/>
      <c r="I67" s="96">
        <f t="shared" ref="I67:I72" si="58">BH67</f>
        <v>0</v>
      </c>
      <c r="J67" s="97" t="str">
        <f t="shared" ref="J67:J72" si="59">BI67</f>
        <v>N/A</v>
      </c>
      <c r="K67" s="66"/>
      <c r="L67" s="228"/>
      <c r="M67" s="545"/>
      <c r="N67" s="616"/>
      <c r="O67" s="69"/>
      <c r="P67" s="96">
        <f t="shared" ref="P67:P72" si="60">BL67</f>
        <v>0</v>
      </c>
      <c r="Q67" s="96" t="str">
        <f t="shared" ref="Q67:Q72" si="61">BM67</f>
        <v>N/A</v>
      </c>
      <c r="R67" s="551"/>
      <c r="S67" s="552"/>
      <c r="T67" s="545"/>
      <c r="U67" s="261"/>
      <c r="V67" s="69"/>
      <c r="W67" s="96">
        <f t="shared" ref="W67:W72" si="62">BP67</f>
        <v>0</v>
      </c>
      <c r="X67" s="96" t="str">
        <f t="shared" ref="X67:X72" si="63">BQ67</f>
        <v>N/A</v>
      </c>
      <c r="Y67" s="67"/>
      <c r="Z67" s="66"/>
      <c r="AA67" s="545"/>
      <c r="AD67" s="17">
        <f t="shared" si="3"/>
        <v>0</v>
      </c>
      <c r="AE67" s="1">
        <f t="shared" si="53"/>
        <v>0</v>
      </c>
      <c r="AF67" s="1">
        <f t="shared" si="54"/>
        <v>0</v>
      </c>
      <c r="AG67" s="1">
        <f t="shared" si="55"/>
        <v>0</v>
      </c>
      <c r="BB67" s="17"/>
      <c r="BC67" s="17" t="b">
        <f t="shared" si="7"/>
        <v>1</v>
      </c>
      <c r="BD67" s="17" t="str">
        <f>Poeng!B70</f>
        <v>Ene 01a</v>
      </c>
      <c r="BE67" s="13" t="str">
        <f>Poeng!E70</f>
        <v xml:space="preserve">Passivdesign </v>
      </c>
      <c r="BF67" s="13">
        <f>Poeng!AB70</f>
        <v>2</v>
      </c>
      <c r="BG67" s="13">
        <f>Poeng!AI70</f>
        <v>0</v>
      </c>
      <c r="BH67" s="1076">
        <f>Poeng!AE70</f>
        <v>0</v>
      </c>
      <c r="BI67" s="1" t="str">
        <f>Poeng!BE70</f>
        <v>N/A</v>
      </c>
      <c r="BK67" s="1">
        <f>Poeng!AJ70</f>
        <v>0</v>
      </c>
      <c r="BL67" s="1076">
        <f>Poeng!AF70</f>
        <v>0</v>
      </c>
      <c r="BM67" s="1076" t="str">
        <f>Poeng!BH70</f>
        <v>N/A</v>
      </c>
      <c r="BO67" s="1">
        <f>Poeng!AK70</f>
        <v>0</v>
      </c>
      <c r="BP67" s="1076">
        <f>Poeng!AG70</f>
        <v>0</v>
      </c>
      <c r="BQ67" s="1076" t="str">
        <f>Poeng!BK70</f>
        <v>N/A</v>
      </c>
    </row>
    <row r="68" spans="1:69">
      <c r="A68" s="792">
        <v>59</v>
      </c>
      <c r="B68" s="793" t="s">
        <v>349</v>
      </c>
      <c r="C68" s="97" t="str">
        <f t="shared" si="39"/>
        <v>Ene 01</v>
      </c>
      <c r="D68" s="14" t="s">
        <v>355</v>
      </c>
      <c r="E68" s="964" t="s">
        <v>330</v>
      </c>
      <c r="F68" s="787" t="str">
        <f t="shared" si="56"/>
        <v>Energiforsyning med lavt klimagassutslipp</v>
      </c>
      <c r="G68" s="95">
        <f t="shared" si="57"/>
        <v>1</v>
      </c>
      <c r="H68" s="29"/>
      <c r="I68" s="96">
        <f t="shared" si="58"/>
        <v>0</v>
      </c>
      <c r="J68" s="97" t="str">
        <f t="shared" si="59"/>
        <v>N/A</v>
      </c>
      <c r="K68" s="66"/>
      <c r="L68" s="228"/>
      <c r="M68" s="601"/>
      <c r="N68" s="616"/>
      <c r="O68" s="69"/>
      <c r="P68" s="96">
        <f t="shared" si="60"/>
        <v>0</v>
      </c>
      <c r="Q68" s="96" t="str">
        <f t="shared" si="61"/>
        <v>N/A</v>
      </c>
      <c r="R68" s="551"/>
      <c r="S68" s="552"/>
      <c r="T68" s="545"/>
      <c r="U68" s="261"/>
      <c r="V68" s="69"/>
      <c r="W68" s="96">
        <f t="shared" si="62"/>
        <v>0</v>
      </c>
      <c r="X68" s="96" t="str">
        <f t="shared" si="63"/>
        <v>N/A</v>
      </c>
      <c r="Y68" s="67"/>
      <c r="Z68" s="66"/>
      <c r="AA68" s="545"/>
      <c r="AD68" s="17">
        <f t="shared" si="3"/>
        <v>0</v>
      </c>
      <c r="AE68" s="1">
        <f t="shared" si="53"/>
        <v>0</v>
      </c>
      <c r="AF68" s="1">
        <f t="shared" si="54"/>
        <v>0</v>
      </c>
      <c r="AG68" s="1">
        <f t="shared" si="55"/>
        <v>0</v>
      </c>
      <c r="BB68" s="17"/>
      <c r="BC68" s="17" t="b">
        <f t="shared" si="7"/>
        <v>1</v>
      </c>
      <c r="BD68" s="17" t="str">
        <f>Poeng!B71</f>
        <v>Ene 01b</v>
      </c>
      <c r="BE68" s="13" t="str">
        <f>Poeng!E71</f>
        <v>Energiforsyning med lavt klimagassutslipp</v>
      </c>
      <c r="BF68" s="13">
        <f>Poeng!AB71</f>
        <v>1</v>
      </c>
      <c r="BG68" s="13">
        <f>Poeng!AI71</f>
        <v>0</v>
      </c>
      <c r="BH68" s="1076">
        <f>Poeng!AE71</f>
        <v>0</v>
      </c>
      <c r="BI68" s="1" t="str">
        <f>Poeng!BE71</f>
        <v>N/A</v>
      </c>
      <c r="BK68" s="1">
        <f>Poeng!AJ71</f>
        <v>0</v>
      </c>
      <c r="BL68" s="1076">
        <f>Poeng!AF71</f>
        <v>0</v>
      </c>
      <c r="BM68" s="1076" t="str">
        <f>Poeng!BH71</f>
        <v>N/A</v>
      </c>
      <c r="BO68" s="1">
        <f>Poeng!AK71</f>
        <v>0</v>
      </c>
      <c r="BP68" s="1076">
        <f>Poeng!AG71</f>
        <v>0</v>
      </c>
      <c r="BQ68" s="1076" t="str">
        <f>Poeng!BK71</f>
        <v>N/A</v>
      </c>
    </row>
    <row r="69" spans="1:69">
      <c r="A69" s="792">
        <v>60</v>
      </c>
      <c r="B69" s="793" t="s">
        <v>349</v>
      </c>
      <c r="C69" s="97" t="str">
        <f>C68</f>
        <v>Ene 01</v>
      </c>
      <c r="D69" s="14" t="s">
        <v>356</v>
      </c>
      <c r="E69" s="975" t="s">
        <v>357</v>
      </c>
      <c r="F69" s="787" t="str">
        <f t="shared" si="56"/>
        <v>Energiytelse</v>
      </c>
      <c r="G69" s="95">
        <f t="shared" si="57"/>
        <v>4</v>
      </c>
      <c r="H69" s="29"/>
      <c r="I69" s="96">
        <f t="shared" si="58"/>
        <v>0</v>
      </c>
      <c r="J69" s="97" t="str">
        <f t="shared" si="59"/>
        <v>Very Good</v>
      </c>
      <c r="K69" s="66"/>
      <c r="L69" s="228"/>
      <c r="M69" s="601"/>
      <c r="N69" s="616"/>
      <c r="O69" s="69"/>
      <c r="P69" s="96">
        <f t="shared" si="60"/>
        <v>0</v>
      </c>
      <c r="Q69" s="96" t="str">
        <f t="shared" si="61"/>
        <v>Very Good</v>
      </c>
      <c r="R69" s="551"/>
      <c r="S69" s="552"/>
      <c r="T69" s="545"/>
      <c r="U69" s="261"/>
      <c r="V69" s="69"/>
      <c r="W69" s="96">
        <f t="shared" si="62"/>
        <v>0</v>
      </c>
      <c r="X69" s="96" t="str">
        <f t="shared" si="63"/>
        <v>Very Good</v>
      </c>
      <c r="Y69" s="67"/>
      <c r="Z69" s="66"/>
      <c r="AA69" s="545"/>
      <c r="AD69" s="17">
        <f t="shared" si="3"/>
        <v>0</v>
      </c>
      <c r="AE69" s="1">
        <f t="shared" si="53"/>
        <v>0</v>
      </c>
      <c r="AF69" s="1">
        <f t="shared" si="54"/>
        <v>0</v>
      </c>
      <c r="AG69" s="1">
        <f t="shared" si="55"/>
        <v>0</v>
      </c>
      <c r="BB69" s="17"/>
      <c r="BC69" s="17" t="b">
        <f t="shared" si="7"/>
        <v>1</v>
      </c>
      <c r="BD69" s="17" t="str">
        <f>Poeng!B72</f>
        <v>Ene 01c</v>
      </c>
      <c r="BE69" s="13" t="str">
        <f>Poeng!E72</f>
        <v>Energiytelse</v>
      </c>
      <c r="BF69" s="13">
        <f>Poeng!AB72</f>
        <v>4</v>
      </c>
      <c r="BG69" s="13">
        <f>Poeng!AI72</f>
        <v>0</v>
      </c>
      <c r="BH69" s="1076">
        <f>Poeng!AE72</f>
        <v>0</v>
      </c>
      <c r="BI69" s="1" t="str">
        <f>Poeng!BE72</f>
        <v>Very Good</v>
      </c>
      <c r="BK69" s="1">
        <f>Poeng!AJ72</f>
        <v>0</v>
      </c>
      <c r="BL69" s="1076">
        <f>Poeng!AF72</f>
        <v>0</v>
      </c>
      <c r="BM69" s="1076" t="str">
        <f>Poeng!BH72</f>
        <v>Very Good</v>
      </c>
      <c r="BO69" s="1">
        <f>Poeng!AK72</f>
        <v>0</v>
      </c>
      <c r="BP69" s="1076">
        <f>Poeng!AG72</f>
        <v>0</v>
      </c>
      <c r="BQ69" s="1076" t="str">
        <f>Poeng!BK72</f>
        <v>Very Good</v>
      </c>
    </row>
    <row r="70" spans="1:69">
      <c r="A70" s="792">
        <v>61</v>
      </c>
      <c r="B70" s="793" t="s">
        <v>349</v>
      </c>
      <c r="C70" s="97" t="str">
        <f>C68</f>
        <v>Ene 01</v>
      </c>
      <c r="D70" s="14" t="s">
        <v>358</v>
      </c>
      <c r="E70" s="964" t="s">
        <v>359</v>
      </c>
      <c r="F70" s="1077" t="str">
        <f t="shared" si="56"/>
        <v>EU taksonomi: krit. 9 og 10 - Energiytelse</v>
      </c>
      <c r="G70" s="95" t="str">
        <f t="shared" si="57"/>
        <v>Yes/No</v>
      </c>
      <c r="H70" s="29"/>
      <c r="I70" s="96" t="str">
        <f t="shared" si="58"/>
        <v>-</v>
      </c>
      <c r="J70" s="97" t="str">
        <f t="shared" si="59"/>
        <v>N/A</v>
      </c>
      <c r="K70" s="66"/>
      <c r="L70" s="228"/>
      <c r="M70" s="601"/>
      <c r="N70" s="616"/>
      <c r="O70" s="69"/>
      <c r="P70" s="96" t="str">
        <f t="shared" si="60"/>
        <v>-</v>
      </c>
      <c r="Q70" s="96" t="str">
        <f t="shared" si="61"/>
        <v>N/A</v>
      </c>
      <c r="R70" s="551"/>
      <c r="S70" s="552"/>
      <c r="T70" s="545"/>
      <c r="U70" s="261"/>
      <c r="V70" s="69"/>
      <c r="W70" s="96" t="str">
        <f t="shared" si="62"/>
        <v>-</v>
      </c>
      <c r="X70" s="96" t="str">
        <f t="shared" si="63"/>
        <v>N/A</v>
      </c>
      <c r="Y70" s="67"/>
      <c r="Z70" s="66"/>
      <c r="AA70" s="545"/>
      <c r="AD70" s="17">
        <f t="shared" si="3"/>
        <v>0</v>
      </c>
      <c r="AE70" s="1">
        <f t="shared" si="53"/>
        <v>0</v>
      </c>
      <c r="AF70" s="1">
        <f t="shared" si="54"/>
        <v>0</v>
      </c>
      <c r="AG70" s="1">
        <f t="shared" si="55"/>
        <v>0</v>
      </c>
      <c r="BB70" s="17"/>
      <c r="BC70" s="17" t="b">
        <f t="shared" si="7"/>
        <v>1</v>
      </c>
      <c r="BD70" s="17" t="str">
        <f>Poeng!B253</f>
        <v>Ene 01Tx</v>
      </c>
      <c r="BE70" s="13" t="str">
        <f>Poeng!E253</f>
        <v>EU taksonomi: krit. 9 og 10 - Energiytelse</v>
      </c>
      <c r="BF70" s="13" t="str">
        <f>Poeng!AB253</f>
        <v>Yes/No</v>
      </c>
      <c r="BG70" s="13">
        <f>Poeng!AI253</f>
        <v>0</v>
      </c>
      <c r="BH70" s="1076" t="str">
        <f>Poeng!AE253</f>
        <v>-</v>
      </c>
      <c r="BI70" s="1" t="str">
        <f>Poeng!BE253</f>
        <v>N/A</v>
      </c>
      <c r="BK70" s="1">
        <f>Poeng!AJ253</f>
        <v>0</v>
      </c>
      <c r="BL70" s="1076" t="str">
        <f>Poeng!AF253</f>
        <v>-</v>
      </c>
      <c r="BM70" s="1076" t="str">
        <f>Poeng!BH253</f>
        <v>N/A</v>
      </c>
      <c r="BO70" s="1">
        <f>Poeng!AK253</f>
        <v>0</v>
      </c>
      <c r="BP70" s="1076" t="str">
        <f>Poeng!AG253</f>
        <v>-</v>
      </c>
      <c r="BQ70" s="1076" t="str">
        <f>Poeng!BK253</f>
        <v>N/A</v>
      </c>
    </row>
    <row r="71" spans="1:69">
      <c r="A71" s="792">
        <v>62</v>
      </c>
      <c r="B71" s="793" t="s">
        <v>349</v>
      </c>
      <c r="C71" s="97" t="str">
        <f>C69</f>
        <v>Ene 01</v>
      </c>
      <c r="D71" s="14" t="s">
        <v>360</v>
      </c>
      <c r="E71" s="964" t="s">
        <v>359</v>
      </c>
      <c r="F71" s="787" t="str">
        <f t="shared" si="56"/>
        <v>Tilpasning til EUs taksonomi (EU taksonomi: krit. 12)</v>
      </c>
      <c r="G71" s="95">
        <f t="shared" si="57"/>
        <v>1</v>
      </c>
      <c r="H71" s="29"/>
      <c r="I71" s="96">
        <f t="shared" si="58"/>
        <v>0</v>
      </c>
      <c r="J71" s="97" t="str">
        <f t="shared" si="59"/>
        <v>Very Good</v>
      </c>
      <c r="K71" s="66"/>
      <c r="L71" s="228"/>
      <c r="M71" s="601"/>
      <c r="N71" s="616"/>
      <c r="O71" s="69"/>
      <c r="P71" s="96">
        <f t="shared" si="60"/>
        <v>0</v>
      </c>
      <c r="Q71" s="96" t="str">
        <f t="shared" si="61"/>
        <v>Very Good</v>
      </c>
      <c r="R71" s="551"/>
      <c r="S71" s="552"/>
      <c r="T71" s="545"/>
      <c r="U71" s="261"/>
      <c r="V71" s="69"/>
      <c r="W71" s="96">
        <f t="shared" si="62"/>
        <v>0</v>
      </c>
      <c r="X71" s="96" t="str">
        <f t="shared" si="63"/>
        <v>Very Good</v>
      </c>
      <c r="Y71" s="67"/>
      <c r="Z71" s="66"/>
      <c r="AA71" s="545"/>
      <c r="AD71" s="17">
        <f t="shared" si="3"/>
        <v>0</v>
      </c>
      <c r="AE71" s="1">
        <f t="shared" si="53"/>
        <v>0</v>
      </c>
      <c r="AF71" s="1">
        <f t="shared" si="54"/>
        <v>0</v>
      </c>
      <c r="AG71" s="1">
        <f t="shared" si="55"/>
        <v>0</v>
      </c>
      <c r="BB71" s="17"/>
      <c r="BC71" s="17" t="b">
        <f t="shared" si="7"/>
        <v>1</v>
      </c>
      <c r="BD71" s="17" t="str">
        <f>Poeng!B73</f>
        <v>Ene 01d</v>
      </c>
      <c r="BE71" s="13" t="str">
        <f>Poeng!E73</f>
        <v>Tilpasning til EUs taksonomi (EU taksonomi: krit. 12)</v>
      </c>
      <c r="BF71" s="13">
        <f>Poeng!AB73</f>
        <v>1</v>
      </c>
      <c r="BG71" s="13">
        <f>Poeng!AI73</f>
        <v>0</v>
      </c>
      <c r="BH71" s="1076">
        <f>Poeng!AE73</f>
        <v>0</v>
      </c>
      <c r="BI71" s="1" t="str">
        <f>Poeng!BE73</f>
        <v>Very Good</v>
      </c>
      <c r="BK71" s="1">
        <f>Poeng!AJ73</f>
        <v>0</v>
      </c>
      <c r="BL71" s="1076">
        <f>Poeng!AF73</f>
        <v>0</v>
      </c>
      <c r="BM71" s="1076" t="str">
        <f>Poeng!BH73</f>
        <v>Very Good</v>
      </c>
      <c r="BO71" s="1">
        <f>Poeng!AK73</f>
        <v>0</v>
      </c>
      <c r="BP71" s="1076">
        <f>Poeng!AG73</f>
        <v>0</v>
      </c>
      <c r="BQ71" s="1076" t="str">
        <f>Poeng!BK73</f>
        <v>Very Good</v>
      </c>
    </row>
    <row r="72" spans="1:69">
      <c r="A72" s="792">
        <v>63</v>
      </c>
      <c r="B72" s="793" t="s">
        <v>349</v>
      </c>
      <c r="C72" s="97" t="str">
        <f>C71</f>
        <v>Ene 01</v>
      </c>
      <c r="D72" s="14" t="s">
        <v>361</v>
      </c>
      <c r="E72" s="963" t="s">
        <v>362</v>
      </c>
      <c r="F72" s="787" t="str">
        <f t="shared" si="56"/>
        <v>Forespeiling av reelt energibudsjett</v>
      </c>
      <c r="G72" s="95">
        <f t="shared" si="57"/>
        <v>4</v>
      </c>
      <c r="H72" s="29"/>
      <c r="I72" s="96">
        <f t="shared" si="58"/>
        <v>0</v>
      </c>
      <c r="J72" s="97" t="str">
        <f t="shared" si="59"/>
        <v>N/A</v>
      </c>
      <c r="K72" s="66"/>
      <c r="L72" s="228"/>
      <c r="M72" s="601"/>
      <c r="N72" s="616"/>
      <c r="O72" s="69"/>
      <c r="P72" s="96">
        <f t="shared" si="60"/>
        <v>0</v>
      </c>
      <c r="Q72" s="96" t="str">
        <f t="shared" si="61"/>
        <v>N/A</v>
      </c>
      <c r="R72" s="551"/>
      <c r="S72" s="552"/>
      <c r="T72" s="545"/>
      <c r="U72" s="261"/>
      <c r="V72" s="69"/>
      <c r="W72" s="96">
        <f t="shared" si="62"/>
        <v>0</v>
      </c>
      <c r="X72" s="96" t="str">
        <f t="shared" si="63"/>
        <v>N/A</v>
      </c>
      <c r="Y72" s="67"/>
      <c r="Z72" s="66"/>
      <c r="AA72" s="545"/>
      <c r="AD72" s="17">
        <f t="shared" si="3"/>
        <v>0</v>
      </c>
      <c r="AE72" s="1">
        <f t="shared" si="53"/>
        <v>0</v>
      </c>
      <c r="AF72" s="1">
        <f t="shared" si="54"/>
        <v>0</v>
      </c>
      <c r="AG72" s="1">
        <f t="shared" si="55"/>
        <v>0</v>
      </c>
      <c r="BB72" s="17"/>
      <c r="BC72" s="17" t="b">
        <f t="shared" si="7"/>
        <v>1</v>
      </c>
      <c r="BD72" s="17" t="str">
        <f>Poeng!B74</f>
        <v>Ene 01e</v>
      </c>
      <c r="BE72" s="13" t="str">
        <f>Poeng!E74</f>
        <v>Forespeiling av reelt energibudsjett</v>
      </c>
      <c r="BF72" s="13">
        <f>Poeng!AB74</f>
        <v>4</v>
      </c>
      <c r="BG72" s="13">
        <f>Poeng!AI74</f>
        <v>0</v>
      </c>
      <c r="BH72" s="1076">
        <f>Poeng!AE74</f>
        <v>0</v>
      </c>
      <c r="BI72" s="1" t="str">
        <f>Poeng!BE74</f>
        <v>N/A</v>
      </c>
      <c r="BK72" s="1">
        <f>Poeng!AJ74</f>
        <v>0</v>
      </c>
      <c r="BL72" s="1076">
        <f>Poeng!AF74</f>
        <v>0</v>
      </c>
      <c r="BM72" s="1076" t="str">
        <f>Poeng!BH74</f>
        <v>N/A</v>
      </c>
      <c r="BO72" s="1">
        <f>Poeng!AK74</f>
        <v>0</v>
      </c>
      <c r="BP72" s="1076">
        <f>Poeng!AG74</f>
        <v>0</v>
      </c>
      <c r="BQ72" s="1076" t="str">
        <f>Poeng!BK74</f>
        <v>N/A</v>
      </c>
    </row>
    <row r="73" spans="1:69" ht="24">
      <c r="A73" s="792">
        <v>64</v>
      </c>
      <c r="B73" s="793" t="s">
        <v>349</v>
      </c>
      <c r="C73" s="704" t="s">
        <v>363</v>
      </c>
      <c r="D73" s="621" t="s">
        <v>363</v>
      </c>
      <c r="E73" s="963"/>
      <c r="F73" s="654" t="str">
        <f t="shared" si="56"/>
        <v>Ene 02 Energimåling</v>
      </c>
      <c r="G73" s="659">
        <f t="shared" ref="G73:G91" si="64">BF73</f>
        <v>2</v>
      </c>
      <c r="H73" s="746"/>
      <c r="I73" s="660" t="str">
        <f>BG73&amp;" c. "&amp;ROUND(BH73*100,1)&amp;" %"</f>
        <v>0 c. 0 %</v>
      </c>
      <c r="J73" s="703" t="str">
        <f>BI73</f>
        <v>N/A</v>
      </c>
      <c r="K73" s="66"/>
      <c r="L73" s="228"/>
      <c r="M73" s="601"/>
      <c r="N73" s="616"/>
      <c r="O73" s="746"/>
      <c r="P73" s="670" t="str">
        <f>BK73&amp;" c. "&amp;ROUND(BL73*100,1)&amp;" %"</f>
        <v>0 c. 0 %</v>
      </c>
      <c r="Q73" s="670" t="str">
        <f>BM73</f>
        <v>N/A</v>
      </c>
      <c r="R73" s="551"/>
      <c r="S73" s="552"/>
      <c r="T73" s="545"/>
      <c r="U73" s="261"/>
      <c r="V73" s="746"/>
      <c r="W73" s="670" t="str">
        <f>BO73&amp;" c. "&amp;ROUND(BP73*100,1)&amp;" %"</f>
        <v>0 c. 0 %</v>
      </c>
      <c r="X73" s="670" t="str">
        <f>BQ73</f>
        <v>N/A</v>
      </c>
      <c r="Y73" s="67"/>
      <c r="Z73" s="66"/>
      <c r="AA73" s="545"/>
      <c r="AB73" s="105"/>
      <c r="AC73" s="510" t="s">
        <v>364</v>
      </c>
      <c r="AD73" s="17">
        <f t="shared" si="3"/>
        <v>0</v>
      </c>
      <c r="AE73" s="1">
        <f t="shared" si="53"/>
        <v>0</v>
      </c>
      <c r="AF73" s="1">
        <f t="shared" si="54"/>
        <v>0</v>
      </c>
      <c r="AG73" s="1">
        <f t="shared" si="55"/>
        <v>0</v>
      </c>
      <c r="AJ73" s="56" t="str">
        <f>ais_ja</f>
        <v>Ja</v>
      </c>
      <c r="AK73" s="500" t="s">
        <v>365</v>
      </c>
      <c r="AL73" s="482" t="s">
        <v>366</v>
      </c>
      <c r="AM73" s="482" t="s">
        <v>367</v>
      </c>
      <c r="AN73" s="482" t="s">
        <v>364</v>
      </c>
      <c r="AO73" s="482" t="s">
        <v>368</v>
      </c>
      <c r="AP73" s="482" t="s">
        <v>369</v>
      </c>
      <c r="AQ73" s="56"/>
      <c r="AS73" s="1" t="str">
        <f>IF($AK$8=ais_nei,AIS_NA,"No")</f>
        <v>No</v>
      </c>
      <c r="AT73" s="17" t="str">
        <f t="shared" ref="AT73:AY73" si="65">IF(OR($AK$4=ais_nei,$AK$8=ais_nei),AIS_NA,IF(AL73="",AIS_NA,AL73))</f>
        <v>N/A</v>
      </c>
      <c r="AU73" s="17" t="str">
        <f t="shared" si="65"/>
        <v>N/A</v>
      </c>
      <c r="AV73" s="17" t="str">
        <f t="shared" si="65"/>
        <v>N/A</v>
      </c>
      <c r="AW73" s="17" t="str">
        <f t="shared" si="65"/>
        <v>N/A</v>
      </c>
      <c r="AX73" s="17" t="str">
        <f t="shared" si="65"/>
        <v>N/A</v>
      </c>
      <c r="AY73" s="17" t="str">
        <f t="shared" si="65"/>
        <v>N/A</v>
      </c>
      <c r="AZ73" s="1" t="s">
        <v>119</v>
      </c>
      <c r="BA73" s="473"/>
      <c r="BB73" s="17"/>
      <c r="BC73" s="17" t="b">
        <f t="shared" si="7"/>
        <v>1</v>
      </c>
      <c r="BD73" s="17" t="str">
        <f>Poeng!B75</f>
        <v>Ene 02</v>
      </c>
      <c r="BE73" s="13" t="str">
        <f>Poeng!E75</f>
        <v>Ene 02 Energimåling</v>
      </c>
      <c r="BF73" s="13">
        <f>Poeng!AB75</f>
        <v>2</v>
      </c>
      <c r="BG73" s="13">
        <f>Poeng!AI75</f>
        <v>0</v>
      </c>
      <c r="BH73" s="1076">
        <f>Poeng!AE75</f>
        <v>0</v>
      </c>
      <c r="BI73" s="1" t="str">
        <f>Poeng!BE75</f>
        <v>N/A</v>
      </c>
      <c r="BK73" s="1">
        <f>Poeng!AJ75</f>
        <v>0</v>
      </c>
      <c r="BL73" s="1076">
        <f>Poeng!AF75</f>
        <v>0</v>
      </c>
      <c r="BM73" s="1076" t="str">
        <f>Poeng!BH75</f>
        <v>N/A</v>
      </c>
      <c r="BO73" s="1">
        <f>Poeng!AK75</f>
        <v>0</v>
      </c>
      <c r="BP73" s="1076">
        <f>Poeng!AG75</f>
        <v>0</v>
      </c>
      <c r="BQ73" s="1076" t="str">
        <f>Poeng!BK75</f>
        <v>N/A</v>
      </c>
    </row>
    <row r="74" spans="1:69">
      <c r="A74" s="792">
        <v>65</v>
      </c>
      <c r="B74" s="793" t="s">
        <v>349</v>
      </c>
      <c r="C74" s="97" t="str">
        <f t="shared" si="39"/>
        <v>Ene 02</v>
      </c>
      <c r="D74" s="621" t="s">
        <v>167</v>
      </c>
      <c r="E74" s="964" t="s">
        <v>262</v>
      </c>
      <c r="F74" s="787" t="str">
        <f t="shared" si="56"/>
        <v>Formålsdeling</v>
      </c>
      <c r="G74" s="95">
        <f t="shared" si="64"/>
        <v>1</v>
      </c>
      <c r="H74" s="29"/>
      <c r="I74" s="96">
        <f t="shared" ref="I74:J76" si="66">BH74</f>
        <v>0</v>
      </c>
      <c r="J74" s="97" t="str">
        <f t="shared" si="66"/>
        <v>N/A</v>
      </c>
      <c r="K74" s="66"/>
      <c r="L74" s="228"/>
      <c r="M74" s="601"/>
      <c r="N74" s="616"/>
      <c r="O74" s="69"/>
      <c r="P74" s="96">
        <f t="shared" ref="P74:Q76" si="67">BL74</f>
        <v>0</v>
      </c>
      <c r="Q74" s="96" t="str">
        <f t="shared" si="67"/>
        <v>N/A</v>
      </c>
      <c r="R74" s="551"/>
      <c r="S74" s="552"/>
      <c r="T74" s="545"/>
      <c r="U74" s="261"/>
      <c r="V74" s="69"/>
      <c r="W74" s="96">
        <f t="shared" ref="W74:X76" si="68">BP74</f>
        <v>0</v>
      </c>
      <c r="X74" s="96" t="str">
        <f t="shared" si="68"/>
        <v>N/A</v>
      </c>
      <c r="Y74" s="67"/>
      <c r="Z74" s="66"/>
      <c r="AA74" s="545"/>
      <c r="AB74" s="105"/>
      <c r="AC74" s="510"/>
      <c r="AD74" s="17">
        <f t="shared" si="3"/>
        <v>0</v>
      </c>
      <c r="AE74" s="1">
        <f t="shared" si="53"/>
        <v>0</v>
      </c>
      <c r="AF74" s="1">
        <f t="shared" si="54"/>
        <v>0</v>
      </c>
      <c r="AG74" s="1">
        <f t="shared" si="55"/>
        <v>0</v>
      </c>
      <c r="AJ74" s="56"/>
      <c r="AK74" s="500"/>
      <c r="AL74" s="482"/>
      <c r="AM74" s="482"/>
      <c r="AN74" s="482"/>
      <c r="AO74" s="482"/>
      <c r="AP74" s="482"/>
      <c r="AQ74" s="56"/>
      <c r="AT74" s="17"/>
      <c r="AU74" s="17"/>
      <c r="AV74" s="17"/>
      <c r="AW74" s="17"/>
      <c r="AX74" s="17"/>
      <c r="AY74" s="17"/>
      <c r="BA74" s="473"/>
      <c r="BB74" s="17"/>
      <c r="BC74" s="17" t="b">
        <f t="shared" si="7"/>
        <v>1</v>
      </c>
      <c r="BD74" s="17" t="str">
        <f>Poeng!B76</f>
        <v>Ene 02a</v>
      </c>
      <c r="BE74" s="13" t="str">
        <f>Poeng!E76</f>
        <v>Formålsdeling</v>
      </c>
      <c r="BF74" s="13">
        <f>Poeng!AB76</f>
        <v>1</v>
      </c>
      <c r="BG74" s="13">
        <f>Poeng!AI76</f>
        <v>0</v>
      </c>
      <c r="BH74" s="1076">
        <f>Poeng!AE76</f>
        <v>0</v>
      </c>
      <c r="BI74" s="1" t="str">
        <f>Poeng!BE76</f>
        <v>N/A</v>
      </c>
      <c r="BK74" s="1">
        <f>Poeng!AJ76</f>
        <v>0</v>
      </c>
      <c r="BL74" s="1076">
        <f>Poeng!AF76</f>
        <v>0</v>
      </c>
      <c r="BM74" s="1076" t="str">
        <f>Poeng!BH76</f>
        <v>N/A</v>
      </c>
      <c r="BO74" s="1">
        <f>Poeng!AK76</f>
        <v>0</v>
      </c>
      <c r="BP74" s="1076">
        <f>Poeng!AG76</f>
        <v>0</v>
      </c>
      <c r="BQ74" s="1076" t="str">
        <f>Poeng!BK76</f>
        <v>N/A</v>
      </c>
    </row>
    <row r="75" spans="1:69">
      <c r="A75" s="792">
        <v>66</v>
      </c>
      <c r="B75" s="793" t="s">
        <v>349</v>
      </c>
      <c r="C75" s="97" t="str">
        <f t="shared" si="39"/>
        <v>Ene 02</v>
      </c>
      <c r="D75" s="621" t="s">
        <v>370</v>
      </c>
      <c r="E75" s="964" t="s">
        <v>264</v>
      </c>
      <c r="F75" s="787" t="str">
        <f t="shared" si="56"/>
        <v>Delmåling av store energiposter og leietakerareal</v>
      </c>
      <c r="G75" s="95">
        <f t="shared" si="64"/>
        <v>1</v>
      </c>
      <c r="H75" s="29"/>
      <c r="I75" s="96">
        <f t="shared" si="66"/>
        <v>0</v>
      </c>
      <c r="J75" s="97" t="str">
        <f t="shared" si="66"/>
        <v>N/A</v>
      </c>
      <c r="K75" s="66"/>
      <c r="L75" s="228"/>
      <c r="M75" s="601"/>
      <c r="N75" s="616"/>
      <c r="O75" s="69"/>
      <c r="P75" s="96">
        <f t="shared" si="67"/>
        <v>0</v>
      </c>
      <c r="Q75" s="96" t="str">
        <f t="shared" si="67"/>
        <v>N/A</v>
      </c>
      <c r="R75" s="551"/>
      <c r="S75" s="552"/>
      <c r="T75" s="545"/>
      <c r="U75" s="261"/>
      <c r="V75" s="69"/>
      <c r="W75" s="96">
        <f t="shared" si="68"/>
        <v>0</v>
      </c>
      <c r="X75" s="96" t="str">
        <f t="shared" si="68"/>
        <v>N/A</v>
      </c>
      <c r="Y75" s="67"/>
      <c r="Z75" s="66"/>
      <c r="AA75" s="545"/>
      <c r="AB75" s="105"/>
      <c r="AC75" s="510"/>
      <c r="AD75" s="17">
        <f t="shared" si="3"/>
        <v>0</v>
      </c>
      <c r="AE75" s="1">
        <f t="shared" si="53"/>
        <v>0</v>
      </c>
      <c r="AF75" s="1">
        <f t="shared" si="54"/>
        <v>0</v>
      </c>
      <c r="AG75" s="1">
        <f t="shared" si="55"/>
        <v>0</v>
      </c>
      <c r="AJ75" s="56"/>
      <c r="AK75" s="500"/>
      <c r="AL75" s="482"/>
      <c r="AM75" s="482"/>
      <c r="AN75" s="482"/>
      <c r="AO75" s="482"/>
      <c r="AP75" s="482"/>
      <c r="AQ75" s="56"/>
      <c r="AT75" s="17"/>
      <c r="AU75" s="17"/>
      <c r="AV75" s="17"/>
      <c r="AW75" s="17"/>
      <c r="AX75" s="17"/>
      <c r="AY75" s="17"/>
      <c r="BA75" s="473"/>
      <c r="BB75" s="17"/>
      <c r="BC75" s="17" t="b">
        <f t="shared" si="7"/>
        <v>1</v>
      </c>
      <c r="BD75" s="17" t="str">
        <f>Poeng!B77</f>
        <v>Ene 02b</v>
      </c>
      <c r="BE75" s="13" t="str">
        <f>Poeng!E77</f>
        <v>Delmåling av store energiposter og leietakerareal</v>
      </c>
      <c r="BF75" s="13">
        <f>Poeng!AB77</f>
        <v>1</v>
      </c>
      <c r="BG75" s="13">
        <f>Poeng!AI77</f>
        <v>0</v>
      </c>
      <c r="BH75" s="1076">
        <f>Poeng!AE77</f>
        <v>0</v>
      </c>
      <c r="BI75" s="1" t="str">
        <f>Poeng!BE77</f>
        <v>N/A</v>
      </c>
      <c r="BK75" s="1">
        <f>Poeng!AJ77</f>
        <v>0</v>
      </c>
      <c r="BL75" s="1076">
        <f>Poeng!AF77</f>
        <v>0</v>
      </c>
      <c r="BM75" s="1076" t="str">
        <f>Poeng!BH77</f>
        <v>N/A</v>
      </c>
      <c r="BO75" s="1">
        <f>Poeng!AK77</f>
        <v>0</v>
      </c>
      <c r="BP75" s="1076">
        <f>Poeng!AG77</f>
        <v>0</v>
      </c>
      <c r="BQ75" s="1076" t="str">
        <f>Poeng!BK77</f>
        <v>N/A</v>
      </c>
    </row>
    <row r="76" spans="1:69">
      <c r="A76" s="792">
        <v>67</v>
      </c>
      <c r="B76" s="793" t="s">
        <v>349</v>
      </c>
      <c r="C76" s="97" t="str">
        <f t="shared" si="39"/>
        <v>Ene 02</v>
      </c>
      <c r="D76" s="621" t="s">
        <v>371</v>
      </c>
      <c r="E76" s="964">
        <v>7</v>
      </c>
      <c r="F76" s="787" t="str">
        <f t="shared" si="56"/>
        <v>Delmåling av energi i boliger</v>
      </c>
      <c r="G76" s="95">
        <f t="shared" si="64"/>
        <v>0</v>
      </c>
      <c r="H76" s="29"/>
      <c r="I76" s="96">
        <f t="shared" si="66"/>
        <v>0</v>
      </c>
      <c r="J76" s="97" t="str">
        <f t="shared" si="66"/>
        <v>N/A</v>
      </c>
      <c r="K76" s="66"/>
      <c r="L76" s="228"/>
      <c r="M76" s="601"/>
      <c r="N76" s="616"/>
      <c r="O76" s="69"/>
      <c r="P76" s="96">
        <f t="shared" si="67"/>
        <v>0</v>
      </c>
      <c r="Q76" s="96" t="str">
        <f t="shared" si="67"/>
        <v>N/A</v>
      </c>
      <c r="R76" s="551"/>
      <c r="S76" s="552"/>
      <c r="T76" s="545"/>
      <c r="U76" s="261"/>
      <c r="V76" s="69"/>
      <c r="W76" s="96">
        <f t="shared" si="68"/>
        <v>0</v>
      </c>
      <c r="X76" s="96" t="str">
        <f t="shared" si="68"/>
        <v>N/A</v>
      </c>
      <c r="Y76" s="67"/>
      <c r="Z76" s="66"/>
      <c r="AA76" s="545"/>
      <c r="AB76" s="105"/>
      <c r="AC76" s="510"/>
      <c r="AD76" s="17">
        <f t="shared" ref="AD76:AD139" si="69">IF(G76=0,1,0)</f>
        <v>1</v>
      </c>
      <c r="AE76" s="1">
        <f t="shared" si="53"/>
        <v>0</v>
      </c>
      <c r="AF76" s="1">
        <f t="shared" si="54"/>
        <v>0</v>
      </c>
      <c r="AG76" s="1">
        <f t="shared" si="55"/>
        <v>0</v>
      </c>
      <c r="AJ76" s="56"/>
      <c r="AK76" s="500"/>
      <c r="AL76" s="482"/>
      <c r="AM76" s="482"/>
      <c r="AN76" s="482"/>
      <c r="AO76" s="482"/>
      <c r="AP76" s="482"/>
      <c r="AQ76" s="56"/>
      <c r="AT76" s="17"/>
      <c r="AU76" s="17"/>
      <c r="AV76" s="17"/>
      <c r="AW76" s="17"/>
      <c r="AX76" s="17"/>
      <c r="AY76" s="17"/>
      <c r="BA76" s="473"/>
      <c r="BB76" s="17"/>
      <c r="BC76" s="17" t="b">
        <f t="shared" si="7"/>
        <v>1</v>
      </c>
      <c r="BD76" s="17" t="str">
        <f>Poeng!B78</f>
        <v>Ene 02c</v>
      </c>
      <c r="BE76" s="13" t="str">
        <f>Poeng!E78</f>
        <v>Delmåling av energi i boliger</v>
      </c>
      <c r="BF76" s="13">
        <f>Poeng!AB78</f>
        <v>0</v>
      </c>
      <c r="BG76" s="13">
        <f>Poeng!AI78</f>
        <v>0</v>
      </c>
      <c r="BH76" s="1076">
        <f>Poeng!AE78</f>
        <v>0</v>
      </c>
      <c r="BI76" s="1" t="str">
        <f>Poeng!BE78</f>
        <v>N/A</v>
      </c>
      <c r="BK76" s="1">
        <f>Poeng!AJ78</f>
        <v>0</v>
      </c>
      <c r="BL76" s="1076">
        <f>Poeng!AF78</f>
        <v>0</v>
      </c>
      <c r="BM76" s="1076" t="str">
        <f>Poeng!BH78</f>
        <v>N/A</v>
      </c>
      <c r="BO76" s="1">
        <f>Poeng!AK78</f>
        <v>0</v>
      </c>
      <c r="BP76" s="1076">
        <f>Poeng!AG78</f>
        <v>0</v>
      </c>
      <c r="BQ76" s="1076" t="str">
        <f>Poeng!BK78</f>
        <v>N/A</v>
      </c>
    </row>
    <row r="77" spans="1:69">
      <c r="A77" s="792">
        <v>68</v>
      </c>
      <c r="B77" s="793" t="s">
        <v>349</v>
      </c>
      <c r="C77" s="704" t="s">
        <v>372</v>
      </c>
      <c r="D77" s="621" t="s">
        <v>372</v>
      </c>
      <c r="E77" s="963"/>
      <c r="F77" s="654" t="str">
        <f t="shared" si="56"/>
        <v>Ene 03 Utebelysning</v>
      </c>
      <c r="G77" s="659">
        <f t="shared" si="64"/>
        <v>1</v>
      </c>
      <c r="H77" s="746"/>
      <c r="I77" s="660" t="str">
        <f>BG77&amp;" c. "&amp;ROUND(BH77*100,1)&amp;" %"</f>
        <v>0 c. 0 %</v>
      </c>
      <c r="J77" s="703" t="str">
        <f>BI77</f>
        <v>N/A</v>
      </c>
      <c r="K77" s="66"/>
      <c r="L77" s="228"/>
      <c r="M77" s="601"/>
      <c r="N77" s="616"/>
      <c r="O77" s="746"/>
      <c r="P77" s="670" t="str">
        <f>BK77&amp;" c. "&amp;ROUND(BL77*100,1)&amp;" %"</f>
        <v>0 c. 0 %</v>
      </c>
      <c r="Q77" s="670" t="str">
        <f>BM77</f>
        <v>N/A</v>
      </c>
      <c r="R77" s="551"/>
      <c r="S77" s="552"/>
      <c r="T77" s="545"/>
      <c r="U77" s="261"/>
      <c r="V77" s="746"/>
      <c r="W77" s="670" t="str">
        <f>BO77&amp;" c. "&amp;ROUND(BP77*100,1)&amp;" %"</f>
        <v>0 c. 0 %</v>
      </c>
      <c r="X77" s="670" t="str">
        <f>BQ77</f>
        <v>N/A</v>
      </c>
      <c r="Y77" s="67"/>
      <c r="Z77" s="66"/>
      <c r="AA77" s="545"/>
      <c r="AB77" s="105"/>
      <c r="AC77" s="473" t="s">
        <v>123</v>
      </c>
      <c r="AD77" s="17">
        <f t="shared" si="69"/>
        <v>0</v>
      </c>
      <c r="AE77" s="1">
        <f t="shared" si="53"/>
        <v>0</v>
      </c>
      <c r="AF77" s="1">
        <f t="shared" si="54"/>
        <v>0</v>
      </c>
      <c r="AG77" s="1">
        <f t="shared" si="55"/>
        <v>0</v>
      </c>
      <c r="AJ77" s="56" t="str">
        <f>ais_ja</f>
        <v>Ja</v>
      </c>
      <c r="AK77" s="500" t="s">
        <v>373</v>
      </c>
      <c r="AL77" s="479" t="s">
        <v>277</v>
      </c>
      <c r="AM77" s="479" t="s">
        <v>327</v>
      </c>
      <c r="AN77" s="479" t="s">
        <v>279</v>
      </c>
      <c r="AO77" s="56"/>
      <c r="AP77" s="56"/>
      <c r="AQ77" s="56"/>
      <c r="AS77" s="1" t="s">
        <v>123</v>
      </c>
      <c r="AT77" s="17" t="str">
        <f>IF($AK$4=ais_nei,AIS_NA,IF(AL77="",AIS_NA,AL77))</f>
        <v>N/A</v>
      </c>
      <c r="AU77" s="17" t="str">
        <f>IF($AK$4=ais_nei,AIS_NA,IF(AM77="",AIS_NA,AM77))</f>
        <v>N/A</v>
      </c>
      <c r="AV77" s="17" t="str">
        <f>IF($AK$4=ais_nei,AIS_NA,IF(AN77="",AIS_NA,AN77))</f>
        <v>N/A</v>
      </c>
      <c r="AW77" s="17"/>
      <c r="AX77" s="17"/>
      <c r="AY77" s="17"/>
      <c r="BA77" s="473"/>
      <c r="BB77" s="17"/>
      <c r="BC77" s="17" t="b">
        <f>D77=BD77</f>
        <v>1</v>
      </c>
      <c r="BD77" s="17" t="str">
        <f>Poeng!B79</f>
        <v>Ene 03</v>
      </c>
      <c r="BE77" s="13" t="str">
        <f>Poeng!E79</f>
        <v>Ene 03 Utebelysning</v>
      </c>
      <c r="BF77" s="13">
        <f>Poeng!AB79</f>
        <v>1</v>
      </c>
      <c r="BG77" s="13">
        <f>Poeng!AI79</f>
        <v>0</v>
      </c>
      <c r="BH77" s="1076">
        <f>Poeng!AE79</f>
        <v>0</v>
      </c>
      <c r="BI77" s="1" t="str">
        <f>Poeng!BE79</f>
        <v>N/A</v>
      </c>
      <c r="BK77" s="1">
        <f>Poeng!AJ79</f>
        <v>0</v>
      </c>
      <c r="BL77" s="1076">
        <f>Poeng!AF79</f>
        <v>0</v>
      </c>
      <c r="BM77" s="1076" t="str">
        <f>Poeng!BH79</f>
        <v>N/A</v>
      </c>
      <c r="BO77" s="1">
        <f>Poeng!AK79</f>
        <v>0</v>
      </c>
      <c r="BP77" s="1076">
        <f>Poeng!AG79</f>
        <v>0</v>
      </c>
      <c r="BQ77" s="1076" t="str">
        <f>Poeng!BK79</f>
        <v>N/A</v>
      </c>
    </row>
    <row r="78" spans="1:69">
      <c r="A78" s="792">
        <v>69</v>
      </c>
      <c r="B78" s="793" t="s">
        <v>349</v>
      </c>
      <c r="C78" s="97" t="str">
        <f t="shared" si="39"/>
        <v>Ene 03</v>
      </c>
      <c r="D78" s="621" t="s">
        <v>374</v>
      </c>
      <c r="E78" s="963">
        <v>1</v>
      </c>
      <c r="F78" s="787" t="str">
        <f t="shared" si="56"/>
        <v>Ingen utendørs belysning</v>
      </c>
      <c r="G78" s="95">
        <f t="shared" si="64"/>
        <v>0</v>
      </c>
      <c r="H78" s="29"/>
      <c r="I78" s="96">
        <f t="shared" ref="I78:J82" si="70">BH78</f>
        <v>0</v>
      </c>
      <c r="J78" s="97" t="str">
        <f t="shared" si="70"/>
        <v>N/A</v>
      </c>
      <c r="K78" s="66"/>
      <c r="L78" s="228"/>
      <c r="M78" s="601"/>
      <c r="N78" s="616"/>
      <c r="O78" s="69"/>
      <c r="P78" s="96">
        <f t="shared" ref="P78:Q82" si="71">BL78</f>
        <v>0</v>
      </c>
      <c r="Q78" s="96" t="str">
        <f t="shared" si="71"/>
        <v>N/A</v>
      </c>
      <c r="R78" s="551"/>
      <c r="S78" s="552"/>
      <c r="T78" s="545"/>
      <c r="U78" s="261"/>
      <c r="V78" s="69"/>
      <c r="W78" s="96">
        <f t="shared" ref="W78:X82" si="72">BP78</f>
        <v>0</v>
      </c>
      <c r="X78" s="96" t="str">
        <f t="shared" si="72"/>
        <v>N/A</v>
      </c>
      <c r="Y78" s="67"/>
      <c r="Z78" s="66"/>
      <c r="AA78" s="545"/>
      <c r="AB78" s="105"/>
      <c r="AC78" s="473"/>
      <c r="AD78" s="17">
        <f t="shared" si="69"/>
        <v>1</v>
      </c>
      <c r="AE78" s="1">
        <f t="shared" si="53"/>
        <v>0</v>
      </c>
      <c r="AF78" s="1">
        <f t="shared" si="54"/>
        <v>0</v>
      </c>
      <c r="AG78" s="1">
        <f t="shared" si="55"/>
        <v>0</v>
      </c>
      <c r="AJ78" s="56"/>
      <c r="AK78" s="500"/>
      <c r="AL78" s="479"/>
      <c r="AM78" s="479"/>
      <c r="AN78" s="479"/>
      <c r="AO78" s="56"/>
      <c r="AP78" s="56"/>
      <c r="AQ78" s="56"/>
      <c r="AT78" s="17"/>
      <c r="AU78" s="17"/>
      <c r="AV78" s="17"/>
      <c r="AW78" s="17"/>
      <c r="AX78" s="17"/>
      <c r="AY78" s="17"/>
      <c r="BA78" s="473"/>
      <c r="BB78" s="17"/>
      <c r="BC78" s="17" t="b">
        <f>D78=BD78</f>
        <v>1</v>
      </c>
      <c r="BD78" s="17" t="str">
        <f>Poeng!B80</f>
        <v>Ene 03a</v>
      </c>
      <c r="BE78" s="13" t="str">
        <f>Poeng!E80</f>
        <v>Ingen utendørs belysning</v>
      </c>
      <c r="BF78" s="13">
        <f>Poeng!AB80</f>
        <v>0</v>
      </c>
      <c r="BG78" s="13">
        <f>Poeng!AI80</f>
        <v>0</v>
      </c>
      <c r="BH78" s="1076">
        <f>Poeng!AE80</f>
        <v>0</v>
      </c>
      <c r="BI78" s="1" t="str">
        <f>Poeng!BE80</f>
        <v>N/A</v>
      </c>
      <c r="BK78" s="1">
        <f>Poeng!AJ80</f>
        <v>0</v>
      </c>
      <c r="BL78" s="1076">
        <f>Poeng!AF80</f>
        <v>0</v>
      </c>
      <c r="BM78" s="1076" t="str">
        <f>Poeng!BH80</f>
        <v>N/A</v>
      </c>
      <c r="BO78" s="1">
        <f>Poeng!AK80</f>
        <v>0</v>
      </c>
      <c r="BP78" s="1076">
        <f>Poeng!AG80</f>
        <v>0</v>
      </c>
      <c r="BQ78" s="1076" t="str">
        <f>Poeng!BK80</f>
        <v>N/A</v>
      </c>
    </row>
    <row r="79" spans="1:69">
      <c r="A79" s="792">
        <v>70</v>
      </c>
      <c r="B79" s="793" t="s">
        <v>349</v>
      </c>
      <c r="C79" s="97" t="str">
        <f t="shared" si="39"/>
        <v>Ene 03</v>
      </c>
      <c r="D79" s="621" t="s">
        <v>375</v>
      </c>
      <c r="E79" s="963">
        <v>2</v>
      </c>
      <c r="F79" s="787" t="str">
        <f t="shared" si="56"/>
        <v>Utendørs belysning</v>
      </c>
      <c r="G79" s="95">
        <f t="shared" si="64"/>
        <v>1</v>
      </c>
      <c r="H79" s="29"/>
      <c r="I79" s="96">
        <f t="shared" si="70"/>
        <v>0</v>
      </c>
      <c r="J79" s="97" t="str">
        <f t="shared" si="70"/>
        <v>N/A</v>
      </c>
      <c r="K79" s="66"/>
      <c r="L79" s="228"/>
      <c r="M79" s="601"/>
      <c r="N79" s="616"/>
      <c r="O79" s="69"/>
      <c r="P79" s="96">
        <f t="shared" si="71"/>
        <v>0</v>
      </c>
      <c r="Q79" s="96" t="str">
        <f t="shared" si="71"/>
        <v>N/A</v>
      </c>
      <c r="R79" s="551"/>
      <c r="S79" s="552"/>
      <c r="T79" s="545"/>
      <c r="U79" s="261"/>
      <c r="V79" s="69"/>
      <c r="W79" s="96">
        <f t="shared" si="72"/>
        <v>0</v>
      </c>
      <c r="X79" s="96" t="str">
        <f t="shared" si="72"/>
        <v>N/A</v>
      </c>
      <c r="Y79" s="67"/>
      <c r="Z79" s="66"/>
      <c r="AA79" s="545"/>
      <c r="AB79" s="105"/>
      <c r="AC79" s="473"/>
      <c r="AD79" s="17">
        <f t="shared" si="69"/>
        <v>0</v>
      </c>
      <c r="AE79" s="1">
        <f t="shared" si="53"/>
        <v>0</v>
      </c>
      <c r="AF79" s="1">
        <f t="shared" si="54"/>
        <v>0</v>
      </c>
      <c r="AG79" s="1">
        <f t="shared" si="55"/>
        <v>0</v>
      </c>
      <c r="AJ79" s="56"/>
      <c r="AK79" s="500"/>
      <c r="AL79" s="479"/>
      <c r="AM79" s="479"/>
      <c r="AN79" s="479"/>
      <c r="AO79" s="56"/>
      <c r="AP79" s="56"/>
      <c r="AQ79" s="56"/>
      <c r="AT79" s="17"/>
      <c r="AU79" s="17"/>
      <c r="AV79" s="17"/>
      <c r="AW79" s="17"/>
      <c r="AX79" s="17"/>
      <c r="AY79" s="17"/>
      <c r="BA79" s="473"/>
      <c r="BB79" s="17"/>
      <c r="BC79" s="17" t="b">
        <f>D79=BD79</f>
        <v>1</v>
      </c>
      <c r="BD79" s="17" t="str">
        <f>Poeng!B81</f>
        <v>Ene 03b</v>
      </c>
      <c r="BE79" s="13" t="str">
        <f>Poeng!E81</f>
        <v>Utendørs belysning</v>
      </c>
      <c r="BF79" s="13">
        <f>Poeng!AB81</f>
        <v>1</v>
      </c>
      <c r="BG79" s="13">
        <f>Poeng!AI81</f>
        <v>0</v>
      </c>
      <c r="BH79" s="1076">
        <f>Poeng!AE81</f>
        <v>0</v>
      </c>
      <c r="BI79" s="1" t="str">
        <f>Poeng!BE81</f>
        <v>N/A</v>
      </c>
      <c r="BK79" s="1">
        <f>Poeng!AJ81</f>
        <v>0</v>
      </c>
      <c r="BL79" s="1076">
        <f>Poeng!AF81</f>
        <v>0</v>
      </c>
      <c r="BM79" s="1076" t="str">
        <f>Poeng!BH81</f>
        <v>N/A</v>
      </c>
      <c r="BO79" s="1">
        <f>Poeng!AK81</f>
        <v>0</v>
      </c>
      <c r="BP79" s="1076">
        <f>Poeng!AG81</f>
        <v>0</v>
      </c>
      <c r="BQ79" s="1076" t="str">
        <f>Poeng!BK81</f>
        <v>N/A</v>
      </c>
    </row>
    <row r="80" spans="1:69">
      <c r="A80" s="792">
        <v>71</v>
      </c>
      <c r="B80" s="793" t="s">
        <v>349</v>
      </c>
      <c r="C80" s="704" t="s">
        <v>376</v>
      </c>
      <c r="D80" s="621" t="s">
        <v>376</v>
      </c>
      <c r="E80" s="963"/>
      <c r="F80" s="654" t="str">
        <f t="shared" si="56"/>
        <v>Ene 05 Energieffektive kjøle- og fryserom</v>
      </c>
      <c r="G80" s="659">
        <f t="shared" si="64"/>
        <v>2</v>
      </c>
      <c r="H80" s="746"/>
      <c r="I80" s="660" t="str">
        <f>BG80&amp;" c. "&amp;ROUND(BH80*100,1)&amp;" %"</f>
        <v>0 c. 0 %</v>
      </c>
      <c r="J80" s="703" t="str">
        <f>BI80</f>
        <v>N/A</v>
      </c>
      <c r="K80" s="66"/>
      <c r="L80" s="228"/>
      <c r="M80" s="601"/>
      <c r="N80" s="616"/>
      <c r="O80" s="746"/>
      <c r="P80" s="670" t="str">
        <f>BK80&amp;" c. "&amp;ROUND(BL80*100,1)&amp;" %"</f>
        <v>0 c. 0 %</v>
      </c>
      <c r="Q80" s="670" t="str">
        <f>BM80</f>
        <v>N/A</v>
      </c>
      <c r="R80" s="551"/>
      <c r="S80" s="552"/>
      <c r="T80" s="545"/>
      <c r="U80" s="261"/>
      <c r="V80" s="746"/>
      <c r="W80" s="670" t="str">
        <f>BO80&amp;" c. "&amp;ROUND(BP80*100,1)&amp;" %"</f>
        <v>0 c. 0 %</v>
      </c>
      <c r="X80" s="96" t="str">
        <f t="shared" si="72"/>
        <v>N/A</v>
      </c>
      <c r="Y80" s="67"/>
      <c r="Z80" s="66"/>
      <c r="AA80" s="545"/>
      <c r="AB80" s="105"/>
      <c r="AC80" s="473" t="s">
        <v>123</v>
      </c>
      <c r="AD80" s="17">
        <f t="shared" si="69"/>
        <v>0</v>
      </c>
      <c r="AE80" s="1">
        <f t="shared" si="53"/>
        <v>0</v>
      </c>
      <c r="AF80" s="1">
        <f t="shared" si="54"/>
        <v>0</v>
      </c>
      <c r="AG80" s="1">
        <f t="shared" si="55"/>
        <v>0</v>
      </c>
      <c r="AJ80" s="56" t="str">
        <f>ais_ja</f>
        <v>Ja</v>
      </c>
      <c r="AK80" s="500" t="s">
        <v>377</v>
      </c>
      <c r="AL80" s="479" t="s">
        <v>277</v>
      </c>
      <c r="AM80" s="479" t="s">
        <v>327</v>
      </c>
      <c r="AN80" s="479" t="s">
        <v>279</v>
      </c>
      <c r="AO80" s="56"/>
      <c r="AP80" s="56"/>
      <c r="AQ80" s="56"/>
      <c r="AS80" s="1" t="s">
        <v>123</v>
      </c>
      <c r="AT80" s="17" t="str">
        <f>IF($AK$4=ais_nei,AIS_NA,IF(AL80="",AIS_NA,AL80))</f>
        <v>N/A</v>
      </c>
      <c r="AU80" s="17" t="str">
        <f>IF($AK$4=ais_nei,AIS_NA,IF(AM80="",AIS_NA,AM80))</f>
        <v>N/A</v>
      </c>
      <c r="AV80" s="17" t="str">
        <f>IF($AK$4=ais_nei,AIS_NA,IF(AN80="",AIS_NA,AN80))</f>
        <v>N/A</v>
      </c>
      <c r="AW80" s="17"/>
      <c r="AX80" s="17"/>
      <c r="AY80" s="17"/>
      <c r="BA80" s="473"/>
      <c r="BB80" s="17"/>
      <c r="BC80" s="17" t="b">
        <f>D80=BD80</f>
        <v>1</v>
      </c>
      <c r="BD80" s="17" t="str">
        <f>Poeng!B83</f>
        <v>Ene 05</v>
      </c>
      <c r="BE80" s="13" t="str">
        <f>Poeng!E83</f>
        <v>Ene 05 Energieffektive kjøle- og fryserom</v>
      </c>
      <c r="BF80" s="13">
        <f>Poeng!AB83</f>
        <v>2</v>
      </c>
      <c r="BG80" s="13">
        <f>Poeng!AI83</f>
        <v>0</v>
      </c>
      <c r="BH80" s="1076">
        <f>Poeng!AE83</f>
        <v>0</v>
      </c>
      <c r="BI80" s="1" t="str">
        <f>Poeng!BE83</f>
        <v>N/A</v>
      </c>
      <c r="BK80" s="1">
        <f>Poeng!AJ83</f>
        <v>0</v>
      </c>
      <c r="BL80" s="1076">
        <f>Poeng!AF83</f>
        <v>0</v>
      </c>
      <c r="BM80" s="1076" t="str">
        <f>Poeng!BH83</f>
        <v>N/A</v>
      </c>
      <c r="BO80" s="1">
        <f>Poeng!AK83</f>
        <v>0</v>
      </c>
      <c r="BP80" s="1076">
        <f>Poeng!AG83</f>
        <v>0</v>
      </c>
      <c r="BQ80" s="1076" t="str">
        <f>Poeng!BK83</f>
        <v>N/A</v>
      </c>
    </row>
    <row r="81" spans="1:69">
      <c r="A81" s="792">
        <v>72</v>
      </c>
      <c r="B81" s="793" t="s">
        <v>349</v>
      </c>
      <c r="C81" s="97" t="str">
        <f t="shared" si="39"/>
        <v>Ene 05</v>
      </c>
      <c r="D81" s="621" t="s">
        <v>378</v>
      </c>
      <c r="E81" s="964" t="s">
        <v>288</v>
      </c>
      <c r="F81" s="787" t="str">
        <f t="shared" si="56"/>
        <v>Utforming av energieffektivt kjøle- og fryserom</v>
      </c>
      <c r="G81" s="95">
        <f t="shared" si="64"/>
        <v>1</v>
      </c>
      <c r="H81" s="29"/>
      <c r="I81" s="96">
        <f t="shared" si="70"/>
        <v>0</v>
      </c>
      <c r="J81" s="97" t="str">
        <f t="shared" si="70"/>
        <v>N/A</v>
      </c>
      <c r="K81" s="66"/>
      <c r="L81" s="228"/>
      <c r="M81" s="601"/>
      <c r="N81" s="616"/>
      <c r="O81" s="69"/>
      <c r="P81" s="96">
        <f t="shared" si="71"/>
        <v>0</v>
      </c>
      <c r="Q81" s="96" t="str">
        <f t="shared" si="71"/>
        <v>N/A</v>
      </c>
      <c r="R81" s="551"/>
      <c r="S81" s="552"/>
      <c r="T81" s="545"/>
      <c r="U81" s="261"/>
      <c r="V81" s="69"/>
      <c r="W81" s="96">
        <f t="shared" si="72"/>
        <v>0</v>
      </c>
      <c r="X81" s="96" t="str">
        <f t="shared" si="72"/>
        <v>N/A</v>
      </c>
      <c r="Y81" s="67"/>
      <c r="Z81" s="66"/>
      <c r="AA81" s="545"/>
      <c r="AB81" s="105"/>
      <c r="AC81" s="473"/>
      <c r="AD81" s="17">
        <f t="shared" si="69"/>
        <v>0</v>
      </c>
      <c r="AE81" s="1">
        <f t="shared" si="53"/>
        <v>0</v>
      </c>
      <c r="AF81" s="1">
        <f t="shared" si="54"/>
        <v>0</v>
      </c>
      <c r="AG81" s="1">
        <f t="shared" si="55"/>
        <v>0</v>
      </c>
      <c r="AJ81" s="56"/>
      <c r="AK81" s="500"/>
      <c r="AL81" s="479"/>
      <c r="AM81" s="479"/>
      <c r="AN81" s="479"/>
      <c r="AO81" s="56"/>
      <c r="AP81" s="56"/>
      <c r="AQ81" s="56"/>
      <c r="AT81" s="17"/>
      <c r="AU81" s="17"/>
      <c r="AV81" s="17"/>
      <c r="AW81" s="17"/>
      <c r="AX81" s="17"/>
      <c r="AY81" s="17"/>
      <c r="BA81" s="473"/>
      <c r="BB81" s="17"/>
      <c r="BC81" s="17" t="b">
        <f t="shared" ref="BC81:BC140" si="73">D81=BD81</f>
        <v>1</v>
      </c>
      <c r="BD81" s="17" t="str">
        <f>Poeng!B84</f>
        <v>Ene 05a</v>
      </c>
      <c r="BE81" s="13" t="str">
        <f>Poeng!E84</f>
        <v>Utforming av energieffektivt kjøle- og fryserom</v>
      </c>
      <c r="BF81" s="13">
        <f>Poeng!AB84</f>
        <v>1</v>
      </c>
      <c r="BG81" s="13">
        <f>Poeng!AI84</f>
        <v>0</v>
      </c>
      <c r="BH81" s="1076">
        <f>Poeng!AE84</f>
        <v>0</v>
      </c>
      <c r="BI81" s="1" t="str">
        <f>Poeng!BE84</f>
        <v>N/A</v>
      </c>
      <c r="BK81" s="1">
        <f>Poeng!AJ84</f>
        <v>0</v>
      </c>
      <c r="BL81" s="1076">
        <f>Poeng!AF84</f>
        <v>0</v>
      </c>
      <c r="BM81" s="1076" t="str">
        <f>Poeng!BH84</f>
        <v>N/A</v>
      </c>
      <c r="BO81" s="1">
        <f>Poeng!AK84</f>
        <v>0</v>
      </c>
      <c r="BP81" s="1076">
        <f>Poeng!AG84</f>
        <v>0</v>
      </c>
      <c r="BQ81" s="1076" t="str">
        <f>Poeng!BK84</f>
        <v>N/A</v>
      </c>
    </row>
    <row r="82" spans="1:69">
      <c r="A82" s="792">
        <v>73</v>
      </c>
      <c r="B82" s="793" t="s">
        <v>349</v>
      </c>
      <c r="C82" s="97" t="str">
        <f t="shared" si="39"/>
        <v>Ene 05</v>
      </c>
      <c r="D82" s="621" t="s">
        <v>379</v>
      </c>
      <c r="E82" s="964" t="s">
        <v>380</v>
      </c>
      <c r="F82" s="787" t="str">
        <f t="shared" si="56"/>
        <v>Indirekte klimagassutslipp</v>
      </c>
      <c r="G82" s="95">
        <f t="shared" si="64"/>
        <v>1</v>
      </c>
      <c r="H82" s="29"/>
      <c r="I82" s="96">
        <f t="shared" si="70"/>
        <v>0</v>
      </c>
      <c r="J82" s="97" t="str">
        <f t="shared" si="70"/>
        <v>N/A</v>
      </c>
      <c r="K82" s="66"/>
      <c r="L82" s="228"/>
      <c r="M82" s="601"/>
      <c r="N82" s="616"/>
      <c r="O82" s="69"/>
      <c r="P82" s="96">
        <f t="shared" si="71"/>
        <v>0</v>
      </c>
      <c r="Q82" s="96" t="str">
        <f t="shared" si="71"/>
        <v>N/A</v>
      </c>
      <c r="R82" s="551"/>
      <c r="S82" s="552"/>
      <c r="T82" s="545"/>
      <c r="U82" s="261"/>
      <c r="V82" s="69"/>
      <c r="W82" s="96">
        <f t="shared" si="72"/>
        <v>0</v>
      </c>
      <c r="X82" s="96" t="str">
        <f t="shared" si="72"/>
        <v>N/A</v>
      </c>
      <c r="Y82" s="67"/>
      <c r="Z82" s="66"/>
      <c r="AA82" s="545"/>
      <c r="AB82" s="105"/>
      <c r="AC82" s="473"/>
      <c r="AD82" s="17">
        <f t="shared" si="69"/>
        <v>0</v>
      </c>
      <c r="AE82" s="1">
        <f t="shared" si="53"/>
        <v>0</v>
      </c>
      <c r="AF82" s="1">
        <f t="shared" si="54"/>
        <v>0</v>
      </c>
      <c r="AG82" s="1">
        <f t="shared" si="55"/>
        <v>0</v>
      </c>
      <c r="AJ82" s="56"/>
      <c r="AK82" s="500"/>
      <c r="AL82" s="479"/>
      <c r="AM82" s="479"/>
      <c r="AN82" s="479"/>
      <c r="AO82" s="56"/>
      <c r="AP82" s="56"/>
      <c r="AQ82" s="56"/>
      <c r="AT82" s="17"/>
      <c r="AU82" s="17"/>
      <c r="AV82" s="17"/>
      <c r="AW82" s="17"/>
      <c r="AX82" s="17"/>
      <c r="AY82" s="17"/>
      <c r="BA82" s="473"/>
      <c r="BB82" s="17"/>
      <c r="BC82" s="17" t="b">
        <f t="shared" si="73"/>
        <v>1</v>
      </c>
      <c r="BD82" s="17" t="str">
        <f>Poeng!B85</f>
        <v>Ene 05b</v>
      </c>
      <c r="BE82" s="13" t="str">
        <f>Poeng!E85</f>
        <v>Indirekte klimagassutslipp</v>
      </c>
      <c r="BF82" s="13">
        <f>Poeng!AB85</f>
        <v>1</v>
      </c>
      <c r="BG82" s="13">
        <f>Poeng!AI85</f>
        <v>0</v>
      </c>
      <c r="BH82" s="1076">
        <f>Poeng!AE85</f>
        <v>0</v>
      </c>
      <c r="BI82" s="1" t="str">
        <f>Poeng!BE85</f>
        <v>N/A</v>
      </c>
      <c r="BK82" s="1">
        <f>Poeng!AJ85</f>
        <v>0</v>
      </c>
      <c r="BL82" s="1076">
        <f>Poeng!AF85</f>
        <v>0</v>
      </c>
      <c r="BM82" s="1076" t="str">
        <f>Poeng!BH85</f>
        <v>N/A</v>
      </c>
      <c r="BO82" s="1">
        <f>Poeng!AK85</f>
        <v>0</v>
      </c>
      <c r="BP82" s="1076">
        <f>Poeng!AG85</f>
        <v>0</v>
      </c>
      <c r="BQ82" s="1076" t="str">
        <f>Poeng!BK85</f>
        <v>N/A</v>
      </c>
    </row>
    <row r="83" spans="1:69">
      <c r="A83" s="792">
        <v>74</v>
      </c>
      <c r="B83" s="793" t="s">
        <v>349</v>
      </c>
      <c r="C83" s="704" t="s">
        <v>181</v>
      </c>
      <c r="D83" s="621" t="s">
        <v>181</v>
      </c>
      <c r="E83" s="963"/>
      <c r="F83" s="654" t="str">
        <f t="shared" si="56"/>
        <v>Ene 06 Energieffektive transportsystemer</v>
      </c>
      <c r="G83" s="659">
        <f t="shared" si="64"/>
        <v>3</v>
      </c>
      <c r="H83" s="746"/>
      <c r="I83" s="660" t="str">
        <f>BG83&amp;" c. "&amp;ROUND(BH83*100,1)&amp;" %"</f>
        <v>0 c. 0 %</v>
      </c>
      <c r="J83" s="703" t="str">
        <f>BI83</f>
        <v>N/A</v>
      </c>
      <c r="K83" s="66"/>
      <c r="L83" s="228"/>
      <c r="M83" s="601"/>
      <c r="N83" s="616"/>
      <c r="O83" s="746"/>
      <c r="P83" s="670" t="str">
        <f>BK83&amp;" c. "&amp;ROUND(BL83*100,1)&amp;" %"</f>
        <v>0 c. 0 %</v>
      </c>
      <c r="Q83" s="670" t="str">
        <f>BM83</f>
        <v>N/A</v>
      </c>
      <c r="R83" s="551"/>
      <c r="S83" s="552"/>
      <c r="T83" s="545"/>
      <c r="U83" s="261"/>
      <c r="V83" s="746"/>
      <c r="W83" s="670" t="str">
        <f>BO83&amp;" c. "&amp;ROUND(BP83*100,1)&amp;" %"</f>
        <v>0 c. 0 %</v>
      </c>
      <c r="X83" s="670" t="str">
        <f>BQ83</f>
        <v>N/A</v>
      </c>
      <c r="Y83" s="67"/>
      <c r="Z83" s="66"/>
      <c r="AA83" s="545"/>
      <c r="AB83" s="105"/>
      <c r="AC83" s="473" t="s">
        <v>123</v>
      </c>
      <c r="AD83" s="17">
        <f t="shared" si="69"/>
        <v>0</v>
      </c>
      <c r="AE83" s="1">
        <f t="shared" si="53"/>
        <v>0</v>
      </c>
      <c r="AF83" s="1">
        <f t="shared" si="54"/>
        <v>0</v>
      </c>
      <c r="AG83" s="1">
        <f t="shared" si="55"/>
        <v>0</v>
      </c>
      <c r="AJ83" s="56"/>
      <c r="AK83" s="500" t="s">
        <v>381</v>
      </c>
      <c r="AL83" s="479" t="s">
        <v>277</v>
      </c>
      <c r="AM83" s="479" t="s">
        <v>279</v>
      </c>
      <c r="AN83" s="56"/>
      <c r="AO83" s="56"/>
      <c r="AP83" s="56"/>
      <c r="AQ83" s="56"/>
      <c r="AS83" s="1" t="s">
        <v>123</v>
      </c>
      <c r="AT83" s="17" t="str">
        <f>IF($AK$4=ais_nei,AIS_NA,IF(AL83="",AIS_NA,AL83))</f>
        <v>N/A</v>
      </c>
      <c r="AU83" s="17" t="str">
        <f>IF($AK$4=ais_nei,AIS_NA,IF(AM83="",AIS_NA,AM83))</f>
        <v>N/A</v>
      </c>
      <c r="AV83" s="17" t="str">
        <f>IF($AK$4=ais_nei,AIS_NA,IF(AN83="",AIS_NA,AN83))</f>
        <v>N/A</v>
      </c>
      <c r="AW83" s="17"/>
      <c r="AX83" s="17"/>
      <c r="AY83" s="17"/>
      <c r="BA83" s="473"/>
      <c r="BB83" s="17"/>
      <c r="BC83" s="17" t="b">
        <f t="shared" si="73"/>
        <v>1</v>
      </c>
      <c r="BD83" s="17" t="str">
        <f>Poeng!B86</f>
        <v>Ene 06</v>
      </c>
      <c r="BE83" s="13" t="str">
        <f>Poeng!E86</f>
        <v>Ene 06 Energieffektive transportsystemer</v>
      </c>
      <c r="BF83" s="13">
        <f>Poeng!AB86</f>
        <v>3</v>
      </c>
      <c r="BG83" s="13">
        <f>Poeng!AI86</f>
        <v>0</v>
      </c>
      <c r="BH83" s="1076">
        <f>Poeng!AE86</f>
        <v>0</v>
      </c>
      <c r="BI83" s="1" t="str">
        <f>Poeng!BE86</f>
        <v>N/A</v>
      </c>
      <c r="BK83" s="1">
        <f>Poeng!AJ86</f>
        <v>0</v>
      </c>
      <c r="BL83" s="1076">
        <f>Poeng!AF86</f>
        <v>0</v>
      </c>
      <c r="BM83" s="1076" t="str">
        <f>Poeng!BH86</f>
        <v>N/A</v>
      </c>
      <c r="BO83" s="1">
        <f>Poeng!AK86</f>
        <v>0</v>
      </c>
      <c r="BP83" s="1076">
        <f>Poeng!AG86</f>
        <v>0</v>
      </c>
      <c r="BQ83" s="1076" t="str">
        <f>Poeng!BK86</f>
        <v>N/A</v>
      </c>
    </row>
    <row r="84" spans="1:69">
      <c r="A84" s="792">
        <v>75</v>
      </c>
      <c r="B84" s="793" t="s">
        <v>349</v>
      </c>
      <c r="C84" s="97" t="str">
        <f t="shared" si="39"/>
        <v>Ene 06</v>
      </c>
      <c r="D84" s="621" t="s">
        <v>382</v>
      </c>
      <c r="E84" s="963">
        <v>1</v>
      </c>
      <c r="F84" s="787" t="str">
        <f t="shared" si="56"/>
        <v>Energiforbruk</v>
      </c>
      <c r="G84" s="95">
        <f t="shared" si="64"/>
        <v>1</v>
      </c>
      <c r="H84" s="29"/>
      <c r="I84" s="96">
        <f t="shared" ref="I84:I91" si="74">BH84</f>
        <v>0</v>
      </c>
      <c r="J84" s="97" t="str">
        <f t="shared" ref="J84:J91" si="75">BI84</f>
        <v>N/A</v>
      </c>
      <c r="K84" s="66"/>
      <c r="L84" s="228"/>
      <c r="M84" s="601"/>
      <c r="N84" s="616"/>
      <c r="O84" s="69"/>
      <c r="P84" s="96">
        <f t="shared" ref="P84:P91" si="76">BL84</f>
        <v>0</v>
      </c>
      <c r="Q84" s="96" t="str">
        <f t="shared" ref="Q84:Q91" si="77">BM84</f>
        <v>N/A</v>
      </c>
      <c r="R84" s="551"/>
      <c r="S84" s="552"/>
      <c r="T84" s="545"/>
      <c r="U84" s="261"/>
      <c r="V84" s="69"/>
      <c r="W84" s="96">
        <f t="shared" ref="W84:W91" si="78">BP84</f>
        <v>0</v>
      </c>
      <c r="X84" s="96" t="str">
        <f t="shared" ref="X84:X91" si="79">BQ84</f>
        <v>N/A</v>
      </c>
      <c r="Y84" s="67"/>
      <c r="Z84" s="66"/>
      <c r="AA84" s="545"/>
      <c r="AB84" s="105"/>
      <c r="AC84" s="473"/>
      <c r="AD84" s="17">
        <f t="shared" si="69"/>
        <v>0</v>
      </c>
      <c r="AE84" s="1">
        <f t="shared" si="53"/>
        <v>0</v>
      </c>
      <c r="AF84" s="1">
        <f t="shared" si="54"/>
        <v>0</v>
      </c>
      <c r="AG84" s="1">
        <f t="shared" si="55"/>
        <v>0</v>
      </c>
      <c r="AJ84" s="56"/>
      <c r="AK84" s="500"/>
      <c r="AL84" s="479"/>
      <c r="AM84" s="479"/>
      <c r="AN84" s="56"/>
      <c r="AO84" s="56"/>
      <c r="AP84" s="56"/>
      <c r="AQ84" s="56"/>
      <c r="AT84" s="17"/>
      <c r="AU84" s="17"/>
      <c r="AV84" s="17"/>
      <c r="AW84" s="17"/>
      <c r="AX84" s="17"/>
      <c r="AY84" s="17"/>
      <c r="BA84" s="473"/>
      <c r="BB84" s="17"/>
      <c r="BC84" s="17" t="b">
        <f t="shared" si="73"/>
        <v>1</v>
      </c>
      <c r="BD84" s="17" t="str">
        <f>Poeng!B87</f>
        <v>Ene 06a</v>
      </c>
      <c r="BE84" s="13" t="str">
        <f>Poeng!E87</f>
        <v>Energiforbruk</v>
      </c>
      <c r="BF84" s="13">
        <f>Poeng!AB87</f>
        <v>1</v>
      </c>
      <c r="BG84" s="13">
        <f>Poeng!AI87</f>
        <v>0</v>
      </c>
      <c r="BH84" s="1076">
        <f>Poeng!AE87</f>
        <v>0</v>
      </c>
      <c r="BI84" s="1" t="str">
        <f>Poeng!BE87</f>
        <v>N/A</v>
      </c>
      <c r="BK84" s="1">
        <f>Poeng!AJ87</f>
        <v>0</v>
      </c>
      <c r="BL84" s="1076">
        <f>Poeng!AF87</f>
        <v>0</v>
      </c>
      <c r="BM84" s="1076" t="str">
        <f>Poeng!BH87</f>
        <v>N/A</v>
      </c>
      <c r="BO84" s="1">
        <f>Poeng!AK87</f>
        <v>0</v>
      </c>
      <c r="BP84" s="1076">
        <f>Poeng!AG87</f>
        <v>0</v>
      </c>
      <c r="BQ84" s="1076" t="str">
        <f>Poeng!BK87</f>
        <v>N/A</v>
      </c>
    </row>
    <row r="85" spans="1:69">
      <c r="A85" s="792">
        <v>76</v>
      </c>
      <c r="B85" s="793" t="s">
        <v>349</v>
      </c>
      <c r="C85" s="97" t="str">
        <f>C83</f>
        <v>Ene 06</v>
      </c>
      <c r="D85" s="621" t="s">
        <v>383</v>
      </c>
      <c r="E85" s="975" t="s">
        <v>384</v>
      </c>
      <c r="F85" s="787" t="str">
        <f t="shared" si="56"/>
        <v>Energieffektive funksjoner: heiser</v>
      </c>
      <c r="G85" s="95">
        <f t="shared" si="64"/>
        <v>1</v>
      </c>
      <c r="H85" s="29"/>
      <c r="I85" s="96">
        <f t="shared" si="74"/>
        <v>0</v>
      </c>
      <c r="J85" s="97" t="str">
        <f t="shared" si="75"/>
        <v>N/A</v>
      </c>
      <c r="K85" s="66"/>
      <c r="L85" s="228"/>
      <c r="M85" s="601"/>
      <c r="N85" s="616"/>
      <c r="O85" s="69"/>
      <c r="P85" s="96">
        <f t="shared" si="76"/>
        <v>0</v>
      </c>
      <c r="Q85" s="96" t="str">
        <f t="shared" si="77"/>
        <v>N/A</v>
      </c>
      <c r="R85" s="551"/>
      <c r="S85" s="552"/>
      <c r="T85" s="545"/>
      <c r="U85" s="261"/>
      <c r="V85" s="69"/>
      <c r="W85" s="96">
        <f t="shared" si="78"/>
        <v>0</v>
      </c>
      <c r="X85" s="96" t="str">
        <f t="shared" si="79"/>
        <v>N/A</v>
      </c>
      <c r="Y85" s="67"/>
      <c r="Z85" s="66"/>
      <c r="AA85" s="545"/>
      <c r="AB85" s="105"/>
      <c r="AC85" s="473"/>
      <c r="AD85" s="17">
        <f t="shared" si="69"/>
        <v>0</v>
      </c>
      <c r="AE85" s="1">
        <f t="shared" si="53"/>
        <v>0</v>
      </c>
      <c r="AF85" s="1">
        <f t="shared" si="54"/>
        <v>0</v>
      </c>
      <c r="AG85" s="1">
        <f t="shared" si="55"/>
        <v>0</v>
      </c>
      <c r="AJ85" s="56"/>
      <c r="AK85" s="500"/>
      <c r="AL85" s="479"/>
      <c r="AM85" s="479"/>
      <c r="AN85" s="56"/>
      <c r="AO85" s="56"/>
      <c r="AP85" s="56"/>
      <c r="AQ85" s="56"/>
      <c r="AT85" s="17"/>
      <c r="AU85" s="17"/>
      <c r="AV85" s="17"/>
      <c r="AW85" s="17"/>
      <c r="AX85" s="17"/>
      <c r="AY85" s="17"/>
      <c r="BA85" s="473"/>
      <c r="BB85" s="17"/>
      <c r="BC85" s="17" t="b">
        <f t="shared" si="73"/>
        <v>1</v>
      </c>
      <c r="BD85" s="17" t="str">
        <f>Poeng!B88</f>
        <v>Ene 06b</v>
      </c>
      <c r="BE85" s="13" t="str">
        <f>Poeng!E88</f>
        <v>Energieffektive funksjoner: heiser</v>
      </c>
      <c r="BF85" s="13">
        <f>Poeng!AB88</f>
        <v>1</v>
      </c>
      <c r="BG85" s="13">
        <f>Poeng!AI88</f>
        <v>0</v>
      </c>
      <c r="BH85" s="1076">
        <f>Poeng!AE88</f>
        <v>0</v>
      </c>
      <c r="BI85" s="1" t="str">
        <f>Poeng!BE88</f>
        <v>N/A</v>
      </c>
      <c r="BK85" s="1">
        <f>Poeng!AJ88</f>
        <v>0</v>
      </c>
      <c r="BL85" s="1076">
        <f>Poeng!AF88</f>
        <v>0</v>
      </c>
      <c r="BM85" s="1076" t="str">
        <f>Poeng!BH88</f>
        <v>N/A</v>
      </c>
      <c r="BO85" s="1">
        <f>Poeng!AK88</f>
        <v>0</v>
      </c>
      <c r="BP85" s="1076">
        <f>Poeng!AG88</f>
        <v>0</v>
      </c>
      <c r="BQ85" s="1076" t="str">
        <f>Poeng!BK88</f>
        <v>N/A</v>
      </c>
    </row>
    <row r="86" spans="1:69">
      <c r="A86" s="792">
        <v>77</v>
      </c>
      <c r="B86" s="793" t="s">
        <v>349</v>
      </c>
      <c r="C86" s="97" t="str">
        <f>C84</f>
        <v>Ene 06</v>
      </c>
      <c r="D86" s="621" t="s">
        <v>385</v>
      </c>
      <c r="E86" s="963" t="s">
        <v>386</v>
      </c>
      <c r="F86" s="787" t="str">
        <f t="shared" si="56"/>
        <v>Energieffektive funksjoner: rulletrapper eller rullefortau</v>
      </c>
      <c r="G86" s="95">
        <f t="shared" si="64"/>
        <v>1</v>
      </c>
      <c r="H86" s="29"/>
      <c r="I86" s="96">
        <f t="shared" si="74"/>
        <v>0</v>
      </c>
      <c r="J86" s="97" t="str">
        <f t="shared" si="75"/>
        <v>N/A</v>
      </c>
      <c r="K86" s="66"/>
      <c r="L86" s="228"/>
      <c r="M86" s="601"/>
      <c r="N86" s="616"/>
      <c r="O86" s="69"/>
      <c r="P86" s="96">
        <f t="shared" si="76"/>
        <v>0</v>
      </c>
      <c r="Q86" s="96" t="str">
        <f t="shared" si="77"/>
        <v>N/A</v>
      </c>
      <c r="R86" s="551"/>
      <c r="S86" s="552"/>
      <c r="T86" s="545"/>
      <c r="U86" s="261"/>
      <c r="V86" s="69"/>
      <c r="W86" s="96">
        <f t="shared" si="78"/>
        <v>0</v>
      </c>
      <c r="X86" s="96" t="str">
        <f t="shared" si="79"/>
        <v>N/A</v>
      </c>
      <c r="Y86" s="67"/>
      <c r="Z86" s="66"/>
      <c r="AA86" s="545"/>
      <c r="AB86" s="105"/>
      <c r="AC86" s="473"/>
      <c r="AD86" s="17">
        <f t="shared" si="69"/>
        <v>0</v>
      </c>
      <c r="AE86" s="1">
        <f t="shared" si="53"/>
        <v>0</v>
      </c>
      <c r="AF86" s="1">
        <f t="shared" si="54"/>
        <v>0</v>
      </c>
      <c r="AG86" s="1">
        <f t="shared" si="55"/>
        <v>0</v>
      </c>
      <c r="AJ86" s="56"/>
      <c r="AK86" s="500"/>
      <c r="AL86" s="479"/>
      <c r="AM86" s="479"/>
      <c r="AN86" s="56"/>
      <c r="AO86" s="56"/>
      <c r="AP86" s="56"/>
      <c r="AQ86" s="56"/>
      <c r="AT86" s="17"/>
      <c r="AU86" s="17"/>
      <c r="AV86" s="17"/>
      <c r="AW86" s="17"/>
      <c r="AX86" s="17"/>
      <c r="AY86" s="17"/>
      <c r="BA86" s="473"/>
      <c r="BB86" s="17"/>
      <c r="BC86" s="17" t="b">
        <f t="shared" si="73"/>
        <v>1</v>
      </c>
      <c r="BD86" s="17" t="str">
        <f>Poeng!B89</f>
        <v>Ene 06c</v>
      </c>
      <c r="BE86" s="13" t="str">
        <f>Poeng!E89</f>
        <v>Energieffektive funksjoner: rulletrapper eller rullefortau</v>
      </c>
      <c r="BF86" s="13">
        <f>Poeng!AB89</f>
        <v>1</v>
      </c>
      <c r="BG86" s="13">
        <f>Poeng!AI89</f>
        <v>0</v>
      </c>
      <c r="BH86" s="1076">
        <f>Poeng!AE89</f>
        <v>0</v>
      </c>
      <c r="BI86" s="1" t="str">
        <f>Poeng!BE89</f>
        <v>N/A</v>
      </c>
      <c r="BK86" s="1">
        <f>Poeng!AJ89</f>
        <v>0</v>
      </c>
      <c r="BL86" s="1076">
        <f>Poeng!AF89</f>
        <v>0</v>
      </c>
      <c r="BM86" s="1076" t="str">
        <f>Poeng!BH89</f>
        <v>N/A</v>
      </c>
      <c r="BO86" s="1">
        <f>Poeng!AK89</f>
        <v>0</v>
      </c>
      <c r="BP86" s="1076">
        <f>Poeng!AG89</f>
        <v>0</v>
      </c>
      <c r="BQ86" s="1076" t="str">
        <f>Poeng!BK89</f>
        <v>N/A</v>
      </c>
    </row>
    <row r="87" spans="1:69">
      <c r="A87" s="792">
        <v>78</v>
      </c>
      <c r="B87" s="793" t="s">
        <v>349</v>
      </c>
      <c r="C87" s="704" t="s">
        <v>387</v>
      </c>
      <c r="D87" s="621" t="s">
        <v>387</v>
      </c>
      <c r="E87" s="963"/>
      <c r="F87" s="654" t="str">
        <f t="shared" si="56"/>
        <v>Ene 07 Energieffektive laboratoriesystemer</v>
      </c>
      <c r="G87" s="659">
        <f t="shared" si="64"/>
        <v>0</v>
      </c>
      <c r="H87" s="746"/>
      <c r="I87" s="660" t="str">
        <f>BG87&amp;" c. "&amp;ROUND(BH87*100,1)&amp;" %"</f>
        <v>0 c. 0 %</v>
      </c>
      <c r="J87" s="703" t="str">
        <f>BI87</f>
        <v>N/A</v>
      </c>
      <c r="K87" s="66"/>
      <c r="L87" s="228"/>
      <c r="M87" s="601"/>
      <c r="N87" s="616"/>
      <c r="O87" s="746"/>
      <c r="P87" s="670" t="str">
        <f>BK87&amp;" c. "&amp;ROUND(BL87*100,1)&amp;" %"</f>
        <v>0 c. 0 %</v>
      </c>
      <c r="Q87" s="670" t="str">
        <f>BM87</f>
        <v>N/A</v>
      </c>
      <c r="R87" s="551"/>
      <c r="S87" s="552"/>
      <c r="T87" s="545"/>
      <c r="U87" s="261"/>
      <c r="V87" s="746"/>
      <c r="W87" s="670" t="str">
        <f>BO87&amp;" c. "&amp;ROUND(BP87*100,1)&amp;" %"</f>
        <v>0 c. 0 %</v>
      </c>
      <c r="X87" s="670" t="str">
        <f>BQ87</f>
        <v>N/A</v>
      </c>
      <c r="Y87" s="67"/>
      <c r="Z87" s="66"/>
      <c r="AA87" s="545"/>
      <c r="AB87" s="105"/>
      <c r="AC87" s="473" t="s">
        <v>209</v>
      </c>
      <c r="AD87" s="17">
        <f t="shared" si="69"/>
        <v>1</v>
      </c>
      <c r="AE87" s="1">
        <f t="shared" si="53"/>
        <v>0</v>
      </c>
      <c r="AF87" s="1">
        <f t="shared" si="54"/>
        <v>0</v>
      </c>
      <c r="AG87" s="1">
        <f t="shared" si="55"/>
        <v>0</v>
      </c>
      <c r="AJ87" s="56"/>
      <c r="AK87" s="500" t="s">
        <v>388</v>
      </c>
      <c r="AL87" s="56"/>
      <c r="AM87" s="56"/>
      <c r="AN87" s="56"/>
      <c r="AO87" s="56"/>
      <c r="AP87" s="56"/>
      <c r="AQ87" s="56"/>
      <c r="AT87" s="17" t="str">
        <f>IF($AK$4=ais_nei,AIS_NA,IF(AL87="",AIS_NA,AL87))</f>
        <v>N/A</v>
      </c>
      <c r="AU87" s="17" t="str">
        <f>IF($AK$4=ais_nei,AIS_NA,IF(AM87="",AIS_NA,AM87))</f>
        <v>N/A</v>
      </c>
      <c r="AV87" s="17" t="str">
        <f>IF($AK$4=ais_nei,AIS_NA,IF(AN87="",AIS_NA,AN87))</f>
        <v>N/A</v>
      </c>
      <c r="AW87" s="17"/>
      <c r="AX87" s="17"/>
      <c r="AY87" s="17"/>
      <c r="BA87" s="473"/>
      <c r="BB87" s="17"/>
      <c r="BC87" s="17" t="b">
        <f t="shared" si="73"/>
        <v>1</v>
      </c>
      <c r="BD87" s="17" t="str">
        <f>Poeng!B90</f>
        <v>Ene 07</v>
      </c>
      <c r="BE87" s="13" t="str">
        <f>Poeng!E90</f>
        <v>Ene 07 Energieffektive laboratoriesystemer</v>
      </c>
      <c r="BF87" s="13">
        <f>Poeng!AB90</f>
        <v>0</v>
      </c>
      <c r="BG87" s="13">
        <f>Poeng!AI90</f>
        <v>0</v>
      </c>
      <c r="BH87" s="1076">
        <f>Poeng!AE90</f>
        <v>0</v>
      </c>
      <c r="BI87" s="1" t="str">
        <f>Poeng!BE90</f>
        <v>N/A</v>
      </c>
      <c r="BK87" s="1">
        <f>Poeng!AJ90</f>
        <v>0</v>
      </c>
      <c r="BL87" s="1076">
        <f>Poeng!AF90</f>
        <v>0</v>
      </c>
      <c r="BM87" s="1076" t="str">
        <f>Poeng!BH90</f>
        <v>N/A</v>
      </c>
      <c r="BO87" s="1">
        <f>Poeng!AK90</f>
        <v>0</v>
      </c>
      <c r="BP87" s="1076">
        <f>Poeng!AG90</f>
        <v>0</v>
      </c>
      <c r="BQ87" s="1076" t="str">
        <f>Poeng!BK90</f>
        <v>N/A</v>
      </c>
    </row>
    <row r="88" spans="1:69">
      <c r="A88" s="792">
        <v>79</v>
      </c>
      <c r="B88" s="793" t="s">
        <v>349</v>
      </c>
      <c r="C88" s="97" t="str">
        <f t="shared" si="39"/>
        <v>Ene 07</v>
      </c>
      <c r="D88" s="621" t="s">
        <v>389</v>
      </c>
      <c r="E88" s="964" t="s">
        <v>262</v>
      </c>
      <c r="F88" s="787" t="str">
        <f t="shared" si="56"/>
        <v>Prosjekteringsspesifikasjoner</v>
      </c>
      <c r="G88" s="95">
        <f t="shared" si="64"/>
        <v>0</v>
      </c>
      <c r="H88" s="29"/>
      <c r="I88" s="96">
        <f t="shared" si="74"/>
        <v>0</v>
      </c>
      <c r="J88" s="97" t="str">
        <f t="shared" si="75"/>
        <v>N/A</v>
      </c>
      <c r="K88" s="66"/>
      <c r="L88" s="228"/>
      <c r="M88" s="601"/>
      <c r="N88" s="616"/>
      <c r="O88" s="69"/>
      <c r="P88" s="96">
        <f t="shared" si="76"/>
        <v>0</v>
      </c>
      <c r="Q88" s="96" t="str">
        <f t="shared" si="77"/>
        <v>N/A</v>
      </c>
      <c r="R88" s="551"/>
      <c r="S88" s="552"/>
      <c r="T88" s="545"/>
      <c r="U88" s="261"/>
      <c r="V88" s="69"/>
      <c r="W88" s="96">
        <f t="shared" si="78"/>
        <v>0</v>
      </c>
      <c r="X88" s="96" t="str">
        <f t="shared" si="79"/>
        <v>N/A</v>
      </c>
      <c r="Y88" s="67"/>
      <c r="Z88" s="66"/>
      <c r="AA88" s="545"/>
      <c r="AB88" s="105"/>
      <c r="AC88" s="473"/>
      <c r="AD88" s="17">
        <f t="shared" si="69"/>
        <v>1</v>
      </c>
      <c r="AE88" s="1">
        <f t="shared" si="53"/>
        <v>0</v>
      </c>
      <c r="AF88" s="1">
        <f t="shared" si="54"/>
        <v>0</v>
      </c>
      <c r="AG88" s="1">
        <f t="shared" si="55"/>
        <v>0</v>
      </c>
      <c r="AJ88" s="56"/>
      <c r="AK88" s="500"/>
      <c r="AL88" s="56"/>
      <c r="AM88" s="56"/>
      <c r="AN88" s="56"/>
      <c r="AO88" s="56"/>
      <c r="AP88" s="56"/>
      <c r="AQ88" s="56"/>
      <c r="AT88" s="17"/>
      <c r="AU88" s="17"/>
      <c r="AV88" s="17"/>
      <c r="AW88" s="17"/>
      <c r="AX88" s="17"/>
      <c r="AY88" s="17"/>
      <c r="BA88" s="473"/>
      <c r="BB88" s="17"/>
      <c r="BC88" s="17" t="b">
        <f t="shared" si="73"/>
        <v>1</v>
      </c>
      <c r="BD88" s="17" t="str">
        <f>Poeng!B91</f>
        <v>Ene 07a</v>
      </c>
      <c r="BE88" s="13" t="str">
        <f>Poeng!E91</f>
        <v>Prosjekteringsspesifikasjoner</v>
      </c>
      <c r="BF88" s="13">
        <f>Poeng!AB91</f>
        <v>0</v>
      </c>
      <c r="BG88" s="13">
        <f>Poeng!AI91</f>
        <v>0</v>
      </c>
      <c r="BH88" s="1076">
        <f>Poeng!AE91</f>
        <v>0</v>
      </c>
      <c r="BI88" s="1" t="str">
        <f>Poeng!BE91</f>
        <v>N/A</v>
      </c>
      <c r="BK88" s="1">
        <f>Poeng!AJ91</f>
        <v>0</v>
      </c>
      <c r="BL88" s="1076">
        <f>Poeng!AF91</f>
        <v>0</v>
      </c>
      <c r="BM88" s="1076" t="str">
        <f>Poeng!BH91</f>
        <v>N/A</v>
      </c>
      <c r="BO88" s="1">
        <f>Poeng!AK91</f>
        <v>0</v>
      </c>
      <c r="BP88" s="1076">
        <f>Poeng!AG91</f>
        <v>0</v>
      </c>
      <c r="BQ88" s="1076" t="str">
        <f>Poeng!BK91</f>
        <v>N/A</v>
      </c>
    </row>
    <row r="89" spans="1:69">
      <c r="A89" s="792">
        <v>80</v>
      </c>
      <c r="B89" s="793" t="s">
        <v>349</v>
      </c>
      <c r="C89" s="97" t="str">
        <f t="shared" si="39"/>
        <v>Ene 07</v>
      </c>
      <c r="D89" s="621" t="s">
        <v>390</v>
      </c>
      <c r="E89" s="964" t="s">
        <v>330</v>
      </c>
      <c r="F89" s="787" t="str">
        <f t="shared" si="56"/>
        <v>Beste praksis for energieffektiviseringstiltak</v>
      </c>
      <c r="G89" s="95">
        <f t="shared" si="64"/>
        <v>0</v>
      </c>
      <c r="H89" s="29"/>
      <c r="I89" s="96">
        <f t="shared" si="74"/>
        <v>0</v>
      </c>
      <c r="J89" s="97" t="str">
        <f t="shared" si="75"/>
        <v>N/A</v>
      </c>
      <c r="K89" s="66"/>
      <c r="L89" s="228"/>
      <c r="M89" s="601"/>
      <c r="N89" s="616"/>
      <c r="O89" s="69"/>
      <c r="P89" s="96">
        <f t="shared" si="76"/>
        <v>0</v>
      </c>
      <c r="Q89" s="96" t="str">
        <f t="shared" si="77"/>
        <v>N/A</v>
      </c>
      <c r="R89" s="551"/>
      <c r="S89" s="552"/>
      <c r="T89" s="545"/>
      <c r="U89" s="261"/>
      <c r="V89" s="69"/>
      <c r="W89" s="96">
        <f t="shared" si="78"/>
        <v>0</v>
      </c>
      <c r="X89" s="96" t="str">
        <f t="shared" si="79"/>
        <v>N/A</v>
      </c>
      <c r="Y89" s="67"/>
      <c r="Z89" s="66"/>
      <c r="AA89" s="545"/>
      <c r="AB89" s="105"/>
      <c r="AC89" s="473"/>
      <c r="AD89" s="17">
        <f t="shared" si="69"/>
        <v>1</v>
      </c>
      <c r="AE89" s="1">
        <f t="shared" si="53"/>
        <v>0</v>
      </c>
      <c r="AF89" s="1">
        <f t="shared" si="54"/>
        <v>0</v>
      </c>
      <c r="AG89" s="1">
        <f t="shared" si="55"/>
        <v>0</v>
      </c>
      <c r="AJ89" s="56"/>
      <c r="AK89" s="500"/>
      <c r="AL89" s="56"/>
      <c r="AM89" s="56"/>
      <c r="AN89" s="56"/>
      <c r="AO89" s="56"/>
      <c r="AP89" s="56"/>
      <c r="AQ89" s="56"/>
      <c r="AT89" s="17"/>
      <c r="AU89" s="17"/>
      <c r="AV89" s="17"/>
      <c r="AW89" s="17"/>
      <c r="AX89" s="17"/>
      <c r="AY89" s="17"/>
      <c r="BA89" s="473"/>
      <c r="BB89" s="17"/>
      <c r="BC89" s="17" t="b">
        <f t="shared" si="73"/>
        <v>1</v>
      </c>
      <c r="BD89" s="17" t="str">
        <f>Poeng!B92</f>
        <v>Ene 07b</v>
      </c>
      <c r="BE89" s="13" t="str">
        <f>Poeng!E92</f>
        <v>Beste praksis for energieffektiviseringstiltak</v>
      </c>
      <c r="BF89" s="13">
        <f>Poeng!AB92</f>
        <v>0</v>
      </c>
      <c r="BG89" s="13">
        <f>Poeng!AI92</f>
        <v>0</v>
      </c>
      <c r="BH89" s="1076">
        <f>Poeng!AE92</f>
        <v>0</v>
      </c>
      <c r="BI89" s="1" t="str">
        <f>Poeng!BE92</f>
        <v>N/A</v>
      </c>
      <c r="BK89" s="1">
        <f>Poeng!AJ92</f>
        <v>0</v>
      </c>
      <c r="BL89" s="1076">
        <f>Poeng!AF92</f>
        <v>0</v>
      </c>
      <c r="BM89" s="1076" t="str">
        <f>Poeng!BH92</f>
        <v>N/A</v>
      </c>
      <c r="BO89" s="1">
        <f>Poeng!AK92</f>
        <v>0</v>
      </c>
      <c r="BP89" s="1076">
        <f>Poeng!AG92</f>
        <v>0</v>
      </c>
      <c r="BQ89" s="1076" t="str">
        <f>Poeng!BK92</f>
        <v>N/A</v>
      </c>
    </row>
    <row r="90" spans="1:69">
      <c r="A90" s="792">
        <v>81</v>
      </c>
      <c r="B90" s="793" t="s">
        <v>349</v>
      </c>
      <c r="C90" s="704" t="s">
        <v>391</v>
      </c>
      <c r="D90" s="621" t="s">
        <v>391</v>
      </c>
      <c r="E90" s="963"/>
      <c r="F90" s="654" t="str">
        <f t="shared" si="56"/>
        <v>Ene 08 Energieffektivt utstyr</v>
      </c>
      <c r="G90" s="659">
        <f t="shared" si="64"/>
        <v>2</v>
      </c>
      <c r="H90" s="746"/>
      <c r="I90" s="660" t="str">
        <f>BG90&amp;" c. "&amp;ROUND(BH90*100,1)&amp;" %"</f>
        <v>0 c. 0 %</v>
      </c>
      <c r="J90" s="703" t="str">
        <f>BI90</f>
        <v>N/A</v>
      </c>
      <c r="K90" s="66"/>
      <c r="L90" s="228"/>
      <c r="M90" s="601"/>
      <c r="N90" s="616"/>
      <c r="O90" s="746"/>
      <c r="P90" s="670" t="str">
        <f>BK90&amp;" c. "&amp;ROUND(BL90*100,1)&amp;" %"</f>
        <v>0 c. 0 %</v>
      </c>
      <c r="Q90" s="670" t="str">
        <f>BM90</f>
        <v>N/A</v>
      </c>
      <c r="R90" s="551"/>
      <c r="S90" s="552"/>
      <c r="T90" s="545"/>
      <c r="U90" s="261"/>
      <c r="V90" s="746"/>
      <c r="W90" s="670" t="str">
        <f>BO90&amp;" c. "&amp;ROUND(BP90*100,1)&amp;" %"</f>
        <v>0 c. 0 %</v>
      </c>
      <c r="X90" s="670" t="str">
        <f>BQ90</f>
        <v>N/A</v>
      </c>
      <c r="Y90" s="67"/>
      <c r="Z90" s="66"/>
      <c r="AA90" s="545"/>
      <c r="AB90" s="105"/>
      <c r="AC90" s="473" t="s">
        <v>123</v>
      </c>
      <c r="AD90" s="17">
        <f t="shared" si="69"/>
        <v>0</v>
      </c>
      <c r="AE90" s="1">
        <f t="shared" si="53"/>
        <v>0</v>
      </c>
      <c r="AF90" s="1">
        <f t="shared" si="54"/>
        <v>0</v>
      </c>
      <c r="AG90" s="1">
        <f t="shared" si="55"/>
        <v>0</v>
      </c>
      <c r="AJ90" s="56" t="str">
        <f>ais_ja</f>
        <v>Ja</v>
      </c>
      <c r="AK90" s="500" t="s">
        <v>392</v>
      </c>
      <c r="AL90" s="479" t="s">
        <v>277</v>
      </c>
      <c r="AM90" s="479" t="s">
        <v>327</v>
      </c>
      <c r="AN90" s="479" t="s">
        <v>279</v>
      </c>
      <c r="AO90" s="56"/>
      <c r="AP90" s="56"/>
      <c r="AQ90" s="56"/>
      <c r="AS90" s="1" t="s">
        <v>123</v>
      </c>
      <c r="AT90" s="17" t="str">
        <f>IF($AK$4=ais_nei,AIS_NA,IF(AL90="",AIS_NA,AL90))</f>
        <v>N/A</v>
      </c>
      <c r="AU90" s="17" t="str">
        <f>IF($AK$4=ais_nei,AIS_NA,IF(AM90="",AIS_NA,AM90))</f>
        <v>N/A</v>
      </c>
      <c r="AV90" s="17" t="str">
        <f>IF($AK$4=ais_nei,AIS_NA,IF(AN90="",AIS_NA,AN90))</f>
        <v>N/A</v>
      </c>
      <c r="AW90" s="17"/>
      <c r="AX90" s="17"/>
      <c r="AY90" s="17"/>
      <c r="BA90" s="473"/>
      <c r="BB90" s="17"/>
      <c r="BC90" s="17" t="b">
        <f t="shared" si="73"/>
        <v>1</v>
      </c>
      <c r="BD90" s="17" t="str">
        <f>Poeng!B93</f>
        <v>Ene 08</v>
      </c>
      <c r="BE90" s="13" t="str">
        <f>Poeng!E93</f>
        <v>Ene 08 Energieffektivt utstyr</v>
      </c>
      <c r="BF90" s="13">
        <f>Poeng!AB93</f>
        <v>2</v>
      </c>
      <c r="BG90" s="13">
        <f>Poeng!AI93</f>
        <v>0</v>
      </c>
      <c r="BH90" s="1076">
        <f>Poeng!AE93</f>
        <v>0</v>
      </c>
      <c r="BI90" s="1" t="str">
        <f>Poeng!BE93</f>
        <v>N/A</v>
      </c>
      <c r="BK90" s="1">
        <f>Poeng!AJ93</f>
        <v>0</v>
      </c>
      <c r="BL90" s="1076">
        <f>Poeng!AF93</f>
        <v>0</v>
      </c>
      <c r="BM90" s="1076" t="str">
        <f>Poeng!BH93</f>
        <v>N/A</v>
      </c>
      <c r="BO90" s="1">
        <f>Poeng!AK93</f>
        <v>0</v>
      </c>
      <c r="BP90" s="1076">
        <f>Poeng!AG93</f>
        <v>0</v>
      </c>
      <c r="BQ90" s="1076" t="str">
        <f>Poeng!BK93</f>
        <v>N/A</v>
      </c>
    </row>
    <row r="91" spans="1:69">
      <c r="A91" s="792">
        <v>82</v>
      </c>
      <c r="B91" s="793" t="s">
        <v>349</v>
      </c>
      <c r="C91" s="800" t="str">
        <f t="shared" si="39"/>
        <v>Ene 08</v>
      </c>
      <c r="D91" s="621" t="s">
        <v>393</v>
      </c>
      <c r="E91" s="964" t="s">
        <v>394</v>
      </c>
      <c r="F91" s="787" t="str">
        <f t="shared" si="56"/>
        <v>Reduksjon av byggets betydelige uregulerte energiforbruk</v>
      </c>
      <c r="G91" s="95">
        <f t="shared" si="64"/>
        <v>2</v>
      </c>
      <c r="H91" s="29"/>
      <c r="I91" s="96">
        <f t="shared" si="74"/>
        <v>0</v>
      </c>
      <c r="J91" s="97" t="str">
        <f t="shared" si="75"/>
        <v>N/A</v>
      </c>
      <c r="K91" s="66"/>
      <c r="L91" s="228"/>
      <c r="M91" s="601"/>
      <c r="N91" s="616"/>
      <c r="O91" s="69"/>
      <c r="P91" s="96">
        <f t="shared" si="76"/>
        <v>0</v>
      </c>
      <c r="Q91" s="96" t="str">
        <f t="shared" si="77"/>
        <v>N/A</v>
      </c>
      <c r="R91" s="551"/>
      <c r="S91" s="552"/>
      <c r="T91" s="545"/>
      <c r="U91" s="261"/>
      <c r="V91" s="69"/>
      <c r="W91" s="96">
        <f t="shared" si="78"/>
        <v>0</v>
      </c>
      <c r="X91" s="96" t="str">
        <f t="shared" si="79"/>
        <v>N/A</v>
      </c>
      <c r="Y91" s="67"/>
      <c r="Z91" s="66"/>
      <c r="AA91" s="545"/>
      <c r="AB91" s="105"/>
      <c r="AC91" s="527"/>
      <c r="AD91" s="17">
        <f t="shared" si="69"/>
        <v>0</v>
      </c>
      <c r="AE91" s="1">
        <f t="shared" si="53"/>
        <v>0</v>
      </c>
      <c r="AF91" s="1">
        <f t="shared" si="54"/>
        <v>0</v>
      </c>
      <c r="AG91" s="1">
        <f t="shared" si="55"/>
        <v>0</v>
      </c>
      <c r="AJ91" s="56"/>
      <c r="AK91" s="500"/>
      <c r="AL91" s="479"/>
      <c r="AM91" s="479"/>
      <c r="AN91" s="479"/>
      <c r="AO91" s="56"/>
      <c r="AP91" s="56"/>
      <c r="AQ91" s="56"/>
      <c r="AT91" s="17"/>
      <c r="AU91" s="17"/>
      <c r="AV91" s="17"/>
      <c r="AW91" s="17"/>
      <c r="AX91" s="17"/>
      <c r="AY91" s="17"/>
      <c r="BA91" s="527"/>
      <c r="BB91" s="17"/>
      <c r="BC91" s="17" t="b">
        <f t="shared" si="73"/>
        <v>1</v>
      </c>
      <c r="BD91" s="17" t="str">
        <f>Poeng!B94</f>
        <v>Ene 08a</v>
      </c>
      <c r="BE91" s="13" t="str">
        <f>Poeng!E94</f>
        <v>Reduksjon av byggets betydelige uregulerte energiforbruk</v>
      </c>
      <c r="BF91" s="13">
        <f>Poeng!AB94</f>
        <v>2</v>
      </c>
      <c r="BG91" s="13">
        <f>Poeng!AI94</f>
        <v>0</v>
      </c>
      <c r="BH91" s="1076">
        <f>Poeng!AE94</f>
        <v>0</v>
      </c>
      <c r="BI91" s="1" t="str">
        <f>Poeng!BE94</f>
        <v>N/A</v>
      </c>
      <c r="BK91" s="1">
        <f>Poeng!AJ94</f>
        <v>0</v>
      </c>
      <c r="BL91" s="1076">
        <f>Poeng!AF94</f>
        <v>0</v>
      </c>
      <c r="BM91" s="1076" t="str">
        <f>Poeng!BH94</f>
        <v>N/A</v>
      </c>
      <c r="BO91" s="1">
        <f>Poeng!AK94</f>
        <v>0</v>
      </c>
      <c r="BP91" s="1076">
        <f>Poeng!AG94</f>
        <v>0</v>
      </c>
      <c r="BQ91" s="1076" t="str">
        <f>Poeng!BK94</f>
        <v>N/A</v>
      </c>
    </row>
    <row r="92" spans="1:69" ht="15.75" thickBot="1">
      <c r="A92" s="792">
        <v>83</v>
      </c>
      <c r="B92" s="793" t="s">
        <v>349</v>
      </c>
      <c r="C92" s="796"/>
      <c r="D92" s="621" t="s">
        <v>395</v>
      </c>
      <c r="E92" s="967"/>
      <c r="F92" s="262" t="s">
        <v>396</v>
      </c>
      <c r="G92" s="98">
        <f>Ene_Credits</f>
        <v>22</v>
      </c>
      <c r="H92" s="103"/>
      <c r="I92" s="99">
        <f>Ene_cont_tot</f>
        <v>0</v>
      </c>
      <c r="J92" s="661" t="str">
        <f>"Poeng oppnådd: "&amp;Ene_tot_user</f>
        <v>Poeng oppnådd: 0</v>
      </c>
      <c r="K92" s="106"/>
      <c r="L92" s="229"/>
      <c r="M92" s="553"/>
      <c r="N92" s="616"/>
      <c r="O92" s="317"/>
      <c r="P92" s="99">
        <f>BL92</f>
        <v>0</v>
      </c>
      <c r="Q92" s="661" t="str">
        <f>"Poeng oppnådd: "&amp;Ene_d_user</f>
        <v>Poeng oppnådd: 0</v>
      </c>
      <c r="R92" s="554"/>
      <c r="S92" s="555"/>
      <c r="T92" s="553"/>
      <c r="U92" s="261"/>
      <c r="V92" s="317"/>
      <c r="W92" s="99">
        <f>BP92</f>
        <v>0</v>
      </c>
      <c r="X92" s="661" t="str">
        <f>"Poeng oppnådd: "&amp;Ene_c_user</f>
        <v>Poeng oppnådd: 0</v>
      </c>
      <c r="Y92" s="316"/>
      <c r="Z92" s="108"/>
      <c r="AA92" s="553"/>
      <c r="AB92" s="105"/>
      <c r="AC92" s="474"/>
      <c r="AD92" s="17"/>
      <c r="AE92" s="225">
        <v>0</v>
      </c>
      <c r="AF92" s="225">
        <v>0</v>
      </c>
      <c r="AG92" s="225">
        <v>0</v>
      </c>
      <c r="AJ92" s="56"/>
      <c r="AK92" s="500" t="s">
        <v>397</v>
      </c>
      <c r="AL92" s="56"/>
      <c r="AM92" s="56"/>
      <c r="AN92" s="56"/>
      <c r="AO92" s="56"/>
      <c r="AP92" s="56"/>
      <c r="AQ92" s="56"/>
      <c r="AT92" s="17" t="str">
        <f t="shared" ref="AT92:AV95" si="80">IF($AK$4=ais_nei,AIS_NA,IF(AL92="",AIS_NA,AL92))</f>
        <v>N/A</v>
      </c>
      <c r="AU92" s="17" t="str">
        <f t="shared" si="80"/>
        <v>N/A</v>
      </c>
      <c r="AV92" s="17" t="str">
        <f t="shared" si="80"/>
        <v>N/A</v>
      </c>
      <c r="AW92" s="17"/>
      <c r="AX92" s="17"/>
      <c r="AY92" s="17"/>
      <c r="BA92" s="474"/>
      <c r="BB92" s="17"/>
      <c r="BC92" s="17" t="b">
        <f t="shared" si="73"/>
        <v>1</v>
      </c>
      <c r="BD92" s="17" t="str">
        <f>Poeng!B97</f>
        <v>Ene sum</v>
      </c>
      <c r="BE92" s="13" t="str">
        <f>Poeng!E97</f>
        <v>Sum</v>
      </c>
      <c r="BF92" s="13">
        <f>Poeng!AB97</f>
        <v>22</v>
      </c>
      <c r="BG92" s="13">
        <f>Poeng!AI97</f>
        <v>0</v>
      </c>
      <c r="BH92" s="1076">
        <f>Poeng!AE97</f>
        <v>0</v>
      </c>
      <c r="BI92" s="1">
        <f>Poeng!BE97</f>
        <v>0</v>
      </c>
      <c r="BK92" s="1">
        <f>Poeng!AJ97</f>
        <v>0</v>
      </c>
      <c r="BL92" s="1076">
        <f>Poeng!AF97</f>
        <v>0</v>
      </c>
      <c r="BM92" s="1076">
        <f>Poeng!BH97</f>
        <v>0</v>
      </c>
      <c r="BO92" s="1">
        <f>Poeng!AK97</f>
        <v>0</v>
      </c>
      <c r="BP92" s="1076">
        <f>Poeng!AG97</f>
        <v>0</v>
      </c>
      <c r="BQ92" s="1076">
        <f>Poeng!BK97</f>
        <v>0</v>
      </c>
    </row>
    <row r="93" spans="1:69">
      <c r="A93" s="792">
        <v>84</v>
      </c>
      <c r="B93" s="793" t="s">
        <v>349</v>
      </c>
      <c r="C93" s="264"/>
      <c r="D93" s="621"/>
      <c r="E93" s="966"/>
      <c r="F93" s="263"/>
      <c r="G93" s="264"/>
      <c r="H93" s="265"/>
      <c r="I93" s="264"/>
      <c r="J93" s="264"/>
      <c r="K93" s="266"/>
      <c r="L93" s="265"/>
      <c r="M93" s="556"/>
      <c r="N93" s="616"/>
      <c r="O93" s="267"/>
      <c r="P93" s="267"/>
      <c r="Q93" s="556"/>
      <c r="R93" s="556"/>
      <c r="S93" s="557"/>
      <c r="T93" s="556"/>
      <c r="U93" s="261"/>
      <c r="V93" s="267"/>
      <c r="W93" s="267"/>
      <c r="X93" s="556"/>
      <c r="Y93" s="266"/>
      <c r="Z93" s="267"/>
      <c r="AA93" s="556"/>
      <c r="AB93" s="105"/>
      <c r="AC93" s="266"/>
      <c r="AD93" s="17"/>
      <c r="AE93" s="226">
        <v>0</v>
      </c>
      <c r="AF93" s="226">
        <v>0</v>
      </c>
      <c r="AG93" s="226">
        <v>0</v>
      </c>
      <c r="AJ93" s="56"/>
      <c r="AK93" s="500"/>
      <c r="AL93" s="56"/>
      <c r="AM93" s="56"/>
      <c r="AN93" s="56"/>
      <c r="AO93" s="56"/>
      <c r="AP93" s="56"/>
      <c r="AQ93" s="56"/>
      <c r="AT93" s="17" t="str">
        <f t="shared" si="80"/>
        <v>N/A</v>
      </c>
      <c r="AU93" s="17" t="str">
        <f t="shared" si="80"/>
        <v>N/A</v>
      </c>
      <c r="AV93" s="17" t="str">
        <f t="shared" si="80"/>
        <v>N/A</v>
      </c>
      <c r="AW93" s="17"/>
      <c r="AX93" s="17"/>
      <c r="AY93" s="17"/>
      <c r="BA93" s="266"/>
      <c r="BB93" s="17"/>
      <c r="BC93" s="17"/>
      <c r="BD93" s="17"/>
      <c r="BE93" s="13"/>
      <c r="BF93" s="13"/>
      <c r="BG93" s="13"/>
      <c r="BH93" s="1076"/>
      <c r="BL93" s="1076"/>
      <c r="BM93" s="1076"/>
      <c r="BP93" s="1076"/>
      <c r="BQ93" s="1076"/>
    </row>
    <row r="94" spans="1:69" ht="18.75">
      <c r="A94" s="792">
        <v>85</v>
      </c>
      <c r="B94" s="793" t="s">
        <v>398</v>
      </c>
      <c r="C94" s="797"/>
      <c r="D94" s="621"/>
      <c r="E94" s="961"/>
      <c r="F94" s="268" t="s">
        <v>399</v>
      </c>
      <c r="G94" s="257"/>
      <c r="H94" s="258"/>
      <c r="I94" s="277"/>
      <c r="J94" s="257"/>
      <c r="K94" s="269"/>
      <c r="L94" s="270"/>
      <c r="M94" s="559"/>
      <c r="N94" s="616"/>
      <c r="O94" s="280"/>
      <c r="P94" s="273"/>
      <c r="Q94" s="549"/>
      <c r="R94" s="560"/>
      <c r="S94" s="561"/>
      <c r="T94" s="562"/>
      <c r="U94" s="261"/>
      <c r="V94" s="280"/>
      <c r="W94" s="279"/>
      <c r="X94" s="549"/>
      <c r="Y94" s="269"/>
      <c r="Z94" s="279"/>
      <c r="AA94" s="559"/>
      <c r="AB94" s="105"/>
      <c r="AC94" s="278"/>
      <c r="AD94" s="17"/>
      <c r="AE94" s="224">
        <v>0</v>
      </c>
      <c r="AF94" s="224">
        <v>0</v>
      </c>
      <c r="AG94" s="224">
        <v>0</v>
      </c>
      <c r="AJ94" s="56"/>
      <c r="AK94" s="500" t="s">
        <v>399</v>
      </c>
      <c r="AL94" s="56"/>
      <c r="AM94" s="56"/>
      <c r="AN94" s="56"/>
      <c r="AO94" s="56"/>
      <c r="AP94" s="56"/>
      <c r="AQ94" s="56"/>
      <c r="AT94" s="17" t="str">
        <f t="shared" si="80"/>
        <v>N/A</v>
      </c>
      <c r="AU94" s="17" t="str">
        <f t="shared" si="80"/>
        <v>N/A</v>
      </c>
      <c r="AV94" s="17" t="str">
        <f t="shared" si="80"/>
        <v>N/A</v>
      </c>
      <c r="AW94" s="17"/>
      <c r="AX94" s="17"/>
      <c r="AY94" s="17"/>
      <c r="BA94" s="278"/>
      <c r="BB94" s="17"/>
      <c r="BC94" s="17"/>
    </row>
    <row r="95" spans="1:69">
      <c r="A95" s="792">
        <v>86</v>
      </c>
      <c r="B95" s="793" t="s">
        <v>398</v>
      </c>
      <c r="C95" s="704" t="s">
        <v>400</v>
      </c>
      <c r="D95" s="621" t="s">
        <v>400</v>
      </c>
      <c r="E95" s="962"/>
      <c r="F95" s="654" t="str">
        <f t="shared" ref="F95:G100" si="81">BE95</f>
        <v>Transportkartlegging og mobilitetsplan</v>
      </c>
      <c r="G95" s="659">
        <f t="shared" si="81"/>
        <v>3</v>
      </c>
      <c r="H95" s="745"/>
      <c r="I95" s="660" t="str">
        <f>BG95&amp;" c. "&amp;ROUND(BH95*100,1)&amp;" %"</f>
        <v>0 c. 0 %</v>
      </c>
      <c r="J95" s="703" t="str">
        <f t="shared" ref="J95:J100" si="82">BI95</f>
        <v>N/A</v>
      </c>
      <c r="K95" s="667"/>
      <c r="L95" s="668"/>
      <c r="M95" s="669"/>
      <c r="N95" s="616"/>
      <c r="O95" s="746"/>
      <c r="P95" s="670" t="str">
        <f>BK95&amp;" c. "&amp;ROUND(BL95*100,1)&amp;" %"</f>
        <v>0 c. 0 %</v>
      </c>
      <c r="Q95" s="670" t="str">
        <f t="shared" ref="Q95:Q100" si="83">BM95</f>
        <v>N/A</v>
      </c>
      <c r="R95" s="551"/>
      <c r="S95" s="552"/>
      <c r="T95" s="545"/>
      <c r="U95" s="261"/>
      <c r="V95" s="746"/>
      <c r="W95" s="670" t="str">
        <f>BO95&amp;" c. "&amp;ROUND(BP95*100,1)&amp;" %"</f>
        <v>0 c. 0 %</v>
      </c>
      <c r="X95" s="670" t="str">
        <f t="shared" ref="X95:X100" si="84">BQ95</f>
        <v>N/A</v>
      </c>
      <c r="Y95" s="67"/>
      <c r="Z95" s="66"/>
      <c r="AA95" s="545"/>
      <c r="AB95" s="105"/>
      <c r="AC95" s="473" t="s">
        <v>209</v>
      </c>
      <c r="AD95" s="17">
        <f t="shared" si="69"/>
        <v>0</v>
      </c>
      <c r="AE95" s="1">
        <f t="shared" ref="AE95:AE100" si="85">IF(L95=$AE$4,$AF$4,IF(L95=$AE$5,$AF$5,IF(L95=$AE$6,$AF$6,0)))</f>
        <v>0</v>
      </c>
      <c r="AF95" s="1">
        <f t="shared" ref="AF95:AF100" si="86">IF(S95=$AE$4,$AF$4,IF(S95=$AE$5,$AF$5,IF(S95=$AE$6,$AF$6,0)))</f>
        <v>0</v>
      </c>
      <c r="AG95" s="1">
        <f t="shared" ref="AG95:AG100" si="87">IF(Z95=$AE$4,$AF$4,IF(Z95=$AE$5,$AF$5,IF(Z95=$AE$6,$AF$6,0)))</f>
        <v>0</v>
      </c>
      <c r="AJ95" s="56"/>
      <c r="AK95" s="500" t="s">
        <v>401</v>
      </c>
      <c r="AL95" s="56"/>
      <c r="AM95" s="56"/>
      <c r="AN95" s="56"/>
      <c r="AO95" s="56"/>
      <c r="AP95" s="56"/>
      <c r="AQ95" s="56"/>
      <c r="AT95" s="17" t="str">
        <f t="shared" si="80"/>
        <v>N/A</v>
      </c>
      <c r="AU95" s="17" t="str">
        <f t="shared" si="80"/>
        <v>N/A</v>
      </c>
      <c r="AV95" s="17" t="str">
        <f t="shared" si="80"/>
        <v>N/A</v>
      </c>
      <c r="AW95" s="17"/>
      <c r="AX95" s="17"/>
      <c r="AY95" s="17"/>
      <c r="BA95" s="473"/>
      <c r="BB95" s="17"/>
      <c r="BC95" s="17" t="b">
        <f t="shared" si="73"/>
        <v>1</v>
      </c>
      <c r="BD95" s="17" t="str">
        <f>Poeng!B100</f>
        <v>Tra 01</v>
      </c>
      <c r="BE95" s="13" t="str">
        <f>Poeng!E100</f>
        <v>Transportkartlegging og mobilitetsplan</v>
      </c>
      <c r="BF95" s="13">
        <f>Poeng!AB100</f>
        <v>3</v>
      </c>
      <c r="BG95" s="13">
        <f>Poeng!AI100</f>
        <v>0</v>
      </c>
      <c r="BH95" s="1076">
        <f>Poeng!AE100</f>
        <v>0</v>
      </c>
      <c r="BI95" s="1" t="str">
        <f>Poeng!BE100</f>
        <v>N/A</v>
      </c>
      <c r="BK95" s="1">
        <f>Poeng!AJ100</f>
        <v>0</v>
      </c>
      <c r="BL95" s="1076">
        <f>Poeng!AF100</f>
        <v>0</v>
      </c>
      <c r="BM95" s="1076" t="str">
        <f>Poeng!BH100</f>
        <v>N/A</v>
      </c>
      <c r="BO95" s="1">
        <f>Poeng!AK100</f>
        <v>0</v>
      </c>
      <c r="BP95" s="1076">
        <f>Poeng!AG100</f>
        <v>0</v>
      </c>
      <c r="BQ95" s="1076" t="str">
        <f>Poeng!BK100</f>
        <v>N/A</v>
      </c>
    </row>
    <row r="96" spans="1:69">
      <c r="A96" s="792">
        <v>87</v>
      </c>
      <c r="B96" s="793" t="s">
        <v>398</v>
      </c>
      <c r="C96" s="97" t="str">
        <f>C95</f>
        <v>Tra 01</v>
      </c>
      <c r="D96" s="14" t="s">
        <v>402</v>
      </c>
      <c r="E96" s="964" t="s">
        <v>340</v>
      </c>
      <c r="F96" s="787" t="str">
        <f t="shared" si="81"/>
        <v>Transportkartlegging og mobilitetsplan</v>
      </c>
      <c r="G96" s="95">
        <f t="shared" si="81"/>
        <v>2</v>
      </c>
      <c r="H96" s="29"/>
      <c r="I96" s="96">
        <f>BH96</f>
        <v>0</v>
      </c>
      <c r="J96" s="97" t="str">
        <f t="shared" si="82"/>
        <v>Very Good</v>
      </c>
      <c r="K96" s="66"/>
      <c r="L96" s="228"/>
      <c r="M96" s="601"/>
      <c r="N96" s="616"/>
      <c r="O96" s="69"/>
      <c r="P96" s="96">
        <f>BL96</f>
        <v>0</v>
      </c>
      <c r="Q96" s="96" t="str">
        <f t="shared" si="83"/>
        <v>Very Good</v>
      </c>
      <c r="R96" s="551"/>
      <c r="S96" s="552"/>
      <c r="T96" s="545"/>
      <c r="U96" s="261"/>
      <c r="V96" s="69"/>
      <c r="W96" s="96">
        <f>BP96</f>
        <v>0</v>
      </c>
      <c r="X96" s="96" t="str">
        <f t="shared" si="84"/>
        <v>Very Good</v>
      </c>
      <c r="Y96" s="67"/>
      <c r="Z96" s="66"/>
      <c r="AA96" s="545"/>
      <c r="AD96" s="17">
        <f t="shared" si="69"/>
        <v>0</v>
      </c>
      <c r="AE96" s="1">
        <f t="shared" si="85"/>
        <v>0</v>
      </c>
      <c r="AF96" s="1">
        <f t="shared" si="86"/>
        <v>0</v>
      </c>
      <c r="AG96" s="1">
        <f t="shared" si="87"/>
        <v>0</v>
      </c>
      <c r="BB96" s="17"/>
      <c r="BC96" s="17" t="b">
        <f t="shared" si="73"/>
        <v>1</v>
      </c>
      <c r="BD96" s="17" t="str">
        <f>Poeng!B101</f>
        <v>Tra 01a</v>
      </c>
      <c r="BE96" s="13" t="str">
        <f>Poeng!E101</f>
        <v>Transportkartlegging og mobilitetsplan</v>
      </c>
      <c r="BF96" s="13">
        <f>Poeng!AB101</f>
        <v>2</v>
      </c>
      <c r="BG96" s="13">
        <f>Poeng!AI101</f>
        <v>0</v>
      </c>
      <c r="BH96" s="1076">
        <f>Poeng!AE101</f>
        <v>0</v>
      </c>
      <c r="BI96" s="1" t="str">
        <f>Poeng!BE101</f>
        <v>Very Good</v>
      </c>
      <c r="BK96" s="1">
        <f>Poeng!AJ101</f>
        <v>0</v>
      </c>
      <c r="BL96" s="1076">
        <f>Poeng!AF101</f>
        <v>0</v>
      </c>
      <c r="BM96" s="1076" t="str">
        <f>Poeng!BH101</f>
        <v>Very Good</v>
      </c>
      <c r="BO96" s="1">
        <f>Poeng!AK101</f>
        <v>0</v>
      </c>
      <c r="BP96" s="1076">
        <f>Poeng!AG101</f>
        <v>0</v>
      </c>
      <c r="BQ96" s="1076" t="str">
        <f>Poeng!BK101</f>
        <v>Very Good</v>
      </c>
    </row>
    <row r="97" spans="1:69">
      <c r="A97" s="792">
        <v>88</v>
      </c>
      <c r="B97" s="793" t="s">
        <v>398</v>
      </c>
      <c r="C97" s="97" t="str">
        <f>C96</f>
        <v>Tra 01</v>
      </c>
      <c r="D97" s="14" t="s">
        <v>403</v>
      </c>
      <c r="E97" s="963">
        <v>6</v>
      </c>
      <c r="F97" s="787" t="str">
        <f t="shared" si="81"/>
        <v>Mobilitetsplan med klimagassutslipp</v>
      </c>
      <c r="G97" s="95">
        <f t="shared" si="81"/>
        <v>1</v>
      </c>
      <c r="H97" s="29"/>
      <c r="I97" s="96">
        <f>BH97</f>
        <v>0</v>
      </c>
      <c r="J97" s="97" t="str">
        <f t="shared" si="82"/>
        <v>Very Good</v>
      </c>
      <c r="K97" s="66"/>
      <c r="L97" s="228"/>
      <c r="M97" s="601"/>
      <c r="N97" s="616"/>
      <c r="O97" s="69"/>
      <c r="P97" s="96">
        <f>BL97</f>
        <v>0</v>
      </c>
      <c r="Q97" s="96" t="str">
        <f t="shared" si="83"/>
        <v>Very Good</v>
      </c>
      <c r="R97" s="551"/>
      <c r="S97" s="552"/>
      <c r="T97" s="545"/>
      <c r="U97" s="261"/>
      <c r="V97" s="69"/>
      <c r="W97" s="96">
        <f>BP97</f>
        <v>0</v>
      </c>
      <c r="X97" s="96" t="str">
        <f t="shared" si="84"/>
        <v>Very Good</v>
      </c>
      <c r="Y97" s="67"/>
      <c r="Z97" s="66"/>
      <c r="AA97" s="545"/>
      <c r="AD97" s="17">
        <f t="shared" si="69"/>
        <v>0</v>
      </c>
      <c r="AE97" s="1">
        <f t="shared" si="85"/>
        <v>0</v>
      </c>
      <c r="AF97" s="1">
        <f t="shared" si="86"/>
        <v>0</v>
      </c>
      <c r="AG97" s="1">
        <f t="shared" si="87"/>
        <v>0</v>
      </c>
      <c r="BB97" s="17"/>
      <c r="BC97" s="17" t="b">
        <f t="shared" si="73"/>
        <v>1</v>
      </c>
      <c r="BD97" s="17" t="str">
        <f>Poeng!B102</f>
        <v>Tra 01b</v>
      </c>
      <c r="BE97" s="13" t="str">
        <f>Poeng!E102</f>
        <v>Mobilitetsplan med klimagassutslipp</v>
      </c>
      <c r="BF97" s="13">
        <f>Poeng!AB102</f>
        <v>1</v>
      </c>
      <c r="BG97" s="13">
        <f>Poeng!AI102</f>
        <v>0</v>
      </c>
      <c r="BH97" s="1076">
        <f>Poeng!AE102</f>
        <v>0</v>
      </c>
      <c r="BI97" s="1" t="str">
        <f>Poeng!BE102</f>
        <v>Very Good</v>
      </c>
      <c r="BK97" s="1">
        <f>Poeng!AJ102</f>
        <v>0</v>
      </c>
      <c r="BL97" s="1076">
        <f>Poeng!AF102</f>
        <v>0</v>
      </c>
      <c r="BM97" s="1076" t="str">
        <f>Poeng!BH102</f>
        <v>Very Good</v>
      </c>
      <c r="BO97" s="1">
        <f>Poeng!AK102</f>
        <v>0</v>
      </c>
      <c r="BP97" s="1076">
        <f>Poeng!AG102</f>
        <v>0</v>
      </c>
      <c r="BQ97" s="1076" t="str">
        <f>Poeng!BK102</f>
        <v>Very Good</v>
      </c>
    </row>
    <row r="98" spans="1:69">
      <c r="A98" s="792">
        <v>89</v>
      </c>
      <c r="B98" s="793" t="s">
        <v>398</v>
      </c>
      <c r="C98" s="704" t="s">
        <v>404</v>
      </c>
      <c r="D98" s="621" t="s">
        <v>404</v>
      </c>
      <c r="E98" s="962"/>
      <c r="F98" s="654" t="str">
        <f t="shared" si="81"/>
        <v>Tra 02 Bærekraftige transporttiltak</v>
      </c>
      <c r="G98" s="659">
        <f t="shared" si="81"/>
        <v>10</v>
      </c>
      <c r="H98" s="746"/>
      <c r="I98" s="660" t="str">
        <f>BG98&amp;" c. "&amp;ROUND(BH98*100,1)&amp;" %"</f>
        <v>0 c. 0 %</v>
      </c>
      <c r="J98" s="703" t="str">
        <f t="shared" si="82"/>
        <v>N/A</v>
      </c>
      <c r="K98" s="66"/>
      <c r="L98" s="228"/>
      <c r="M98" s="601"/>
      <c r="N98" s="616"/>
      <c r="O98" s="746"/>
      <c r="P98" s="670" t="str">
        <f>BK98&amp;" c. "&amp;ROUND(BL98*100,1)&amp;" %"</f>
        <v>0 c. 0 %</v>
      </c>
      <c r="Q98" s="670" t="str">
        <f t="shared" si="83"/>
        <v>N/A</v>
      </c>
      <c r="R98" s="551"/>
      <c r="S98" s="552"/>
      <c r="T98" s="545"/>
      <c r="U98" s="261"/>
      <c r="V98" s="746"/>
      <c r="W98" s="670" t="str">
        <f>BO98&amp;" c. "&amp;ROUND(BP98*100,1)&amp;" %"</f>
        <v>0 c. 0 %</v>
      </c>
      <c r="X98" s="670" t="str">
        <f t="shared" si="84"/>
        <v>N/A</v>
      </c>
      <c r="Y98" s="67"/>
      <c r="Z98" s="66"/>
      <c r="AA98" s="545"/>
      <c r="AB98" s="105"/>
      <c r="AC98" s="473" t="s">
        <v>209</v>
      </c>
      <c r="AD98" s="17">
        <f t="shared" si="69"/>
        <v>0</v>
      </c>
      <c r="AE98" s="1">
        <f t="shared" si="85"/>
        <v>0</v>
      </c>
      <c r="AF98" s="1">
        <f t="shared" si="86"/>
        <v>0</v>
      </c>
      <c r="AG98" s="1">
        <f t="shared" si="87"/>
        <v>0</v>
      </c>
      <c r="AJ98" s="56"/>
      <c r="AK98" s="500" t="s">
        <v>405</v>
      </c>
      <c r="AL98" s="56"/>
      <c r="AM98" s="56"/>
      <c r="AN98" s="56"/>
      <c r="AO98" s="56"/>
      <c r="AP98" s="56"/>
      <c r="AQ98" s="56"/>
      <c r="AT98" s="17" t="str">
        <f>IF($AK$4=ais_nei,AIS_NA,IF(AL98="",AIS_NA,AL98))</f>
        <v>N/A</v>
      </c>
      <c r="AU98" s="17" t="str">
        <f>IF($AK$4=ais_nei,AIS_NA,IF(AM98="",AIS_NA,AM98))</f>
        <v>N/A</v>
      </c>
      <c r="AV98" s="17" t="str">
        <f>IF($AK$4=ais_nei,AIS_NA,IF(AN98="",AIS_NA,AN98))</f>
        <v>N/A</v>
      </c>
      <c r="AW98" s="17"/>
      <c r="AX98" s="17"/>
      <c r="AY98" s="17"/>
      <c r="BA98" s="473"/>
      <c r="BB98" s="17"/>
      <c r="BC98" s="17" t="b">
        <f t="shared" si="73"/>
        <v>1</v>
      </c>
      <c r="BD98" s="17" t="str">
        <f>Poeng!B103</f>
        <v>Tra 02</v>
      </c>
      <c r="BE98" s="13" t="str">
        <f>Poeng!E103</f>
        <v>Tra 02 Bærekraftige transporttiltak</v>
      </c>
      <c r="BF98" s="13">
        <f>Poeng!AB103</f>
        <v>10</v>
      </c>
      <c r="BG98" s="13">
        <f>Poeng!AI103</f>
        <v>0</v>
      </c>
      <c r="BH98" s="1076">
        <f>Poeng!AE103</f>
        <v>0</v>
      </c>
      <c r="BI98" s="1" t="str">
        <f>Poeng!BE103</f>
        <v>N/A</v>
      </c>
      <c r="BK98" s="1">
        <f>Poeng!AJ103</f>
        <v>0</v>
      </c>
      <c r="BL98" s="1076">
        <f>Poeng!AF103</f>
        <v>0</v>
      </c>
      <c r="BM98" s="1076" t="str">
        <f>Poeng!BH103</f>
        <v>N/A</v>
      </c>
      <c r="BO98" s="1">
        <f>Poeng!AK103</f>
        <v>0</v>
      </c>
      <c r="BP98" s="1076">
        <f>Poeng!AG103</f>
        <v>0</v>
      </c>
      <c r="BQ98" s="1076" t="str">
        <f>Poeng!BK103</f>
        <v>N/A</v>
      </c>
    </row>
    <row r="99" spans="1:69">
      <c r="A99" s="792">
        <v>90</v>
      </c>
      <c r="B99" s="793" t="s">
        <v>398</v>
      </c>
      <c r="C99" s="97" t="str">
        <f>C98</f>
        <v>Tra 02</v>
      </c>
      <c r="D99" s="621" t="s">
        <v>406</v>
      </c>
      <c r="E99" s="963">
        <v>1</v>
      </c>
      <c r="F99" s="787" t="str">
        <f t="shared" si="81"/>
        <v>Forkrav: Transportkartlegging og mobilitetsplan</v>
      </c>
      <c r="G99" s="95" t="str">
        <f t="shared" si="81"/>
        <v>Yes/No</v>
      </c>
      <c r="H99" s="29"/>
      <c r="I99" s="96" t="str">
        <f>BH99</f>
        <v>-</v>
      </c>
      <c r="J99" s="97" t="str">
        <f t="shared" si="82"/>
        <v>N/A</v>
      </c>
      <c r="K99" s="66"/>
      <c r="L99" s="228"/>
      <c r="M99" s="601"/>
      <c r="N99" s="616"/>
      <c r="O99" s="69"/>
      <c r="P99" s="96" t="str">
        <f>BL99</f>
        <v>-</v>
      </c>
      <c r="Q99" s="96" t="str">
        <f t="shared" si="83"/>
        <v>N/A</v>
      </c>
      <c r="R99" s="551"/>
      <c r="S99" s="552"/>
      <c r="T99" s="545"/>
      <c r="U99" s="261"/>
      <c r="V99" s="69"/>
      <c r="W99" s="96" t="str">
        <f>BP99</f>
        <v>-</v>
      </c>
      <c r="X99" s="96" t="str">
        <f t="shared" si="84"/>
        <v>N/A</v>
      </c>
      <c r="Y99" s="67"/>
      <c r="Z99" s="66"/>
      <c r="AA99" s="545"/>
      <c r="AB99" s="105"/>
      <c r="AC99" s="658"/>
      <c r="AD99" s="17">
        <f t="shared" si="69"/>
        <v>0</v>
      </c>
      <c r="AE99" s="1">
        <f t="shared" si="85"/>
        <v>0</v>
      </c>
      <c r="AF99" s="1">
        <f t="shared" si="86"/>
        <v>0</v>
      </c>
      <c r="AG99" s="1">
        <f t="shared" si="87"/>
        <v>0</v>
      </c>
      <c r="AT99" s="17"/>
      <c r="AU99" s="17"/>
      <c r="AV99" s="17"/>
      <c r="AW99" s="17"/>
      <c r="AX99" s="17"/>
      <c r="AY99" s="17"/>
      <c r="BA99" s="658"/>
      <c r="BB99" s="17"/>
      <c r="BC99" s="17" t="b">
        <f t="shared" si="73"/>
        <v>1</v>
      </c>
      <c r="BD99" s="17" t="str">
        <f>Poeng!B246</f>
        <v>Tra 02a</v>
      </c>
      <c r="BE99" s="13" t="str">
        <f>Poeng!E246</f>
        <v>Forkrav: Transportkartlegging og mobilitetsplan</v>
      </c>
      <c r="BF99" s="13" t="str">
        <f>Poeng!AB246</f>
        <v>Yes/No</v>
      </c>
      <c r="BG99" s="13">
        <f>Poeng!AI246</f>
        <v>0</v>
      </c>
      <c r="BH99" s="1076" t="str">
        <f>Poeng!AE246</f>
        <v>-</v>
      </c>
      <c r="BI99" s="1" t="str">
        <f>Poeng!BE246</f>
        <v>N/A</v>
      </c>
      <c r="BK99" s="1">
        <f>Poeng!AJ246</f>
        <v>0</v>
      </c>
      <c r="BL99" s="1076" t="str">
        <f>Poeng!AF246</f>
        <v>-</v>
      </c>
      <c r="BM99" s="1076" t="str">
        <f>Poeng!BH246</f>
        <v>N/A</v>
      </c>
      <c r="BO99" s="1">
        <f>Poeng!AK246</f>
        <v>0</v>
      </c>
      <c r="BP99" s="1076" t="str">
        <f>Poeng!AG246</f>
        <v>-</v>
      </c>
      <c r="BQ99" s="1076" t="str">
        <f>Poeng!BK246</f>
        <v>N/A</v>
      </c>
    </row>
    <row r="100" spans="1:69">
      <c r="A100" s="792">
        <v>91</v>
      </c>
      <c r="B100" s="793" t="s">
        <v>398</v>
      </c>
      <c r="C100" s="97" t="str">
        <f>C99</f>
        <v>Tra 02</v>
      </c>
      <c r="D100" s="621" t="s">
        <v>407</v>
      </c>
      <c r="E100" s="964" t="s">
        <v>252</v>
      </c>
      <c r="F100" s="787" t="str">
        <f t="shared" si="81"/>
        <v>Implementering av transporttiltak</v>
      </c>
      <c r="G100" s="95">
        <f t="shared" si="81"/>
        <v>10</v>
      </c>
      <c r="H100" s="29"/>
      <c r="I100" s="96">
        <f>BH100</f>
        <v>0</v>
      </c>
      <c r="J100" s="97" t="str">
        <f t="shared" si="82"/>
        <v>N/A</v>
      </c>
      <c r="K100" s="66"/>
      <c r="L100" s="228"/>
      <c r="M100" s="601"/>
      <c r="N100" s="616"/>
      <c r="O100" s="69"/>
      <c r="P100" s="96">
        <f>BL100</f>
        <v>0</v>
      </c>
      <c r="Q100" s="96" t="str">
        <f t="shared" si="83"/>
        <v>N/A</v>
      </c>
      <c r="R100" s="551"/>
      <c r="S100" s="552"/>
      <c r="T100" s="601"/>
      <c r="U100" s="261"/>
      <c r="V100" s="69"/>
      <c r="W100" s="96">
        <f>BP100</f>
        <v>0</v>
      </c>
      <c r="X100" s="96" t="str">
        <f t="shared" si="84"/>
        <v>N/A</v>
      </c>
      <c r="Y100" s="67"/>
      <c r="Z100" s="66"/>
      <c r="AA100" s="601"/>
      <c r="AB100" s="105"/>
      <c r="AC100" s="527"/>
      <c r="AD100" s="17">
        <f t="shared" si="69"/>
        <v>0</v>
      </c>
      <c r="AE100" s="1">
        <f t="shared" si="85"/>
        <v>0</v>
      </c>
      <c r="AF100" s="1">
        <f t="shared" si="86"/>
        <v>0</v>
      </c>
      <c r="AG100" s="1">
        <f t="shared" si="87"/>
        <v>0</v>
      </c>
      <c r="AJ100" s="56"/>
      <c r="AK100" s="500"/>
      <c r="AL100" s="56"/>
      <c r="AM100" s="56"/>
      <c r="AN100" s="56"/>
      <c r="AO100" s="56"/>
      <c r="AP100" s="56"/>
      <c r="AQ100" s="56"/>
      <c r="AT100" s="17"/>
      <c r="AU100" s="17"/>
      <c r="AV100" s="17"/>
      <c r="AW100" s="17"/>
      <c r="AX100" s="17"/>
      <c r="AY100" s="17"/>
      <c r="BA100" s="527"/>
      <c r="BB100" s="17"/>
      <c r="BC100" s="17" t="b">
        <f t="shared" si="73"/>
        <v>1</v>
      </c>
      <c r="BD100" s="17" t="str">
        <f>Poeng!B105</f>
        <v>Tra 02b</v>
      </c>
      <c r="BE100" s="13" t="str">
        <f>Poeng!E105</f>
        <v>Implementering av transporttiltak</v>
      </c>
      <c r="BF100" s="13">
        <f>Poeng!AB105</f>
        <v>10</v>
      </c>
      <c r="BG100" s="13">
        <f>Poeng!AI105</f>
        <v>0</v>
      </c>
      <c r="BH100" s="1076">
        <f>Poeng!AE105</f>
        <v>0</v>
      </c>
      <c r="BI100" s="1" t="str">
        <f>Poeng!BE105</f>
        <v>N/A</v>
      </c>
      <c r="BK100" s="1">
        <f>Poeng!AJ105</f>
        <v>0</v>
      </c>
      <c r="BL100" s="1076">
        <f>Poeng!AF105</f>
        <v>0</v>
      </c>
      <c r="BM100" s="1076" t="str">
        <f>Poeng!BH105</f>
        <v>N/A</v>
      </c>
      <c r="BO100" s="1">
        <f>Poeng!AK105</f>
        <v>0</v>
      </c>
      <c r="BP100" s="1076">
        <f>Poeng!AG105</f>
        <v>0</v>
      </c>
      <c r="BQ100" s="1076" t="str">
        <f>Poeng!BK105</f>
        <v>N/A</v>
      </c>
    </row>
    <row r="101" spans="1:69" ht="15.75" thickBot="1">
      <c r="A101" s="792">
        <v>92</v>
      </c>
      <c r="B101" s="793" t="s">
        <v>398</v>
      </c>
      <c r="C101" s="796"/>
      <c r="D101" s="621" t="s">
        <v>408</v>
      </c>
      <c r="E101" s="967"/>
      <c r="F101" s="262" t="s">
        <v>409</v>
      </c>
      <c r="G101" s="98">
        <f>Tra_Credits</f>
        <v>13</v>
      </c>
      <c r="H101" s="103"/>
      <c r="I101" s="99">
        <f>Tra_cont_tot</f>
        <v>0</v>
      </c>
      <c r="J101" s="661" t="str">
        <f>"Poeng oppnådd: "&amp;Tra_tot_user</f>
        <v>Poeng oppnådd: 0</v>
      </c>
      <c r="K101" s="106"/>
      <c r="L101" s="229"/>
      <c r="M101" s="553"/>
      <c r="N101" s="616"/>
      <c r="O101" s="317"/>
      <c r="P101" s="99">
        <f>BL101</f>
        <v>0</v>
      </c>
      <c r="Q101" s="661" t="str">
        <f>"Poeng oppnådd: "&amp;Tra_d_user</f>
        <v>Poeng oppnådd: 0</v>
      </c>
      <c r="R101" s="554"/>
      <c r="S101" s="555"/>
      <c r="T101" s="553"/>
      <c r="U101" s="261"/>
      <c r="V101" s="317"/>
      <c r="W101" s="99">
        <f>BP101</f>
        <v>0</v>
      </c>
      <c r="X101" s="661" t="str">
        <f>"Poeng oppnådd: "&amp;Tra_c_user</f>
        <v>Poeng oppnådd: 0</v>
      </c>
      <c r="Y101" s="316"/>
      <c r="Z101" s="108"/>
      <c r="AA101" s="553"/>
      <c r="AB101" s="105"/>
      <c r="AC101" s="474"/>
      <c r="AD101" s="17"/>
      <c r="AE101" s="225">
        <v>0</v>
      </c>
      <c r="AF101" s="225">
        <v>0</v>
      </c>
      <c r="AG101" s="225">
        <v>0</v>
      </c>
      <c r="AJ101" s="56"/>
      <c r="AK101" s="500" t="s">
        <v>410</v>
      </c>
      <c r="AL101" s="56"/>
      <c r="AM101" s="56"/>
      <c r="AN101" s="56"/>
      <c r="AO101" s="56"/>
      <c r="AP101" s="56"/>
      <c r="AQ101" s="56"/>
      <c r="AT101" s="17" t="str">
        <f t="shared" ref="AT101:AV104" si="88">IF($AK$4=ais_nei,AIS_NA,IF(AL101="",AIS_NA,AL101))</f>
        <v>N/A</v>
      </c>
      <c r="AU101" s="17" t="str">
        <f t="shared" si="88"/>
        <v>N/A</v>
      </c>
      <c r="AV101" s="17" t="str">
        <f t="shared" si="88"/>
        <v>N/A</v>
      </c>
      <c r="AW101" s="17"/>
      <c r="AX101" s="17"/>
      <c r="AY101" s="17"/>
      <c r="BA101" s="474"/>
      <c r="BB101" s="17"/>
      <c r="BC101" s="17" t="b">
        <f t="shared" si="73"/>
        <v>1</v>
      </c>
      <c r="BD101" s="17" t="str">
        <f>Poeng!B110</f>
        <v>Tra sum</v>
      </c>
      <c r="BE101" s="13" t="str">
        <f>Poeng!E110</f>
        <v>Sum</v>
      </c>
      <c r="BF101" s="13">
        <f>Poeng!AB110</f>
        <v>13</v>
      </c>
      <c r="BG101" s="13">
        <f>Poeng!AI110</f>
        <v>0</v>
      </c>
      <c r="BH101" s="1076">
        <f>Poeng!AE110</f>
        <v>0</v>
      </c>
      <c r="BI101" s="1">
        <f>Poeng!BE110</f>
        <v>0</v>
      </c>
      <c r="BK101" s="1">
        <f>Poeng!AJ110</f>
        <v>0</v>
      </c>
      <c r="BL101" s="1076">
        <f>Poeng!AF110</f>
        <v>0</v>
      </c>
      <c r="BM101" s="1076">
        <f>Poeng!BH110</f>
        <v>0</v>
      </c>
      <c r="BO101" s="1">
        <f>Poeng!AK110</f>
        <v>0</v>
      </c>
      <c r="BP101" s="1076">
        <f>Poeng!AG110</f>
        <v>0</v>
      </c>
      <c r="BQ101" s="1076">
        <f>Poeng!BK110</f>
        <v>0</v>
      </c>
    </row>
    <row r="102" spans="1:69">
      <c r="A102" s="792">
        <v>93</v>
      </c>
      <c r="B102" s="793" t="s">
        <v>398</v>
      </c>
      <c r="C102" s="264"/>
      <c r="D102" s="621"/>
      <c r="E102" s="966"/>
      <c r="F102" s="263"/>
      <c r="G102" s="264"/>
      <c r="H102" s="265"/>
      <c r="I102" s="264"/>
      <c r="J102" s="743"/>
      <c r="K102" s="266"/>
      <c r="L102" s="265"/>
      <c r="M102" s="556"/>
      <c r="N102" s="616"/>
      <c r="O102" s="267"/>
      <c r="P102" s="267"/>
      <c r="Q102" s="556"/>
      <c r="R102" s="556"/>
      <c r="S102" s="557"/>
      <c r="T102" s="556"/>
      <c r="U102" s="261"/>
      <c r="V102" s="267"/>
      <c r="W102" s="267"/>
      <c r="X102" s="556"/>
      <c r="Y102" s="266"/>
      <c r="Z102" s="267"/>
      <c r="AA102" s="556"/>
      <c r="AB102" s="105"/>
      <c r="AC102" s="266"/>
      <c r="AD102" s="17"/>
      <c r="AE102" s="226">
        <v>0</v>
      </c>
      <c r="AF102" s="226">
        <v>0</v>
      </c>
      <c r="AG102" s="226">
        <v>0</v>
      </c>
      <c r="AJ102" s="56"/>
      <c r="AK102" s="500"/>
      <c r="AL102" s="56"/>
      <c r="AM102" s="56"/>
      <c r="AN102" s="56"/>
      <c r="AO102" s="56"/>
      <c r="AP102" s="56"/>
      <c r="AQ102" s="56"/>
      <c r="AT102" s="17" t="str">
        <f t="shared" si="88"/>
        <v>N/A</v>
      </c>
      <c r="AU102" s="17" t="str">
        <f t="shared" si="88"/>
        <v>N/A</v>
      </c>
      <c r="AV102" s="17" t="str">
        <f t="shared" si="88"/>
        <v>N/A</v>
      </c>
      <c r="AW102" s="17"/>
      <c r="AX102" s="17"/>
      <c r="AY102" s="17"/>
      <c r="BA102" s="266"/>
      <c r="BB102" s="17"/>
      <c r="BC102" s="17"/>
      <c r="BD102" s="17"/>
      <c r="BE102" s="13"/>
      <c r="BF102" s="13"/>
      <c r="BG102" s="13"/>
      <c r="BH102" s="1076"/>
      <c r="BL102" s="1076"/>
      <c r="BM102" s="1076"/>
      <c r="BP102" s="1076"/>
      <c r="BQ102" s="1076"/>
    </row>
    <row r="103" spans="1:69" ht="18.75">
      <c r="A103" s="792">
        <v>94</v>
      </c>
      <c r="B103" s="791" t="s">
        <v>411</v>
      </c>
      <c r="C103" s="797"/>
      <c r="D103" s="620"/>
      <c r="E103" s="961"/>
      <c r="F103" s="268" t="s">
        <v>412</v>
      </c>
      <c r="G103" s="257"/>
      <c r="H103" s="258"/>
      <c r="I103" s="277"/>
      <c r="J103" s="257"/>
      <c r="K103" s="269"/>
      <c r="L103" s="270"/>
      <c r="M103" s="559"/>
      <c r="N103" s="616"/>
      <c r="O103" s="280"/>
      <c r="P103" s="273"/>
      <c r="Q103" s="549"/>
      <c r="R103" s="560"/>
      <c r="S103" s="561"/>
      <c r="T103" s="562"/>
      <c r="U103" s="261"/>
      <c r="V103" s="280"/>
      <c r="W103" s="279"/>
      <c r="X103" s="549"/>
      <c r="Y103" s="269"/>
      <c r="Z103" s="279"/>
      <c r="AA103" s="559"/>
      <c r="AB103" s="105"/>
      <c r="AC103" s="278"/>
      <c r="AD103" s="17"/>
      <c r="AE103" s="224">
        <v>0</v>
      </c>
      <c r="AF103" s="224">
        <v>0</v>
      </c>
      <c r="AG103" s="224">
        <v>0</v>
      </c>
      <c r="AJ103" s="56"/>
      <c r="AK103" s="500" t="s">
        <v>413</v>
      </c>
      <c r="AL103" s="56"/>
      <c r="AM103" s="56"/>
      <c r="AN103" s="56"/>
      <c r="AO103" s="56"/>
      <c r="AP103" s="56"/>
      <c r="AQ103" s="56"/>
      <c r="AT103" s="17" t="str">
        <f t="shared" si="88"/>
        <v>N/A</v>
      </c>
      <c r="AU103" s="17" t="str">
        <f t="shared" si="88"/>
        <v>N/A</v>
      </c>
      <c r="AV103" s="17" t="str">
        <f t="shared" si="88"/>
        <v>N/A</v>
      </c>
      <c r="AW103" s="17"/>
      <c r="AX103" s="17"/>
      <c r="AY103" s="17"/>
      <c r="BA103" s="278"/>
      <c r="BB103" s="17"/>
      <c r="BC103" s="17"/>
      <c r="BD103" s="17"/>
      <c r="BE103" s="13"/>
      <c r="BF103" s="13"/>
      <c r="BG103" s="13"/>
      <c r="BH103" s="1076"/>
      <c r="BL103" s="1076"/>
      <c r="BM103" s="1076"/>
      <c r="BP103" s="1076"/>
      <c r="BQ103" s="1076"/>
    </row>
    <row r="104" spans="1:69">
      <c r="A104" s="792">
        <v>95</v>
      </c>
      <c r="B104" s="791" t="s">
        <v>411</v>
      </c>
      <c r="C104" s="704" t="s">
        <v>414</v>
      </c>
      <c r="D104" s="621" t="s">
        <v>414</v>
      </c>
      <c r="E104" s="962"/>
      <c r="F104" s="654" t="str">
        <f>BE104</f>
        <v>Wat 01 Vannforbruk</v>
      </c>
      <c r="G104" s="659">
        <f>BF104</f>
        <v>5</v>
      </c>
      <c r="H104" s="745"/>
      <c r="I104" s="660" t="str">
        <f>BG104&amp;" c. "&amp;ROUND(BH104*100,1)&amp;" %"</f>
        <v>0 c. 0 %</v>
      </c>
      <c r="J104" s="703" t="str">
        <f t="shared" ref="J104:J109" si="89">BI104</f>
        <v>N/A</v>
      </c>
      <c r="K104" s="667"/>
      <c r="L104" s="668"/>
      <c r="M104" s="669"/>
      <c r="N104" s="616"/>
      <c r="O104" s="746"/>
      <c r="P104" s="670" t="str">
        <f>BK104&amp;" c. "&amp;ROUND(BL104*100,1)&amp;" %"</f>
        <v>0 c. 0 %</v>
      </c>
      <c r="Q104" s="670" t="str">
        <f t="shared" ref="Q104:Q109" si="90">BM104</f>
        <v>N/A</v>
      </c>
      <c r="R104" s="551"/>
      <c r="S104" s="552"/>
      <c r="T104" s="545"/>
      <c r="U104" s="261"/>
      <c r="V104" s="746"/>
      <c r="W104" s="670" t="str">
        <f>BO104&amp;" c. "&amp;ROUND(BP104*100,1)&amp;" %"</f>
        <v>0 c. 0 %</v>
      </c>
      <c r="X104" s="670" t="str">
        <f t="shared" ref="X104:X109" si="91">BQ104</f>
        <v>N/A</v>
      </c>
      <c r="Y104" s="67"/>
      <c r="Z104" s="66"/>
      <c r="AA104" s="545"/>
      <c r="AB104" s="105"/>
      <c r="AC104" s="473" t="s">
        <v>123</v>
      </c>
      <c r="AD104" s="17">
        <f t="shared" si="69"/>
        <v>0</v>
      </c>
      <c r="AE104" s="1">
        <f t="shared" ref="AE104:AE114" si="92">IF(L104=$AE$4,$AF$4,IF(L104=$AE$5,$AF$5,IF(L104=$AE$6,$AF$6,0)))</f>
        <v>0</v>
      </c>
      <c r="AF104" s="1">
        <f t="shared" ref="AF104:AF114" si="93">IF(S104=$AE$4,$AF$4,IF(S104=$AE$5,$AF$5,IF(S104=$AE$6,$AF$6,0)))</f>
        <v>0</v>
      </c>
      <c r="AG104" s="1">
        <f t="shared" ref="AG104:AG114" si="94">IF(Z104=$AE$4,$AF$4,IF(Z104=$AE$5,$AF$5,IF(Z104=$AE$6,$AF$6,0)))</f>
        <v>0</v>
      </c>
      <c r="AJ104" s="56"/>
      <c r="AK104" s="500" t="s">
        <v>415</v>
      </c>
      <c r="AL104" s="479" t="s">
        <v>277</v>
      </c>
      <c r="AM104" s="479" t="s">
        <v>279</v>
      </c>
      <c r="AN104" s="56"/>
      <c r="AO104" s="56"/>
      <c r="AP104" s="56"/>
      <c r="AQ104" s="56"/>
      <c r="AS104" s="1" t="s">
        <v>123</v>
      </c>
      <c r="AT104" s="17" t="str">
        <f t="shared" si="88"/>
        <v>N/A</v>
      </c>
      <c r="AU104" s="17" t="str">
        <f t="shared" si="88"/>
        <v>N/A</v>
      </c>
      <c r="AV104" s="17" t="str">
        <f t="shared" si="88"/>
        <v>N/A</v>
      </c>
      <c r="AW104" s="17"/>
      <c r="AX104" s="17"/>
      <c r="AY104" s="17"/>
      <c r="BA104" s="473"/>
      <c r="BB104" s="17"/>
      <c r="BC104" s="17" t="b">
        <f t="shared" si="73"/>
        <v>1</v>
      </c>
      <c r="BD104" s="17" t="str">
        <f>Poeng!B113</f>
        <v>Wat 01</v>
      </c>
      <c r="BE104" s="13" t="str">
        <f>Poeng!E113</f>
        <v>Wat 01 Vannforbruk</v>
      </c>
      <c r="BF104" s="13">
        <f>Poeng!AB113</f>
        <v>5</v>
      </c>
      <c r="BG104" s="13">
        <f>Poeng!AI113</f>
        <v>0</v>
      </c>
      <c r="BH104" s="1076">
        <f>Poeng!AE113</f>
        <v>0</v>
      </c>
      <c r="BI104" s="1" t="str">
        <f>Poeng!BE113</f>
        <v>N/A</v>
      </c>
      <c r="BK104" s="1">
        <f>Poeng!AJ113</f>
        <v>0</v>
      </c>
      <c r="BL104" s="1076">
        <f>Poeng!AF113</f>
        <v>0</v>
      </c>
      <c r="BM104" s="1076" t="str">
        <f>Poeng!BH113</f>
        <v>N/A</v>
      </c>
      <c r="BO104" s="1">
        <f>Poeng!AK113</f>
        <v>0</v>
      </c>
      <c r="BP104" s="1076">
        <f>Poeng!AG113</f>
        <v>0</v>
      </c>
      <c r="BQ104" s="1076" t="str">
        <f>Poeng!BK113</f>
        <v>N/A</v>
      </c>
    </row>
    <row r="105" spans="1:69">
      <c r="A105" s="792">
        <v>96</v>
      </c>
      <c r="B105" s="791" t="s">
        <v>411</v>
      </c>
      <c r="C105" s="97" t="str">
        <f>C104</f>
        <v>Wat 01</v>
      </c>
      <c r="D105" s="621" t="s">
        <v>416</v>
      </c>
      <c r="E105" s="964" t="s">
        <v>417</v>
      </c>
      <c r="F105" s="787" t="str">
        <f t="shared" ref="F105:F114" si="95">BE105</f>
        <v>Vanneffektivt sanitærutstyr</v>
      </c>
      <c r="G105" s="95">
        <f t="shared" ref="G105:G114" si="96">BF105</f>
        <v>5</v>
      </c>
      <c r="H105" s="29"/>
      <c r="I105" s="96">
        <f>BH105</f>
        <v>0</v>
      </c>
      <c r="J105" s="97" t="str">
        <f t="shared" si="89"/>
        <v>Very Good</v>
      </c>
      <c r="K105" s="823"/>
      <c r="L105" s="824"/>
      <c r="M105" s="825"/>
      <c r="N105" s="616"/>
      <c r="O105" s="69"/>
      <c r="P105" s="96">
        <f>BL105</f>
        <v>0</v>
      </c>
      <c r="Q105" s="96" t="str">
        <f t="shared" si="90"/>
        <v>Very Good</v>
      </c>
      <c r="R105" s="551"/>
      <c r="S105" s="552"/>
      <c r="T105" s="545"/>
      <c r="U105" s="261"/>
      <c r="V105" s="69"/>
      <c r="W105" s="96">
        <f>BP105</f>
        <v>0</v>
      </c>
      <c r="X105" s="96" t="str">
        <f t="shared" si="91"/>
        <v>Very Good</v>
      </c>
      <c r="Y105" s="67"/>
      <c r="Z105" s="66"/>
      <c r="AA105" s="545"/>
      <c r="AB105" s="105"/>
      <c r="AC105" s="473"/>
      <c r="AD105" s="17">
        <f t="shared" si="69"/>
        <v>0</v>
      </c>
      <c r="AE105" s="1">
        <f t="shared" si="92"/>
        <v>0</v>
      </c>
      <c r="AF105" s="1">
        <f t="shared" si="93"/>
        <v>0</v>
      </c>
      <c r="AG105" s="1">
        <f t="shared" si="94"/>
        <v>0</v>
      </c>
      <c r="AJ105" s="56"/>
      <c r="AK105" s="500"/>
      <c r="AL105" s="479"/>
      <c r="AM105" s="479"/>
      <c r="AN105" s="56"/>
      <c r="AO105" s="56"/>
      <c r="AP105" s="56"/>
      <c r="AQ105" s="56"/>
      <c r="AT105" s="17"/>
      <c r="AU105" s="17"/>
      <c r="AV105" s="17"/>
      <c r="AW105" s="17"/>
      <c r="AX105" s="17"/>
      <c r="AY105" s="17"/>
      <c r="BA105" s="473"/>
      <c r="BB105" s="17"/>
      <c r="BC105" s="17" t="b">
        <f t="shared" si="73"/>
        <v>1</v>
      </c>
      <c r="BD105" s="17" t="str">
        <f>Poeng!B114</f>
        <v>Wat 01a</v>
      </c>
      <c r="BE105" s="13" t="str">
        <f>Poeng!E114</f>
        <v>Vanneffektivt sanitærutstyr</v>
      </c>
      <c r="BF105" s="13">
        <f>Poeng!AB114</f>
        <v>5</v>
      </c>
      <c r="BG105" s="13">
        <f>Poeng!AI114</f>
        <v>0</v>
      </c>
      <c r="BH105" s="1076">
        <f>Poeng!AE114</f>
        <v>0</v>
      </c>
      <c r="BI105" s="1" t="str">
        <f>Poeng!BE114</f>
        <v>Very Good</v>
      </c>
      <c r="BK105" s="1">
        <f>Poeng!AJ114</f>
        <v>0</v>
      </c>
      <c r="BL105" s="1076">
        <f>Poeng!AF114</f>
        <v>0</v>
      </c>
      <c r="BM105" s="1076" t="str">
        <f>Poeng!BH114</f>
        <v>Very Good</v>
      </c>
      <c r="BO105" s="1">
        <f>Poeng!AK114</f>
        <v>0</v>
      </c>
      <c r="BP105" s="1076">
        <f>Poeng!AG114</f>
        <v>0</v>
      </c>
      <c r="BQ105" s="1076" t="str">
        <f>Poeng!BK114</f>
        <v>Very Good</v>
      </c>
    </row>
    <row r="106" spans="1:69">
      <c r="A106" s="792">
        <v>97</v>
      </c>
      <c r="B106" s="791" t="s">
        <v>411</v>
      </c>
      <c r="C106" s="97" t="str">
        <f>C104</f>
        <v>Wat 01</v>
      </c>
      <c r="D106" s="621" t="s">
        <v>418</v>
      </c>
      <c r="E106" s="963">
        <v>2</v>
      </c>
      <c r="F106" s="995" t="str">
        <f t="shared" si="95"/>
        <v>EU taksonomi: krit. 2</v>
      </c>
      <c r="G106" s="95" t="str">
        <f t="shared" si="96"/>
        <v>Yes/No</v>
      </c>
      <c r="H106" s="29"/>
      <c r="I106" s="96" t="str">
        <f>BH106</f>
        <v>-</v>
      </c>
      <c r="J106" s="97" t="str">
        <f t="shared" si="89"/>
        <v>N/A</v>
      </c>
      <c r="K106" s="66"/>
      <c r="L106" s="228"/>
      <c r="M106" s="601"/>
      <c r="N106" s="616"/>
      <c r="O106" s="69"/>
      <c r="P106" s="96" t="str">
        <f>BL106</f>
        <v>-</v>
      </c>
      <c r="Q106" s="96" t="str">
        <f t="shared" si="90"/>
        <v>N/A</v>
      </c>
      <c r="R106" s="551"/>
      <c r="S106" s="552"/>
      <c r="T106" s="545"/>
      <c r="U106" s="261"/>
      <c r="V106" s="69"/>
      <c r="W106" s="96" t="str">
        <f>BP106</f>
        <v>-</v>
      </c>
      <c r="X106" s="96" t="str">
        <f t="shared" si="91"/>
        <v>N/A</v>
      </c>
      <c r="Y106" s="67"/>
      <c r="Z106" s="66"/>
      <c r="AA106" s="601"/>
      <c r="AB106" s="105"/>
      <c r="AC106" s="473"/>
      <c r="AD106" s="17">
        <f t="shared" si="69"/>
        <v>0</v>
      </c>
      <c r="AE106" s="1">
        <f t="shared" si="92"/>
        <v>0</v>
      </c>
      <c r="AF106" s="1">
        <f t="shared" si="93"/>
        <v>0</v>
      </c>
      <c r="AG106" s="1">
        <f t="shared" si="94"/>
        <v>0</v>
      </c>
      <c r="AJ106" s="56"/>
      <c r="AK106" s="500"/>
      <c r="AL106" s="479"/>
      <c r="AM106" s="479"/>
      <c r="AN106" s="56"/>
      <c r="AO106" s="56"/>
      <c r="AP106" s="56"/>
      <c r="AQ106" s="56"/>
      <c r="AT106" s="17"/>
      <c r="AU106" s="17"/>
      <c r="AV106" s="17"/>
      <c r="AW106" s="17"/>
      <c r="AX106" s="17"/>
      <c r="AY106" s="17"/>
      <c r="BA106" s="473"/>
      <c r="BB106" s="17"/>
      <c r="BC106" s="17" t="b">
        <f t="shared" si="73"/>
        <v>1</v>
      </c>
      <c r="BD106" s="17" t="str">
        <f>Poeng!B254</f>
        <v>Wat 01Tx</v>
      </c>
      <c r="BE106" s="13" t="str">
        <f>Poeng!E254</f>
        <v>EU taksonomi: krit. 2</v>
      </c>
      <c r="BF106" s="13" t="str">
        <f>Poeng!AB254</f>
        <v>Yes/No</v>
      </c>
      <c r="BG106" s="13">
        <f>Poeng!AI254</f>
        <v>0</v>
      </c>
      <c r="BH106" s="1076" t="str">
        <f>Poeng!AE254</f>
        <v>-</v>
      </c>
      <c r="BI106" s="1" t="str">
        <f>Poeng!BE254</f>
        <v>N/A</v>
      </c>
      <c r="BK106" s="1">
        <f>Poeng!AJ254</f>
        <v>0</v>
      </c>
      <c r="BL106" s="1076" t="str">
        <f>Poeng!AF254</f>
        <v>-</v>
      </c>
      <c r="BM106" s="1076" t="str">
        <f>Poeng!BH254</f>
        <v>N/A</v>
      </c>
      <c r="BO106" s="1">
        <f>Poeng!AK254</f>
        <v>0</v>
      </c>
      <c r="BP106" s="1076" t="str">
        <f>Poeng!AG254</f>
        <v>-</v>
      </c>
      <c r="BQ106" s="1076" t="str">
        <f>Poeng!BK254</f>
        <v>N/A</v>
      </c>
    </row>
    <row r="107" spans="1:69">
      <c r="A107" s="792">
        <v>98</v>
      </c>
      <c r="B107" s="791" t="s">
        <v>411</v>
      </c>
      <c r="C107" s="704" t="s">
        <v>419</v>
      </c>
      <c r="D107" s="621" t="s">
        <v>419</v>
      </c>
      <c r="E107" s="962"/>
      <c r="F107" s="654" t="str">
        <f>BE107</f>
        <v>Wat 02 Vannmåling</v>
      </c>
      <c r="G107" s="659">
        <f t="shared" si="96"/>
        <v>1</v>
      </c>
      <c r="H107" s="746"/>
      <c r="I107" s="660" t="str">
        <f>BG107&amp;" c. "&amp;ROUND(BH107*100,1)&amp;" %"</f>
        <v>0 c. 0 %</v>
      </c>
      <c r="J107" s="703" t="str">
        <f t="shared" si="89"/>
        <v>N/A</v>
      </c>
      <c r="K107" s="66"/>
      <c r="L107" s="228"/>
      <c r="M107" s="601"/>
      <c r="N107" s="616"/>
      <c r="O107" s="746"/>
      <c r="P107" s="670" t="str">
        <f>BK107&amp;" c. "&amp;ROUND(BL107*100,1)&amp;" %"</f>
        <v>0 c. 0 %</v>
      </c>
      <c r="Q107" s="670" t="str">
        <f t="shared" si="90"/>
        <v>N/A</v>
      </c>
      <c r="R107" s="551"/>
      <c r="S107" s="552"/>
      <c r="T107" s="545"/>
      <c r="U107" s="261"/>
      <c r="V107" s="746"/>
      <c r="W107" s="670" t="str">
        <f>BO107&amp;" c. "&amp;ROUND(BP107*100,1)&amp;" %"</f>
        <v>0 c. 0 %</v>
      </c>
      <c r="X107" s="670" t="str">
        <f t="shared" si="91"/>
        <v>N/A</v>
      </c>
      <c r="Y107" s="67"/>
      <c r="Z107" s="66"/>
      <c r="AA107" s="545"/>
      <c r="AB107" s="105"/>
      <c r="AC107" s="473" t="s">
        <v>123</v>
      </c>
      <c r="AD107" s="17">
        <f t="shared" si="69"/>
        <v>0</v>
      </c>
      <c r="AE107" s="1">
        <f t="shared" si="92"/>
        <v>0</v>
      </c>
      <c r="AF107" s="1">
        <f t="shared" si="93"/>
        <v>0</v>
      </c>
      <c r="AG107" s="1">
        <f t="shared" si="94"/>
        <v>0</v>
      </c>
      <c r="AJ107" s="56" t="str">
        <f>ais_ja</f>
        <v>Ja</v>
      </c>
      <c r="AK107" s="500" t="s">
        <v>420</v>
      </c>
      <c r="AL107" s="479" t="s">
        <v>277</v>
      </c>
      <c r="AM107" s="479" t="s">
        <v>327</v>
      </c>
      <c r="AN107" s="479" t="s">
        <v>279</v>
      </c>
      <c r="AO107" s="56"/>
      <c r="AP107" s="56"/>
      <c r="AQ107" s="56"/>
      <c r="AS107" s="1" t="s">
        <v>123</v>
      </c>
      <c r="AT107" s="17" t="str">
        <f>IF($AK$4=ais_nei,AIS_NA,IF(AL107="",AIS_NA,AL107))</f>
        <v>N/A</v>
      </c>
      <c r="AU107" s="17" t="str">
        <f>IF($AK$4=ais_nei,AIS_NA,IF(AM107="",AIS_NA,AM107))</f>
        <v>N/A</v>
      </c>
      <c r="AV107" s="17" t="str">
        <f>IF($AK$4=ais_nei,AIS_NA,IF(AN107="",AIS_NA,AN107))</f>
        <v>N/A</v>
      </c>
      <c r="AW107" s="17"/>
      <c r="AX107" s="17"/>
      <c r="AY107" s="17"/>
      <c r="BA107" s="473"/>
      <c r="BB107" s="17"/>
      <c r="BC107" s="17" t="b">
        <f t="shared" si="73"/>
        <v>1</v>
      </c>
      <c r="BD107" s="17" t="str">
        <f>Poeng!B115</f>
        <v>Wat 02</v>
      </c>
      <c r="BE107" s="13" t="str">
        <f>Poeng!E115</f>
        <v>Wat 02 Vannmåling</v>
      </c>
      <c r="BF107" s="13">
        <f>Poeng!AB115</f>
        <v>1</v>
      </c>
      <c r="BG107" s="13">
        <f>Poeng!AI115</f>
        <v>0</v>
      </c>
      <c r="BH107" s="1076">
        <f>Poeng!AE115</f>
        <v>0</v>
      </c>
      <c r="BI107" s="1" t="str">
        <f>Poeng!BE115</f>
        <v>N/A</v>
      </c>
      <c r="BK107" s="1">
        <f>Poeng!AJ115</f>
        <v>0</v>
      </c>
      <c r="BL107" s="1076">
        <f>Poeng!AF115</f>
        <v>0</v>
      </c>
      <c r="BM107" s="1076" t="str">
        <f>Poeng!BH115</f>
        <v>N/A</v>
      </c>
      <c r="BO107" s="1">
        <f>Poeng!AK115</f>
        <v>0</v>
      </c>
      <c r="BP107" s="1076">
        <f>Poeng!AG115</f>
        <v>0</v>
      </c>
      <c r="BQ107" s="1076" t="str">
        <f>Poeng!BK115</f>
        <v>N/A</v>
      </c>
    </row>
    <row r="108" spans="1:69">
      <c r="A108" s="792">
        <v>99</v>
      </c>
      <c r="B108" s="791" t="s">
        <v>411</v>
      </c>
      <c r="C108" s="97" t="str">
        <f>C107</f>
        <v>Wat 02</v>
      </c>
      <c r="D108" s="621" t="s">
        <v>421</v>
      </c>
      <c r="E108" s="964" t="s">
        <v>262</v>
      </c>
      <c r="F108" s="787" t="str">
        <f t="shared" si="95"/>
        <v>Vannmåler og delmåler</v>
      </c>
      <c r="G108" s="95">
        <f t="shared" si="96"/>
        <v>1</v>
      </c>
      <c r="H108" s="29"/>
      <c r="I108" s="96">
        <f>BH108</f>
        <v>0</v>
      </c>
      <c r="J108" s="97" t="str">
        <f t="shared" si="89"/>
        <v>N/A</v>
      </c>
      <c r="K108" s="66"/>
      <c r="L108" s="228"/>
      <c r="M108" s="601"/>
      <c r="N108" s="616"/>
      <c r="O108" s="69"/>
      <c r="P108" s="96">
        <f>BL108</f>
        <v>0</v>
      </c>
      <c r="Q108" s="96" t="str">
        <f t="shared" si="90"/>
        <v>N/A</v>
      </c>
      <c r="R108" s="551"/>
      <c r="S108" s="552"/>
      <c r="T108" s="545"/>
      <c r="U108" s="261"/>
      <c r="V108" s="69"/>
      <c r="W108" s="96">
        <f>BP108</f>
        <v>0</v>
      </c>
      <c r="X108" s="96" t="str">
        <f t="shared" si="91"/>
        <v>N/A</v>
      </c>
      <c r="Y108" s="67"/>
      <c r="Z108" s="66"/>
      <c r="AA108" s="545"/>
      <c r="AB108" s="105"/>
      <c r="AC108" s="473"/>
      <c r="AD108" s="17">
        <f t="shared" si="69"/>
        <v>0</v>
      </c>
      <c r="AE108" s="1">
        <f t="shared" si="92"/>
        <v>0</v>
      </c>
      <c r="AF108" s="1">
        <f t="shared" si="93"/>
        <v>0</v>
      </c>
      <c r="AG108" s="1">
        <f t="shared" si="94"/>
        <v>0</v>
      </c>
      <c r="AJ108" s="56"/>
      <c r="AK108" s="500"/>
      <c r="AL108" s="537"/>
      <c r="AM108" s="537"/>
      <c r="AN108" s="537"/>
      <c r="AP108" s="56"/>
      <c r="AQ108" s="56"/>
      <c r="AT108" s="17"/>
      <c r="AU108" s="17"/>
      <c r="AV108" s="17"/>
      <c r="AW108" s="17"/>
      <c r="AX108" s="17"/>
      <c r="AY108" s="17"/>
      <c r="BA108" s="473"/>
      <c r="BB108" s="17"/>
      <c r="BC108" s="17" t="b">
        <f t="shared" si="73"/>
        <v>1</v>
      </c>
      <c r="BD108" s="17" t="str">
        <f>Poeng!B116</f>
        <v>Wat 02a</v>
      </c>
      <c r="BE108" s="13" t="str">
        <f>Poeng!E116</f>
        <v>Vannmåler og delmåler</v>
      </c>
      <c r="BF108" s="13">
        <f>Poeng!AB116</f>
        <v>1</v>
      </c>
      <c r="BG108" s="13">
        <f>Poeng!AI116</f>
        <v>0</v>
      </c>
      <c r="BH108" s="1076">
        <f>Poeng!AE116</f>
        <v>0</v>
      </c>
      <c r="BI108" s="1" t="str">
        <f>Poeng!BE116</f>
        <v>N/A</v>
      </c>
      <c r="BK108" s="1">
        <f>Poeng!AJ116</f>
        <v>0</v>
      </c>
      <c r="BL108" s="1076">
        <f>Poeng!AF116</f>
        <v>0</v>
      </c>
      <c r="BM108" s="1076" t="str">
        <f>Poeng!BH116</f>
        <v>N/A</v>
      </c>
      <c r="BO108" s="1">
        <f>Poeng!AK116</f>
        <v>0</v>
      </c>
      <c r="BP108" s="1076">
        <f>Poeng!AG116</f>
        <v>0</v>
      </c>
      <c r="BQ108" s="1076" t="str">
        <f>Poeng!BK116</f>
        <v>N/A</v>
      </c>
    </row>
    <row r="109" spans="1:69">
      <c r="A109" s="792">
        <v>100</v>
      </c>
      <c r="B109" s="791" t="s">
        <v>411</v>
      </c>
      <c r="C109" s="704" t="s">
        <v>422</v>
      </c>
      <c r="D109" s="621" t="s">
        <v>422</v>
      </c>
      <c r="E109" s="962"/>
      <c r="F109" s="654" t="str">
        <f>BE109</f>
        <v>Wat 03 Detektering og forebygging av vannlekkasjer</v>
      </c>
      <c r="G109" s="659">
        <f t="shared" si="96"/>
        <v>2</v>
      </c>
      <c r="H109" s="746"/>
      <c r="I109" s="660" t="str">
        <f>BG109&amp;" c. "&amp;ROUND(BH109*100,1)&amp;" %"</f>
        <v>0 c. 0 %</v>
      </c>
      <c r="J109" s="703" t="str">
        <f t="shared" si="89"/>
        <v>N/A</v>
      </c>
      <c r="K109" s="66"/>
      <c r="L109" s="228"/>
      <c r="M109" s="601"/>
      <c r="N109" s="616"/>
      <c r="O109" s="746"/>
      <c r="P109" s="670" t="str">
        <f>BK109&amp;" c. "&amp;ROUND(BL109*100,1)&amp;" %"</f>
        <v>0 c. 0 %</v>
      </c>
      <c r="Q109" s="670" t="str">
        <f t="shared" si="90"/>
        <v>N/A</v>
      </c>
      <c r="R109" s="551"/>
      <c r="S109" s="552"/>
      <c r="T109" s="545"/>
      <c r="U109" s="261"/>
      <c r="V109" s="746"/>
      <c r="W109" s="670" t="str">
        <f>BO109&amp;" c. "&amp;ROUND(BP109*100,1)&amp;" %"</f>
        <v>0 c. 0 %</v>
      </c>
      <c r="X109" s="670" t="str">
        <f t="shared" si="91"/>
        <v>N/A</v>
      </c>
      <c r="Y109" s="67"/>
      <c r="Z109" s="66"/>
      <c r="AA109" s="545"/>
      <c r="AB109" s="105"/>
      <c r="AC109" s="473" t="s">
        <v>123</v>
      </c>
      <c r="AD109" s="17">
        <f t="shared" si="69"/>
        <v>0</v>
      </c>
      <c r="AE109" s="1">
        <f t="shared" si="92"/>
        <v>0</v>
      </c>
      <c r="AF109" s="1">
        <f t="shared" si="93"/>
        <v>0</v>
      </c>
      <c r="AG109" s="1">
        <f t="shared" si="94"/>
        <v>0</v>
      </c>
      <c r="AJ109" s="56" t="str">
        <f>ais_ja</f>
        <v>Ja</v>
      </c>
      <c r="AK109" s="500" t="s">
        <v>423</v>
      </c>
      <c r="AL109" s="482" t="s">
        <v>424</v>
      </c>
      <c r="AM109" s="482" t="s">
        <v>425</v>
      </c>
      <c r="AN109" s="482" t="s">
        <v>426</v>
      </c>
      <c r="AO109" s="482" t="s">
        <v>427</v>
      </c>
      <c r="AP109" s="56"/>
      <c r="AQ109" s="56"/>
      <c r="AS109" s="1" t="s">
        <v>123</v>
      </c>
      <c r="AT109" s="17" t="str">
        <f>IF($AK$4=ais_nei,AIS_NA,IF(AL109="",AIS_NA,AL109))</f>
        <v>N/A</v>
      </c>
      <c r="AU109" s="17" t="str">
        <f>IF($AK$4=ais_nei,AIS_NA,IF(AM109="",AIS_NA,AM109))</f>
        <v>N/A</v>
      </c>
      <c r="AV109" s="17" t="str">
        <f>IF($AK$4=ais_nei,AIS_NA,IF(AN109="",AIS_NA,AN109))</f>
        <v>N/A</v>
      </c>
      <c r="AW109" s="17" t="str">
        <f>IF($AK$4=ais_nei,AIS_NA,IF(AO109="",AIS_NA,AO109))</f>
        <v>N/A</v>
      </c>
      <c r="AX109" s="17"/>
      <c r="AY109" s="17"/>
      <c r="BA109" s="473"/>
      <c r="BB109" s="17"/>
      <c r="BC109" s="17" t="b">
        <f t="shared" si="73"/>
        <v>1</v>
      </c>
      <c r="BD109" s="17" t="str">
        <f>Poeng!B117</f>
        <v>Wat 03</v>
      </c>
      <c r="BE109" s="13" t="str">
        <f>Poeng!E117</f>
        <v>Wat 03 Detektering og forebygging av vannlekkasjer</v>
      </c>
      <c r="BF109" s="13">
        <f>Poeng!AB117</f>
        <v>2</v>
      </c>
      <c r="BG109" s="13">
        <f>Poeng!AI117</f>
        <v>0</v>
      </c>
      <c r="BH109" s="1076">
        <f>Poeng!AE117</f>
        <v>0</v>
      </c>
      <c r="BI109" s="1" t="str">
        <f>Poeng!BE117</f>
        <v>N/A</v>
      </c>
      <c r="BK109" s="1">
        <f>Poeng!AJ117</f>
        <v>0</v>
      </c>
      <c r="BL109" s="1076">
        <f>Poeng!AF117</f>
        <v>0</v>
      </c>
      <c r="BM109" s="1076" t="str">
        <f>Poeng!BH117</f>
        <v>N/A</v>
      </c>
      <c r="BO109" s="1">
        <f>Poeng!AK117</f>
        <v>0</v>
      </c>
      <c r="BP109" s="1076">
        <f>Poeng!AG117</f>
        <v>0</v>
      </c>
      <c r="BQ109" s="1076" t="str">
        <f>Poeng!BK117</f>
        <v>N/A</v>
      </c>
    </row>
    <row r="110" spans="1:69">
      <c r="A110" s="792">
        <v>101</v>
      </c>
      <c r="B110" s="791" t="s">
        <v>411</v>
      </c>
      <c r="C110" s="97" t="str">
        <f>C109</f>
        <v>Wat 03</v>
      </c>
      <c r="D110" s="621" t="s">
        <v>428</v>
      </c>
      <c r="E110" s="963">
        <v>1</v>
      </c>
      <c r="F110" s="787" t="str">
        <f t="shared" si="95"/>
        <v>Lekkasjedetekteringssystem</v>
      </c>
      <c r="G110" s="95">
        <f t="shared" si="96"/>
        <v>1</v>
      </c>
      <c r="H110" s="29"/>
      <c r="I110" s="96">
        <f t="shared" ref="I110:J114" si="97">BH110</f>
        <v>0</v>
      </c>
      <c r="J110" s="97" t="str">
        <f t="shared" si="97"/>
        <v>N/A</v>
      </c>
      <c r="K110" s="66"/>
      <c r="L110" s="228"/>
      <c r="M110" s="601"/>
      <c r="N110" s="616"/>
      <c r="O110" s="69"/>
      <c r="P110" s="96">
        <f t="shared" ref="P110:Q114" si="98">BL110</f>
        <v>0</v>
      </c>
      <c r="Q110" s="96" t="str">
        <f t="shared" si="98"/>
        <v>N/A</v>
      </c>
      <c r="R110" s="551"/>
      <c r="S110" s="552"/>
      <c r="T110" s="545"/>
      <c r="U110" s="261"/>
      <c r="V110" s="69"/>
      <c r="W110" s="96">
        <f t="shared" ref="W110:X114" si="99">BP110</f>
        <v>0</v>
      </c>
      <c r="X110" s="96" t="str">
        <f t="shared" si="99"/>
        <v>N/A</v>
      </c>
      <c r="Y110" s="67"/>
      <c r="Z110" s="66"/>
      <c r="AA110" s="545"/>
      <c r="AB110" s="105"/>
      <c r="AC110" s="473"/>
      <c r="AD110" s="17">
        <f t="shared" si="69"/>
        <v>0</v>
      </c>
      <c r="AE110" s="1">
        <f t="shared" si="92"/>
        <v>0</v>
      </c>
      <c r="AF110" s="1">
        <f t="shared" si="93"/>
        <v>0</v>
      </c>
      <c r="AG110" s="1">
        <f t="shared" si="94"/>
        <v>0</v>
      </c>
      <c r="AJ110" s="56"/>
      <c r="AK110" s="500"/>
      <c r="AL110" s="482"/>
      <c r="AM110" s="482"/>
      <c r="AN110" s="482"/>
      <c r="AO110" s="482"/>
      <c r="AP110" s="56"/>
      <c r="AQ110" s="56"/>
      <c r="AT110" s="17"/>
      <c r="AU110" s="17"/>
      <c r="AV110" s="17"/>
      <c r="AW110" s="17"/>
      <c r="AX110" s="17"/>
      <c r="AY110" s="17"/>
      <c r="BA110" s="473"/>
      <c r="BB110" s="17"/>
      <c r="BC110" s="17" t="b">
        <f t="shared" si="73"/>
        <v>1</v>
      </c>
      <c r="BD110" s="17" t="str">
        <f>Poeng!B118</f>
        <v>Wat 03a</v>
      </c>
      <c r="BE110" s="13" t="str">
        <f>Poeng!E118</f>
        <v>Lekkasjedetekteringssystem</v>
      </c>
      <c r="BF110" s="13">
        <f>Poeng!AB118</f>
        <v>1</v>
      </c>
      <c r="BG110" s="13">
        <f>Poeng!AI118</f>
        <v>0</v>
      </c>
      <c r="BH110" s="1076">
        <f>Poeng!AE118</f>
        <v>0</v>
      </c>
      <c r="BI110" s="1" t="str">
        <f>Poeng!BE118</f>
        <v>N/A</v>
      </c>
      <c r="BK110" s="1">
        <f>Poeng!AJ118</f>
        <v>0</v>
      </c>
      <c r="BL110" s="1076">
        <f>Poeng!AF118</f>
        <v>0</v>
      </c>
      <c r="BM110" s="1076" t="str">
        <f>Poeng!BH118</f>
        <v>N/A</v>
      </c>
      <c r="BO110" s="1">
        <f>Poeng!AK118</f>
        <v>0</v>
      </c>
      <c r="BP110" s="1076">
        <f>Poeng!AG118</f>
        <v>0</v>
      </c>
      <c r="BQ110" s="1076" t="str">
        <f>Poeng!BK118</f>
        <v>N/A</v>
      </c>
    </row>
    <row r="111" spans="1:69">
      <c r="A111" s="792">
        <v>102</v>
      </c>
      <c r="B111" s="791" t="s">
        <v>411</v>
      </c>
      <c r="C111" s="97" t="str">
        <f>C110</f>
        <v>Wat 03</v>
      </c>
      <c r="D111" s="621" t="s">
        <v>429</v>
      </c>
      <c r="E111" s="963">
        <v>2</v>
      </c>
      <c r="F111" s="787" t="str">
        <f t="shared" si="95"/>
        <v>Vannmengderegulator i toalettkjerne</v>
      </c>
      <c r="G111" s="95">
        <f t="shared" si="96"/>
        <v>1</v>
      </c>
      <c r="H111" s="29"/>
      <c r="I111" s="96">
        <f t="shared" si="97"/>
        <v>0</v>
      </c>
      <c r="J111" s="97" t="str">
        <f t="shared" si="97"/>
        <v>N/A</v>
      </c>
      <c r="K111" s="66"/>
      <c r="L111" s="228"/>
      <c r="M111" s="601"/>
      <c r="N111" s="616"/>
      <c r="O111" s="69"/>
      <c r="P111" s="96">
        <f t="shared" si="98"/>
        <v>0</v>
      </c>
      <c r="Q111" s="96" t="str">
        <f t="shared" si="98"/>
        <v>N/A</v>
      </c>
      <c r="R111" s="551"/>
      <c r="S111" s="552"/>
      <c r="T111" s="545"/>
      <c r="U111" s="261"/>
      <c r="V111" s="69"/>
      <c r="W111" s="96">
        <f t="shared" si="99"/>
        <v>0</v>
      </c>
      <c r="X111" s="96" t="str">
        <f t="shared" si="99"/>
        <v>N/A</v>
      </c>
      <c r="Y111" s="67"/>
      <c r="Z111" s="66"/>
      <c r="AA111" s="545"/>
      <c r="AB111" s="105"/>
      <c r="AC111" s="473"/>
      <c r="AD111" s="17">
        <f t="shared" si="69"/>
        <v>0</v>
      </c>
      <c r="AE111" s="1">
        <f t="shared" si="92"/>
        <v>0</v>
      </c>
      <c r="AF111" s="1">
        <f t="shared" si="93"/>
        <v>0</v>
      </c>
      <c r="AG111" s="1">
        <f t="shared" si="94"/>
        <v>0</v>
      </c>
      <c r="AJ111" s="56"/>
      <c r="AK111" s="500"/>
      <c r="AL111" s="482"/>
      <c r="AM111" s="482"/>
      <c r="AN111" s="482"/>
      <c r="AO111" s="482"/>
      <c r="AP111" s="56"/>
      <c r="AQ111" s="56"/>
      <c r="AT111" s="17"/>
      <c r="AU111" s="17"/>
      <c r="AV111" s="17"/>
      <c r="AW111" s="17"/>
      <c r="AX111" s="17"/>
      <c r="AY111" s="17"/>
      <c r="BA111" s="473"/>
      <c r="BB111" s="17"/>
      <c r="BC111" s="17" t="b">
        <f t="shared" si="73"/>
        <v>1</v>
      </c>
      <c r="BD111" s="17" t="str">
        <f>Poeng!B119</f>
        <v>Wat 03b</v>
      </c>
      <c r="BE111" s="13" t="str">
        <f>Poeng!E119</f>
        <v>Vannmengderegulator i toalettkjerne</v>
      </c>
      <c r="BF111" s="13">
        <f>Poeng!AB119</f>
        <v>1</v>
      </c>
      <c r="BG111" s="13">
        <f>Poeng!AI119</f>
        <v>0</v>
      </c>
      <c r="BH111" s="1076">
        <f>Poeng!AE119</f>
        <v>0</v>
      </c>
      <c r="BI111" s="1" t="str">
        <f>Poeng!BE119</f>
        <v>N/A</v>
      </c>
      <c r="BK111" s="1">
        <f>Poeng!AJ119</f>
        <v>0</v>
      </c>
      <c r="BL111" s="1076">
        <f>Poeng!AF119</f>
        <v>0</v>
      </c>
      <c r="BM111" s="1076" t="str">
        <f>Poeng!BH119</f>
        <v>N/A</v>
      </c>
      <c r="BO111" s="1">
        <f>Poeng!AK119</f>
        <v>0</v>
      </c>
      <c r="BP111" s="1076">
        <f>Poeng!AG119</f>
        <v>0</v>
      </c>
      <c r="BQ111" s="1076" t="str">
        <f>Poeng!BK119</f>
        <v>N/A</v>
      </c>
    </row>
    <row r="112" spans="1:69">
      <c r="A112" s="792">
        <v>103</v>
      </c>
      <c r="B112" s="791" t="s">
        <v>411</v>
      </c>
      <c r="C112" s="97" t="str">
        <f>C111</f>
        <v>Wat 03</v>
      </c>
      <c r="D112" s="621" t="s">
        <v>430</v>
      </c>
      <c r="E112" s="963">
        <v>3</v>
      </c>
      <c r="F112" s="787" t="str">
        <f t="shared" si="95"/>
        <v>Lekkasjeisolering</v>
      </c>
      <c r="G112" s="95">
        <f t="shared" si="96"/>
        <v>0</v>
      </c>
      <c r="H112" s="29"/>
      <c r="I112" s="96">
        <f t="shared" si="97"/>
        <v>0</v>
      </c>
      <c r="J112" s="97" t="str">
        <f t="shared" si="97"/>
        <v>N/A</v>
      </c>
      <c r="K112" s="66"/>
      <c r="L112" s="228"/>
      <c r="M112" s="601"/>
      <c r="N112" s="616"/>
      <c r="O112" s="69"/>
      <c r="P112" s="96">
        <f t="shared" si="98"/>
        <v>0</v>
      </c>
      <c r="Q112" s="96" t="str">
        <f t="shared" si="98"/>
        <v>N/A</v>
      </c>
      <c r="R112" s="551"/>
      <c r="S112" s="552"/>
      <c r="T112" s="545"/>
      <c r="U112" s="261"/>
      <c r="V112" s="69"/>
      <c r="W112" s="96">
        <f t="shared" si="99"/>
        <v>0</v>
      </c>
      <c r="X112" s="96" t="str">
        <f t="shared" si="99"/>
        <v>N/A</v>
      </c>
      <c r="Y112" s="67"/>
      <c r="Z112" s="66"/>
      <c r="AA112" s="601"/>
      <c r="AB112" s="105"/>
      <c r="AC112" s="473"/>
      <c r="AD112" s="17">
        <f t="shared" si="69"/>
        <v>1</v>
      </c>
      <c r="AE112" s="1">
        <f t="shared" si="92"/>
        <v>0</v>
      </c>
      <c r="AF112" s="1">
        <f t="shared" si="93"/>
        <v>0</v>
      </c>
      <c r="AG112" s="1">
        <f t="shared" si="94"/>
        <v>0</v>
      </c>
      <c r="AJ112" s="56"/>
      <c r="AK112" s="500"/>
      <c r="AL112" s="482"/>
      <c r="AM112" s="482"/>
      <c r="AN112" s="482"/>
      <c r="AO112" s="482"/>
      <c r="AP112" s="56"/>
      <c r="AQ112" s="56"/>
      <c r="AT112" s="17"/>
      <c r="AU112" s="17"/>
      <c r="AV112" s="17"/>
      <c r="AW112" s="17"/>
      <c r="AX112" s="17"/>
      <c r="AY112" s="17"/>
      <c r="BA112" s="473"/>
      <c r="BB112" s="17"/>
      <c r="BC112" s="17" t="b">
        <f t="shared" si="73"/>
        <v>1</v>
      </c>
      <c r="BD112" s="17" t="str">
        <f>Poeng!B120</f>
        <v>Wat 03c</v>
      </c>
      <c r="BE112" s="13" t="str">
        <f>Poeng!E120</f>
        <v>Lekkasjeisolering</v>
      </c>
      <c r="BF112" s="13">
        <f>Poeng!AB120</f>
        <v>0</v>
      </c>
      <c r="BG112" s="13">
        <f>Poeng!AI120</f>
        <v>0</v>
      </c>
      <c r="BH112" s="1076">
        <f>Poeng!AE120</f>
        <v>0</v>
      </c>
      <c r="BI112" s="1" t="str">
        <f>Poeng!BE120</f>
        <v>N/A</v>
      </c>
      <c r="BK112" s="1">
        <f>Poeng!AJ120</f>
        <v>0</v>
      </c>
      <c r="BL112" s="1076">
        <f>Poeng!AF120</f>
        <v>0</v>
      </c>
      <c r="BM112" s="1076" t="str">
        <f>Poeng!BH120</f>
        <v>N/A</v>
      </c>
      <c r="BO112" s="1">
        <f>Poeng!AK120</f>
        <v>0</v>
      </c>
      <c r="BP112" s="1076">
        <f>Poeng!AG120</f>
        <v>0</v>
      </c>
      <c r="BQ112" s="1076" t="str">
        <f>Poeng!BK120</f>
        <v>N/A</v>
      </c>
    </row>
    <row r="113" spans="1:69">
      <c r="A113" s="792">
        <v>104</v>
      </c>
      <c r="B113" s="791" t="s">
        <v>411</v>
      </c>
      <c r="C113" s="704" t="s">
        <v>431</v>
      </c>
      <c r="D113" s="621" t="s">
        <v>431</v>
      </c>
      <c r="E113" s="962"/>
      <c r="F113" s="654" t="str">
        <f>BE113</f>
        <v>Wat 04 Vannbesparende utstyr</v>
      </c>
      <c r="G113" s="659">
        <f t="shared" si="96"/>
        <v>1</v>
      </c>
      <c r="H113" s="746"/>
      <c r="I113" s="660" t="str">
        <f>BG113&amp;" c. "&amp;ROUND(BH113*100,1)&amp;" %"</f>
        <v>0 c. 0 %</v>
      </c>
      <c r="J113" s="703" t="str">
        <f>BI113</f>
        <v>N/A</v>
      </c>
      <c r="K113" s="66"/>
      <c r="L113" s="228"/>
      <c r="M113" s="601"/>
      <c r="N113" s="616"/>
      <c r="O113" s="746"/>
      <c r="P113" s="670" t="str">
        <f>BK113&amp;" c. "&amp;ROUND(BL113*100,1)&amp;" %"</f>
        <v>0 c. 0 %</v>
      </c>
      <c r="Q113" s="670" t="str">
        <f>BM113</f>
        <v>N/A</v>
      </c>
      <c r="R113" s="551"/>
      <c r="S113" s="552"/>
      <c r="T113" s="545"/>
      <c r="U113" s="261"/>
      <c r="V113" s="746"/>
      <c r="W113" s="670" t="str">
        <f>BO113&amp;" c. "&amp;ROUND(BP113*100,1)&amp;" %"</f>
        <v>0 c. 0 %</v>
      </c>
      <c r="X113" s="670" t="str">
        <f>BQ113</f>
        <v>N/A</v>
      </c>
      <c r="Y113" s="67"/>
      <c r="Z113" s="66"/>
      <c r="AA113" s="545"/>
      <c r="AB113" s="105"/>
      <c r="AC113" s="473" t="s">
        <v>209</v>
      </c>
      <c r="AD113" s="17">
        <f t="shared" si="69"/>
        <v>0</v>
      </c>
      <c r="AE113" s="1">
        <f t="shared" si="92"/>
        <v>0</v>
      </c>
      <c r="AF113" s="1">
        <f t="shared" si="93"/>
        <v>0</v>
      </c>
      <c r="AG113" s="1">
        <f t="shared" si="94"/>
        <v>0</v>
      </c>
      <c r="AJ113" s="56"/>
      <c r="AK113" s="500" t="s">
        <v>432</v>
      </c>
      <c r="AL113" s="56"/>
      <c r="AM113" s="56"/>
      <c r="AN113" s="56"/>
      <c r="AO113" s="56"/>
      <c r="AP113" s="56"/>
      <c r="AQ113" s="56"/>
      <c r="AT113" s="17" t="str">
        <f>IF($AK$4=ais_nei,AIS_NA,IF(AL113="",AIS_NA,AL113))</f>
        <v>N/A</v>
      </c>
      <c r="AU113" s="17" t="str">
        <f>IF($AK$4=ais_nei,AIS_NA,IF(AM113="",AIS_NA,AM113))</f>
        <v>N/A</v>
      </c>
      <c r="AV113" s="17" t="str">
        <f>IF($AK$4=ais_nei,AIS_NA,IF(AN113="",AIS_NA,AN113))</f>
        <v>N/A</v>
      </c>
      <c r="AW113" s="17"/>
      <c r="AX113" s="17"/>
      <c r="AY113" s="17"/>
      <c r="BA113" s="473"/>
      <c r="BB113" s="17"/>
      <c r="BC113" s="17" t="b">
        <f t="shared" si="73"/>
        <v>1</v>
      </c>
      <c r="BD113" s="17" t="str">
        <f>Poeng!B121</f>
        <v>Wat 04</v>
      </c>
      <c r="BE113" s="13" t="str">
        <f>Poeng!E121</f>
        <v>Wat 04 Vannbesparende utstyr</v>
      </c>
      <c r="BF113" s="13">
        <f>Poeng!AB121</f>
        <v>1</v>
      </c>
      <c r="BG113" s="13">
        <f>Poeng!AI121</f>
        <v>0</v>
      </c>
      <c r="BH113" s="1076">
        <f>Poeng!AE121</f>
        <v>0</v>
      </c>
      <c r="BI113" s="1" t="str">
        <f>Poeng!BE121</f>
        <v>N/A</v>
      </c>
      <c r="BK113" s="1">
        <f>Poeng!AJ121</f>
        <v>0</v>
      </c>
      <c r="BL113" s="1076">
        <f>Poeng!AF121</f>
        <v>0</v>
      </c>
      <c r="BM113" s="1076" t="str">
        <f>Poeng!BH121</f>
        <v>N/A</v>
      </c>
      <c r="BO113" s="1">
        <f>Poeng!AK121</f>
        <v>0</v>
      </c>
      <c r="BP113" s="1076">
        <f>Poeng!AG121</f>
        <v>0</v>
      </c>
      <c r="BQ113" s="1076" t="str">
        <f>Poeng!BK121</f>
        <v>N/A</v>
      </c>
    </row>
    <row r="114" spans="1:69">
      <c r="A114" s="792">
        <v>105</v>
      </c>
      <c r="B114" s="791" t="s">
        <v>411</v>
      </c>
      <c r="C114" s="97" t="str">
        <f t="shared" ref="C114:C208" si="100">C113</f>
        <v>Wat 04</v>
      </c>
      <c r="D114" s="621" t="s">
        <v>433</v>
      </c>
      <c r="E114" s="964" t="s">
        <v>288</v>
      </c>
      <c r="F114" s="787" t="str">
        <f t="shared" si="95"/>
        <v>Reduksjon av vannforbruk</v>
      </c>
      <c r="G114" s="95">
        <f t="shared" si="96"/>
        <v>1</v>
      </c>
      <c r="H114" s="29"/>
      <c r="I114" s="96">
        <f t="shared" si="97"/>
        <v>0</v>
      </c>
      <c r="J114" s="97" t="str">
        <f t="shared" si="97"/>
        <v>N/A</v>
      </c>
      <c r="K114" s="66"/>
      <c r="L114" s="228"/>
      <c r="M114" s="601"/>
      <c r="N114" s="616"/>
      <c r="O114" s="69"/>
      <c r="P114" s="96">
        <f t="shared" si="98"/>
        <v>0</v>
      </c>
      <c r="Q114" s="96" t="str">
        <f t="shared" si="98"/>
        <v>N/A</v>
      </c>
      <c r="R114" s="551"/>
      <c r="S114" s="552"/>
      <c r="T114" s="545"/>
      <c r="U114" s="261"/>
      <c r="V114" s="69"/>
      <c r="W114" s="96">
        <f t="shared" si="99"/>
        <v>0</v>
      </c>
      <c r="X114" s="96" t="str">
        <f t="shared" si="99"/>
        <v>N/A</v>
      </c>
      <c r="Y114" s="67"/>
      <c r="Z114" s="66"/>
      <c r="AA114" s="545"/>
      <c r="AB114" s="105"/>
      <c r="AC114" s="527"/>
      <c r="AD114" s="17">
        <f t="shared" si="69"/>
        <v>0</v>
      </c>
      <c r="AE114" s="1">
        <f t="shared" si="92"/>
        <v>0</v>
      </c>
      <c r="AF114" s="1">
        <f t="shared" si="93"/>
        <v>0</v>
      </c>
      <c r="AG114" s="1">
        <f t="shared" si="94"/>
        <v>0</v>
      </c>
      <c r="AJ114" s="56"/>
      <c r="AK114" s="500"/>
      <c r="AL114" s="56"/>
      <c r="AM114" s="56"/>
      <c r="AN114" s="56"/>
      <c r="AO114" s="56"/>
      <c r="AP114" s="56"/>
      <c r="AQ114" s="56"/>
      <c r="AT114" s="17"/>
      <c r="AU114" s="17"/>
      <c r="AV114" s="17"/>
      <c r="AW114" s="17"/>
      <c r="AX114" s="17"/>
      <c r="AY114" s="17"/>
      <c r="BA114" s="527"/>
      <c r="BB114" s="17"/>
      <c r="BC114" s="17" t="b">
        <f t="shared" si="73"/>
        <v>1</v>
      </c>
      <c r="BD114" s="17" t="str">
        <f>Poeng!B122</f>
        <v>Wat 04a</v>
      </c>
      <c r="BE114" s="13" t="str">
        <f>Poeng!E122</f>
        <v>Reduksjon av vannforbruk</v>
      </c>
      <c r="BF114" s="13">
        <f>Poeng!AB122</f>
        <v>1</v>
      </c>
      <c r="BG114" s="13">
        <f>Poeng!AI122</f>
        <v>0</v>
      </c>
      <c r="BH114" s="1076">
        <f>Poeng!AE122</f>
        <v>0</v>
      </c>
      <c r="BI114" s="1" t="str">
        <f>Poeng!BE122</f>
        <v>N/A</v>
      </c>
      <c r="BK114" s="1">
        <f>Poeng!AJ122</f>
        <v>0</v>
      </c>
      <c r="BL114" s="1076">
        <f>Poeng!AF122</f>
        <v>0</v>
      </c>
      <c r="BM114" s="1076" t="str">
        <f>Poeng!BH122</f>
        <v>N/A</v>
      </c>
      <c r="BO114" s="1">
        <f>Poeng!AK122</f>
        <v>0</v>
      </c>
      <c r="BP114" s="1076">
        <f>Poeng!AG122</f>
        <v>0</v>
      </c>
      <c r="BQ114" s="1076" t="str">
        <f>Poeng!BK122</f>
        <v>N/A</v>
      </c>
    </row>
    <row r="115" spans="1:69" ht="15.75" thickBot="1">
      <c r="A115" s="792">
        <v>106</v>
      </c>
      <c r="B115" s="791" t="s">
        <v>411</v>
      </c>
      <c r="C115" s="796"/>
      <c r="D115" s="621" t="s">
        <v>434</v>
      </c>
      <c r="E115" s="967"/>
      <c r="F115" s="262" t="s">
        <v>435</v>
      </c>
      <c r="G115" s="98">
        <f>Wat_Credits</f>
        <v>9</v>
      </c>
      <c r="H115" s="103"/>
      <c r="I115" s="99">
        <f>Wat_cont_tot</f>
        <v>0</v>
      </c>
      <c r="J115" s="661" t="str">
        <f>"Poeng oppnådd: "&amp;Wat_tot_user</f>
        <v>Poeng oppnådd: 0</v>
      </c>
      <c r="K115" s="106"/>
      <c r="L115" s="229"/>
      <c r="M115" s="553"/>
      <c r="N115" s="616"/>
      <c r="O115" s="317"/>
      <c r="P115" s="99">
        <f>BL115</f>
        <v>0</v>
      </c>
      <c r="Q115" s="661" t="str">
        <f>"Poeng oppnådd: "&amp;Wat_d_user</f>
        <v>Poeng oppnådd: 0</v>
      </c>
      <c r="R115" s="554"/>
      <c r="S115" s="555"/>
      <c r="T115" s="553"/>
      <c r="U115" s="261"/>
      <c r="V115" s="317"/>
      <c r="W115" s="99">
        <f>BP115</f>
        <v>0</v>
      </c>
      <c r="X115" s="661" t="str">
        <f>"Poeng oppnådd: "&amp;Wat_c_user</f>
        <v>Poeng oppnådd: 0</v>
      </c>
      <c r="Y115" s="316"/>
      <c r="Z115" s="108"/>
      <c r="AA115" s="553"/>
      <c r="AB115" s="105"/>
      <c r="AC115" s="474"/>
      <c r="AD115" s="17"/>
      <c r="AE115" s="225">
        <v>0</v>
      </c>
      <c r="AF115" s="225">
        <v>0</v>
      </c>
      <c r="AG115" s="225">
        <v>0</v>
      </c>
      <c r="AJ115" s="56"/>
      <c r="AK115" s="500" t="s">
        <v>436</v>
      </c>
      <c r="AL115" s="56"/>
      <c r="AM115" s="56"/>
      <c r="AN115" s="56"/>
      <c r="AO115" s="56"/>
      <c r="AP115" s="56"/>
      <c r="AQ115" s="56"/>
      <c r="AT115" s="17" t="str">
        <f t="shared" ref="AT115:AV118" si="101">IF($AK$4=ais_nei,AIS_NA,IF(AL115="",AIS_NA,AL115))</f>
        <v>N/A</v>
      </c>
      <c r="AU115" s="17" t="str">
        <f t="shared" si="101"/>
        <v>N/A</v>
      </c>
      <c r="AV115" s="17" t="str">
        <f t="shared" si="101"/>
        <v>N/A</v>
      </c>
      <c r="AW115" s="17"/>
      <c r="AX115" s="17"/>
      <c r="AY115" s="17"/>
      <c r="BA115" s="474"/>
      <c r="BB115" s="17"/>
      <c r="BC115" s="17" t="b">
        <f t="shared" si="73"/>
        <v>1</v>
      </c>
      <c r="BD115" s="17" t="str">
        <f>Poeng!B123</f>
        <v>Wat sum</v>
      </c>
      <c r="BE115" s="13" t="str">
        <f>Poeng!E123</f>
        <v>Sum</v>
      </c>
      <c r="BF115" s="13">
        <f>Poeng!AB123</f>
        <v>9</v>
      </c>
      <c r="BG115" s="13">
        <f>Poeng!AI123</f>
        <v>0</v>
      </c>
      <c r="BH115" s="1076">
        <f>Poeng!AE123</f>
        <v>0</v>
      </c>
      <c r="BI115" s="1">
        <f>Poeng!BE123</f>
        <v>0</v>
      </c>
      <c r="BK115" s="1">
        <f>Poeng!AJ123</f>
        <v>0</v>
      </c>
      <c r="BL115" s="1076">
        <f>Poeng!AF123</f>
        <v>0</v>
      </c>
      <c r="BM115" s="1076">
        <f>Poeng!BH123</f>
        <v>0</v>
      </c>
      <c r="BO115" s="1">
        <f>Poeng!AK123</f>
        <v>0</v>
      </c>
      <c r="BP115" s="1076">
        <f>Poeng!AG123</f>
        <v>0</v>
      </c>
      <c r="BQ115" s="1076">
        <f>Poeng!BK123</f>
        <v>0</v>
      </c>
    </row>
    <row r="116" spans="1:69">
      <c r="A116" s="792">
        <v>107</v>
      </c>
      <c r="B116" s="791" t="s">
        <v>411</v>
      </c>
      <c r="C116" s="264"/>
      <c r="D116" s="621"/>
      <c r="E116" s="966"/>
      <c r="F116" s="263"/>
      <c r="G116" s="264"/>
      <c r="H116" s="265"/>
      <c r="I116" s="264"/>
      <c r="J116" s="264"/>
      <c r="K116" s="266"/>
      <c r="L116" s="265"/>
      <c r="M116" s="556"/>
      <c r="N116" s="616"/>
      <c r="O116" s="267"/>
      <c r="P116" s="267"/>
      <c r="Q116" s="556"/>
      <c r="R116" s="556"/>
      <c r="S116" s="557"/>
      <c r="T116" s="556"/>
      <c r="U116" s="261"/>
      <c r="V116" s="267"/>
      <c r="W116" s="267"/>
      <c r="X116" s="556"/>
      <c r="Y116" s="266"/>
      <c r="Z116" s="267"/>
      <c r="AA116" s="556"/>
      <c r="AB116" s="105"/>
      <c r="AC116" s="266"/>
      <c r="AD116" s="17"/>
      <c r="AE116" s="226">
        <v>0</v>
      </c>
      <c r="AF116" s="226">
        <v>0</v>
      </c>
      <c r="AG116" s="226">
        <v>0</v>
      </c>
      <c r="AJ116" s="56"/>
      <c r="AK116" s="500"/>
      <c r="AL116" s="56"/>
      <c r="AM116" s="56"/>
      <c r="AN116" s="56"/>
      <c r="AO116" s="56"/>
      <c r="AP116" s="56"/>
      <c r="AQ116" s="56"/>
      <c r="AT116" s="17" t="str">
        <f t="shared" si="101"/>
        <v>N/A</v>
      </c>
      <c r="AU116" s="17" t="str">
        <f t="shared" si="101"/>
        <v>N/A</v>
      </c>
      <c r="AV116" s="17" t="str">
        <f t="shared" si="101"/>
        <v>N/A</v>
      </c>
      <c r="AW116" s="17"/>
      <c r="AX116" s="17"/>
      <c r="AY116" s="17"/>
      <c r="BA116" s="266"/>
      <c r="BB116" s="17"/>
      <c r="BC116" s="17"/>
      <c r="BD116" s="17"/>
      <c r="BE116" s="13"/>
      <c r="BF116" s="13"/>
      <c r="BG116" s="13"/>
      <c r="BH116" s="1076"/>
      <c r="BL116" s="1076"/>
      <c r="BM116" s="1076"/>
      <c r="BP116" s="1076"/>
      <c r="BQ116" s="1076"/>
    </row>
    <row r="117" spans="1:69" ht="18.75">
      <c r="A117" s="792">
        <v>108</v>
      </c>
      <c r="B117" s="793" t="s">
        <v>437</v>
      </c>
      <c r="C117" s="797"/>
      <c r="D117" s="621"/>
      <c r="E117" s="961"/>
      <c r="F117" s="268" t="s">
        <v>438</v>
      </c>
      <c r="G117" s="257"/>
      <c r="H117" s="258"/>
      <c r="I117" s="277"/>
      <c r="J117" s="257"/>
      <c r="K117" s="269"/>
      <c r="L117" s="270"/>
      <c r="M117" s="559"/>
      <c r="N117" s="616"/>
      <c r="O117" s="280"/>
      <c r="P117" s="273"/>
      <c r="Q117" s="549"/>
      <c r="R117" s="560"/>
      <c r="S117" s="561"/>
      <c r="T117" s="562"/>
      <c r="U117" s="261"/>
      <c r="V117" s="280"/>
      <c r="W117" s="279"/>
      <c r="X117" s="549"/>
      <c r="Y117" s="269"/>
      <c r="Z117" s="279"/>
      <c r="AA117" s="559"/>
      <c r="AB117" s="105"/>
      <c r="AC117" s="278"/>
      <c r="AD117" s="17"/>
      <c r="AE117" s="224">
        <v>0</v>
      </c>
      <c r="AF117" s="224">
        <v>0</v>
      </c>
      <c r="AG117" s="224">
        <v>0</v>
      </c>
      <c r="AJ117" s="56"/>
      <c r="AK117" s="500" t="s">
        <v>439</v>
      </c>
      <c r="AL117" s="56"/>
      <c r="AM117" s="56"/>
      <c r="AN117" s="56"/>
      <c r="AO117" s="56"/>
      <c r="AP117" s="56"/>
      <c r="AQ117" s="56"/>
      <c r="AT117" s="17" t="str">
        <f t="shared" si="101"/>
        <v>N/A</v>
      </c>
      <c r="AU117" s="17" t="str">
        <f t="shared" si="101"/>
        <v>N/A</v>
      </c>
      <c r="AV117" s="17" t="str">
        <f t="shared" si="101"/>
        <v>N/A</v>
      </c>
      <c r="AW117" s="17"/>
      <c r="AX117" s="17"/>
      <c r="AY117" s="17"/>
      <c r="BA117" s="278"/>
      <c r="BB117" s="17"/>
      <c r="BC117" s="17"/>
      <c r="BD117" s="17"/>
      <c r="BE117" s="13"/>
      <c r="BF117" s="13"/>
      <c r="BG117" s="13"/>
      <c r="BH117" s="1076"/>
      <c r="BL117" s="1076"/>
      <c r="BM117" s="1076"/>
      <c r="BP117" s="1076"/>
      <c r="BQ117" s="1076"/>
    </row>
    <row r="118" spans="1:69">
      <c r="A118" s="792">
        <v>109</v>
      </c>
      <c r="B118" s="793" t="s">
        <v>437</v>
      </c>
      <c r="C118" s="801" t="s">
        <v>440</v>
      </c>
      <c r="D118" s="621" t="s">
        <v>440</v>
      </c>
      <c r="E118" s="969"/>
      <c r="F118" s="654" t="str">
        <f t="shared" ref="F118:F130" si="102">BE118</f>
        <v>Mat 01 Bærekraftige materialvalg LCA og klimagassberegninger</v>
      </c>
      <c r="G118" s="659">
        <f t="shared" ref="G118:G130" si="103">BF118</f>
        <v>5</v>
      </c>
      <c r="H118" s="745"/>
      <c r="I118" s="660" t="str">
        <f>BG118&amp;" c. "&amp;ROUND(BH118*100,1)&amp;" %"</f>
        <v>0 c. 0 %</v>
      </c>
      <c r="J118" s="703" t="str">
        <f>BI118</f>
        <v>N/A</v>
      </c>
      <c r="K118" s="667"/>
      <c r="L118" s="668"/>
      <c r="M118" s="669"/>
      <c r="N118" s="616"/>
      <c r="O118" s="746"/>
      <c r="P118" s="670" t="str">
        <f>BK118&amp;" c. "&amp;ROUND(BL118*100,1)&amp;" %"</f>
        <v>0 c. 0 %</v>
      </c>
      <c r="Q118" s="670" t="str">
        <f>BM118</f>
        <v>N/A</v>
      </c>
      <c r="R118" s="551"/>
      <c r="S118" s="552"/>
      <c r="T118" s="545"/>
      <c r="U118" s="261"/>
      <c r="V118" s="746"/>
      <c r="W118" s="670" t="str">
        <f>BO118&amp;" c. "&amp;ROUND(BP118*100,1)&amp;" %"</f>
        <v>0 c. 0 %</v>
      </c>
      <c r="X118" s="670" t="str">
        <f>BQ118</f>
        <v>N/A</v>
      </c>
      <c r="Y118" s="67"/>
      <c r="Z118" s="66"/>
      <c r="AA118" s="545"/>
      <c r="AB118" s="105"/>
      <c r="AC118" s="473" t="s">
        <v>209</v>
      </c>
      <c r="AD118" s="17">
        <f t="shared" si="69"/>
        <v>0</v>
      </c>
      <c r="AE118" s="1">
        <f t="shared" ref="AE118:AE144" si="104">IF(L118=$AE$4,$AF$4,IF(L118=$AE$5,$AF$5,IF(L118=$AE$6,$AF$6,0)))</f>
        <v>0</v>
      </c>
      <c r="AF118" s="1">
        <f t="shared" ref="AF118:AF144" si="105">IF(S118=$AE$4,$AF$4,IF(S118=$AE$5,$AF$5,IF(S118=$AE$6,$AF$6,0)))</f>
        <v>0</v>
      </c>
      <c r="AG118" s="1">
        <f t="shared" ref="AG118:AG144" si="106">IF(Z118=$AE$4,$AF$4,IF(Z118=$AE$5,$AF$5,IF(Z118=$AE$6,$AF$6,0)))</f>
        <v>0</v>
      </c>
      <c r="AJ118" s="56"/>
      <c r="AK118" s="500" t="s">
        <v>441</v>
      </c>
      <c r="AL118" s="56"/>
      <c r="AM118" s="56"/>
      <c r="AN118" s="56"/>
      <c r="AO118" s="56"/>
      <c r="AP118" s="56"/>
      <c r="AQ118" s="56"/>
      <c r="AT118" s="17" t="str">
        <f t="shared" si="101"/>
        <v>N/A</v>
      </c>
      <c r="AU118" s="17" t="str">
        <f t="shared" si="101"/>
        <v>N/A</v>
      </c>
      <c r="AV118" s="17" t="str">
        <f t="shared" si="101"/>
        <v>N/A</v>
      </c>
      <c r="AW118" s="17"/>
      <c r="AX118" s="17"/>
      <c r="AY118" s="17"/>
      <c r="BA118" s="473"/>
      <c r="BB118" s="17"/>
      <c r="BC118" s="17" t="b">
        <f t="shared" si="73"/>
        <v>1</v>
      </c>
      <c r="BD118" s="17" t="str">
        <f>Poeng!B126</f>
        <v>Mat 01</v>
      </c>
      <c r="BE118" s="13" t="str">
        <f>Poeng!E126</f>
        <v>Mat 01 Bærekraftige materialvalg LCA og klimagassberegninger</v>
      </c>
      <c r="BF118" s="13">
        <f>Poeng!AB126</f>
        <v>5</v>
      </c>
      <c r="BG118" s="13">
        <f>Poeng!AI126</f>
        <v>0</v>
      </c>
      <c r="BH118" s="1076">
        <f>Poeng!AE126</f>
        <v>0</v>
      </c>
      <c r="BI118" s="1" t="str">
        <f>Poeng!BE126</f>
        <v>N/A</v>
      </c>
      <c r="BK118" s="1">
        <f>Poeng!AJ126</f>
        <v>0</v>
      </c>
      <c r="BL118" s="1076">
        <f>Poeng!AF126</f>
        <v>0</v>
      </c>
      <c r="BM118" s="1076" t="str">
        <f>Poeng!BH126</f>
        <v>N/A</v>
      </c>
      <c r="BO118" s="1">
        <f>Poeng!AK126</f>
        <v>0</v>
      </c>
      <c r="BP118" s="1076">
        <f>Poeng!AG126</f>
        <v>0</v>
      </c>
      <c r="BQ118" s="1076" t="str">
        <f>Poeng!BK126</f>
        <v>N/A</v>
      </c>
    </row>
    <row r="119" spans="1:69">
      <c r="A119" s="792">
        <v>110</v>
      </c>
      <c r="B119" s="793" t="s">
        <v>437</v>
      </c>
      <c r="C119" s="97" t="str">
        <f t="shared" si="100"/>
        <v>Mat 01</v>
      </c>
      <c r="D119" s="621" t="s">
        <v>442</v>
      </c>
      <c r="E119" s="964" t="s">
        <v>288</v>
      </c>
      <c r="F119" s="787" t="str">
        <f t="shared" si="102"/>
        <v>Forkrav: Tidligfase klimagassberegninger</v>
      </c>
      <c r="G119" s="95" t="str">
        <f t="shared" si="103"/>
        <v>Yes/No</v>
      </c>
      <c r="H119" s="29"/>
      <c r="I119" s="96" t="str">
        <f t="shared" ref="I119:J121" si="107">BH119</f>
        <v>-</v>
      </c>
      <c r="J119" s="97" t="str">
        <f t="shared" si="107"/>
        <v>Unclassified</v>
      </c>
      <c r="K119" s="66"/>
      <c r="L119" s="228"/>
      <c r="M119" s="601"/>
      <c r="N119" s="616"/>
      <c r="O119" s="69"/>
      <c r="P119" s="96" t="str">
        <f t="shared" ref="P119:Q121" si="108">BL119</f>
        <v>-</v>
      </c>
      <c r="Q119" s="96" t="str">
        <f t="shared" si="108"/>
        <v>Unclassified</v>
      </c>
      <c r="R119" s="551"/>
      <c r="S119" s="552"/>
      <c r="T119" s="545"/>
      <c r="U119" s="261"/>
      <c r="V119" s="69"/>
      <c r="W119" s="96" t="str">
        <f t="shared" ref="W119:X121" si="109">BP119</f>
        <v>-</v>
      </c>
      <c r="X119" s="96" t="str">
        <f t="shared" si="109"/>
        <v>Unclassified</v>
      </c>
      <c r="Y119" s="67"/>
      <c r="Z119" s="66"/>
      <c r="AA119" s="545"/>
      <c r="AB119" s="105"/>
      <c r="AC119" s="658"/>
      <c r="AD119" s="17">
        <f t="shared" si="69"/>
        <v>0</v>
      </c>
      <c r="AE119" s="1">
        <f t="shared" si="104"/>
        <v>0</v>
      </c>
      <c r="AF119" s="1">
        <f t="shared" si="105"/>
        <v>0</v>
      </c>
      <c r="AG119" s="1">
        <f t="shared" si="106"/>
        <v>0</v>
      </c>
      <c r="AT119" s="17"/>
      <c r="AU119" s="17"/>
      <c r="AV119" s="17"/>
      <c r="AW119" s="17"/>
      <c r="AX119" s="17"/>
      <c r="AY119" s="17"/>
      <c r="BA119" s="658"/>
      <c r="BB119" s="17"/>
      <c r="BC119" s="17" t="b">
        <f t="shared" si="73"/>
        <v>1</v>
      </c>
      <c r="BD119" s="17" t="str">
        <f>Poeng!B238</f>
        <v>Mat 01a</v>
      </c>
      <c r="BE119" s="13" t="str">
        <f>Poeng!E238</f>
        <v>Forkrav: Tidligfase klimagassberegninger</v>
      </c>
      <c r="BF119" s="13" t="str">
        <f>Poeng!AB238</f>
        <v>Yes/No</v>
      </c>
      <c r="BG119" s="13">
        <f>Poeng!AI238</f>
        <v>0</v>
      </c>
      <c r="BH119" s="1076" t="str">
        <f>Poeng!AE238</f>
        <v>-</v>
      </c>
      <c r="BI119" s="1" t="str">
        <f>Poeng!BE238</f>
        <v>Unclassified</v>
      </c>
      <c r="BK119" s="1">
        <f>Poeng!AJ238</f>
        <v>0</v>
      </c>
      <c r="BL119" s="1076" t="str">
        <f>Poeng!AF238</f>
        <v>-</v>
      </c>
      <c r="BM119" s="1076" t="str">
        <f>Poeng!BH238</f>
        <v>Unclassified</v>
      </c>
      <c r="BO119" s="1">
        <f>Poeng!AK238</f>
        <v>0</v>
      </c>
      <c r="BP119" s="1076" t="str">
        <f>Poeng!AG238</f>
        <v>-</v>
      </c>
      <c r="BQ119" s="1076" t="str">
        <f>Poeng!BK238</f>
        <v>Unclassified</v>
      </c>
    </row>
    <row r="120" spans="1:69">
      <c r="A120" s="792">
        <v>111</v>
      </c>
      <c r="B120" s="793" t="s">
        <v>437</v>
      </c>
      <c r="C120" s="97" t="str">
        <f t="shared" si="100"/>
        <v>Mat 01</v>
      </c>
      <c r="D120" s="621" t="s">
        <v>443</v>
      </c>
      <c r="E120" s="963">
        <v>3</v>
      </c>
      <c r="F120" s="787" t="str">
        <f t="shared" si="102"/>
        <v>Reduksjon av klimagassutslipp</v>
      </c>
      <c r="G120" s="95">
        <f t="shared" si="103"/>
        <v>3</v>
      </c>
      <c r="H120" s="29"/>
      <c r="I120" s="96">
        <f t="shared" si="107"/>
        <v>0</v>
      </c>
      <c r="J120" s="97" t="str">
        <f t="shared" si="107"/>
        <v>Good</v>
      </c>
      <c r="K120" s="66"/>
      <c r="L120" s="228"/>
      <c r="M120" s="601"/>
      <c r="N120" s="616"/>
      <c r="O120" s="69"/>
      <c r="P120" s="96">
        <f t="shared" si="108"/>
        <v>0</v>
      </c>
      <c r="Q120" s="96" t="str">
        <f t="shared" si="108"/>
        <v>Good</v>
      </c>
      <c r="R120" s="551"/>
      <c r="S120" s="552"/>
      <c r="T120" s="545"/>
      <c r="U120" s="261"/>
      <c r="V120" s="69"/>
      <c r="W120" s="96">
        <f t="shared" si="109"/>
        <v>0</v>
      </c>
      <c r="X120" s="96" t="str">
        <f t="shared" si="109"/>
        <v>Good</v>
      </c>
      <c r="Y120" s="67"/>
      <c r="Z120" s="66"/>
      <c r="AA120" s="545"/>
      <c r="AB120" s="105"/>
      <c r="AC120" s="658"/>
      <c r="AD120" s="17">
        <f t="shared" si="69"/>
        <v>0</v>
      </c>
      <c r="AE120" s="1">
        <f t="shared" si="104"/>
        <v>0</v>
      </c>
      <c r="AF120" s="1">
        <f t="shared" si="105"/>
        <v>0</v>
      </c>
      <c r="AG120" s="1">
        <f t="shared" si="106"/>
        <v>0</v>
      </c>
      <c r="AT120" s="17"/>
      <c r="AU120" s="17"/>
      <c r="AV120" s="17"/>
      <c r="AW120" s="17"/>
      <c r="AX120" s="17"/>
      <c r="AY120" s="17"/>
      <c r="BA120" s="658"/>
      <c r="BB120" s="17"/>
      <c r="BC120" s="17" t="b">
        <f t="shared" si="73"/>
        <v>1</v>
      </c>
      <c r="BD120" s="17" t="str">
        <f>Poeng!B128</f>
        <v>Mat 01b</v>
      </c>
      <c r="BE120" s="13" t="str">
        <f>Poeng!E128</f>
        <v>Reduksjon av klimagassutslipp</v>
      </c>
      <c r="BF120" s="13">
        <f>Poeng!AB128</f>
        <v>3</v>
      </c>
      <c r="BG120" s="13">
        <f>Poeng!AI128</f>
        <v>0</v>
      </c>
      <c r="BH120" s="1076">
        <f>Poeng!AE128</f>
        <v>0</v>
      </c>
      <c r="BI120" s="1" t="str">
        <f>Poeng!BE128</f>
        <v>Good</v>
      </c>
      <c r="BK120" s="1">
        <f>Poeng!AJ128</f>
        <v>0</v>
      </c>
      <c r="BL120" s="1076">
        <f>Poeng!AF128</f>
        <v>0</v>
      </c>
      <c r="BM120" s="1076" t="str">
        <f>Poeng!BH128</f>
        <v>Good</v>
      </c>
      <c r="BO120" s="1">
        <f>Poeng!AK128</f>
        <v>0</v>
      </c>
      <c r="BP120" s="1076">
        <f>Poeng!AG128</f>
        <v>0</v>
      </c>
      <c r="BQ120" s="1076" t="str">
        <f>Poeng!BK128</f>
        <v>Good</v>
      </c>
    </row>
    <row r="121" spans="1:69">
      <c r="A121" s="792">
        <v>112</v>
      </c>
      <c r="B121" s="793" t="s">
        <v>437</v>
      </c>
      <c r="C121" s="97" t="str">
        <f t="shared" si="100"/>
        <v>Mat 01</v>
      </c>
      <c r="D121" s="14" t="s">
        <v>444</v>
      </c>
      <c r="E121" s="964" t="s">
        <v>330</v>
      </c>
      <c r="F121" s="787" t="str">
        <f t="shared" si="102"/>
        <v>Livsløpsvurderinger av bygget</v>
      </c>
      <c r="G121" s="95">
        <f t="shared" si="103"/>
        <v>2</v>
      </c>
      <c r="H121" s="29"/>
      <c r="I121" s="96">
        <f t="shared" si="107"/>
        <v>0</v>
      </c>
      <c r="J121" s="97" t="str">
        <f t="shared" si="107"/>
        <v>N/A</v>
      </c>
      <c r="K121" s="66"/>
      <c r="L121" s="228"/>
      <c r="M121" s="601"/>
      <c r="N121" s="616"/>
      <c r="O121" s="69"/>
      <c r="P121" s="96">
        <f t="shared" si="108"/>
        <v>0</v>
      </c>
      <c r="Q121" s="96" t="str">
        <f t="shared" si="108"/>
        <v>N/A</v>
      </c>
      <c r="R121" s="551"/>
      <c r="S121" s="552"/>
      <c r="T121" s="545"/>
      <c r="U121" s="261"/>
      <c r="V121" s="69"/>
      <c r="W121" s="96">
        <f t="shared" si="109"/>
        <v>0</v>
      </c>
      <c r="X121" s="96" t="str">
        <f t="shared" si="109"/>
        <v>N/A</v>
      </c>
      <c r="Y121" s="67"/>
      <c r="Z121" s="66"/>
      <c r="AA121" s="545"/>
      <c r="AD121" s="17">
        <f t="shared" si="69"/>
        <v>0</v>
      </c>
      <c r="AE121" s="1">
        <f t="shared" si="104"/>
        <v>0</v>
      </c>
      <c r="AF121" s="1">
        <f t="shared" si="105"/>
        <v>0</v>
      </c>
      <c r="AG121" s="1">
        <f t="shared" si="106"/>
        <v>0</v>
      </c>
      <c r="BB121" s="17"/>
      <c r="BC121" s="17" t="b">
        <f t="shared" si="73"/>
        <v>1</v>
      </c>
      <c r="BD121" s="17" t="str">
        <f>Poeng!B129</f>
        <v>Mat 01c</v>
      </c>
      <c r="BE121" s="13" t="str">
        <f>Poeng!E129</f>
        <v>Livsløpsvurderinger av bygget</v>
      </c>
      <c r="BF121" s="13">
        <f>Poeng!AB129</f>
        <v>2</v>
      </c>
      <c r="BG121" s="13">
        <f>Poeng!AI129</f>
        <v>0</v>
      </c>
      <c r="BH121" s="1076">
        <f>Poeng!AE129</f>
        <v>0</v>
      </c>
      <c r="BI121" s="1" t="str">
        <f>Poeng!BE129</f>
        <v>N/A</v>
      </c>
      <c r="BK121" s="1">
        <f>Poeng!AJ129</f>
        <v>0</v>
      </c>
      <c r="BL121" s="1076">
        <f>Poeng!AF129</f>
        <v>0</v>
      </c>
      <c r="BM121" s="1076" t="str">
        <f>Poeng!BH129</f>
        <v>N/A</v>
      </c>
      <c r="BO121" s="1">
        <f>Poeng!AK129</f>
        <v>0</v>
      </c>
      <c r="BP121" s="1076">
        <f>Poeng!AG129</f>
        <v>0</v>
      </c>
      <c r="BQ121" s="1076" t="str">
        <f>Poeng!BK129</f>
        <v>N/A</v>
      </c>
    </row>
    <row r="122" spans="1:69" ht="15" customHeight="1">
      <c r="A122" s="792">
        <v>113</v>
      </c>
      <c r="B122" s="793" t="s">
        <v>437</v>
      </c>
      <c r="C122" s="801" t="s">
        <v>445</v>
      </c>
      <c r="D122" s="621" t="s">
        <v>445</v>
      </c>
      <c r="E122" s="969"/>
      <c r="F122" s="654" t="str">
        <f t="shared" si="102"/>
        <v>Mat 02 Bærekraftige materialvalg - produktkrav</v>
      </c>
      <c r="G122" s="659">
        <f t="shared" si="103"/>
        <v>3</v>
      </c>
      <c r="H122" s="746"/>
      <c r="I122" s="660" t="str">
        <f>BG122&amp;" c. "&amp;ROUND(BH122*100,1)&amp;" %"</f>
        <v>0 c. 0 %</v>
      </c>
      <c r="J122" s="703" t="str">
        <f>BI122</f>
        <v>N/A</v>
      </c>
      <c r="K122" s="66"/>
      <c r="L122" s="228"/>
      <c r="M122" s="601"/>
      <c r="N122" s="616"/>
      <c r="O122" s="746"/>
      <c r="P122" s="670" t="str">
        <f>BK122&amp;" c. "&amp;ROUND(BL122*100,1)&amp;" %"</f>
        <v>0 c. 0 %</v>
      </c>
      <c r="Q122" s="670" t="str">
        <f>BM122</f>
        <v>N/A</v>
      </c>
      <c r="R122" s="551"/>
      <c r="S122" s="552"/>
      <c r="T122" s="545"/>
      <c r="U122" s="261"/>
      <c r="V122" s="746"/>
      <c r="W122" s="670" t="str">
        <f>BO122&amp;" c. "&amp;ROUND(BP122*100,1)&amp;" %"</f>
        <v>0 c. 0 %</v>
      </c>
      <c r="X122" s="670" t="str">
        <f>BQ122</f>
        <v>N/A</v>
      </c>
      <c r="Y122" s="67"/>
      <c r="Z122" s="66"/>
      <c r="AA122" s="545"/>
      <c r="AB122" s="105"/>
      <c r="AC122" s="473"/>
      <c r="AD122" s="17">
        <f t="shared" si="69"/>
        <v>0</v>
      </c>
      <c r="AE122" s="1">
        <f t="shared" si="104"/>
        <v>0</v>
      </c>
      <c r="AF122" s="1">
        <f t="shared" si="105"/>
        <v>0</v>
      </c>
      <c r="AG122" s="1">
        <f t="shared" si="106"/>
        <v>0</v>
      </c>
      <c r="AJ122" s="56"/>
      <c r="AK122" s="500"/>
      <c r="AL122" s="56"/>
      <c r="AM122" s="56"/>
      <c r="AN122" s="56"/>
      <c r="AO122" s="56"/>
      <c r="AP122" s="56"/>
      <c r="AQ122" s="56"/>
      <c r="AT122" s="17"/>
      <c r="AU122" s="17"/>
      <c r="AV122" s="17"/>
      <c r="AW122" s="17"/>
      <c r="AX122" s="17"/>
      <c r="AY122" s="17"/>
      <c r="BA122" s="473"/>
      <c r="BB122" s="17"/>
      <c r="BC122" s="17" t="b">
        <f t="shared" si="73"/>
        <v>1</v>
      </c>
      <c r="BD122" s="17" t="str">
        <f>Poeng!B130</f>
        <v>Mat 02</v>
      </c>
      <c r="BE122" s="13" t="str">
        <f>Poeng!E130</f>
        <v>Mat 02 Bærekraftige materialvalg - produktkrav</v>
      </c>
      <c r="BF122" s="13">
        <f>Poeng!AB130</f>
        <v>3</v>
      </c>
      <c r="BG122" s="13">
        <f>Poeng!AI130</f>
        <v>0</v>
      </c>
      <c r="BH122" s="1076">
        <f>Poeng!AE130</f>
        <v>0</v>
      </c>
      <c r="BI122" s="1" t="str">
        <f>Poeng!BE130</f>
        <v>N/A</v>
      </c>
      <c r="BK122" s="1">
        <f>Poeng!AJ130</f>
        <v>0</v>
      </c>
      <c r="BL122" s="1076">
        <f>Poeng!AF130</f>
        <v>0</v>
      </c>
      <c r="BM122" s="1076" t="str">
        <f>Poeng!BH130</f>
        <v>N/A</v>
      </c>
      <c r="BO122" s="1">
        <f>Poeng!AK130</f>
        <v>0</v>
      </c>
      <c r="BP122" s="1076">
        <f>Poeng!AG130</f>
        <v>0</v>
      </c>
      <c r="BQ122" s="1076" t="str">
        <f>Poeng!BK130</f>
        <v>N/A</v>
      </c>
    </row>
    <row r="123" spans="1:69">
      <c r="A123" s="792">
        <v>114</v>
      </c>
      <c r="B123" s="793" t="s">
        <v>437</v>
      </c>
      <c r="C123" s="97" t="str">
        <f t="shared" si="100"/>
        <v>Mat 02</v>
      </c>
      <c r="D123" s="14" t="s">
        <v>446</v>
      </c>
      <c r="E123" s="963">
        <v>1</v>
      </c>
      <c r="F123" s="787" t="str">
        <f t="shared" si="102"/>
        <v>Minstekrav: Fravær av miljøgifter (EU taksonomi: krit. 1)</v>
      </c>
      <c r="G123" s="95" t="str">
        <f t="shared" si="103"/>
        <v>Yes/No</v>
      </c>
      <c r="H123" s="29"/>
      <c r="I123" s="96" t="str">
        <f t="shared" ref="I123:J125" si="110">BH123</f>
        <v>-</v>
      </c>
      <c r="J123" s="97" t="str">
        <f t="shared" si="110"/>
        <v>Unclassified</v>
      </c>
      <c r="K123" s="66"/>
      <c r="L123" s="228"/>
      <c r="M123" s="601"/>
      <c r="N123" s="616"/>
      <c r="O123" s="69"/>
      <c r="P123" s="96" t="str">
        <f t="shared" ref="P123:Q125" si="111">BL123</f>
        <v>-</v>
      </c>
      <c r="Q123" s="96" t="str">
        <f t="shared" si="111"/>
        <v>Unclassified</v>
      </c>
      <c r="R123" s="551"/>
      <c r="S123" s="552"/>
      <c r="T123" s="545"/>
      <c r="U123" s="261"/>
      <c r="V123" s="69"/>
      <c r="W123" s="96" t="str">
        <f t="shared" ref="W123:X125" si="112">BP123</f>
        <v>-</v>
      </c>
      <c r="X123" s="96" t="str">
        <f t="shared" si="112"/>
        <v>Unclassified</v>
      </c>
      <c r="Y123" s="67"/>
      <c r="Z123" s="66"/>
      <c r="AA123" s="545"/>
      <c r="AD123" s="17">
        <f t="shared" si="69"/>
        <v>0</v>
      </c>
      <c r="AE123" s="1">
        <f t="shared" si="104"/>
        <v>0</v>
      </c>
      <c r="AF123" s="1">
        <f t="shared" si="105"/>
        <v>0</v>
      </c>
      <c r="AG123" s="1">
        <f t="shared" si="106"/>
        <v>0</v>
      </c>
      <c r="BB123" s="17"/>
      <c r="BC123" s="17" t="b">
        <f t="shared" si="73"/>
        <v>1</v>
      </c>
      <c r="BD123" s="17" t="str">
        <f>Poeng!B239</f>
        <v>Mat 02a</v>
      </c>
      <c r="BE123" s="13" t="str">
        <f>Poeng!E239</f>
        <v>Minstekrav: Fravær av miljøgifter (EU taksonomi: krit. 1)</v>
      </c>
      <c r="BF123" s="13" t="str">
        <f>Poeng!AB239</f>
        <v>Yes/No</v>
      </c>
      <c r="BG123" s="13">
        <f>Poeng!AI239</f>
        <v>0</v>
      </c>
      <c r="BH123" s="1076" t="str">
        <f>Poeng!AE239</f>
        <v>-</v>
      </c>
      <c r="BI123" s="1" t="str">
        <f>Poeng!BE239</f>
        <v>Unclassified</v>
      </c>
      <c r="BK123" s="1">
        <f>Poeng!AJ239</f>
        <v>0</v>
      </c>
      <c r="BL123" s="1076" t="str">
        <f>Poeng!AF239</f>
        <v>-</v>
      </c>
      <c r="BM123" s="1076" t="str">
        <f>Poeng!BH239</f>
        <v>Unclassified</v>
      </c>
      <c r="BO123" s="1">
        <f>Poeng!AK239</f>
        <v>0</v>
      </c>
      <c r="BP123" s="1076" t="str">
        <f>Poeng!AG239</f>
        <v>-</v>
      </c>
      <c r="BQ123" s="1076" t="str">
        <f>Poeng!BK239</f>
        <v>Unclassified</v>
      </c>
    </row>
    <row r="124" spans="1:69">
      <c r="A124" s="792">
        <v>115</v>
      </c>
      <c r="B124" s="793" t="s">
        <v>437</v>
      </c>
      <c r="C124" s="97" t="str">
        <f t="shared" si="100"/>
        <v>Mat 02</v>
      </c>
      <c r="D124" s="14" t="s">
        <v>447</v>
      </c>
      <c r="E124" s="963">
        <v>2</v>
      </c>
      <c r="F124" s="787" t="str">
        <f t="shared" si="102"/>
        <v>EPD for bygningsprodukter</v>
      </c>
      <c r="G124" s="95">
        <f t="shared" si="103"/>
        <v>1</v>
      </c>
      <c r="H124" s="29"/>
      <c r="I124" s="96">
        <f t="shared" si="110"/>
        <v>0</v>
      </c>
      <c r="J124" s="97" t="str">
        <f t="shared" si="110"/>
        <v>N/A</v>
      </c>
      <c r="K124" s="66"/>
      <c r="L124" s="228"/>
      <c r="M124" s="601"/>
      <c r="N124" s="616"/>
      <c r="O124" s="69"/>
      <c r="P124" s="96">
        <f t="shared" si="111"/>
        <v>0</v>
      </c>
      <c r="Q124" s="96" t="str">
        <f t="shared" si="111"/>
        <v>N/A</v>
      </c>
      <c r="R124" s="551"/>
      <c r="S124" s="552"/>
      <c r="T124" s="545"/>
      <c r="U124" s="261"/>
      <c r="V124" s="69"/>
      <c r="W124" s="96">
        <f t="shared" si="112"/>
        <v>0</v>
      </c>
      <c r="X124" s="96" t="str">
        <f t="shared" si="112"/>
        <v>N/A</v>
      </c>
      <c r="Y124" s="67"/>
      <c r="Z124" s="66"/>
      <c r="AA124" s="545"/>
      <c r="AD124" s="17">
        <f t="shared" si="69"/>
        <v>0</v>
      </c>
      <c r="AE124" s="1">
        <f t="shared" si="104"/>
        <v>0</v>
      </c>
      <c r="AF124" s="1">
        <f t="shared" si="105"/>
        <v>0</v>
      </c>
      <c r="AG124" s="1">
        <f t="shared" si="106"/>
        <v>0</v>
      </c>
      <c r="BB124" s="17"/>
      <c r="BC124" s="17" t="b">
        <f t="shared" si="73"/>
        <v>1</v>
      </c>
      <c r="BD124" s="17" t="str">
        <f>Poeng!B132</f>
        <v>Mat 02b</v>
      </c>
      <c r="BE124" s="13" t="str">
        <f>Poeng!E132</f>
        <v>EPD for bygningsprodukter</v>
      </c>
      <c r="BF124" s="13">
        <f>Poeng!AB132</f>
        <v>1</v>
      </c>
      <c r="BG124" s="13">
        <f>Poeng!AI132</f>
        <v>0</v>
      </c>
      <c r="BH124" s="1076">
        <f>Poeng!AE132</f>
        <v>0</v>
      </c>
      <c r="BI124" s="1" t="str">
        <f>Poeng!BE132</f>
        <v>N/A</v>
      </c>
      <c r="BK124" s="1">
        <f>Poeng!AJ132</f>
        <v>0</v>
      </c>
      <c r="BL124" s="1076">
        <f>Poeng!AF132</f>
        <v>0</v>
      </c>
      <c r="BM124" s="1076" t="str">
        <f>Poeng!BH132</f>
        <v>N/A</v>
      </c>
      <c r="BO124" s="1">
        <f>Poeng!AK132</f>
        <v>0</v>
      </c>
      <c r="BP124" s="1076">
        <f>Poeng!AG132</f>
        <v>0</v>
      </c>
      <c r="BQ124" s="1076" t="str">
        <f>Poeng!BK132</f>
        <v>N/A</v>
      </c>
    </row>
    <row r="125" spans="1:69">
      <c r="A125" s="792">
        <v>116</v>
      </c>
      <c r="B125" s="793" t="s">
        <v>437</v>
      </c>
      <c r="C125" s="97" t="str">
        <f t="shared" si="100"/>
        <v>Mat 02</v>
      </c>
      <c r="D125" s="14" t="s">
        <v>448</v>
      </c>
      <c r="E125" s="963" t="s">
        <v>290</v>
      </c>
      <c r="F125" s="787" t="str">
        <f t="shared" si="102"/>
        <v>Ytelseskrav til bygningsprodukter</v>
      </c>
      <c r="G125" s="95">
        <f t="shared" si="103"/>
        <v>2</v>
      </c>
      <c r="H125" s="29"/>
      <c r="I125" s="96">
        <f t="shared" si="110"/>
        <v>0</v>
      </c>
      <c r="J125" s="97" t="str">
        <f t="shared" si="110"/>
        <v>N/A</v>
      </c>
      <c r="K125" s="66"/>
      <c r="L125" s="228"/>
      <c r="M125" s="601"/>
      <c r="N125" s="616"/>
      <c r="O125" s="69"/>
      <c r="P125" s="96">
        <f t="shared" si="111"/>
        <v>0</v>
      </c>
      <c r="Q125" s="96" t="str">
        <f t="shared" si="111"/>
        <v>N/A</v>
      </c>
      <c r="R125" s="551"/>
      <c r="S125" s="552"/>
      <c r="T125" s="601"/>
      <c r="U125" s="261"/>
      <c r="V125" s="69"/>
      <c r="W125" s="96">
        <f t="shared" si="112"/>
        <v>0</v>
      </c>
      <c r="X125" s="96" t="str">
        <f t="shared" si="112"/>
        <v>N/A</v>
      </c>
      <c r="Y125" s="67"/>
      <c r="Z125" s="66"/>
      <c r="AA125" s="601"/>
      <c r="AD125" s="17">
        <f t="shared" si="69"/>
        <v>0</v>
      </c>
      <c r="AE125" s="1">
        <f t="shared" si="104"/>
        <v>0</v>
      </c>
      <c r="AF125" s="1">
        <f t="shared" si="105"/>
        <v>0</v>
      </c>
      <c r="AG125" s="1">
        <f t="shared" si="106"/>
        <v>0</v>
      </c>
      <c r="BB125" s="17"/>
      <c r="BC125" s="17" t="b">
        <f t="shared" si="73"/>
        <v>1</v>
      </c>
      <c r="BD125" s="17" t="str">
        <f>Poeng!B133</f>
        <v>Mat 02c</v>
      </c>
      <c r="BE125" s="13" t="str">
        <f>Poeng!E133</f>
        <v>Ytelseskrav til bygningsprodukter</v>
      </c>
      <c r="BF125" s="13">
        <f>Poeng!AB133</f>
        <v>2</v>
      </c>
      <c r="BG125" s="13">
        <f>Poeng!AI133</f>
        <v>0</v>
      </c>
      <c r="BH125" s="1076">
        <f>Poeng!AE133</f>
        <v>0</v>
      </c>
      <c r="BI125" s="1" t="str">
        <f>Poeng!BE133</f>
        <v>N/A</v>
      </c>
      <c r="BK125" s="1">
        <f>Poeng!AJ133</f>
        <v>0</v>
      </c>
      <c r="BL125" s="1076">
        <f>Poeng!AF133</f>
        <v>0</v>
      </c>
      <c r="BM125" s="1076" t="str">
        <f>Poeng!BH133</f>
        <v>N/A</v>
      </c>
      <c r="BO125" s="1">
        <f>Poeng!AK133</f>
        <v>0</v>
      </c>
      <c r="BP125" s="1076">
        <f>Poeng!AG133</f>
        <v>0</v>
      </c>
      <c r="BQ125" s="1076" t="str">
        <f>Poeng!BK133</f>
        <v>N/A</v>
      </c>
    </row>
    <row r="126" spans="1:69">
      <c r="A126" s="792">
        <v>117</v>
      </c>
      <c r="B126" s="793" t="s">
        <v>437</v>
      </c>
      <c r="C126" s="704" t="s">
        <v>449</v>
      </c>
      <c r="D126" s="621" t="s">
        <v>449</v>
      </c>
      <c r="E126" s="962"/>
      <c r="F126" s="654" t="str">
        <f t="shared" si="102"/>
        <v>Mat 03 Ansvarlig innkjøp av materialer</v>
      </c>
      <c r="G126" s="659">
        <f t="shared" si="103"/>
        <v>3</v>
      </c>
      <c r="H126" s="746"/>
      <c r="I126" s="660" t="str">
        <f>BG126&amp;" c. "&amp;ROUND(BH126*100,1)&amp;" %"</f>
        <v>0 c. 0 %</v>
      </c>
      <c r="J126" s="703" t="str">
        <f>BI126</f>
        <v>N/A</v>
      </c>
      <c r="K126" s="66"/>
      <c r="L126" s="228"/>
      <c r="M126" s="601"/>
      <c r="N126" s="616"/>
      <c r="O126" s="746"/>
      <c r="P126" s="670" t="str">
        <f>BK126&amp;" c. "&amp;ROUND(BL126*100,1)&amp;" %"</f>
        <v>0 c. 0 %</v>
      </c>
      <c r="Q126" s="670" t="str">
        <f>BM126</f>
        <v>N/A</v>
      </c>
      <c r="R126" s="551"/>
      <c r="S126" s="552"/>
      <c r="T126" s="545"/>
      <c r="U126" s="261"/>
      <c r="V126" s="746"/>
      <c r="W126" s="670" t="str">
        <f>BO126&amp;" c. "&amp;ROUND(BP126*100,1)&amp;" %"</f>
        <v>0 c. 0 %</v>
      </c>
      <c r="X126" s="670" t="str">
        <f>BQ126</f>
        <v>N/A</v>
      </c>
      <c r="Y126" s="67"/>
      <c r="Z126" s="66"/>
      <c r="AA126" s="545"/>
      <c r="AB126" s="105"/>
      <c r="AC126" s="473" t="s">
        <v>209</v>
      </c>
      <c r="AD126" s="17">
        <f t="shared" si="69"/>
        <v>0</v>
      </c>
      <c r="AE126" s="1">
        <f t="shared" si="104"/>
        <v>0</v>
      </c>
      <c r="AF126" s="1">
        <f t="shared" si="105"/>
        <v>0</v>
      </c>
      <c r="AG126" s="1">
        <f t="shared" si="106"/>
        <v>0</v>
      </c>
      <c r="AJ126" s="56"/>
      <c r="AK126" s="500" t="s">
        <v>450</v>
      </c>
      <c r="AL126" s="56"/>
      <c r="AM126" s="56"/>
      <c r="AN126" s="56"/>
      <c r="AO126" s="56"/>
      <c r="AP126" s="56"/>
      <c r="AQ126" s="56"/>
      <c r="AT126" s="17" t="str">
        <f>IF($AK$4=ais_nei,AIS_NA,IF(AL126="",AIS_NA,AL126))</f>
        <v>N/A</v>
      </c>
      <c r="AU126" s="17" t="str">
        <f>IF($AK$4=ais_nei,AIS_NA,IF(AM126="",AIS_NA,AM126))</f>
        <v>N/A</v>
      </c>
      <c r="AV126" s="17" t="str">
        <f>IF($AK$4=ais_nei,AIS_NA,IF(AN126="",AIS_NA,AN126))</f>
        <v>N/A</v>
      </c>
      <c r="AW126" s="17"/>
      <c r="AX126" s="17"/>
      <c r="AY126" s="17"/>
      <c r="BA126" s="473"/>
      <c r="BB126" s="17"/>
      <c r="BC126" s="17" t="b">
        <f t="shared" si="73"/>
        <v>1</v>
      </c>
      <c r="BD126" s="17" t="str">
        <f>Poeng!B134</f>
        <v>Mat 03</v>
      </c>
      <c r="BE126" s="13" t="str">
        <f>Poeng!E134</f>
        <v>Mat 03 Ansvarlig innkjøp av materialer</v>
      </c>
      <c r="BF126" s="13">
        <f>Poeng!AB134</f>
        <v>3</v>
      </c>
      <c r="BG126" s="13">
        <f>Poeng!AI134</f>
        <v>0</v>
      </c>
      <c r="BH126" s="1076">
        <f>Poeng!AE134</f>
        <v>0</v>
      </c>
      <c r="BI126" s="1" t="str">
        <f>Poeng!BE134</f>
        <v>N/A</v>
      </c>
      <c r="BK126" s="1">
        <f>Poeng!AJ134</f>
        <v>0</v>
      </c>
      <c r="BL126" s="1076">
        <f>Poeng!AF134</f>
        <v>0</v>
      </c>
      <c r="BM126" s="1076" t="str">
        <f>Poeng!BH134</f>
        <v>N/A</v>
      </c>
      <c r="BO126" s="1">
        <f>Poeng!AK134</f>
        <v>0</v>
      </c>
      <c r="BP126" s="1076">
        <f>Poeng!AG134</f>
        <v>0</v>
      </c>
      <c r="BQ126" s="1076" t="str">
        <f>Poeng!BK134</f>
        <v>N/A</v>
      </c>
    </row>
    <row r="127" spans="1:69">
      <c r="A127" s="792">
        <v>118</v>
      </c>
      <c r="B127" s="793" t="s">
        <v>437</v>
      </c>
      <c r="C127" s="97" t="str">
        <f t="shared" si="100"/>
        <v>Mat 03</v>
      </c>
      <c r="D127" s="14" t="s">
        <v>451</v>
      </c>
      <c r="E127" s="963">
        <v>1</v>
      </c>
      <c r="F127" s="787" t="str">
        <f t="shared" si="102"/>
        <v>Minstekrav: Lovlig hugget og bærekraftig tre</v>
      </c>
      <c r="G127" s="95" t="str">
        <f t="shared" si="103"/>
        <v>Yes/No</v>
      </c>
      <c r="H127" s="29"/>
      <c r="I127" s="96" t="str">
        <f t="shared" ref="I127:J129" si="113">BH127</f>
        <v>-</v>
      </c>
      <c r="J127" s="97" t="str">
        <f t="shared" si="113"/>
        <v>Unclassified</v>
      </c>
      <c r="K127" s="66"/>
      <c r="L127" s="228"/>
      <c r="M127" s="601"/>
      <c r="N127" s="616"/>
      <c r="O127" s="69"/>
      <c r="P127" s="96" t="str">
        <f t="shared" ref="P127:Q129" si="114">BL127</f>
        <v>-</v>
      </c>
      <c r="Q127" s="96" t="str">
        <f t="shared" si="114"/>
        <v>Unclassified</v>
      </c>
      <c r="R127" s="551"/>
      <c r="S127" s="552"/>
      <c r="T127" s="545"/>
      <c r="U127" s="261"/>
      <c r="V127" s="69"/>
      <c r="W127" s="96" t="str">
        <f t="shared" ref="W127:X129" si="115">BP127</f>
        <v>-</v>
      </c>
      <c r="X127" s="96" t="str">
        <f t="shared" si="115"/>
        <v>Unclassified</v>
      </c>
      <c r="Y127" s="67"/>
      <c r="Z127" s="66"/>
      <c r="AA127" s="545"/>
      <c r="AD127" s="17">
        <f t="shared" si="69"/>
        <v>0</v>
      </c>
      <c r="AE127" s="1">
        <f t="shared" si="104"/>
        <v>0</v>
      </c>
      <c r="AF127" s="1">
        <f t="shared" si="105"/>
        <v>0</v>
      </c>
      <c r="AG127" s="1">
        <f t="shared" si="106"/>
        <v>0</v>
      </c>
      <c r="BB127" s="17"/>
      <c r="BC127" s="17" t="b">
        <f t="shared" si="73"/>
        <v>1</v>
      </c>
      <c r="BD127" s="17" t="str">
        <f>Poeng!B240</f>
        <v>Mat 03a</v>
      </c>
      <c r="BE127" s="13" t="str">
        <f>Poeng!E240</f>
        <v>Minstekrav: Lovlig hugget og bærekraftig tre</v>
      </c>
      <c r="BF127" s="13" t="str">
        <f>Poeng!AB240</f>
        <v>Yes/No</v>
      </c>
      <c r="BG127" s="13">
        <f>Poeng!AI240</f>
        <v>0</v>
      </c>
      <c r="BH127" s="1076" t="str">
        <f>Poeng!AE240</f>
        <v>-</v>
      </c>
      <c r="BI127" s="1" t="str">
        <f>Poeng!BE240</f>
        <v>Unclassified</v>
      </c>
      <c r="BK127" s="1">
        <f>Poeng!AJ240</f>
        <v>0</v>
      </c>
      <c r="BL127" s="1076" t="str">
        <f>Poeng!AF240</f>
        <v>-</v>
      </c>
      <c r="BM127" s="1076" t="str">
        <f>Poeng!BH240</f>
        <v>Unclassified</v>
      </c>
      <c r="BO127" s="1">
        <f>Poeng!AK240</f>
        <v>0</v>
      </c>
      <c r="BP127" s="1076" t="str">
        <f>Poeng!AG240</f>
        <v>-</v>
      </c>
      <c r="BQ127" s="1076" t="str">
        <f>Poeng!BK240</f>
        <v>Unclassified</v>
      </c>
    </row>
    <row r="128" spans="1:69" ht="30">
      <c r="A128" s="792">
        <v>119</v>
      </c>
      <c r="B128" s="793" t="s">
        <v>437</v>
      </c>
      <c r="C128" s="97" t="str">
        <f t="shared" si="100"/>
        <v>Mat 03</v>
      </c>
      <c r="D128" s="14" t="s">
        <v>452</v>
      </c>
      <c r="E128" s="963">
        <v>2</v>
      </c>
      <c r="F128" s="787" t="str">
        <f t="shared" si="102"/>
        <v xml:space="preserve">	
Tilrettelegge for bærekraftig innkjøp</v>
      </c>
      <c r="G128" s="95">
        <f t="shared" si="103"/>
        <v>1</v>
      </c>
      <c r="H128" s="29"/>
      <c r="I128" s="96">
        <f t="shared" si="113"/>
        <v>0</v>
      </c>
      <c r="J128" s="97" t="str">
        <f t="shared" si="113"/>
        <v>N/A</v>
      </c>
      <c r="K128" s="66"/>
      <c r="L128" s="228"/>
      <c r="M128" s="601"/>
      <c r="N128" s="616"/>
      <c r="O128" s="69"/>
      <c r="P128" s="96">
        <f t="shared" si="114"/>
        <v>0</v>
      </c>
      <c r="Q128" s="96" t="str">
        <f t="shared" si="114"/>
        <v>N/A</v>
      </c>
      <c r="R128" s="551"/>
      <c r="S128" s="552"/>
      <c r="T128" s="545"/>
      <c r="U128" s="261"/>
      <c r="V128" s="69"/>
      <c r="W128" s="96">
        <f t="shared" si="115"/>
        <v>0</v>
      </c>
      <c r="X128" s="96" t="str">
        <f t="shared" si="115"/>
        <v>N/A</v>
      </c>
      <c r="Y128" s="67"/>
      <c r="Z128" s="66"/>
      <c r="AA128" s="545"/>
      <c r="AD128" s="17">
        <f t="shared" si="69"/>
        <v>0</v>
      </c>
      <c r="AE128" s="1">
        <f t="shared" si="104"/>
        <v>0</v>
      </c>
      <c r="AF128" s="1">
        <f t="shared" si="105"/>
        <v>0</v>
      </c>
      <c r="AG128" s="1">
        <f t="shared" si="106"/>
        <v>0</v>
      </c>
      <c r="BB128" s="17"/>
      <c r="BC128" s="17" t="b">
        <f t="shared" si="73"/>
        <v>1</v>
      </c>
      <c r="BD128" s="17" t="str">
        <f>Poeng!B136</f>
        <v>Mat 03b</v>
      </c>
      <c r="BE128" s="13" t="str">
        <f>Poeng!E136</f>
        <v xml:space="preserve">	
Tilrettelegge for bærekraftig innkjøp</v>
      </c>
      <c r="BF128" s="13">
        <f>Poeng!AB136</f>
        <v>1</v>
      </c>
      <c r="BG128" s="13">
        <f>Poeng!AI136</f>
        <v>0</v>
      </c>
      <c r="BH128" s="1076">
        <f>Poeng!AE136</f>
        <v>0</v>
      </c>
      <c r="BI128" s="1" t="str">
        <f>Poeng!BE136</f>
        <v>N/A</v>
      </c>
      <c r="BK128" s="1">
        <f>Poeng!AJ136</f>
        <v>0</v>
      </c>
      <c r="BL128" s="1076">
        <f>Poeng!AF136</f>
        <v>0</v>
      </c>
      <c r="BM128" s="1076" t="str">
        <f>Poeng!BH136</f>
        <v>N/A</v>
      </c>
      <c r="BO128" s="1">
        <f>Poeng!AK136</f>
        <v>0</v>
      </c>
      <c r="BP128" s="1076">
        <f>Poeng!AG136</f>
        <v>0</v>
      </c>
      <c r="BQ128" s="1076" t="str">
        <f>Poeng!BK136</f>
        <v>N/A</v>
      </c>
    </row>
    <row r="129" spans="1:69">
      <c r="A129" s="792">
        <v>120</v>
      </c>
      <c r="B129" s="793" t="s">
        <v>437</v>
      </c>
      <c r="C129" s="97" t="str">
        <f t="shared" si="100"/>
        <v>Mat 03</v>
      </c>
      <c r="D129" s="14" t="s">
        <v>453</v>
      </c>
      <c r="E129" s="963">
        <v>3</v>
      </c>
      <c r="F129" s="787" t="str">
        <f t="shared" si="102"/>
        <v>Ansvarlig innkjøp av relevante materialer</v>
      </c>
      <c r="G129" s="95">
        <f t="shared" si="103"/>
        <v>2</v>
      </c>
      <c r="H129" s="29"/>
      <c r="I129" s="96">
        <f t="shared" si="113"/>
        <v>0</v>
      </c>
      <c r="J129" s="97" t="str">
        <f t="shared" si="113"/>
        <v>N/A</v>
      </c>
      <c r="K129" s="803"/>
      <c r="L129" s="228"/>
      <c r="M129" s="601"/>
      <c r="N129" s="616"/>
      <c r="O129" s="69"/>
      <c r="P129" s="96">
        <f t="shared" si="114"/>
        <v>0</v>
      </c>
      <c r="Q129" s="96" t="str">
        <f t="shared" si="114"/>
        <v>N/A</v>
      </c>
      <c r="R129" s="551"/>
      <c r="S129" s="552"/>
      <c r="T129" s="545"/>
      <c r="U129" s="261"/>
      <c r="V129" s="69"/>
      <c r="W129" s="96">
        <f t="shared" si="115"/>
        <v>0</v>
      </c>
      <c r="X129" s="96" t="str">
        <f t="shared" si="115"/>
        <v>N/A</v>
      </c>
      <c r="Y129" s="67"/>
      <c r="Z129" s="66"/>
      <c r="AA129" s="545"/>
      <c r="AD129" s="17">
        <f t="shared" si="69"/>
        <v>0</v>
      </c>
      <c r="AE129" s="1">
        <f t="shared" si="104"/>
        <v>0</v>
      </c>
      <c r="AF129" s="1">
        <f t="shared" si="105"/>
        <v>0</v>
      </c>
      <c r="AG129" s="1">
        <f t="shared" si="106"/>
        <v>0</v>
      </c>
      <c r="BB129" s="17"/>
      <c r="BC129" s="17" t="b">
        <f t="shared" si="73"/>
        <v>1</v>
      </c>
      <c r="BD129" s="17" t="str">
        <f>Poeng!B137</f>
        <v>Mat 03c</v>
      </c>
      <c r="BE129" s="13" t="str">
        <f>Poeng!E137</f>
        <v>Ansvarlig innkjøp av relevante materialer</v>
      </c>
      <c r="BF129" s="13">
        <f>Poeng!AB137</f>
        <v>2</v>
      </c>
      <c r="BG129" s="13">
        <f>Poeng!AI137</f>
        <v>0</v>
      </c>
      <c r="BH129" s="1076">
        <f>Poeng!AE137</f>
        <v>0</v>
      </c>
      <c r="BI129" s="1" t="str">
        <f>Poeng!BE137</f>
        <v>N/A</v>
      </c>
      <c r="BK129" s="1">
        <f>Poeng!AJ137</f>
        <v>0</v>
      </c>
      <c r="BL129" s="1076">
        <f>Poeng!AF137</f>
        <v>0</v>
      </c>
      <c r="BM129" s="1076" t="str">
        <f>Poeng!BH137</f>
        <v>N/A</v>
      </c>
      <c r="BO129" s="1">
        <f>Poeng!AK137</f>
        <v>0</v>
      </c>
      <c r="BP129" s="1076">
        <f>Poeng!AG137</f>
        <v>0</v>
      </c>
      <c r="BQ129" s="1076" t="str">
        <f>Poeng!BK137</f>
        <v>N/A</v>
      </c>
    </row>
    <row r="130" spans="1:69">
      <c r="A130" s="792">
        <v>121</v>
      </c>
      <c r="B130" s="793" t="s">
        <v>437</v>
      </c>
      <c r="C130" s="704" t="s">
        <v>454</v>
      </c>
      <c r="D130" s="621" t="s">
        <v>454</v>
      </c>
      <c r="E130" s="962"/>
      <c r="F130" s="654" t="str">
        <f t="shared" si="102"/>
        <v>Mat 05 Materialeffektivitet og ombruk</v>
      </c>
      <c r="G130" s="659">
        <f t="shared" si="103"/>
        <v>4</v>
      </c>
      <c r="H130" s="746"/>
      <c r="I130" s="660" t="str">
        <f>BG130&amp;" c. "&amp;ROUND(BH130*100,1)&amp;" %"</f>
        <v>0 c. 0 %</v>
      </c>
      <c r="J130" s="703" t="str">
        <f>BI130</f>
        <v>N/A</v>
      </c>
      <c r="K130" s="66"/>
      <c r="L130" s="228"/>
      <c r="M130" s="601"/>
      <c r="N130" s="616"/>
      <c r="O130" s="746"/>
      <c r="P130" s="670" t="str">
        <f>BK130&amp;" c. "&amp;ROUND(BL130*100,1)&amp;" %"</f>
        <v>0 c. 0 %</v>
      </c>
      <c r="Q130" s="670" t="str">
        <f>BM130</f>
        <v>N/A</v>
      </c>
      <c r="R130" s="551"/>
      <c r="S130" s="552"/>
      <c r="T130" s="545"/>
      <c r="U130" s="261"/>
      <c r="V130" s="746"/>
      <c r="W130" s="670" t="str">
        <f>BO130&amp;" c. "&amp;ROUND(BP130*100,1)&amp;" %"</f>
        <v>0 c. 0 %</v>
      </c>
      <c r="X130" s="670" t="str">
        <f>BQ130</f>
        <v>N/A</v>
      </c>
      <c r="Y130" s="67"/>
      <c r="Z130" s="66"/>
      <c r="AA130" s="545"/>
      <c r="AB130" s="105"/>
      <c r="AC130" s="473" t="s">
        <v>123</v>
      </c>
      <c r="AD130" s="17">
        <f t="shared" si="69"/>
        <v>0</v>
      </c>
      <c r="AE130" s="1">
        <f t="shared" si="104"/>
        <v>0</v>
      </c>
      <c r="AF130" s="1">
        <f t="shared" si="105"/>
        <v>0</v>
      </c>
      <c r="AG130" s="1">
        <f t="shared" si="106"/>
        <v>0</v>
      </c>
      <c r="AJ130" s="56" t="str">
        <f>ais_ja</f>
        <v>Ja</v>
      </c>
      <c r="AK130" s="500" t="s">
        <v>455</v>
      </c>
      <c r="AL130" s="479" t="s">
        <v>277</v>
      </c>
      <c r="AM130" s="479" t="s">
        <v>327</v>
      </c>
      <c r="AN130" s="479" t="s">
        <v>279</v>
      </c>
      <c r="AO130" s="56"/>
      <c r="AP130" s="56"/>
      <c r="AQ130" s="56"/>
      <c r="AS130" s="1" t="s">
        <v>123</v>
      </c>
      <c r="AT130" s="17" t="str">
        <f>IF($AK$4=ais_nei,AIS_NA,IF(AL130="",AIS_NA,AL130))</f>
        <v>N/A</v>
      </c>
      <c r="AU130" s="17" t="str">
        <f>IF($AK$4=ais_nei,AIS_NA,IF(AM130="",AIS_NA,AM130))</f>
        <v>N/A</v>
      </c>
      <c r="AV130" s="17" t="str">
        <f>IF($AK$4=ais_nei,AIS_NA,IF(AN130="",AIS_NA,AN130))</f>
        <v>N/A</v>
      </c>
      <c r="AW130" s="17"/>
      <c r="AX130" s="17"/>
      <c r="AY130" s="17"/>
      <c r="BA130" s="475"/>
      <c r="BB130" s="17"/>
      <c r="BC130" s="17" t="b">
        <f t="shared" si="73"/>
        <v>1</v>
      </c>
      <c r="BD130" s="17" t="str">
        <f>Poeng!B138</f>
        <v>Mat 05</v>
      </c>
      <c r="BE130" s="13" t="str">
        <f>Poeng!E138</f>
        <v>Mat 05 Materialeffektivitet og ombruk</v>
      </c>
      <c r="BF130" s="13">
        <f>Poeng!AB138</f>
        <v>4</v>
      </c>
      <c r="BG130" s="13">
        <f>Poeng!AI138</f>
        <v>0</v>
      </c>
      <c r="BH130" s="1076">
        <f>Poeng!AE138</f>
        <v>0</v>
      </c>
      <c r="BI130" s="1" t="str">
        <f>Poeng!BE138</f>
        <v>N/A</v>
      </c>
      <c r="BK130" s="1">
        <f>Poeng!AJ138</f>
        <v>0</v>
      </c>
      <c r="BL130" s="1076">
        <f>Poeng!AF138</f>
        <v>0</v>
      </c>
      <c r="BM130" s="1076" t="str">
        <f>Poeng!BH138</f>
        <v>N/A</v>
      </c>
      <c r="BO130" s="1">
        <f>Poeng!AK138</f>
        <v>0</v>
      </c>
      <c r="BP130" s="1076">
        <f>Poeng!AG138</f>
        <v>0</v>
      </c>
      <c r="BQ130" s="1076" t="str">
        <f>Poeng!BK138</f>
        <v>N/A</v>
      </c>
    </row>
    <row r="131" spans="1:69">
      <c r="A131" s="792">
        <v>122</v>
      </c>
      <c r="B131" s="793" t="s">
        <v>437</v>
      </c>
      <c r="C131" s="97" t="str">
        <f t="shared" si="100"/>
        <v>Mat 05</v>
      </c>
      <c r="D131" s="621" t="s">
        <v>456</v>
      </c>
      <c r="E131" s="963">
        <v>1</v>
      </c>
      <c r="F131" s="787" t="str">
        <f t="shared" ref="F131:F136" si="116">BE131</f>
        <v>Forkrav: Risikoanalyse</v>
      </c>
      <c r="G131" s="95" t="str">
        <f t="shared" ref="G131:G137" si="117">BF131</f>
        <v>Yes/No</v>
      </c>
      <c r="H131" s="29"/>
      <c r="I131" s="96" t="str">
        <f t="shared" ref="I131:J135" si="118">BH131</f>
        <v>-</v>
      </c>
      <c r="J131" s="97" t="str">
        <f t="shared" si="118"/>
        <v>N/A</v>
      </c>
      <c r="K131" s="66"/>
      <c r="L131" s="228"/>
      <c r="M131" s="601"/>
      <c r="N131" s="616"/>
      <c r="O131" s="69"/>
      <c r="P131" s="96" t="str">
        <f t="shared" ref="P131:Q135" si="119">BL131</f>
        <v>-</v>
      </c>
      <c r="Q131" s="96" t="str">
        <f t="shared" si="119"/>
        <v>N/A</v>
      </c>
      <c r="R131" s="551"/>
      <c r="S131" s="552"/>
      <c r="T131" s="545"/>
      <c r="U131" s="261"/>
      <c r="V131" s="69"/>
      <c r="W131" s="96" t="str">
        <f t="shared" ref="W131:X135" si="120">BP131</f>
        <v>-</v>
      </c>
      <c r="X131" s="96" t="str">
        <f t="shared" si="120"/>
        <v>N/A</v>
      </c>
      <c r="Y131" s="67"/>
      <c r="Z131" s="66"/>
      <c r="AA131" s="545"/>
      <c r="AB131" s="105"/>
      <c r="AC131" s="527"/>
      <c r="AD131" s="17">
        <f t="shared" si="69"/>
        <v>0</v>
      </c>
      <c r="AE131" s="1">
        <f t="shared" si="104"/>
        <v>0</v>
      </c>
      <c r="AF131" s="1">
        <f t="shared" si="105"/>
        <v>0</v>
      </c>
      <c r="AG131" s="1">
        <f t="shared" si="106"/>
        <v>0</v>
      </c>
      <c r="AJ131" s="56"/>
      <c r="AK131" s="500"/>
      <c r="AL131" s="479"/>
      <c r="AM131" s="479"/>
      <c r="AN131" s="479"/>
      <c r="AO131" s="56"/>
      <c r="AP131" s="56"/>
      <c r="AQ131" s="56"/>
      <c r="AT131" s="17"/>
      <c r="AU131" s="17"/>
      <c r="AV131" s="17"/>
      <c r="AW131" s="17"/>
      <c r="AX131" s="17"/>
      <c r="AY131" s="17"/>
      <c r="BA131" s="528"/>
      <c r="BB131" s="17"/>
      <c r="BC131" s="17" t="b">
        <f t="shared" si="73"/>
        <v>1</v>
      </c>
      <c r="BD131" s="17" t="str">
        <f>Poeng!B241</f>
        <v>Mat 05a</v>
      </c>
      <c r="BE131" s="13" t="str">
        <f>Poeng!E241</f>
        <v>Forkrav: Risikoanalyse</v>
      </c>
      <c r="BF131" s="13" t="str">
        <f>Poeng!AB241</f>
        <v>Yes/No</v>
      </c>
      <c r="BG131" s="13">
        <f>Poeng!AI241</f>
        <v>0</v>
      </c>
      <c r="BH131" s="1076" t="str">
        <f>Poeng!AE241</f>
        <v>-</v>
      </c>
      <c r="BI131" s="1" t="str">
        <f>Poeng!BE241</f>
        <v>N/A</v>
      </c>
      <c r="BK131" s="1">
        <f>Poeng!AJ241</f>
        <v>0</v>
      </c>
      <c r="BL131" s="1076" t="str">
        <f>Poeng!AF241</f>
        <v>-</v>
      </c>
      <c r="BM131" s="1076" t="str">
        <f>Poeng!BH241</f>
        <v>N/A</v>
      </c>
      <c r="BO131" s="1">
        <f>Poeng!AK241</f>
        <v>0</v>
      </c>
      <c r="BP131" s="1076" t="str">
        <f>Poeng!AG241</f>
        <v>-</v>
      </c>
      <c r="BQ131" s="1076" t="str">
        <f>Poeng!BK241</f>
        <v>N/A</v>
      </c>
    </row>
    <row r="132" spans="1:69">
      <c r="A132" s="792">
        <v>123</v>
      </c>
      <c r="B132" s="793" t="s">
        <v>437</v>
      </c>
      <c r="C132" s="97" t="str">
        <f t="shared" si="100"/>
        <v>Mat 05</v>
      </c>
      <c r="D132" s="621" t="s">
        <v>457</v>
      </c>
      <c r="E132" s="963">
        <v>2</v>
      </c>
      <c r="F132" s="787" t="str">
        <f t="shared" si="116"/>
        <v>Beskytte utsatte deler av bygget mot skade</v>
      </c>
      <c r="G132" s="95">
        <f t="shared" si="117"/>
        <v>1</v>
      </c>
      <c r="H132" s="789"/>
      <c r="I132" s="96">
        <f t="shared" si="118"/>
        <v>0</v>
      </c>
      <c r="J132" s="97" t="str">
        <f t="shared" si="118"/>
        <v>N/A</v>
      </c>
      <c r="K132" s="66"/>
      <c r="L132" s="228"/>
      <c r="M132" s="601"/>
      <c r="N132" s="616"/>
      <c r="O132" s="69"/>
      <c r="P132" s="96">
        <f t="shared" si="119"/>
        <v>0</v>
      </c>
      <c r="Q132" s="96" t="str">
        <f t="shared" si="119"/>
        <v>N/A</v>
      </c>
      <c r="R132" s="551"/>
      <c r="S132" s="552"/>
      <c r="T132" s="545"/>
      <c r="U132" s="261"/>
      <c r="V132" s="69"/>
      <c r="W132" s="96">
        <f t="shared" si="120"/>
        <v>0</v>
      </c>
      <c r="X132" s="96" t="str">
        <f t="shared" si="120"/>
        <v>N/A</v>
      </c>
      <c r="Y132" s="67"/>
      <c r="Z132" s="66"/>
      <c r="AA132" s="545"/>
      <c r="AB132" s="105"/>
      <c r="AC132" s="527"/>
      <c r="AD132" s="17">
        <f t="shared" si="69"/>
        <v>0</v>
      </c>
      <c r="AE132" s="1">
        <f t="shared" si="104"/>
        <v>0</v>
      </c>
      <c r="AF132" s="1">
        <f t="shared" si="105"/>
        <v>0</v>
      </c>
      <c r="AG132" s="1">
        <f t="shared" si="106"/>
        <v>0</v>
      </c>
      <c r="AJ132" s="56"/>
      <c r="AK132" s="500"/>
      <c r="AL132" s="479"/>
      <c r="AM132" s="479"/>
      <c r="AN132" s="479"/>
      <c r="AO132" s="56"/>
      <c r="AP132" s="56"/>
      <c r="AQ132" s="56"/>
      <c r="AT132" s="17"/>
      <c r="AU132" s="17"/>
      <c r="AV132" s="17"/>
      <c r="AW132" s="17"/>
      <c r="AX132" s="17"/>
      <c r="AY132" s="17"/>
      <c r="BA132" s="528"/>
      <c r="BB132" s="17"/>
      <c r="BC132" s="17" t="b">
        <f t="shared" si="73"/>
        <v>1</v>
      </c>
      <c r="BD132" s="17" t="str">
        <f>Poeng!B140</f>
        <v>Mat 05b</v>
      </c>
      <c r="BE132" s="13" t="str">
        <f>Poeng!E140</f>
        <v>Beskytte utsatte deler av bygget mot skade</v>
      </c>
      <c r="BF132" s="13">
        <f>Poeng!AB140</f>
        <v>1</v>
      </c>
      <c r="BG132" s="13">
        <f>Poeng!AI140</f>
        <v>0</v>
      </c>
      <c r="BH132" s="1076">
        <f>Poeng!AE140</f>
        <v>0</v>
      </c>
      <c r="BI132" s="1" t="str">
        <f>Poeng!BE140</f>
        <v>N/A</v>
      </c>
      <c r="BK132" s="1">
        <f>Poeng!AJ140</f>
        <v>0</v>
      </c>
      <c r="BL132" s="1076">
        <f>Poeng!AF140</f>
        <v>0</v>
      </c>
      <c r="BM132" s="1076" t="str">
        <f>Poeng!BH140</f>
        <v>N/A</v>
      </c>
      <c r="BO132" s="1">
        <f>Poeng!AK140</f>
        <v>0</v>
      </c>
      <c r="BP132" s="1076">
        <f>Poeng!AG140</f>
        <v>0</v>
      </c>
      <c r="BQ132" s="1076" t="str">
        <f>Poeng!BK140</f>
        <v>N/A</v>
      </c>
    </row>
    <row r="133" spans="1:69">
      <c r="A133" s="792">
        <v>124</v>
      </c>
      <c r="B133" s="793" t="s">
        <v>437</v>
      </c>
      <c r="C133" s="97" t="str">
        <f t="shared" si="100"/>
        <v>Mat 05</v>
      </c>
      <c r="D133" s="621" t="s">
        <v>458</v>
      </c>
      <c r="E133" s="975" t="s">
        <v>459</v>
      </c>
      <c r="F133" s="787" t="str">
        <f t="shared" si="116"/>
        <v>Beskytte utsatte deler av bygget mot materialnedbrytelse</v>
      </c>
      <c r="G133" s="95">
        <f t="shared" si="117"/>
        <v>1</v>
      </c>
      <c r="H133" s="789"/>
      <c r="I133" s="96">
        <f t="shared" si="118"/>
        <v>0</v>
      </c>
      <c r="J133" s="97" t="str">
        <f t="shared" si="118"/>
        <v>N/A</v>
      </c>
      <c r="K133" s="66"/>
      <c r="L133" s="228"/>
      <c r="M133" s="601"/>
      <c r="N133" s="616"/>
      <c r="O133" s="69"/>
      <c r="P133" s="96">
        <f t="shared" si="119"/>
        <v>0</v>
      </c>
      <c r="Q133" s="96" t="str">
        <f t="shared" si="119"/>
        <v>N/A</v>
      </c>
      <c r="R133" s="551"/>
      <c r="S133" s="552"/>
      <c r="T133" s="545"/>
      <c r="U133" s="261"/>
      <c r="V133" s="69"/>
      <c r="W133" s="96">
        <f t="shared" si="120"/>
        <v>0</v>
      </c>
      <c r="X133" s="96" t="str">
        <f t="shared" si="120"/>
        <v>N/A</v>
      </c>
      <c r="Y133" s="67"/>
      <c r="Z133" s="66"/>
      <c r="AA133" s="545"/>
      <c r="AB133" s="105"/>
      <c r="AC133" s="527"/>
      <c r="AD133" s="17">
        <f t="shared" si="69"/>
        <v>0</v>
      </c>
      <c r="AE133" s="1">
        <f t="shared" si="104"/>
        <v>0</v>
      </c>
      <c r="AF133" s="1">
        <f t="shared" si="105"/>
        <v>0</v>
      </c>
      <c r="AG133" s="1">
        <f t="shared" si="106"/>
        <v>0</v>
      </c>
      <c r="AJ133" s="56"/>
      <c r="AK133" s="500"/>
      <c r="AL133" s="479"/>
      <c r="AM133" s="479"/>
      <c r="AN133" s="479"/>
      <c r="AO133" s="56"/>
      <c r="AP133" s="56"/>
      <c r="AQ133" s="56"/>
      <c r="AT133" s="17"/>
      <c r="AU133" s="17"/>
      <c r="AV133" s="17"/>
      <c r="AW133" s="17"/>
      <c r="AX133" s="17"/>
      <c r="AY133" s="17"/>
      <c r="BA133" s="528"/>
      <c r="BB133" s="17"/>
      <c r="BC133" s="17" t="b">
        <f t="shared" si="73"/>
        <v>1</v>
      </c>
      <c r="BD133" s="17" t="str">
        <f>Poeng!B141</f>
        <v>Mat 05c</v>
      </c>
      <c r="BE133" s="13" t="str">
        <f>Poeng!E141</f>
        <v>Beskytte utsatte deler av bygget mot materialnedbrytelse</v>
      </c>
      <c r="BF133" s="13">
        <f>Poeng!AB141</f>
        <v>1</v>
      </c>
      <c r="BG133" s="13">
        <f>Poeng!AI141</f>
        <v>0</v>
      </c>
      <c r="BH133" s="1076">
        <f>Poeng!AE141</f>
        <v>0</v>
      </c>
      <c r="BI133" s="1" t="str">
        <f>Poeng!BE141</f>
        <v>N/A</v>
      </c>
      <c r="BK133" s="1">
        <f>Poeng!AJ141</f>
        <v>0</v>
      </c>
      <c r="BL133" s="1076">
        <f>Poeng!AF141</f>
        <v>0</v>
      </c>
      <c r="BM133" s="1076" t="str">
        <f>Poeng!BH141</f>
        <v>N/A</v>
      </c>
      <c r="BO133" s="1">
        <f>Poeng!AK141</f>
        <v>0</v>
      </c>
      <c r="BP133" s="1076">
        <f>Poeng!AG141</f>
        <v>0</v>
      </c>
      <c r="BQ133" s="1076" t="str">
        <f>Poeng!BK141</f>
        <v>N/A</v>
      </c>
    </row>
    <row r="134" spans="1:69">
      <c r="A134" s="792">
        <v>125</v>
      </c>
      <c r="B134" s="793" t="s">
        <v>437</v>
      </c>
      <c r="C134" s="97" t="str">
        <f t="shared" si="100"/>
        <v>Mat 05</v>
      </c>
      <c r="D134" s="621" t="s">
        <v>460</v>
      </c>
      <c r="E134" s="964" t="s">
        <v>461</v>
      </c>
      <c r="F134" s="787" t="str">
        <f t="shared" si="116"/>
        <v>Fuktsikkerhet i byggeperioden: kontrollplan og fuktmåling</v>
      </c>
      <c r="G134" s="95">
        <f t="shared" si="117"/>
        <v>1</v>
      </c>
      <c r="H134" s="789"/>
      <c r="I134" s="96">
        <f t="shared" si="118"/>
        <v>0</v>
      </c>
      <c r="J134" s="97" t="str">
        <f t="shared" si="118"/>
        <v>Very Good</v>
      </c>
      <c r="K134" s="66"/>
      <c r="L134" s="228"/>
      <c r="M134" s="601"/>
      <c r="N134" s="616"/>
      <c r="O134" s="69"/>
      <c r="P134" s="96">
        <f t="shared" si="119"/>
        <v>0</v>
      </c>
      <c r="Q134" s="96" t="str">
        <f t="shared" si="119"/>
        <v>Very Good</v>
      </c>
      <c r="R134" s="551"/>
      <c r="S134" s="552"/>
      <c r="T134" s="545"/>
      <c r="U134" s="261"/>
      <c r="V134" s="69"/>
      <c r="W134" s="96">
        <f t="shared" si="120"/>
        <v>0</v>
      </c>
      <c r="X134" s="96" t="str">
        <f t="shared" si="120"/>
        <v>Very Good</v>
      </c>
      <c r="Y134" s="67"/>
      <c r="Z134" s="66"/>
      <c r="AA134" s="545"/>
      <c r="AB134" s="105"/>
      <c r="AC134" s="527"/>
      <c r="AD134" s="17">
        <f t="shared" si="69"/>
        <v>0</v>
      </c>
      <c r="AE134" s="1">
        <f t="shared" si="104"/>
        <v>0</v>
      </c>
      <c r="AF134" s="1">
        <f t="shared" si="105"/>
        <v>0</v>
      </c>
      <c r="AG134" s="1">
        <f t="shared" si="106"/>
        <v>0</v>
      </c>
      <c r="AJ134" s="56"/>
      <c r="AK134" s="500"/>
      <c r="AL134" s="479"/>
      <c r="AM134" s="479"/>
      <c r="AN134" s="479"/>
      <c r="AO134" s="56"/>
      <c r="AP134" s="56"/>
      <c r="AQ134" s="56"/>
      <c r="AT134" s="17"/>
      <c r="AU134" s="17"/>
      <c r="AV134" s="17"/>
      <c r="AW134" s="17"/>
      <c r="AX134" s="17"/>
      <c r="AY134" s="17"/>
      <c r="BA134" s="528"/>
      <c r="BB134" s="17"/>
      <c r="BC134" s="17" t="b">
        <f t="shared" si="73"/>
        <v>1</v>
      </c>
      <c r="BD134" s="17" t="str">
        <f>Poeng!B142</f>
        <v>Mat 05d</v>
      </c>
      <c r="BE134" s="13" t="str">
        <f>Poeng!E142</f>
        <v>Fuktsikkerhet i byggeperioden: kontrollplan og fuktmåling</v>
      </c>
      <c r="BF134" s="13">
        <f>Poeng!AB142</f>
        <v>1</v>
      </c>
      <c r="BG134" s="13">
        <f>Poeng!AI142</f>
        <v>0</v>
      </c>
      <c r="BH134" s="1076">
        <f>Poeng!AE142</f>
        <v>0</v>
      </c>
      <c r="BI134" s="1" t="str">
        <f>Poeng!BE142</f>
        <v>Very Good</v>
      </c>
      <c r="BK134" s="1">
        <f>Poeng!AJ142</f>
        <v>0</v>
      </c>
      <c r="BL134" s="1076">
        <f>Poeng!AF142</f>
        <v>0</v>
      </c>
      <c r="BM134" s="1076" t="str">
        <f>Poeng!BH142</f>
        <v>Very Good</v>
      </c>
      <c r="BO134" s="1">
        <f>Poeng!AK142</f>
        <v>0</v>
      </c>
      <c r="BP134" s="1076">
        <f>Poeng!AG142</f>
        <v>0</v>
      </c>
      <c r="BQ134" s="1076" t="str">
        <f>Poeng!BK142</f>
        <v>Very Good</v>
      </c>
    </row>
    <row r="135" spans="1:69">
      <c r="A135" s="792">
        <v>126</v>
      </c>
      <c r="B135" s="793" t="s">
        <v>437</v>
      </c>
      <c r="C135" s="97" t="str">
        <f t="shared" si="100"/>
        <v>Mat 05</v>
      </c>
      <c r="D135" s="621" t="s">
        <v>462</v>
      </c>
      <c r="E135" s="963">
        <v>9</v>
      </c>
      <c r="F135" s="787" t="str">
        <f t="shared" si="116"/>
        <v>Fuktsikkerhet i byggeperioden: bygge under tak</v>
      </c>
      <c r="G135" s="95">
        <f t="shared" si="117"/>
        <v>1</v>
      </c>
      <c r="H135" s="789"/>
      <c r="I135" s="96">
        <f t="shared" si="118"/>
        <v>0</v>
      </c>
      <c r="J135" s="97" t="str">
        <f t="shared" si="118"/>
        <v>N/A</v>
      </c>
      <c r="K135" s="66"/>
      <c r="L135" s="228"/>
      <c r="M135" s="601"/>
      <c r="N135" s="616"/>
      <c r="O135" s="69"/>
      <c r="P135" s="96">
        <f t="shared" si="119"/>
        <v>0</v>
      </c>
      <c r="Q135" s="96" t="str">
        <f t="shared" si="119"/>
        <v>N/A</v>
      </c>
      <c r="R135" s="551"/>
      <c r="S135" s="552"/>
      <c r="T135" s="545"/>
      <c r="U135" s="261"/>
      <c r="V135" s="69"/>
      <c r="W135" s="96">
        <f t="shared" si="120"/>
        <v>0</v>
      </c>
      <c r="X135" s="96" t="str">
        <f t="shared" si="120"/>
        <v>N/A</v>
      </c>
      <c r="Y135" s="67"/>
      <c r="Z135" s="66"/>
      <c r="AA135" s="545"/>
      <c r="AB135" s="105"/>
      <c r="AC135" s="527"/>
      <c r="AD135" s="17">
        <f t="shared" si="69"/>
        <v>0</v>
      </c>
      <c r="AE135" s="1">
        <f t="shared" si="104"/>
        <v>0</v>
      </c>
      <c r="AF135" s="1">
        <f t="shared" si="105"/>
        <v>0</v>
      </c>
      <c r="AG135" s="1">
        <f t="shared" si="106"/>
        <v>0</v>
      </c>
      <c r="AJ135" s="56"/>
      <c r="AK135" s="500"/>
      <c r="AL135" s="479"/>
      <c r="AM135" s="479"/>
      <c r="AN135" s="479"/>
      <c r="AO135" s="56"/>
      <c r="AP135" s="56"/>
      <c r="AQ135" s="56"/>
      <c r="AT135" s="17"/>
      <c r="AU135" s="17"/>
      <c r="AV135" s="17"/>
      <c r="AW135" s="17"/>
      <c r="AX135" s="17"/>
      <c r="AY135" s="17"/>
      <c r="BA135" s="528"/>
      <c r="BB135" s="17"/>
      <c r="BC135" s="17" t="b">
        <f t="shared" si="73"/>
        <v>1</v>
      </c>
      <c r="BD135" s="17" t="str">
        <f>Poeng!B143</f>
        <v>Mat 05e</v>
      </c>
      <c r="BE135" s="13" t="str">
        <f>Poeng!E143</f>
        <v>Fuktsikkerhet i byggeperioden: bygge under tak</v>
      </c>
      <c r="BF135" s="13">
        <f>Poeng!AB143</f>
        <v>1</v>
      </c>
      <c r="BG135" s="13">
        <f>Poeng!AI143</f>
        <v>0</v>
      </c>
      <c r="BH135" s="1076">
        <f>Poeng!AE143</f>
        <v>0</v>
      </c>
      <c r="BI135" s="1" t="str">
        <f>Poeng!BE143</f>
        <v>N/A</v>
      </c>
      <c r="BK135" s="1">
        <f>Poeng!AJ143</f>
        <v>0</v>
      </c>
      <c r="BL135" s="1076">
        <f>Poeng!AF143</f>
        <v>0</v>
      </c>
      <c r="BM135" s="1076" t="str">
        <f>Poeng!BH143</f>
        <v>N/A</v>
      </c>
      <c r="BO135" s="1">
        <f>Poeng!AK143</f>
        <v>0</v>
      </c>
      <c r="BP135" s="1076">
        <f>Poeng!AG143</f>
        <v>0</v>
      </c>
      <c r="BQ135" s="1076" t="str">
        <f>Poeng!BK143</f>
        <v>N/A</v>
      </c>
    </row>
    <row r="136" spans="1:69">
      <c r="A136" s="792">
        <v>127</v>
      </c>
      <c r="B136" s="793" t="s">
        <v>437</v>
      </c>
      <c r="C136" s="704" t="s">
        <v>463</v>
      </c>
      <c r="D136" s="621" t="s">
        <v>463</v>
      </c>
      <c r="E136" s="962"/>
      <c r="F136" s="654" t="str">
        <f t="shared" si="116"/>
        <v>Mat 06 Materialeffektivitet og ombruk</v>
      </c>
      <c r="G136" s="659">
        <f>BF136</f>
        <v>3</v>
      </c>
      <c r="H136" s="746"/>
      <c r="I136" s="660" t="str">
        <f>BG136&amp;" c. "&amp;ROUND(BH136*100,1)&amp;" %"</f>
        <v>0 c. 0 %</v>
      </c>
      <c r="J136" s="703" t="str">
        <f>BI136</f>
        <v>N/A</v>
      </c>
      <c r="K136" s="66"/>
      <c r="L136" s="228"/>
      <c r="M136" s="601"/>
      <c r="N136" s="616"/>
      <c r="O136" s="746"/>
      <c r="P136" s="670" t="str">
        <f>BK136&amp;" c. "&amp;ROUND(BL136*100,1)&amp;" %"</f>
        <v>0 c. 0 %</v>
      </c>
      <c r="Q136" s="670" t="str">
        <f>BM136</f>
        <v>N/A</v>
      </c>
      <c r="R136" s="551"/>
      <c r="S136" s="552"/>
      <c r="T136" s="545"/>
      <c r="U136" s="261"/>
      <c r="V136" s="746"/>
      <c r="W136" s="670" t="str">
        <f>BO136&amp;" c. "&amp;ROUND(BP136*100,1)&amp;" %"</f>
        <v>0 c. 0 %</v>
      </c>
      <c r="X136" s="670" t="str">
        <f>BQ136</f>
        <v>N/A</v>
      </c>
      <c r="Y136" s="67"/>
      <c r="Z136" s="66"/>
      <c r="AA136" s="545"/>
      <c r="AB136" s="105"/>
      <c r="AC136" s="527"/>
      <c r="AD136" s="17">
        <f t="shared" si="69"/>
        <v>0</v>
      </c>
      <c r="AE136" s="1">
        <f t="shared" si="104"/>
        <v>0</v>
      </c>
      <c r="AF136" s="1">
        <f t="shared" si="105"/>
        <v>0</v>
      </c>
      <c r="AG136" s="1">
        <f t="shared" si="106"/>
        <v>0</v>
      </c>
      <c r="AJ136" s="56"/>
      <c r="AK136" s="500"/>
      <c r="AL136" s="479"/>
      <c r="AM136" s="479"/>
      <c r="AN136" s="479"/>
      <c r="AO136" s="56"/>
      <c r="AP136" s="56"/>
      <c r="AQ136" s="56"/>
      <c r="AT136" s="17"/>
      <c r="AU136" s="17"/>
      <c r="AV136" s="17"/>
      <c r="AW136" s="17"/>
      <c r="AX136" s="17"/>
      <c r="AY136" s="17"/>
      <c r="BA136" s="528"/>
      <c r="BB136" s="17"/>
      <c r="BC136" s="17" t="b">
        <f t="shared" si="73"/>
        <v>1</v>
      </c>
      <c r="BD136" s="17" t="str">
        <f>Poeng!B144</f>
        <v>Mat 06</v>
      </c>
      <c r="BE136" s="13" t="str">
        <f>Poeng!E144</f>
        <v>Mat 06 Materialeffektivitet og ombruk</v>
      </c>
      <c r="BF136" s="13">
        <f>Poeng!AB144</f>
        <v>3</v>
      </c>
      <c r="BG136" s="13">
        <f>Poeng!AI144</f>
        <v>0</v>
      </c>
      <c r="BH136" s="1076">
        <f>Poeng!AE144</f>
        <v>0</v>
      </c>
      <c r="BI136" s="1" t="str">
        <f>Poeng!BE144</f>
        <v>N/A</v>
      </c>
      <c r="BK136" s="1">
        <f>Poeng!AJ144</f>
        <v>0</v>
      </c>
      <c r="BL136" s="1076">
        <f>Poeng!AF144</f>
        <v>0</v>
      </c>
      <c r="BM136" s="1076" t="str">
        <f>Poeng!BH144</f>
        <v>N/A</v>
      </c>
      <c r="BO136" s="1">
        <f>Poeng!AK144</f>
        <v>0</v>
      </c>
      <c r="BP136" s="1076">
        <f>Poeng!AG144</f>
        <v>0</v>
      </c>
      <c r="BQ136" s="1076" t="str">
        <f>Poeng!BK144</f>
        <v>N/A</v>
      </c>
    </row>
    <row r="137" spans="1:69">
      <c r="A137" s="792">
        <v>128</v>
      </c>
      <c r="B137" s="793" t="s">
        <v>437</v>
      </c>
      <c r="C137" s="97" t="str">
        <f>C136</f>
        <v>Mat 06</v>
      </c>
      <c r="D137" s="621" t="s">
        <v>464</v>
      </c>
      <c r="E137" s="964">
        <v>1</v>
      </c>
      <c r="F137" s="787" t="str">
        <f t="shared" ref="F137:G140" si="121">BE137</f>
        <v>Minstekrav: ombrukskartlegging (EU taksonomi: krit. 1)</v>
      </c>
      <c r="G137" s="95" t="str">
        <f t="shared" si="117"/>
        <v>Yes/No</v>
      </c>
      <c r="H137" s="29"/>
      <c r="I137" s="96" t="str">
        <f t="shared" ref="I137:J140" si="122">BH137</f>
        <v>-</v>
      </c>
      <c r="J137" s="97" t="str">
        <f t="shared" si="122"/>
        <v>Unclassified</v>
      </c>
      <c r="K137" s="66"/>
      <c r="L137" s="228"/>
      <c r="M137" s="601"/>
      <c r="N137" s="616"/>
      <c r="O137" s="69"/>
      <c r="P137" s="96" t="str">
        <f t="shared" ref="P137:Q140" si="123">BL137</f>
        <v>-</v>
      </c>
      <c r="Q137" s="96" t="str">
        <f t="shared" si="123"/>
        <v>Unclassified</v>
      </c>
      <c r="R137" s="551"/>
      <c r="S137" s="552"/>
      <c r="T137" s="545"/>
      <c r="U137" s="261"/>
      <c r="V137" s="69"/>
      <c r="W137" s="96" t="str">
        <f t="shared" ref="W137:X140" si="124">BP137</f>
        <v>-</v>
      </c>
      <c r="X137" s="96" t="str">
        <f t="shared" si="124"/>
        <v>Unclassified</v>
      </c>
      <c r="Y137" s="67"/>
      <c r="Z137" s="66"/>
      <c r="AA137" s="545"/>
      <c r="AB137" s="105"/>
      <c r="AC137" s="658"/>
      <c r="AD137" s="17">
        <f t="shared" si="69"/>
        <v>0</v>
      </c>
      <c r="AE137" s="1">
        <f t="shared" si="104"/>
        <v>0</v>
      </c>
      <c r="AF137" s="1">
        <f t="shared" si="105"/>
        <v>0</v>
      </c>
      <c r="AG137" s="1">
        <f t="shared" si="106"/>
        <v>0</v>
      </c>
      <c r="AL137" s="537"/>
      <c r="AM137" s="537"/>
      <c r="AN137" s="537"/>
      <c r="AT137" s="17"/>
      <c r="AU137" s="17"/>
      <c r="AV137" s="17"/>
      <c r="AW137" s="17"/>
      <c r="AX137" s="17"/>
      <c r="AY137" s="17"/>
      <c r="BA137" s="658"/>
      <c r="BB137" s="17"/>
      <c r="BC137" s="17" t="b">
        <f t="shared" si="73"/>
        <v>1</v>
      </c>
      <c r="BD137" s="17" t="str">
        <f>Poeng!B250</f>
        <v>Mat 06d</v>
      </c>
      <c r="BE137" s="13" t="str">
        <f>Poeng!E250</f>
        <v>Minstekrav: ombrukskartlegging (EU taksonomi: krit. 1)</v>
      </c>
      <c r="BF137" s="13" t="str">
        <f>Poeng!AB250</f>
        <v>Yes/No</v>
      </c>
      <c r="BG137" s="13">
        <f>Poeng!AI250</f>
        <v>0</v>
      </c>
      <c r="BH137" s="1076" t="str">
        <f>Poeng!AE250</f>
        <v>-</v>
      </c>
      <c r="BI137" s="1" t="str">
        <f>Poeng!BE250</f>
        <v>Unclassified</v>
      </c>
      <c r="BK137" s="1">
        <f>Poeng!AJ250</f>
        <v>0</v>
      </c>
      <c r="BL137" s="1076" t="str">
        <f>Poeng!AF250</f>
        <v>-</v>
      </c>
      <c r="BM137" s="1076" t="str">
        <f>Poeng!BH250</f>
        <v>Unclassified</v>
      </c>
      <c r="BO137" s="1">
        <f>Poeng!AK250</f>
        <v>0</v>
      </c>
      <c r="BP137" s="1076" t="str">
        <f>Poeng!AG250</f>
        <v>-</v>
      </c>
      <c r="BQ137" s="1076" t="str">
        <f>Poeng!BK250</f>
        <v>Unclassified</v>
      </c>
    </row>
    <row r="138" spans="1:69">
      <c r="A138" s="792">
        <v>129</v>
      </c>
      <c r="B138" s="793" t="s">
        <v>437</v>
      </c>
      <c r="C138" s="97" t="str">
        <f>C136</f>
        <v>Mat 06</v>
      </c>
      <c r="D138" s="14" t="s">
        <v>465</v>
      </c>
      <c r="E138" s="964" t="s">
        <v>394</v>
      </c>
      <c r="F138" s="787" t="str">
        <f t="shared" si="121"/>
        <v>Minstekrav: ombrukskartlegging og ombruk</v>
      </c>
      <c r="G138" s="95">
        <f t="shared" si="121"/>
        <v>1</v>
      </c>
      <c r="H138" s="29"/>
      <c r="I138" s="96">
        <f t="shared" si="122"/>
        <v>0</v>
      </c>
      <c r="J138" s="97" t="str">
        <f t="shared" si="122"/>
        <v>Unclassified</v>
      </c>
      <c r="K138" s="66"/>
      <c r="L138" s="228"/>
      <c r="M138" s="601"/>
      <c r="N138" s="616"/>
      <c r="O138" s="69"/>
      <c r="P138" s="96">
        <f t="shared" si="123"/>
        <v>0</v>
      </c>
      <c r="Q138" s="96" t="str">
        <f t="shared" si="123"/>
        <v>Unclassified</v>
      </c>
      <c r="R138" s="551"/>
      <c r="S138" s="552"/>
      <c r="T138" s="545"/>
      <c r="U138" s="261"/>
      <c r="V138" s="69"/>
      <c r="W138" s="96">
        <f t="shared" si="124"/>
        <v>0</v>
      </c>
      <c r="X138" s="96" t="str">
        <f t="shared" si="124"/>
        <v>Unclassified</v>
      </c>
      <c r="Y138" s="67"/>
      <c r="Z138" s="66"/>
      <c r="AA138" s="545"/>
      <c r="AD138" s="17">
        <f t="shared" si="69"/>
        <v>0</v>
      </c>
      <c r="AE138" s="1">
        <f t="shared" si="104"/>
        <v>0</v>
      </c>
      <c r="AF138" s="1">
        <f t="shared" si="105"/>
        <v>0</v>
      </c>
      <c r="AG138" s="1">
        <f t="shared" si="106"/>
        <v>0</v>
      </c>
      <c r="BB138" s="17"/>
      <c r="BC138" s="17" t="b">
        <f t="shared" si="73"/>
        <v>1</v>
      </c>
      <c r="BD138" s="17" t="str">
        <f>Poeng!B145</f>
        <v>Mat 06a</v>
      </c>
      <c r="BE138" s="13" t="str">
        <f>Poeng!E145</f>
        <v>Minstekrav: ombrukskartlegging og ombruk</v>
      </c>
      <c r="BF138" s="13">
        <f>Poeng!AB145</f>
        <v>1</v>
      </c>
      <c r="BG138" s="13">
        <f>Poeng!AI145</f>
        <v>0</v>
      </c>
      <c r="BH138" s="1076">
        <f>Poeng!AE145</f>
        <v>0</v>
      </c>
      <c r="BI138" s="1" t="str">
        <f>Poeng!BE145</f>
        <v>Unclassified</v>
      </c>
      <c r="BK138" s="1">
        <f>Poeng!AJ145</f>
        <v>0</v>
      </c>
      <c r="BL138" s="1076">
        <f>Poeng!AF145</f>
        <v>0</v>
      </c>
      <c r="BM138" s="1076" t="str">
        <f>Poeng!BH145</f>
        <v>Unclassified</v>
      </c>
      <c r="BO138" s="1">
        <f>Poeng!AK145</f>
        <v>0</v>
      </c>
      <c r="BP138" s="1076">
        <f>Poeng!AG145</f>
        <v>0</v>
      </c>
      <c r="BQ138" s="1076" t="str">
        <f>Poeng!BK145</f>
        <v>Unclassified</v>
      </c>
    </row>
    <row r="139" spans="1:69">
      <c r="A139" s="792">
        <v>130</v>
      </c>
      <c r="B139" s="793" t="s">
        <v>437</v>
      </c>
      <c r="C139" s="97" t="str">
        <f t="shared" si="100"/>
        <v>Mat 06</v>
      </c>
      <c r="D139" s="14" t="s">
        <v>466</v>
      </c>
      <c r="E139" s="963">
        <v>4</v>
      </c>
      <c r="F139" s="787" t="str">
        <f t="shared" si="121"/>
        <v>Materialeffektivitet</v>
      </c>
      <c r="G139" s="95">
        <f t="shared" si="121"/>
        <v>1</v>
      </c>
      <c r="H139" s="29"/>
      <c r="I139" s="96">
        <f t="shared" si="122"/>
        <v>0</v>
      </c>
      <c r="J139" s="97" t="str">
        <f t="shared" si="122"/>
        <v>N/A</v>
      </c>
      <c r="K139" s="66"/>
      <c r="L139" s="228"/>
      <c r="M139" s="601"/>
      <c r="N139" s="616"/>
      <c r="O139" s="69"/>
      <c r="P139" s="96">
        <f t="shared" si="123"/>
        <v>0</v>
      </c>
      <c r="Q139" s="96" t="str">
        <f t="shared" si="123"/>
        <v>N/A</v>
      </c>
      <c r="R139" s="551"/>
      <c r="S139" s="552"/>
      <c r="T139" s="545"/>
      <c r="U139" s="261"/>
      <c r="V139" s="69"/>
      <c r="W139" s="96">
        <f t="shared" si="124"/>
        <v>0</v>
      </c>
      <c r="X139" s="96" t="str">
        <f t="shared" si="124"/>
        <v>N/A</v>
      </c>
      <c r="Y139" s="67"/>
      <c r="Z139" s="66"/>
      <c r="AA139" s="545"/>
      <c r="AD139" s="17">
        <f t="shared" si="69"/>
        <v>0</v>
      </c>
      <c r="AE139" s="1">
        <f t="shared" si="104"/>
        <v>0</v>
      </c>
      <c r="AF139" s="1">
        <f t="shared" si="105"/>
        <v>0</v>
      </c>
      <c r="AG139" s="1">
        <f t="shared" si="106"/>
        <v>0</v>
      </c>
      <c r="BB139" s="17"/>
      <c r="BC139" s="17" t="b">
        <f t="shared" si="73"/>
        <v>1</v>
      </c>
      <c r="BD139" s="17" t="str">
        <f>Poeng!B146</f>
        <v>Mat 06b</v>
      </c>
      <c r="BE139" s="13" t="str">
        <f>Poeng!E146</f>
        <v>Materialeffektivitet</v>
      </c>
      <c r="BF139" s="13">
        <f>Poeng!AB146</f>
        <v>1</v>
      </c>
      <c r="BG139" s="13">
        <f>Poeng!AI146</f>
        <v>0</v>
      </c>
      <c r="BH139" s="1076">
        <f>Poeng!AE146</f>
        <v>0</v>
      </c>
      <c r="BI139" s="1" t="str">
        <f>Poeng!BE146</f>
        <v>N/A</v>
      </c>
      <c r="BK139" s="1">
        <f>Poeng!AJ146</f>
        <v>0</v>
      </c>
      <c r="BL139" s="1076">
        <f>Poeng!AF146</f>
        <v>0</v>
      </c>
      <c r="BM139" s="1076" t="str">
        <f>Poeng!BH146</f>
        <v>N/A</v>
      </c>
      <c r="BO139" s="1">
        <f>Poeng!AK146</f>
        <v>0</v>
      </c>
      <c r="BP139" s="1076">
        <f>Poeng!AG146</f>
        <v>0</v>
      </c>
      <c r="BQ139" s="1076" t="str">
        <f>Poeng!BK146</f>
        <v>N/A</v>
      </c>
    </row>
    <row r="140" spans="1:69">
      <c r="A140" s="792">
        <v>131</v>
      </c>
      <c r="B140" s="793" t="s">
        <v>437</v>
      </c>
      <c r="C140" s="97" t="str">
        <f t="shared" si="100"/>
        <v>Mat 06</v>
      </c>
      <c r="D140" s="14" t="s">
        <v>467</v>
      </c>
      <c r="E140" s="963">
        <v>5</v>
      </c>
      <c r="F140" s="787" t="str">
        <f t="shared" si="121"/>
        <v>Ombruk av eksterne bygningskomponenter</v>
      </c>
      <c r="G140" s="95">
        <f t="shared" si="121"/>
        <v>1</v>
      </c>
      <c r="H140" s="29"/>
      <c r="I140" s="96">
        <f t="shared" si="122"/>
        <v>0</v>
      </c>
      <c r="J140" s="97" t="str">
        <f t="shared" si="122"/>
        <v>N/A</v>
      </c>
      <c r="K140" s="66"/>
      <c r="L140" s="228"/>
      <c r="M140" s="601"/>
      <c r="N140" s="616"/>
      <c r="O140" s="69"/>
      <c r="P140" s="96">
        <f t="shared" si="123"/>
        <v>0</v>
      </c>
      <c r="Q140" s="96" t="str">
        <f t="shared" si="123"/>
        <v>N/A</v>
      </c>
      <c r="R140" s="551"/>
      <c r="S140" s="552"/>
      <c r="T140" s="545"/>
      <c r="U140" s="261"/>
      <c r="V140" s="69"/>
      <c r="W140" s="96">
        <f t="shared" si="124"/>
        <v>0</v>
      </c>
      <c r="X140" s="96" t="str">
        <f t="shared" si="124"/>
        <v>N/A</v>
      </c>
      <c r="Y140" s="67"/>
      <c r="Z140" s="66"/>
      <c r="AA140" s="545"/>
      <c r="AD140" s="17">
        <f t="shared" ref="AD140:AD203" si="125">IF(G140=0,1,0)</f>
        <v>0</v>
      </c>
      <c r="AE140" s="1">
        <f t="shared" si="104"/>
        <v>0</v>
      </c>
      <c r="AF140" s="1">
        <f t="shared" si="105"/>
        <v>0</v>
      </c>
      <c r="AG140" s="1">
        <f t="shared" si="106"/>
        <v>0</v>
      </c>
      <c r="BB140" s="17"/>
      <c r="BC140" s="17" t="b">
        <f t="shared" si="73"/>
        <v>1</v>
      </c>
      <c r="BD140" s="17" t="str">
        <f>Poeng!B147</f>
        <v>Mat 06c</v>
      </c>
      <c r="BE140" s="13" t="str">
        <f>Poeng!E147</f>
        <v>Ombruk av eksterne bygningskomponenter</v>
      </c>
      <c r="BF140" s="13">
        <f>Poeng!AB147</f>
        <v>1</v>
      </c>
      <c r="BG140" s="13">
        <f>Poeng!AI147</f>
        <v>0</v>
      </c>
      <c r="BH140" s="1076">
        <f>Poeng!AE147</f>
        <v>0</v>
      </c>
      <c r="BI140" s="1" t="str">
        <f>Poeng!BE147</f>
        <v>N/A</v>
      </c>
      <c r="BK140" s="1">
        <f>Poeng!AJ147</f>
        <v>0</v>
      </c>
      <c r="BL140" s="1076">
        <f>Poeng!AF147</f>
        <v>0</v>
      </c>
      <c r="BM140" s="1076" t="str">
        <f>Poeng!BH147</f>
        <v>N/A</v>
      </c>
      <c r="BO140" s="1">
        <f>Poeng!AK147</f>
        <v>0</v>
      </c>
      <c r="BP140" s="1076">
        <f>Poeng!AG147</f>
        <v>0</v>
      </c>
      <c r="BQ140" s="1076" t="str">
        <f>Poeng!BK147</f>
        <v>N/A</v>
      </c>
    </row>
    <row r="141" spans="1:69">
      <c r="A141" s="792">
        <v>132</v>
      </c>
      <c r="B141" s="793" t="s">
        <v>437</v>
      </c>
      <c r="C141" s="704" t="s">
        <v>468</v>
      </c>
      <c r="D141" s="621" t="s">
        <v>468</v>
      </c>
      <c r="E141" s="962"/>
      <c r="F141" s="654" t="str">
        <f>BE141</f>
        <v>Mat 07 Endringsdyktighet og ombrukbarhet</v>
      </c>
      <c r="G141" s="659">
        <f>BF141</f>
        <v>3</v>
      </c>
      <c r="H141" s="746"/>
      <c r="I141" s="660" t="str">
        <f>BG141&amp;" c. "&amp;ROUND(BH141*100,1)&amp;" %"</f>
        <v>0 c. 0 %</v>
      </c>
      <c r="J141" s="703" t="str">
        <f>BI141</f>
        <v>N/A</v>
      </c>
      <c r="K141" s="66"/>
      <c r="L141" s="228"/>
      <c r="M141" s="601"/>
      <c r="N141" s="616"/>
      <c r="O141" s="746"/>
      <c r="P141" s="670" t="str">
        <f>BK141&amp;" c. "&amp;ROUND(BL141*100,1)&amp;" %"</f>
        <v>0 c. 0 %</v>
      </c>
      <c r="Q141" s="670" t="str">
        <f>BM141</f>
        <v>N/A</v>
      </c>
      <c r="R141" s="551"/>
      <c r="S141" s="552"/>
      <c r="T141" s="545"/>
      <c r="U141" s="261"/>
      <c r="V141" s="746"/>
      <c r="W141" s="670" t="str">
        <f>BO141&amp;" c. "&amp;ROUND(BP141*100,1)&amp;" %"</f>
        <v>0 c. 0 %</v>
      </c>
      <c r="X141" s="670" t="str">
        <f>BQ141</f>
        <v>N/A</v>
      </c>
      <c r="Y141" s="67"/>
      <c r="Z141" s="66"/>
      <c r="AA141" s="545"/>
      <c r="AB141" s="105"/>
      <c r="AC141" s="527"/>
      <c r="AD141" s="17">
        <f t="shared" si="125"/>
        <v>0</v>
      </c>
      <c r="AE141" s="1">
        <f t="shared" si="104"/>
        <v>0</v>
      </c>
      <c r="AF141" s="1">
        <f t="shared" si="105"/>
        <v>0</v>
      </c>
      <c r="AG141" s="1">
        <f t="shared" si="106"/>
        <v>0</v>
      </c>
      <c r="AJ141" s="56"/>
      <c r="AK141" s="500"/>
      <c r="AL141" s="479"/>
      <c r="AM141" s="479"/>
      <c r="AN141" s="479"/>
      <c r="AO141" s="56"/>
      <c r="AP141" s="56"/>
      <c r="AQ141" s="56"/>
      <c r="AT141" s="17"/>
      <c r="AU141" s="17"/>
      <c r="AV141" s="17"/>
      <c r="AW141" s="17"/>
      <c r="AX141" s="17"/>
      <c r="AY141" s="17"/>
      <c r="BA141" s="528"/>
      <c r="BB141" s="17"/>
      <c r="BC141" s="17" t="b">
        <f>D141=BD141</f>
        <v>1</v>
      </c>
      <c r="BD141" s="17" t="str">
        <f>Poeng!B148</f>
        <v>Mat 07</v>
      </c>
      <c r="BE141" s="13" t="str">
        <f>Poeng!E148</f>
        <v>Mat 07 Endringsdyktighet og ombrukbarhet</v>
      </c>
      <c r="BF141" s="13">
        <f>Poeng!AB148</f>
        <v>3</v>
      </c>
      <c r="BG141" s="13">
        <f>Poeng!AI148</f>
        <v>0</v>
      </c>
      <c r="BH141" s="1076">
        <f>Poeng!AE148</f>
        <v>0</v>
      </c>
      <c r="BI141" s="1" t="str">
        <f>Poeng!BE148</f>
        <v>N/A</v>
      </c>
      <c r="BK141" s="1">
        <f>Poeng!AJ148</f>
        <v>0</v>
      </c>
      <c r="BL141" s="1076">
        <f>Poeng!AF148</f>
        <v>0</v>
      </c>
      <c r="BM141" s="1076" t="str">
        <f>Poeng!BH148</f>
        <v>N/A</v>
      </c>
      <c r="BO141" s="1">
        <f>Poeng!AK148</f>
        <v>0</v>
      </c>
      <c r="BP141" s="1076">
        <f>Poeng!AG148</f>
        <v>0</v>
      </c>
      <c r="BQ141" s="1076" t="str">
        <f>Poeng!BK148</f>
        <v>N/A</v>
      </c>
    </row>
    <row r="142" spans="1:69">
      <c r="A142" s="792">
        <v>133</v>
      </c>
      <c r="B142" s="793" t="s">
        <v>437</v>
      </c>
      <c r="C142" s="97" t="str">
        <f t="shared" si="100"/>
        <v>Mat 07</v>
      </c>
      <c r="D142" s="14" t="s">
        <v>469</v>
      </c>
      <c r="E142" s="963">
        <v>1</v>
      </c>
      <c r="F142" s="787" t="str">
        <f t="shared" ref="F142:G144" si="126">BE142</f>
        <v>Ressursoversikt</v>
      </c>
      <c r="G142" s="95">
        <f t="shared" si="126"/>
        <v>1</v>
      </c>
      <c r="H142" s="29"/>
      <c r="I142" s="96">
        <f t="shared" ref="I142:J144" si="127">BH142</f>
        <v>0</v>
      </c>
      <c r="J142" s="97" t="str">
        <f t="shared" si="127"/>
        <v>N/A</v>
      </c>
      <c r="K142" s="66"/>
      <c r="L142" s="228"/>
      <c r="M142" s="601"/>
      <c r="N142" s="616"/>
      <c r="O142" s="69"/>
      <c r="P142" s="96">
        <f t="shared" ref="P142:Q144" si="128">BL142</f>
        <v>0</v>
      </c>
      <c r="Q142" s="96" t="str">
        <f t="shared" si="128"/>
        <v>N/A</v>
      </c>
      <c r="R142" s="551"/>
      <c r="S142" s="552"/>
      <c r="T142" s="545"/>
      <c r="U142" s="261"/>
      <c r="V142" s="69"/>
      <c r="W142" s="96">
        <f t="shared" ref="W142:X144" si="129">BP142</f>
        <v>0</v>
      </c>
      <c r="X142" s="96" t="str">
        <f t="shared" si="129"/>
        <v>N/A</v>
      </c>
      <c r="Y142" s="67"/>
      <c r="Z142" s="66"/>
      <c r="AA142" s="545"/>
      <c r="AD142" s="17">
        <f t="shared" si="125"/>
        <v>0</v>
      </c>
      <c r="AE142" s="1">
        <f t="shared" si="104"/>
        <v>0</v>
      </c>
      <c r="AF142" s="1">
        <f t="shared" si="105"/>
        <v>0</v>
      </c>
      <c r="AG142" s="1">
        <f t="shared" si="106"/>
        <v>0</v>
      </c>
      <c r="BB142" s="17"/>
      <c r="BC142" s="17" t="b">
        <f>D142=BD142</f>
        <v>1</v>
      </c>
      <c r="BD142" s="17" t="str">
        <f>Poeng!B149</f>
        <v>Mat 07a</v>
      </c>
      <c r="BE142" s="13" t="str">
        <f>Poeng!E149</f>
        <v>Ressursoversikt</v>
      </c>
      <c r="BF142" s="13">
        <f>Poeng!AB149</f>
        <v>1</v>
      </c>
      <c r="BG142" s="13">
        <f>Poeng!AI149</f>
        <v>0</v>
      </c>
      <c r="BH142" s="1076">
        <f>Poeng!AE149</f>
        <v>0</v>
      </c>
      <c r="BI142" s="1" t="str">
        <f>Poeng!BE149</f>
        <v>N/A</v>
      </c>
      <c r="BK142" s="1">
        <f>Poeng!AJ149</f>
        <v>0</v>
      </c>
      <c r="BL142" s="1076">
        <f>Poeng!AF149</f>
        <v>0</v>
      </c>
      <c r="BM142" s="1076" t="str">
        <f>Poeng!BH149</f>
        <v>N/A</v>
      </c>
      <c r="BO142" s="1">
        <f>Poeng!AK149</f>
        <v>0</v>
      </c>
      <c r="BP142" s="1076">
        <f>Poeng!AG149</f>
        <v>0</v>
      </c>
      <c r="BQ142" s="1076" t="str">
        <f>Poeng!BK149</f>
        <v>N/A</v>
      </c>
    </row>
    <row r="143" spans="1:69">
      <c r="A143" s="792">
        <v>134</v>
      </c>
      <c r="B143" s="793" t="s">
        <v>437</v>
      </c>
      <c r="C143" s="800" t="str">
        <f t="shared" si="100"/>
        <v>Mat 07</v>
      </c>
      <c r="D143" s="14" t="s">
        <v>470</v>
      </c>
      <c r="E143" s="976" t="s">
        <v>252</v>
      </c>
      <c r="F143" s="787" t="str">
        <f t="shared" si="126"/>
        <v>Endringsdyktighet og ombrukbarhet - anbefalinger (EU taksonomi: krit 2-3)</v>
      </c>
      <c r="G143" s="95">
        <f t="shared" si="126"/>
        <v>1</v>
      </c>
      <c r="H143" s="29"/>
      <c r="I143" s="96">
        <f t="shared" si="127"/>
        <v>0</v>
      </c>
      <c r="J143" s="97" t="str">
        <f t="shared" si="127"/>
        <v>Very Good</v>
      </c>
      <c r="K143" s="66"/>
      <c r="L143" s="228"/>
      <c r="M143" s="601"/>
      <c r="N143" s="616"/>
      <c r="O143" s="69"/>
      <c r="P143" s="96">
        <f t="shared" si="128"/>
        <v>0</v>
      </c>
      <c r="Q143" s="96" t="str">
        <f t="shared" si="128"/>
        <v>Very Good</v>
      </c>
      <c r="R143" s="551"/>
      <c r="S143" s="552"/>
      <c r="T143" s="545"/>
      <c r="U143" s="261"/>
      <c r="V143" s="69"/>
      <c r="W143" s="96">
        <f t="shared" si="129"/>
        <v>0</v>
      </c>
      <c r="X143" s="96" t="str">
        <f t="shared" si="129"/>
        <v>Very Good</v>
      </c>
      <c r="Y143" s="67"/>
      <c r="Z143" s="66"/>
      <c r="AA143" s="545"/>
      <c r="AD143" s="17">
        <f t="shared" si="125"/>
        <v>0</v>
      </c>
      <c r="AE143" s="1">
        <f t="shared" si="104"/>
        <v>0</v>
      </c>
      <c r="AF143" s="1">
        <f t="shared" si="105"/>
        <v>0</v>
      </c>
      <c r="AG143" s="1">
        <f t="shared" si="106"/>
        <v>0</v>
      </c>
      <c r="BB143" s="17"/>
      <c r="BC143" s="17" t="b">
        <f>D143=BD143</f>
        <v>1</v>
      </c>
      <c r="BD143" s="17" t="str">
        <f>Poeng!B150</f>
        <v>Mat 07b</v>
      </c>
      <c r="BE143" s="13" t="str">
        <f>Poeng!E150</f>
        <v>Endringsdyktighet og ombrukbarhet - anbefalinger (EU taksonomi: krit 2-3)</v>
      </c>
      <c r="BF143" s="13">
        <f>Poeng!AB150</f>
        <v>1</v>
      </c>
      <c r="BG143" s="13">
        <f>Poeng!AI150</f>
        <v>0</v>
      </c>
      <c r="BH143" s="1076">
        <f>Poeng!AE150</f>
        <v>0</v>
      </c>
      <c r="BI143" s="1" t="str">
        <f>Poeng!BE150</f>
        <v>Very Good</v>
      </c>
      <c r="BK143" s="1">
        <f>Poeng!AJ150</f>
        <v>0</v>
      </c>
      <c r="BL143" s="1076">
        <f>Poeng!AF150</f>
        <v>0</v>
      </c>
      <c r="BM143" s="1076" t="str">
        <f>Poeng!BH150</f>
        <v>Very Good</v>
      </c>
      <c r="BO143" s="1">
        <f>Poeng!AK150</f>
        <v>0</v>
      </c>
      <c r="BP143" s="1076">
        <f>Poeng!AG150</f>
        <v>0</v>
      </c>
      <c r="BQ143" s="1076" t="str">
        <f>Poeng!BK150</f>
        <v>Very Good</v>
      </c>
    </row>
    <row r="144" spans="1:69">
      <c r="A144" s="792">
        <v>135</v>
      </c>
      <c r="B144" s="793" t="s">
        <v>437</v>
      </c>
      <c r="C144" s="97" t="str">
        <f t="shared" si="100"/>
        <v>Mat 07</v>
      </c>
      <c r="D144" s="14" t="s">
        <v>471</v>
      </c>
      <c r="E144" s="964" t="s">
        <v>254</v>
      </c>
      <c r="F144" s="787" t="str">
        <f t="shared" si="126"/>
        <v>Endringsdyktighet og ombrukbarhet - gjennomføring (EU taksonomi: krit 4-6)</v>
      </c>
      <c r="G144" s="95">
        <f t="shared" si="126"/>
        <v>1</v>
      </c>
      <c r="H144" s="29"/>
      <c r="I144" s="96">
        <f t="shared" si="127"/>
        <v>0</v>
      </c>
      <c r="J144" s="97" t="str">
        <f t="shared" si="127"/>
        <v>Very Good</v>
      </c>
      <c r="K144" s="66"/>
      <c r="L144" s="228"/>
      <c r="M144" s="601"/>
      <c r="N144" s="616"/>
      <c r="O144" s="69"/>
      <c r="P144" s="96">
        <f t="shared" si="128"/>
        <v>0</v>
      </c>
      <c r="Q144" s="96" t="str">
        <f t="shared" si="128"/>
        <v>Very Good</v>
      </c>
      <c r="R144" s="551"/>
      <c r="S144" s="552"/>
      <c r="T144" s="545"/>
      <c r="U144" s="261"/>
      <c r="V144" s="69"/>
      <c r="W144" s="96">
        <f t="shared" si="129"/>
        <v>0</v>
      </c>
      <c r="X144" s="96" t="str">
        <f t="shared" si="129"/>
        <v>Very Good</v>
      </c>
      <c r="Y144" s="67"/>
      <c r="Z144" s="66"/>
      <c r="AA144" s="545"/>
      <c r="AD144" s="17">
        <f t="shared" si="125"/>
        <v>0</v>
      </c>
      <c r="AE144" s="1">
        <f t="shared" si="104"/>
        <v>0</v>
      </c>
      <c r="AF144" s="1">
        <f t="shared" si="105"/>
        <v>0</v>
      </c>
      <c r="AG144" s="1">
        <f t="shared" si="106"/>
        <v>0</v>
      </c>
      <c r="BB144" s="17"/>
      <c r="BC144" s="17" t="b">
        <f>D144=BD144</f>
        <v>1</v>
      </c>
      <c r="BD144" s="17" t="str">
        <f>Poeng!B151</f>
        <v>Mat 07c</v>
      </c>
      <c r="BE144" s="13" t="str">
        <f>Poeng!E151</f>
        <v>Endringsdyktighet og ombrukbarhet - gjennomføring (EU taksonomi: krit 4-6)</v>
      </c>
      <c r="BF144" s="13">
        <f>Poeng!AB151</f>
        <v>1</v>
      </c>
      <c r="BG144" s="13">
        <f>Poeng!AI151</f>
        <v>0</v>
      </c>
      <c r="BH144" s="1076">
        <f>Poeng!AE151</f>
        <v>0</v>
      </c>
      <c r="BI144" s="1" t="str">
        <f>Poeng!BE151</f>
        <v>Very Good</v>
      </c>
      <c r="BK144" s="1">
        <f>Poeng!AJ151</f>
        <v>0</v>
      </c>
      <c r="BL144" s="1076">
        <f>Poeng!AF151</f>
        <v>0</v>
      </c>
      <c r="BM144" s="1076" t="str">
        <f>Poeng!BH151</f>
        <v>Very Good</v>
      </c>
      <c r="BO144" s="1">
        <f>Poeng!AK151</f>
        <v>0</v>
      </c>
      <c r="BP144" s="1076">
        <f>Poeng!AG151</f>
        <v>0</v>
      </c>
      <c r="BQ144" s="1076" t="str">
        <f>Poeng!BK151</f>
        <v>Very Good</v>
      </c>
    </row>
    <row r="145" spans="1:69" ht="15.75" thickBot="1">
      <c r="A145" s="792">
        <v>136</v>
      </c>
      <c r="B145" s="793" t="s">
        <v>437</v>
      </c>
      <c r="C145" s="796"/>
      <c r="D145" s="621" t="s">
        <v>472</v>
      </c>
      <c r="E145" s="967"/>
      <c r="F145" s="262" t="s">
        <v>473</v>
      </c>
      <c r="G145" s="98">
        <f>Mat_Credits</f>
        <v>21</v>
      </c>
      <c r="H145" s="103"/>
      <c r="I145" s="99">
        <f>Mat_cont_tot</f>
        <v>0</v>
      </c>
      <c r="J145" s="661" t="str">
        <f>"Poeng oppnådd: "&amp;Mat_tot_user</f>
        <v>Poeng oppnådd: 0</v>
      </c>
      <c r="K145" s="106"/>
      <c r="L145" s="229"/>
      <c r="M145" s="553"/>
      <c r="N145" s="616"/>
      <c r="O145" s="317"/>
      <c r="P145" s="99">
        <f>BL145</f>
        <v>0</v>
      </c>
      <c r="Q145" s="661" t="str">
        <f>"Poeng oppnådd: "&amp;Mat_c_user</f>
        <v>Poeng oppnådd: 0</v>
      </c>
      <c r="R145" s="554"/>
      <c r="S145" s="555"/>
      <c r="T145" s="553"/>
      <c r="U145" s="261"/>
      <c r="V145" s="317"/>
      <c r="W145" s="99">
        <f>BP145</f>
        <v>0</v>
      </c>
      <c r="X145" s="661" t="str">
        <f>"Poeng oppnådd: "&amp;Mat_d_user</f>
        <v>Poeng oppnådd: 0</v>
      </c>
      <c r="Y145" s="316"/>
      <c r="Z145" s="108"/>
      <c r="AA145" s="553"/>
      <c r="AB145" s="105"/>
      <c r="AC145" s="474"/>
      <c r="AD145" s="17"/>
      <c r="AE145" s="225">
        <v>0</v>
      </c>
      <c r="AF145" s="225">
        <v>0</v>
      </c>
      <c r="AG145" s="225">
        <v>0</v>
      </c>
      <c r="AJ145" s="56"/>
      <c r="AK145" s="500" t="s">
        <v>474</v>
      </c>
      <c r="AL145" s="56"/>
      <c r="AM145" s="56"/>
      <c r="AN145" s="56"/>
      <c r="AO145" s="56"/>
      <c r="AP145" s="56"/>
      <c r="AQ145" s="56"/>
      <c r="AT145" s="17" t="str">
        <f t="shared" ref="AT145:AV148" si="130">IF($AK$4=ais_nei,AIS_NA,IF(AL145="",AIS_NA,AL145))</f>
        <v>N/A</v>
      </c>
      <c r="AU145" s="17" t="str">
        <f t="shared" si="130"/>
        <v>N/A</v>
      </c>
      <c r="AV145" s="17" t="str">
        <f t="shared" si="130"/>
        <v>N/A</v>
      </c>
      <c r="AW145" s="17"/>
      <c r="AX145" s="17"/>
      <c r="AY145" s="17"/>
      <c r="BA145" s="474"/>
      <c r="BB145" s="17"/>
      <c r="BC145" s="17" t="b">
        <f t="shared" ref="BC145:BC204" si="131">D145=BD145</f>
        <v>1</v>
      </c>
      <c r="BD145" s="17" t="str">
        <f>Poeng!B152</f>
        <v>Mat sum</v>
      </c>
      <c r="BE145" s="13" t="str">
        <f>Poeng!E152</f>
        <v>Sum</v>
      </c>
      <c r="BF145" s="13">
        <f>Poeng!AB152</f>
        <v>21</v>
      </c>
      <c r="BG145" s="13">
        <f>Poeng!AI152</f>
        <v>0</v>
      </c>
      <c r="BH145" s="1076">
        <f>Poeng!AE152</f>
        <v>0</v>
      </c>
      <c r="BI145" s="1">
        <f>Poeng!BE152</f>
        <v>0</v>
      </c>
      <c r="BK145" s="1">
        <f>Poeng!AJ152</f>
        <v>0</v>
      </c>
      <c r="BL145" s="1076">
        <f>Poeng!AF152</f>
        <v>0</v>
      </c>
      <c r="BM145" s="1076">
        <f>Poeng!BH152</f>
        <v>0</v>
      </c>
      <c r="BO145" s="1">
        <f>Poeng!AK152</f>
        <v>0</v>
      </c>
      <c r="BP145" s="1076">
        <f>Poeng!AG152</f>
        <v>0</v>
      </c>
      <c r="BQ145" s="1076">
        <f>Poeng!BK152</f>
        <v>0</v>
      </c>
    </row>
    <row r="146" spans="1:69">
      <c r="A146" s="792">
        <v>137</v>
      </c>
      <c r="B146" s="793" t="s">
        <v>437</v>
      </c>
      <c r="C146" s="798"/>
      <c r="D146" s="621"/>
      <c r="E146" s="966"/>
      <c r="F146" s="275"/>
      <c r="G146" s="264"/>
      <c r="H146" s="265"/>
      <c r="I146" s="264"/>
      <c r="J146" s="264"/>
      <c r="K146" s="266"/>
      <c r="L146" s="265"/>
      <c r="M146" s="556"/>
      <c r="N146" s="616"/>
      <c r="O146" s="267"/>
      <c r="P146" s="267"/>
      <c r="Q146" s="556"/>
      <c r="R146" s="556"/>
      <c r="S146" s="557"/>
      <c r="T146" s="556"/>
      <c r="U146" s="261"/>
      <c r="V146" s="267"/>
      <c r="W146" s="267"/>
      <c r="X146" s="556"/>
      <c r="Y146" s="266"/>
      <c r="Z146" s="267"/>
      <c r="AA146" s="556"/>
      <c r="AB146" s="105"/>
      <c r="AC146" s="266"/>
      <c r="AD146" s="17"/>
      <c r="AE146" s="226">
        <v>0</v>
      </c>
      <c r="AF146" s="226">
        <v>0</v>
      </c>
      <c r="AG146" s="226">
        <v>0</v>
      </c>
      <c r="AJ146" s="56"/>
      <c r="AK146" s="500"/>
      <c r="AL146" s="56"/>
      <c r="AM146" s="56"/>
      <c r="AN146" s="56"/>
      <c r="AO146" s="56"/>
      <c r="AP146" s="56"/>
      <c r="AQ146" s="56"/>
      <c r="AT146" s="17" t="str">
        <f t="shared" si="130"/>
        <v>N/A</v>
      </c>
      <c r="AU146" s="17" t="str">
        <f t="shared" si="130"/>
        <v>N/A</v>
      </c>
      <c r="AV146" s="17" t="str">
        <f t="shared" si="130"/>
        <v>N/A</v>
      </c>
      <c r="AW146" s="17"/>
      <c r="AX146" s="17"/>
      <c r="AY146" s="17"/>
      <c r="BA146" s="266"/>
      <c r="BB146" s="17"/>
      <c r="BC146" s="17"/>
    </row>
    <row r="147" spans="1:69" ht="18.75">
      <c r="A147" s="792">
        <v>138</v>
      </c>
      <c r="B147" s="793" t="s">
        <v>475</v>
      </c>
      <c r="C147" s="799"/>
      <c r="D147" s="621"/>
      <c r="E147" s="968"/>
      <c r="F147" s="276" t="s">
        <v>476</v>
      </c>
      <c r="G147" s="257"/>
      <c r="H147" s="258"/>
      <c r="I147" s="277"/>
      <c r="J147" s="257"/>
      <c r="K147" s="269"/>
      <c r="L147" s="270"/>
      <c r="M147" s="559"/>
      <c r="N147" s="616"/>
      <c r="O147" s="280"/>
      <c r="P147" s="273"/>
      <c r="Q147" s="549"/>
      <c r="R147" s="560"/>
      <c r="S147" s="561"/>
      <c r="T147" s="562"/>
      <c r="U147" s="261"/>
      <c r="V147" s="280"/>
      <c r="W147" s="279"/>
      <c r="X147" s="549"/>
      <c r="Y147" s="269"/>
      <c r="Z147" s="279"/>
      <c r="AA147" s="559"/>
      <c r="AB147" s="105"/>
      <c r="AC147" s="278"/>
      <c r="AD147" s="17"/>
      <c r="AE147" s="224">
        <v>0</v>
      </c>
      <c r="AF147" s="224">
        <v>0</v>
      </c>
      <c r="AG147" s="224">
        <v>0</v>
      </c>
      <c r="AJ147" s="56"/>
      <c r="AK147" s="500" t="s">
        <v>477</v>
      </c>
      <c r="AL147" s="56"/>
      <c r="AM147" s="56"/>
      <c r="AN147" s="56"/>
      <c r="AO147" s="56"/>
      <c r="AP147" s="56"/>
      <c r="AQ147" s="56"/>
      <c r="AT147" s="17" t="str">
        <f t="shared" si="130"/>
        <v>N/A</v>
      </c>
      <c r="AU147" s="17" t="str">
        <f t="shared" si="130"/>
        <v>N/A</v>
      </c>
      <c r="AV147" s="17" t="str">
        <f t="shared" si="130"/>
        <v>N/A</v>
      </c>
      <c r="AW147" s="17"/>
      <c r="AX147" s="17"/>
      <c r="AY147" s="17"/>
      <c r="BA147" s="278"/>
      <c r="BB147" s="17"/>
      <c r="BC147" s="17"/>
    </row>
    <row r="148" spans="1:69">
      <c r="A148" s="792">
        <v>139</v>
      </c>
      <c r="B148" s="793" t="s">
        <v>475</v>
      </c>
      <c r="C148" s="704" t="s">
        <v>478</v>
      </c>
      <c r="D148" s="621" t="s">
        <v>478</v>
      </c>
      <c r="E148" s="962"/>
      <c r="F148" s="654" t="str">
        <f>BE148</f>
        <v xml:space="preserve">	
Wst 01 Avfallshåndtering på byggeplass</v>
      </c>
      <c r="G148" s="659">
        <f>BF148</f>
        <v>5</v>
      </c>
      <c r="H148" s="745"/>
      <c r="I148" s="660" t="str">
        <f>BG148&amp;" c. "&amp;ROUND(BH148*100,1)&amp;" %"</f>
        <v>0 c. 0 %</v>
      </c>
      <c r="J148" s="703" t="str">
        <f>BI148</f>
        <v>N/A</v>
      </c>
      <c r="K148" s="667"/>
      <c r="L148" s="668"/>
      <c r="M148" s="669"/>
      <c r="N148" s="616"/>
      <c r="O148" s="746"/>
      <c r="P148" s="670" t="str">
        <f>BK148&amp;" c. "&amp;ROUND(BL148*100,1)&amp;" %"</f>
        <v>0 c. 0 %</v>
      </c>
      <c r="Q148" s="670" t="str">
        <f>BM148</f>
        <v>N/A</v>
      </c>
      <c r="R148" s="551"/>
      <c r="S148" s="552"/>
      <c r="T148" s="545"/>
      <c r="U148" s="261"/>
      <c r="V148" s="746"/>
      <c r="W148" s="670" t="str">
        <f>BO148&amp;" c. "&amp;ROUND(BP148*100,1)&amp;" %"</f>
        <v>0 c. 0 %</v>
      </c>
      <c r="X148" s="670" t="str">
        <f>BQ148</f>
        <v>N/A</v>
      </c>
      <c r="Y148" s="67"/>
      <c r="Z148" s="66"/>
      <c r="AA148" s="545"/>
      <c r="AB148" s="105"/>
      <c r="AC148" s="473" t="s">
        <v>209</v>
      </c>
      <c r="AD148" s="17">
        <f t="shared" si="125"/>
        <v>0</v>
      </c>
      <c r="AE148" s="1">
        <f t="shared" ref="AE148:AE159" si="132">IF(L148=$AE$4,$AF$4,IF(L148=$AE$5,$AF$5,IF(L148=$AE$6,$AF$6,0)))</f>
        <v>0</v>
      </c>
      <c r="AF148" s="1">
        <f t="shared" ref="AF148:AF159" si="133">IF(S148=$AE$4,$AF$4,IF(S148=$AE$5,$AF$5,IF(S148=$AE$6,$AF$6,0)))</f>
        <v>0</v>
      </c>
      <c r="AG148" s="1">
        <f t="shared" ref="AG148:AG159" si="134">IF(Z148=$AE$4,$AF$4,IF(Z148=$AE$5,$AF$5,IF(Z148=$AE$6,$AF$6,0)))</f>
        <v>0</v>
      </c>
      <c r="AJ148" s="56"/>
      <c r="AK148" s="500" t="s">
        <v>479</v>
      </c>
      <c r="AL148" s="56"/>
      <c r="AM148" s="56"/>
      <c r="AN148" s="56"/>
      <c r="AO148" s="56"/>
      <c r="AP148" s="56"/>
      <c r="AQ148" s="56"/>
      <c r="AT148" s="17" t="str">
        <f t="shared" si="130"/>
        <v>N/A</v>
      </c>
      <c r="AU148" s="17" t="str">
        <f t="shared" si="130"/>
        <v>N/A</v>
      </c>
      <c r="AV148" s="17" t="str">
        <f t="shared" si="130"/>
        <v>N/A</v>
      </c>
      <c r="AW148" s="17"/>
      <c r="AX148" s="17"/>
      <c r="AY148" s="17"/>
      <c r="BA148" s="473"/>
      <c r="BB148" s="17"/>
      <c r="BC148" s="17" t="b">
        <f t="shared" si="131"/>
        <v>1</v>
      </c>
      <c r="BD148" s="17" t="str">
        <f>Poeng!B155</f>
        <v>Wst 01</v>
      </c>
      <c r="BE148" s="13" t="str">
        <f>Poeng!E155</f>
        <v xml:space="preserve">	
Wst 01 Avfallshåndtering på byggeplass</v>
      </c>
      <c r="BF148" s="13">
        <f>Poeng!AB155</f>
        <v>5</v>
      </c>
      <c r="BG148" s="13">
        <f>Poeng!AI155</f>
        <v>0</v>
      </c>
      <c r="BH148" s="1076">
        <f>Poeng!AE155</f>
        <v>0</v>
      </c>
      <c r="BI148" s="1" t="str">
        <f>Poeng!BE155</f>
        <v>N/A</v>
      </c>
      <c r="BK148" s="1">
        <f>Poeng!AJ155</f>
        <v>0</v>
      </c>
      <c r="BL148" s="1076">
        <f>Poeng!AF155</f>
        <v>0</v>
      </c>
      <c r="BM148" s="1076" t="str">
        <f>Poeng!BH155</f>
        <v>N/A</v>
      </c>
      <c r="BO148" s="1">
        <f>Poeng!AK155</f>
        <v>0</v>
      </c>
      <c r="BP148" s="1076">
        <f>Poeng!AG155</f>
        <v>0</v>
      </c>
      <c r="BQ148" s="1076" t="str">
        <f>Poeng!BK155</f>
        <v>N/A</v>
      </c>
    </row>
    <row r="149" spans="1:69">
      <c r="A149" s="792">
        <v>140</v>
      </c>
      <c r="B149" s="793" t="s">
        <v>475</v>
      </c>
      <c r="C149" s="97" t="str">
        <f>C148</f>
        <v>Wst 01</v>
      </c>
      <c r="D149" s="621" t="s">
        <v>480</v>
      </c>
      <c r="E149" s="964" t="s">
        <v>288</v>
      </c>
      <c r="F149" s="787" t="str">
        <f t="shared" ref="F149:G153" si="135">BE149</f>
        <v>Ressursstyringsplan</v>
      </c>
      <c r="G149" s="95">
        <f t="shared" si="135"/>
        <v>1</v>
      </c>
      <c r="H149" s="29"/>
      <c r="I149" s="96">
        <f t="shared" ref="I149:J153" si="136">BH149</f>
        <v>0</v>
      </c>
      <c r="J149" s="97" t="str">
        <f t="shared" si="136"/>
        <v>Good</v>
      </c>
      <c r="K149" s="823"/>
      <c r="L149" s="824"/>
      <c r="M149" s="825"/>
      <c r="N149" s="616"/>
      <c r="O149" s="69"/>
      <c r="P149" s="96">
        <f t="shared" ref="P149:Q153" si="137">BL149</f>
        <v>0</v>
      </c>
      <c r="Q149" s="96" t="str">
        <f t="shared" si="137"/>
        <v>Good</v>
      </c>
      <c r="R149" s="551"/>
      <c r="S149" s="552"/>
      <c r="T149" s="545"/>
      <c r="U149" s="261"/>
      <c r="V149" s="69"/>
      <c r="W149" s="96">
        <f t="shared" ref="W149:X153" si="138">BP149</f>
        <v>0</v>
      </c>
      <c r="X149" s="96" t="str">
        <f t="shared" si="138"/>
        <v>Good</v>
      </c>
      <c r="Y149" s="67"/>
      <c r="Z149" s="66"/>
      <c r="AA149" s="545"/>
      <c r="AB149" s="105"/>
      <c r="AC149" s="658"/>
      <c r="AD149" s="17">
        <f t="shared" si="125"/>
        <v>0</v>
      </c>
      <c r="AE149" s="1">
        <f t="shared" si="132"/>
        <v>0</v>
      </c>
      <c r="AF149" s="1">
        <f t="shared" si="133"/>
        <v>0</v>
      </c>
      <c r="AG149" s="1">
        <f t="shared" si="134"/>
        <v>0</v>
      </c>
      <c r="AT149" s="17"/>
      <c r="AU149" s="17"/>
      <c r="AV149" s="17"/>
      <c r="AW149" s="17"/>
      <c r="AX149" s="17"/>
      <c r="AY149" s="17"/>
      <c r="BA149" s="658"/>
      <c r="BB149" s="17"/>
      <c r="BC149" s="17" t="b">
        <f t="shared" si="131"/>
        <v>1</v>
      </c>
      <c r="BD149" s="17" t="str">
        <f>Poeng!B156</f>
        <v>Wst 01a</v>
      </c>
      <c r="BE149" s="13" t="str">
        <f>Poeng!E156</f>
        <v>Ressursstyringsplan</v>
      </c>
      <c r="BF149" s="13">
        <f>Poeng!AB156</f>
        <v>1</v>
      </c>
      <c r="BG149" s="13">
        <f>Poeng!AI156</f>
        <v>0</v>
      </c>
      <c r="BH149" s="1076">
        <f>Poeng!AE156</f>
        <v>0</v>
      </c>
      <c r="BI149" s="1" t="str">
        <f>Poeng!BE156</f>
        <v>Good</v>
      </c>
      <c r="BK149" s="1">
        <f>Poeng!AJ156</f>
        <v>0</v>
      </c>
      <c r="BL149" s="1076">
        <f>Poeng!AF156</f>
        <v>0</v>
      </c>
      <c r="BM149" s="1076" t="str">
        <f>Poeng!BH156</f>
        <v>Good</v>
      </c>
      <c r="BO149" s="1">
        <f>Poeng!AK156</f>
        <v>0</v>
      </c>
      <c r="BP149" s="1076">
        <f>Poeng!AG156</f>
        <v>0</v>
      </c>
      <c r="BQ149" s="1076" t="str">
        <f>Poeng!BK156</f>
        <v>Good</v>
      </c>
    </row>
    <row r="150" spans="1:69">
      <c r="A150" s="792">
        <v>141</v>
      </c>
      <c r="B150" s="793" t="s">
        <v>475</v>
      </c>
      <c r="C150" s="97" t="str">
        <f>C148</f>
        <v>Wst 01</v>
      </c>
      <c r="D150" s="14" t="s">
        <v>481</v>
      </c>
      <c r="E150" s="963">
        <v>1</v>
      </c>
      <c r="F150" s="995" t="str">
        <f t="shared" si="135"/>
        <v>EU taksonomi: krit. 1</v>
      </c>
      <c r="G150" s="95" t="str">
        <f t="shared" si="135"/>
        <v>Yes/No</v>
      </c>
      <c r="H150" s="29"/>
      <c r="I150" s="96" t="str">
        <f t="shared" si="136"/>
        <v>-</v>
      </c>
      <c r="J150" s="97" t="str">
        <f t="shared" si="136"/>
        <v>N/A</v>
      </c>
      <c r="K150" s="66"/>
      <c r="L150" s="228"/>
      <c r="M150" s="601"/>
      <c r="N150" s="616"/>
      <c r="O150" s="69"/>
      <c r="P150" s="96" t="str">
        <f t="shared" si="137"/>
        <v>-</v>
      </c>
      <c r="Q150" s="96" t="str">
        <f t="shared" si="137"/>
        <v>N/A</v>
      </c>
      <c r="R150" s="551"/>
      <c r="S150" s="552"/>
      <c r="T150" s="545"/>
      <c r="U150" s="261"/>
      <c r="V150" s="69"/>
      <c r="W150" s="96" t="str">
        <f t="shared" si="138"/>
        <v>-</v>
      </c>
      <c r="X150" s="96" t="str">
        <f t="shared" si="138"/>
        <v>N/A</v>
      </c>
      <c r="Y150" s="67"/>
      <c r="Z150" s="66"/>
      <c r="AA150" s="545"/>
      <c r="AD150" s="17">
        <f t="shared" si="125"/>
        <v>0</v>
      </c>
      <c r="AE150" s="1">
        <f t="shared" si="132"/>
        <v>0</v>
      </c>
      <c r="AF150" s="1">
        <f t="shared" si="133"/>
        <v>0</v>
      </c>
      <c r="AG150" s="1">
        <f t="shared" si="134"/>
        <v>0</v>
      </c>
      <c r="BB150" s="17"/>
      <c r="BC150" s="17" t="b">
        <f t="shared" si="131"/>
        <v>1</v>
      </c>
      <c r="BD150" s="17" t="str">
        <f>Poeng!B255</f>
        <v>Wst 01TX</v>
      </c>
      <c r="BE150" s="13" t="str">
        <f>Poeng!E255</f>
        <v>EU taksonomi: krit. 1</v>
      </c>
      <c r="BF150" s="13" t="str">
        <f>Poeng!AB255</f>
        <v>Yes/No</v>
      </c>
      <c r="BG150" s="13">
        <f>Poeng!AI255</f>
        <v>0</v>
      </c>
      <c r="BH150" s="1076" t="str">
        <f>Poeng!AE255</f>
        <v>-</v>
      </c>
      <c r="BI150" s="1" t="str">
        <f>Poeng!BE255</f>
        <v>N/A</v>
      </c>
      <c r="BK150" s="1">
        <f>Poeng!AJ255</f>
        <v>0</v>
      </c>
      <c r="BL150" s="1076" t="str">
        <f>Poeng!AF255</f>
        <v>-</v>
      </c>
      <c r="BM150" s="1076" t="str">
        <f>Poeng!BH255</f>
        <v>N/A</v>
      </c>
      <c r="BO150" s="1">
        <f>Poeng!AK255</f>
        <v>0</v>
      </c>
      <c r="BP150" s="1076" t="str">
        <f>Poeng!AG255</f>
        <v>-</v>
      </c>
      <c r="BQ150" s="1076" t="str">
        <f>Poeng!BK255</f>
        <v>N/A</v>
      </c>
    </row>
    <row r="151" spans="1:69">
      <c r="A151" s="792">
        <v>142</v>
      </c>
      <c r="B151" s="793" t="s">
        <v>475</v>
      </c>
      <c r="C151" s="97" t="str">
        <f t="shared" si="100"/>
        <v>Wst 01</v>
      </c>
      <c r="D151" s="14" t="s">
        <v>482</v>
      </c>
      <c r="E151" s="963">
        <v>3</v>
      </c>
      <c r="F151" s="787" t="str">
        <f t="shared" ref="F151:G159" si="139">BE151</f>
        <v>Avfallsmengder</v>
      </c>
      <c r="G151" s="95">
        <f t="shared" si="135"/>
        <v>2</v>
      </c>
      <c r="H151" s="29"/>
      <c r="I151" s="96">
        <f t="shared" si="136"/>
        <v>0</v>
      </c>
      <c r="J151" s="97" t="str">
        <f t="shared" si="136"/>
        <v>Excellent</v>
      </c>
      <c r="K151" s="66"/>
      <c r="L151" s="228"/>
      <c r="M151" s="601"/>
      <c r="N151" s="616"/>
      <c r="O151" s="69"/>
      <c r="P151" s="96">
        <f t="shared" si="137"/>
        <v>0</v>
      </c>
      <c r="Q151" s="96" t="str">
        <f t="shared" si="137"/>
        <v>Excellent</v>
      </c>
      <c r="R151" s="551"/>
      <c r="S151" s="552"/>
      <c r="T151" s="545"/>
      <c r="U151" s="261"/>
      <c r="V151" s="69"/>
      <c r="W151" s="96">
        <f t="shared" si="138"/>
        <v>0</v>
      </c>
      <c r="X151" s="96" t="str">
        <f t="shared" si="138"/>
        <v>Excellent</v>
      </c>
      <c r="Y151" s="67"/>
      <c r="Z151" s="66"/>
      <c r="AA151" s="545"/>
      <c r="AD151" s="17">
        <f t="shared" si="125"/>
        <v>0</v>
      </c>
      <c r="AE151" s="1">
        <f t="shared" si="132"/>
        <v>0</v>
      </c>
      <c r="AF151" s="1">
        <f t="shared" si="133"/>
        <v>0</v>
      </c>
      <c r="AG151" s="1">
        <f t="shared" si="134"/>
        <v>0</v>
      </c>
      <c r="BB151" s="17"/>
      <c r="BC151" s="17" t="b">
        <f t="shared" si="131"/>
        <v>1</v>
      </c>
      <c r="BD151" s="17" t="str">
        <f>Poeng!B157</f>
        <v>Wst 01b</v>
      </c>
      <c r="BE151" s="13" t="str">
        <f>Poeng!E157</f>
        <v>Avfallsmengder</v>
      </c>
      <c r="BF151" s="13">
        <f>Poeng!AB157</f>
        <v>2</v>
      </c>
      <c r="BG151" s="13">
        <f>Poeng!AI157</f>
        <v>0</v>
      </c>
      <c r="BH151" s="1076">
        <f>Poeng!AE157</f>
        <v>0</v>
      </c>
      <c r="BI151" s="1" t="str">
        <f>Poeng!BE157</f>
        <v>Excellent</v>
      </c>
      <c r="BK151" s="1">
        <f>Poeng!AJ157</f>
        <v>0</v>
      </c>
      <c r="BL151" s="1076">
        <f>Poeng!AF157</f>
        <v>0</v>
      </c>
      <c r="BM151" s="1076" t="str">
        <f>Poeng!BH157</f>
        <v>Excellent</v>
      </c>
      <c r="BO151" s="1">
        <f>Poeng!AK157</f>
        <v>0</v>
      </c>
      <c r="BP151" s="1076">
        <f>Poeng!AG157</f>
        <v>0</v>
      </c>
      <c r="BQ151" s="1076" t="str">
        <f>Poeng!BK157</f>
        <v>Excellent</v>
      </c>
    </row>
    <row r="152" spans="1:69">
      <c r="A152" s="792">
        <v>143</v>
      </c>
      <c r="B152" s="793" t="s">
        <v>475</v>
      </c>
      <c r="C152" s="97" t="str">
        <f t="shared" si="100"/>
        <v>Wst 01</v>
      </c>
      <c r="D152" s="14" t="s">
        <v>483</v>
      </c>
      <c r="E152" s="963">
        <v>4</v>
      </c>
      <c r="F152" s="787" t="str">
        <f t="shared" si="139"/>
        <v>Avfallssortering, ombruk og materialgjenvinning</v>
      </c>
      <c r="G152" s="95">
        <f t="shared" si="135"/>
        <v>2</v>
      </c>
      <c r="H152" s="29"/>
      <c r="I152" s="96">
        <f t="shared" si="136"/>
        <v>0</v>
      </c>
      <c r="J152" s="97" t="str">
        <f t="shared" si="136"/>
        <v>Very Good</v>
      </c>
      <c r="K152" s="66"/>
      <c r="L152" s="228"/>
      <c r="M152" s="601"/>
      <c r="N152" s="616"/>
      <c r="O152" s="69"/>
      <c r="P152" s="96">
        <f t="shared" si="137"/>
        <v>0</v>
      </c>
      <c r="Q152" s="96" t="str">
        <f t="shared" si="137"/>
        <v>Very Good</v>
      </c>
      <c r="R152" s="551"/>
      <c r="S152" s="552"/>
      <c r="T152" s="545"/>
      <c r="U152" s="261"/>
      <c r="V152" s="69"/>
      <c r="W152" s="96">
        <f t="shared" si="138"/>
        <v>0</v>
      </c>
      <c r="X152" s="96" t="str">
        <f t="shared" si="138"/>
        <v>Very Good</v>
      </c>
      <c r="Y152" s="67"/>
      <c r="Z152" s="66"/>
      <c r="AA152" s="545"/>
      <c r="AD152" s="17">
        <f t="shared" si="125"/>
        <v>0</v>
      </c>
      <c r="AE152" s="1">
        <f t="shared" si="132"/>
        <v>0</v>
      </c>
      <c r="AF152" s="1">
        <f t="shared" si="133"/>
        <v>0</v>
      </c>
      <c r="AG152" s="1">
        <f t="shared" si="134"/>
        <v>0</v>
      </c>
      <c r="BB152" s="17"/>
      <c r="BC152" s="17" t="b">
        <f t="shared" si="131"/>
        <v>1</v>
      </c>
      <c r="BD152" s="17" t="str">
        <f>Poeng!B158</f>
        <v>Wst 01c</v>
      </c>
      <c r="BE152" s="13" t="str">
        <f>Poeng!E158</f>
        <v>Avfallssortering, ombruk og materialgjenvinning</v>
      </c>
      <c r="BF152" s="13">
        <f>Poeng!AB158</f>
        <v>2</v>
      </c>
      <c r="BG152" s="13">
        <f>Poeng!AI158</f>
        <v>0</v>
      </c>
      <c r="BH152" s="1076">
        <f>Poeng!AE158</f>
        <v>0</v>
      </c>
      <c r="BI152" s="1" t="str">
        <f>Poeng!BE158</f>
        <v>Very Good</v>
      </c>
      <c r="BK152" s="1">
        <f>Poeng!AJ158</f>
        <v>0</v>
      </c>
      <c r="BL152" s="1076">
        <f>Poeng!AF158</f>
        <v>0</v>
      </c>
      <c r="BM152" s="1076" t="str">
        <f>Poeng!BH158</f>
        <v>Very Good</v>
      </c>
      <c r="BO152" s="1">
        <f>Poeng!AK158</f>
        <v>0</v>
      </c>
      <c r="BP152" s="1076">
        <f>Poeng!AG158</f>
        <v>0</v>
      </c>
      <c r="BQ152" s="1076" t="str">
        <f>Poeng!BK158</f>
        <v>Very Good</v>
      </c>
    </row>
    <row r="153" spans="1:69" ht="30">
      <c r="A153" s="792">
        <v>144</v>
      </c>
      <c r="B153" s="793" t="s">
        <v>475</v>
      </c>
      <c r="C153" s="97" t="str">
        <f t="shared" si="100"/>
        <v>Wst 01</v>
      </c>
      <c r="D153" s="14" t="s">
        <v>484</v>
      </c>
      <c r="E153" s="963">
        <v>4</v>
      </c>
      <c r="F153" s="995" t="str">
        <f t="shared" si="139"/>
        <v>EU taksonomi:krit.  4, &gt; 90 % sortert og &gt; 70 % klargjort for ombruk og materialgjenvinning</v>
      </c>
      <c r="G153" s="95" t="str">
        <f t="shared" si="135"/>
        <v>Yes/No</v>
      </c>
      <c r="H153" s="29"/>
      <c r="I153" s="96" t="str">
        <f t="shared" si="136"/>
        <v>-</v>
      </c>
      <c r="J153" s="97" t="str">
        <f t="shared" si="136"/>
        <v>Very Good</v>
      </c>
      <c r="K153" s="66"/>
      <c r="L153" s="228"/>
      <c r="M153" s="601"/>
      <c r="N153" s="616"/>
      <c r="O153" s="69"/>
      <c r="P153" s="96" t="str">
        <f t="shared" si="137"/>
        <v>-</v>
      </c>
      <c r="Q153" s="96" t="str">
        <f t="shared" si="137"/>
        <v>Very Good</v>
      </c>
      <c r="R153" s="551"/>
      <c r="S153" s="552"/>
      <c r="T153" s="545"/>
      <c r="U153" s="261"/>
      <c r="V153" s="69"/>
      <c r="W153" s="96" t="str">
        <f t="shared" si="138"/>
        <v>-</v>
      </c>
      <c r="X153" s="96" t="str">
        <f t="shared" si="138"/>
        <v>Very Good</v>
      </c>
      <c r="Y153" s="67"/>
      <c r="Z153" s="66"/>
      <c r="AA153" s="545"/>
      <c r="AD153" s="17">
        <f t="shared" si="125"/>
        <v>0</v>
      </c>
      <c r="AE153" s="1">
        <f t="shared" si="132"/>
        <v>0</v>
      </c>
      <c r="AF153" s="1">
        <f t="shared" si="133"/>
        <v>0</v>
      </c>
      <c r="AG153" s="1">
        <f t="shared" si="134"/>
        <v>0</v>
      </c>
      <c r="BB153" s="17"/>
      <c r="BC153" s="17" t="b">
        <f t="shared" si="131"/>
        <v>1</v>
      </c>
      <c r="BD153" s="17" t="str">
        <f>Poeng!B251</f>
        <v>Wst 01d</v>
      </c>
      <c r="BE153" s="13" t="str">
        <f>Poeng!E251</f>
        <v>EU taksonomi:krit.  4, &gt; 90 % sortert og &gt; 70 % klargjort for ombruk og materialgjenvinning</v>
      </c>
      <c r="BF153" s="13" t="str">
        <f>Poeng!AB251</f>
        <v>Yes/No</v>
      </c>
      <c r="BG153" s="13">
        <f>Poeng!AI251</f>
        <v>0</v>
      </c>
      <c r="BH153" s="1076" t="str">
        <f>Poeng!AE251</f>
        <v>-</v>
      </c>
      <c r="BI153" s="1" t="str">
        <f>Poeng!BE251</f>
        <v>Very Good</v>
      </c>
      <c r="BK153" s="1">
        <f>Poeng!AJ251</f>
        <v>0</v>
      </c>
      <c r="BL153" s="1076" t="str">
        <f>Poeng!AF251</f>
        <v>-</v>
      </c>
      <c r="BM153" s="1076" t="str">
        <f>Poeng!BH251</f>
        <v>Very Good</v>
      </c>
      <c r="BO153" s="1">
        <f>Poeng!AK251</f>
        <v>0</v>
      </c>
      <c r="BP153" s="1076" t="str">
        <f>Poeng!AG251</f>
        <v>-</v>
      </c>
      <c r="BQ153" s="1076" t="str">
        <f>Poeng!BK251</f>
        <v>Very Good</v>
      </c>
    </row>
    <row r="154" spans="1:69">
      <c r="A154" s="792">
        <v>145</v>
      </c>
      <c r="B154" s="793" t="s">
        <v>475</v>
      </c>
      <c r="C154" s="704" t="s">
        <v>485</v>
      </c>
      <c r="D154" s="621" t="s">
        <v>485</v>
      </c>
      <c r="E154" s="962"/>
      <c r="F154" s="654" t="str">
        <f>BE154</f>
        <v>Wst 03a Avfall i driftsfase</v>
      </c>
      <c r="G154" s="659">
        <f>BF154</f>
        <v>1</v>
      </c>
      <c r="H154" s="746"/>
      <c r="I154" s="660" t="str">
        <f>BG154&amp;" c. "&amp;ROUND(BH154*100,1)&amp;" %"</f>
        <v>0 c. 0 %</v>
      </c>
      <c r="J154" s="703" t="str">
        <f>BI154</f>
        <v>N/A</v>
      </c>
      <c r="K154" s="66"/>
      <c r="L154" s="228"/>
      <c r="M154" s="601"/>
      <c r="N154" s="616"/>
      <c r="O154" s="746"/>
      <c r="P154" s="670" t="str">
        <f>BK154&amp;" c. "&amp;ROUND(BL154*100,1)&amp;" %"</f>
        <v>0 c. 0 %</v>
      </c>
      <c r="Q154" s="670" t="str">
        <f>BM154</f>
        <v>N/A</v>
      </c>
      <c r="R154" s="551"/>
      <c r="S154" s="552"/>
      <c r="T154" s="545"/>
      <c r="U154" s="261"/>
      <c r="V154" s="746"/>
      <c r="W154" s="670" t="str">
        <f>BO154&amp;" c. "&amp;ROUND(BP154*100,1)&amp;" %"</f>
        <v>0 c. 0 %</v>
      </c>
      <c r="X154" s="670" t="str">
        <f>BQ154</f>
        <v>N/A</v>
      </c>
      <c r="Y154" s="67"/>
      <c r="Z154" s="66"/>
      <c r="AA154" s="545"/>
      <c r="AB154" s="105"/>
      <c r="AC154" s="473" t="s">
        <v>123</v>
      </c>
      <c r="AD154" s="17">
        <f t="shared" si="125"/>
        <v>0</v>
      </c>
      <c r="AE154" s="1">
        <f t="shared" si="132"/>
        <v>0</v>
      </c>
      <c r="AF154" s="1">
        <f t="shared" si="133"/>
        <v>0</v>
      </c>
      <c r="AG154" s="1">
        <f t="shared" si="134"/>
        <v>0</v>
      </c>
      <c r="AJ154" s="56"/>
      <c r="AK154" s="500" t="s">
        <v>486</v>
      </c>
      <c r="AL154" s="479" t="s">
        <v>123</v>
      </c>
      <c r="AM154" s="479" t="s">
        <v>119</v>
      </c>
      <c r="AN154" s="56"/>
      <c r="AO154" s="56"/>
      <c r="AP154" s="56"/>
      <c r="AQ154" s="56"/>
      <c r="AT154" s="17" t="str">
        <f>IF($AK$4=ais_nei,AIS_NA,IF(AL154="",AIS_NA,AL154))</f>
        <v>N/A</v>
      </c>
      <c r="AU154" s="17" t="str">
        <f>IF($AK$4=ais_nei,AIS_NA,IF(AM154="",AIS_NA,AM154))</f>
        <v>N/A</v>
      </c>
      <c r="AV154" s="17" t="str">
        <f>IF($AK$4=ais_nei,AIS_NA,IF(AN154="",AIS_NA,AN154))</f>
        <v>N/A</v>
      </c>
      <c r="AW154" s="17"/>
      <c r="AX154" s="17"/>
      <c r="AY154" s="17"/>
      <c r="BA154" s="473"/>
      <c r="BB154" s="17"/>
      <c r="BC154" s="17" t="b">
        <f t="shared" si="131"/>
        <v>1</v>
      </c>
      <c r="BD154" s="17" t="str">
        <f>Poeng!B160</f>
        <v>Wst 03a</v>
      </c>
      <c r="BE154" s="13" t="str">
        <f>Poeng!E160</f>
        <v>Wst 03a Avfall i driftsfase</v>
      </c>
      <c r="BF154" s="13">
        <f>Poeng!AB160</f>
        <v>1</v>
      </c>
      <c r="BG154" s="13">
        <f>Poeng!AI160</f>
        <v>0</v>
      </c>
      <c r="BH154" s="1076">
        <f>Poeng!AE160</f>
        <v>0</v>
      </c>
      <c r="BI154" s="1" t="str">
        <f>Poeng!BE160</f>
        <v>N/A</v>
      </c>
      <c r="BK154" s="1">
        <f>Poeng!AJ160</f>
        <v>0</v>
      </c>
      <c r="BL154" s="1076">
        <f>Poeng!AF160</f>
        <v>0</v>
      </c>
      <c r="BM154" s="1076" t="str">
        <f>Poeng!BH160</f>
        <v>N/A</v>
      </c>
      <c r="BO154" s="1">
        <f>Poeng!AK160</f>
        <v>0</v>
      </c>
      <c r="BP154" s="1076">
        <f>Poeng!AG160</f>
        <v>0</v>
      </c>
      <c r="BQ154" s="1076" t="str">
        <f>Poeng!BK160</f>
        <v>N/A</v>
      </c>
    </row>
    <row r="155" spans="1:69">
      <c r="A155" s="792">
        <v>146</v>
      </c>
      <c r="B155" s="793" t="s">
        <v>475</v>
      </c>
      <c r="C155" s="97" t="str">
        <f t="shared" si="100"/>
        <v>Wst 03a</v>
      </c>
      <c r="D155" s="621" t="s">
        <v>487</v>
      </c>
      <c r="E155" s="964" t="s">
        <v>340</v>
      </c>
      <c r="F155" s="787" t="str">
        <f t="shared" si="139"/>
        <v>Avfall i driftsfase</v>
      </c>
      <c r="G155" s="95">
        <f t="shared" si="139"/>
        <v>1</v>
      </c>
      <c r="H155" s="29"/>
      <c r="I155" s="96">
        <f t="shared" ref="I155:J157" si="140">BH155</f>
        <v>0</v>
      </c>
      <c r="J155" s="97" t="str">
        <f t="shared" si="140"/>
        <v>Very Good</v>
      </c>
      <c r="K155" s="66"/>
      <c r="L155" s="228"/>
      <c r="M155" s="601"/>
      <c r="N155" s="616"/>
      <c r="O155" s="69"/>
      <c r="P155" s="96">
        <f t="shared" ref="P155:Q157" si="141">BL155</f>
        <v>0</v>
      </c>
      <c r="Q155" s="96" t="str">
        <f t="shared" si="141"/>
        <v>Very Good</v>
      </c>
      <c r="R155" s="551"/>
      <c r="S155" s="552"/>
      <c r="T155" s="545"/>
      <c r="U155" s="261"/>
      <c r="V155" s="69"/>
      <c r="W155" s="96">
        <f t="shared" ref="W155:X157" si="142">BP155</f>
        <v>0</v>
      </c>
      <c r="X155" s="96" t="str">
        <f t="shared" si="142"/>
        <v>Very Good</v>
      </c>
      <c r="Y155" s="67"/>
      <c r="Z155" s="66"/>
      <c r="AA155" s="545"/>
      <c r="AB155" s="105"/>
      <c r="AC155" s="473"/>
      <c r="AD155" s="17">
        <f t="shared" si="125"/>
        <v>0</v>
      </c>
      <c r="AE155" s="1">
        <f t="shared" si="132"/>
        <v>0</v>
      </c>
      <c r="AF155" s="1">
        <f t="shared" si="133"/>
        <v>0</v>
      </c>
      <c r="AG155" s="1">
        <f t="shared" si="134"/>
        <v>0</v>
      </c>
      <c r="AJ155" s="56"/>
      <c r="AK155" s="500"/>
      <c r="AL155" s="479"/>
      <c r="AM155" s="479"/>
      <c r="AN155" s="56"/>
      <c r="AO155" s="56"/>
      <c r="AP155" s="56"/>
      <c r="AQ155" s="56"/>
      <c r="AT155" s="17"/>
      <c r="AU155" s="17"/>
      <c r="AV155" s="17"/>
      <c r="AW155" s="17"/>
      <c r="AX155" s="17"/>
      <c r="AY155" s="17"/>
      <c r="BA155" s="473"/>
      <c r="BB155" s="17"/>
      <c r="BC155" s="17" t="b">
        <f t="shared" si="131"/>
        <v>1</v>
      </c>
      <c r="BD155" s="17" t="str">
        <f>Poeng!B161</f>
        <v>Wst 03aa</v>
      </c>
      <c r="BE155" s="13" t="str">
        <f>Poeng!E161</f>
        <v>Avfall i driftsfase</v>
      </c>
      <c r="BF155" s="13">
        <f>Poeng!AB161</f>
        <v>1</v>
      </c>
      <c r="BG155" s="13">
        <f>Poeng!AI161</f>
        <v>0</v>
      </c>
      <c r="BH155" s="1076">
        <f>Poeng!AE161</f>
        <v>0</v>
      </c>
      <c r="BI155" s="1" t="str">
        <f>Poeng!BE161</f>
        <v>Very Good</v>
      </c>
      <c r="BK155" s="1">
        <f>Poeng!AJ161</f>
        <v>0</v>
      </c>
      <c r="BL155" s="1076">
        <f>Poeng!AF161</f>
        <v>0</v>
      </c>
      <c r="BM155" s="1076" t="str">
        <f>Poeng!BH161</f>
        <v>Very Good</v>
      </c>
      <c r="BO155" s="1">
        <f>Poeng!AK161</f>
        <v>0</v>
      </c>
      <c r="BP155" s="1076">
        <f>Poeng!AG161</f>
        <v>0</v>
      </c>
      <c r="BQ155" s="1076" t="str">
        <f>Poeng!BK161</f>
        <v>Very Good</v>
      </c>
    </row>
    <row r="156" spans="1:69">
      <c r="A156" s="792">
        <v>147</v>
      </c>
      <c r="B156" s="793" t="s">
        <v>475</v>
      </c>
      <c r="C156" s="704" t="s">
        <v>488</v>
      </c>
      <c r="D156" s="621" t="s">
        <v>488</v>
      </c>
      <c r="E156" s="962"/>
      <c r="F156" s="654" t="str">
        <f>BE156</f>
        <v>Wst 03b Avfall i driftsfase</v>
      </c>
      <c r="G156" s="659">
        <f>BF156</f>
        <v>0</v>
      </c>
      <c r="H156" s="746"/>
      <c r="I156" s="660" t="str">
        <f>BG156&amp;" c. "&amp;ROUND(BH156*100,1)&amp;" %"</f>
        <v>0 c. 0 %</v>
      </c>
      <c r="J156" s="97" t="str">
        <f t="shared" si="140"/>
        <v>N/A</v>
      </c>
      <c r="K156" s="66"/>
      <c r="L156" s="228"/>
      <c r="M156" s="601"/>
      <c r="N156" s="616"/>
      <c r="O156" s="746"/>
      <c r="P156" s="670" t="str">
        <f>BK156&amp;" c. "&amp;ROUND(BL156*100,1)&amp;" %"</f>
        <v>0 c. 0 %</v>
      </c>
      <c r="Q156" s="96" t="str">
        <f t="shared" si="141"/>
        <v>N/A</v>
      </c>
      <c r="R156" s="551"/>
      <c r="S156" s="552"/>
      <c r="T156" s="545"/>
      <c r="U156" s="261"/>
      <c r="V156" s="746"/>
      <c r="W156" s="96">
        <f t="shared" si="142"/>
        <v>0</v>
      </c>
      <c r="X156" s="96" t="str">
        <f t="shared" si="142"/>
        <v>N/A</v>
      </c>
      <c r="Y156" s="67"/>
      <c r="Z156" s="66"/>
      <c r="AA156" s="545"/>
      <c r="AB156" s="105"/>
      <c r="AC156" s="473"/>
      <c r="AD156" s="17">
        <f t="shared" si="125"/>
        <v>1</v>
      </c>
      <c r="AE156" s="1">
        <f t="shared" si="132"/>
        <v>0</v>
      </c>
      <c r="AF156" s="1">
        <f t="shared" si="133"/>
        <v>0</v>
      </c>
      <c r="AG156" s="1">
        <f t="shared" si="134"/>
        <v>0</v>
      </c>
      <c r="AJ156" s="56"/>
      <c r="AK156" s="500"/>
      <c r="AL156" s="479"/>
      <c r="AM156" s="479"/>
      <c r="AN156" s="56"/>
      <c r="AO156" s="56"/>
      <c r="AP156" s="56"/>
      <c r="AQ156" s="56"/>
      <c r="AT156" s="17"/>
      <c r="AU156" s="17"/>
      <c r="AV156" s="17"/>
      <c r="AW156" s="17"/>
      <c r="AX156" s="17"/>
      <c r="AY156" s="17"/>
      <c r="BA156" s="473"/>
      <c r="BB156" s="17"/>
      <c r="BC156" s="17" t="b">
        <f t="shared" si="131"/>
        <v>1</v>
      </c>
      <c r="BD156" s="17" t="str">
        <f>Poeng!B162</f>
        <v>Wst 03b</v>
      </c>
      <c r="BE156" s="13" t="str">
        <f>Poeng!E162</f>
        <v>Wst 03b Avfall i driftsfase</v>
      </c>
      <c r="BF156" s="13">
        <f>Poeng!AB162</f>
        <v>0</v>
      </c>
      <c r="BG156" s="13">
        <f>Poeng!AI162</f>
        <v>0</v>
      </c>
      <c r="BH156" s="1076">
        <f>Poeng!AE162</f>
        <v>0</v>
      </c>
      <c r="BI156" s="1" t="str">
        <f>Poeng!BE162</f>
        <v>N/A</v>
      </c>
      <c r="BK156" s="1">
        <f>Poeng!AJ162</f>
        <v>0</v>
      </c>
      <c r="BL156" s="1076">
        <f>Poeng!AF162</f>
        <v>0</v>
      </c>
      <c r="BM156" s="1076" t="str">
        <f>Poeng!BH162</f>
        <v>N/A</v>
      </c>
      <c r="BO156" s="1">
        <f>Poeng!AK162</f>
        <v>0</v>
      </c>
      <c r="BP156" s="1076">
        <f>Poeng!AG162</f>
        <v>0</v>
      </c>
      <c r="BQ156" s="1076" t="str">
        <f>Poeng!BK162</f>
        <v>N/A</v>
      </c>
    </row>
    <row r="157" spans="1:69">
      <c r="A157" s="792">
        <v>148</v>
      </c>
      <c r="B157" s="793" t="s">
        <v>475</v>
      </c>
      <c r="C157" s="97" t="str">
        <f t="shared" si="100"/>
        <v>Wst 03b</v>
      </c>
      <c r="D157" s="621" t="s">
        <v>489</v>
      </c>
      <c r="E157" s="964" t="s">
        <v>288</v>
      </c>
      <c r="F157" s="787" t="str">
        <f t="shared" si="139"/>
        <v>Sortering av avfall</v>
      </c>
      <c r="G157" s="95">
        <f t="shared" si="139"/>
        <v>0</v>
      </c>
      <c r="H157" s="29"/>
      <c r="I157" s="96">
        <f t="shared" si="140"/>
        <v>0</v>
      </c>
      <c r="J157" s="97" t="str">
        <f t="shared" si="140"/>
        <v>N/A</v>
      </c>
      <c r="K157" s="66"/>
      <c r="L157" s="228"/>
      <c r="M157" s="601"/>
      <c r="N157" s="616"/>
      <c r="O157" s="69"/>
      <c r="P157" s="96">
        <f t="shared" si="141"/>
        <v>0</v>
      </c>
      <c r="Q157" s="96" t="str">
        <f t="shared" si="141"/>
        <v>N/A</v>
      </c>
      <c r="R157" s="551"/>
      <c r="S157" s="552"/>
      <c r="T157" s="601"/>
      <c r="U157" s="261"/>
      <c r="V157" s="69"/>
      <c r="W157" s="96">
        <f t="shared" si="142"/>
        <v>0</v>
      </c>
      <c r="X157" s="96" t="str">
        <f t="shared" si="142"/>
        <v>N/A</v>
      </c>
      <c r="Y157" s="67"/>
      <c r="Z157" s="66"/>
      <c r="AA157" s="601"/>
      <c r="AB157" s="105"/>
      <c r="AC157" s="473"/>
      <c r="AD157" s="17">
        <f t="shared" si="125"/>
        <v>1</v>
      </c>
      <c r="AE157" s="1">
        <f t="shared" si="132"/>
        <v>0</v>
      </c>
      <c r="AF157" s="1">
        <f t="shared" si="133"/>
        <v>0</v>
      </c>
      <c r="AG157" s="1">
        <f t="shared" si="134"/>
        <v>0</v>
      </c>
      <c r="AJ157" s="56"/>
      <c r="AK157" s="500"/>
      <c r="AL157" s="479"/>
      <c r="AM157" s="479"/>
      <c r="AN157" s="56"/>
      <c r="AO157" s="56"/>
      <c r="AP157" s="56"/>
      <c r="AQ157" s="56"/>
      <c r="AT157" s="17"/>
      <c r="AU157" s="17"/>
      <c r="AV157" s="17"/>
      <c r="AW157" s="17"/>
      <c r="AX157" s="17"/>
      <c r="AY157" s="17"/>
      <c r="BA157" s="473"/>
      <c r="BB157" s="17"/>
      <c r="BC157" s="17" t="b">
        <f t="shared" si="131"/>
        <v>1</v>
      </c>
      <c r="BD157" s="17" t="str">
        <f>Poeng!B163</f>
        <v>Wst 03ba</v>
      </c>
      <c r="BE157" s="13" t="str">
        <f>Poeng!E163</f>
        <v>Sortering av avfall</v>
      </c>
      <c r="BF157" s="13">
        <f>Poeng!AB163</f>
        <v>0</v>
      </c>
      <c r="BG157" s="13">
        <f>Poeng!AI163</f>
        <v>0</v>
      </c>
      <c r="BH157" s="1076">
        <f>Poeng!AE163</f>
        <v>0</v>
      </c>
      <c r="BI157" s="1" t="str">
        <f>Poeng!BE163</f>
        <v>N/A</v>
      </c>
      <c r="BK157" s="1">
        <f>Poeng!AJ163</f>
        <v>0</v>
      </c>
      <c r="BL157" s="1076">
        <f>Poeng!AF163</f>
        <v>0</v>
      </c>
      <c r="BM157" s="1076" t="str">
        <f>Poeng!BH163</f>
        <v>N/A</v>
      </c>
      <c r="BO157" s="1">
        <f>Poeng!AK163</f>
        <v>0</v>
      </c>
      <c r="BP157" s="1076">
        <f>Poeng!AG163</f>
        <v>0</v>
      </c>
      <c r="BQ157" s="1076" t="str">
        <f>Poeng!BK163</f>
        <v>N/A</v>
      </c>
    </row>
    <row r="158" spans="1:69">
      <c r="A158" s="792">
        <v>149</v>
      </c>
      <c r="B158" s="793" t="s">
        <v>475</v>
      </c>
      <c r="C158" s="704" t="s">
        <v>490</v>
      </c>
      <c r="D158" s="621" t="s">
        <v>490</v>
      </c>
      <c r="E158" s="962"/>
      <c r="F158" s="654" t="str">
        <f>BE158</f>
        <v>Wst 04 Brukerinvolvering innvendige overflater</v>
      </c>
      <c r="G158" s="659">
        <f>BF158</f>
        <v>1</v>
      </c>
      <c r="H158" s="746"/>
      <c r="I158" s="660" t="str">
        <f>BG158&amp;" c. "&amp;ROUND(BH158*100,1)&amp;" %"</f>
        <v>0 c. 0 %</v>
      </c>
      <c r="J158" s="703" t="str">
        <f>BI158</f>
        <v>N/A</v>
      </c>
      <c r="K158" s="66"/>
      <c r="L158" s="228"/>
      <c r="M158" s="601"/>
      <c r="N158" s="616"/>
      <c r="O158" s="746"/>
      <c r="P158" s="670" t="str">
        <f>BK158&amp;" c. "&amp;ROUND(BL158*100,1)&amp;" %"</f>
        <v>0 c. 0 %</v>
      </c>
      <c r="Q158" s="670" t="str">
        <f>BM158</f>
        <v>N/A</v>
      </c>
      <c r="R158" s="551"/>
      <c r="S158" s="552"/>
      <c r="T158" s="545"/>
      <c r="U158" s="261"/>
      <c r="V158" s="746"/>
      <c r="W158" s="670" t="str">
        <f>BO158&amp;" c. "&amp;ROUND(BP158*100,1)&amp;" %"</f>
        <v>0 c. 0 %</v>
      </c>
      <c r="X158" s="670" t="str">
        <f>BQ158</f>
        <v>N/A</v>
      </c>
      <c r="Y158" s="67"/>
      <c r="Z158" s="66"/>
      <c r="AA158" s="545"/>
      <c r="AB158" s="105"/>
      <c r="AC158" s="473" t="s">
        <v>123</v>
      </c>
      <c r="AD158" s="17">
        <f t="shared" si="125"/>
        <v>0</v>
      </c>
      <c r="AE158" s="1">
        <f t="shared" si="132"/>
        <v>0</v>
      </c>
      <c r="AF158" s="1">
        <f t="shared" si="133"/>
        <v>0</v>
      </c>
      <c r="AG158" s="1">
        <f t="shared" si="134"/>
        <v>0</v>
      </c>
      <c r="AJ158" s="56"/>
      <c r="AK158" s="500" t="s">
        <v>491</v>
      </c>
      <c r="AL158" s="479" t="s">
        <v>123</v>
      </c>
      <c r="AM158" s="479" t="s">
        <v>119</v>
      </c>
      <c r="AN158" s="56"/>
      <c r="AO158" s="56"/>
      <c r="AP158" s="56"/>
      <c r="AQ158" s="56"/>
      <c r="AT158" s="17" t="str">
        <f>IF($AK$4=ais_nei,AIS_NA,IF(AL158="",AIS_NA,AL158))</f>
        <v>N/A</v>
      </c>
      <c r="AU158" s="17" t="str">
        <f>IF($AK$4=ais_nei,AIS_NA,IF(AM158="",AIS_NA,AM158))</f>
        <v>N/A</v>
      </c>
      <c r="AV158" s="17" t="str">
        <f>IF($AK$4=ais_nei,AIS_NA,IF(AN158="",AIS_NA,AN158))</f>
        <v>N/A</v>
      </c>
      <c r="AW158" s="17"/>
      <c r="AX158" s="17"/>
      <c r="AY158" s="17"/>
      <c r="BA158" s="473"/>
      <c r="BB158" s="17"/>
      <c r="BC158" s="17" t="b">
        <f t="shared" si="131"/>
        <v>1</v>
      </c>
      <c r="BD158" s="17" t="str">
        <f>Poeng!B164</f>
        <v>Wst 04</v>
      </c>
      <c r="BE158" s="13" t="str">
        <f>Poeng!E164</f>
        <v>Wst 04 Brukerinvolvering innvendige overflater</v>
      </c>
      <c r="BF158" s="13">
        <f>Poeng!AB164</f>
        <v>1</v>
      </c>
      <c r="BG158" s="13">
        <f>Poeng!AI164</f>
        <v>0</v>
      </c>
      <c r="BH158" s="1076">
        <f>Poeng!AE164</f>
        <v>0</v>
      </c>
      <c r="BI158" s="1" t="str">
        <f>Poeng!BE164</f>
        <v>N/A</v>
      </c>
      <c r="BK158" s="1">
        <f>Poeng!AJ164</f>
        <v>0</v>
      </c>
      <c r="BL158" s="1076">
        <f>Poeng!AF164</f>
        <v>0</v>
      </c>
      <c r="BM158" s="1076" t="str">
        <f>Poeng!BH164</f>
        <v>N/A</v>
      </c>
      <c r="BO158" s="1">
        <f>Poeng!AK164</f>
        <v>0</v>
      </c>
      <c r="BP158" s="1076">
        <f>Poeng!AG164</f>
        <v>0</v>
      </c>
      <c r="BQ158" s="1076" t="str">
        <f>Poeng!BK164</f>
        <v>N/A</v>
      </c>
    </row>
    <row r="159" spans="1:69">
      <c r="A159" s="792">
        <v>150</v>
      </c>
      <c r="B159" s="793" t="s">
        <v>475</v>
      </c>
      <c r="C159" s="97" t="str">
        <f t="shared" si="100"/>
        <v>Wst 04</v>
      </c>
      <c r="D159" s="621" t="s">
        <v>492</v>
      </c>
      <c r="E159" s="964" t="s">
        <v>394</v>
      </c>
      <c r="F159" s="787" t="str">
        <f t="shared" si="139"/>
        <v>Brukerinvolvering innvendige overflater</v>
      </c>
      <c r="G159" s="95">
        <f t="shared" si="139"/>
        <v>1</v>
      </c>
      <c r="H159" s="29"/>
      <c r="I159" s="96">
        <f>BH159</f>
        <v>0</v>
      </c>
      <c r="J159" s="97" t="str">
        <f>BI159</f>
        <v>N/A</v>
      </c>
      <c r="K159" s="66"/>
      <c r="L159" s="228"/>
      <c r="M159" s="601"/>
      <c r="N159" s="616"/>
      <c r="O159" s="69"/>
      <c r="P159" s="96">
        <f>BL159</f>
        <v>0</v>
      </c>
      <c r="Q159" s="96" t="str">
        <f>BM159</f>
        <v>N/A</v>
      </c>
      <c r="R159" s="551"/>
      <c r="S159" s="552"/>
      <c r="T159" s="545"/>
      <c r="U159" s="261"/>
      <c r="V159" s="69"/>
      <c r="W159" s="96">
        <f>BP159</f>
        <v>0</v>
      </c>
      <c r="X159" s="96" t="str">
        <f>BQ159</f>
        <v>N/A</v>
      </c>
      <c r="Y159" s="67"/>
      <c r="Z159" s="66"/>
      <c r="AA159" s="545"/>
      <c r="AB159" s="105"/>
      <c r="AC159" s="527"/>
      <c r="AD159" s="17">
        <f t="shared" si="125"/>
        <v>0</v>
      </c>
      <c r="AE159" s="1">
        <f t="shared" si="132"/>
        <v>0</v>
      </c>
      <c r="AF159" s="1">
        <f t="shared" si="133"/>
        <v>0</v>
      </c>
      <c r="AG159" s="1">
        <f t="shared" si="134"/>
        <v>0</v>
      </c>
      <c r="AJ159" s="56"/>
      <c r="AK159" s="500"/>
      <c r="AL159" s="479"/>
      <c r="AM159" s="479"/>
      <c r="AN159" s="56"/>
      <c r="AO159" s="56"/>
      <c r="AP159" s="56"/>
      <c r="AQ159" s="56"/>
      <c r="AT159" s="17"/>
      <c r="AU159" s="17"/>
      <c r="AV159" s="17"/>
      <c r="AW159" s="17"/>
      <c r="AX159" s="17"/>
      <c r="AY159" s="17"/>
      <c r="BA159" s="527"/>
      <c r="BB159" s="17"/>
      <c r="BC159" s="17" t="b">
        <f t="shared" si="131"/>
        <v>1</v>
      </c>
      <c r="BD159" s="17" t="str">
        <f>Poeng!B165</f>
        <v>Wst 04a</v>
      </c>
      <c r="BE159" s="13" t="str">
        <f>Poeng!E165</f>
        <v>Brukerinvolvering innvendige overflater</v>
      </c>
      <c r="BF159" s="13">
        <f>Poeng!AB165</f>
        <v>1</v>
      </c>
      <c r="BG159" s="13">
        <f>Poeng!AI165</f>
        <v>0</v>
      </c>
      <c r="BH159" s="1076">
        <f>Poeng!AE165</f>
        <v>0</v>
      </c>
      <c r="BI159" s="1" t="str">
        <f>Poeng!BE165</f>
        <v>N/A</v>
      </c>
      <c r="BK159" s="1">
        <f>Poeng!AJ165</f>
        <v>0</v>
      </c>
      <c r="BL159" s="1076">
        <f>Poeng!AF165</f>
        <v>0</v>
      </c>
      <c r="BM159" s="1076" t="str">
        <f>Poeng!BH165</f>
        <v>N/A</v>
      </c>
      <c r="BO159" s="1">
        <f>Poeng!AK165</f>
        <v>0</v>
      </c>
      <c r="BP159" s="1076">
        <f>Poeng!AG165</f>
        <v>0</v>
      </c>
      <c r="BQ159" s="1076" t="str">
        <f>Poeng!BK165</f>
        <v>N/A</v>
      </c>
    </row>
    <row r="160" spans="1:69" ht="15.75" thickBot="1">
      <c r="A160" s="792">
        <v>151</v>
      </c>
      <c r="B160" s="793" t="s">
        <v>475</v>
      </c>
      <c r="C160" s="802"/>
      <c r="D160" s="621" t="s">
        <v>493</v>
      </c>
      <c r="E160" s="970"/>
      <c r="F160" s="282" t="s">
        <v>494</v>
      </c>
      <c r="G160" s="98">
        <f>Wst_Credits</f>
        <v>7</v>
      </c>
      <c r="H160" s="103"/>
      <c r="I160" s="99">
        <f>Wst_cont_tot</f>
        <v>0</v>
      </c>
      <c r="J160" s="661" t="str">
        <f>"Poeng oppnådd: "&amp;Wst_tot_user</f>
        <v>Poeng oppnådd: 0</v>
      </c>
      <c r="K160" s="106"/>
      <c r="L160" s="229"/>
      <c r="M160" s="553"/>
      <c r="N160" s="616"/>
      <c r="O160" s="317"/>
      <c r="P160" s="99">
        <f>BL160</f>
        <v>0</v>
      </c>
      <c r="Q160" s="661" t="str">
        <f>"Poeng oppnådd: "&amp;Wst_d_user</f>
        <v>Poeng oppnådd: 0</v>
      </c>
      <c r="R160" s="554"/>
      <c r="S160" s="555"/>
      <c r="T160" s="553"/>
      <c r="U160" s="261"/>
      <c r="V160" s="317"/>
      <c r="W160" s="99">
        <f>BP160</f>
        <v>0</v>
      </c>
      <c r="X160" s="661" t="str">
        <f>"Poeng oppnådd: "&amp;Wst_c_user</f>
        <v>Poeng oppnådd: 0</v>
      </c>
      <c r="Y160" s="316"/>
      <c r="Z160" s="108"/>
      <c r="AA160" s="553"/>
      <c r="AB160" s="105"/>
      <c r="AC160" s="474"/>
      <c r="AD160" s="17"/>
      <c r="AE160" s="225">
        <v>0</v>
      </c>
      <c r="AF160" s="225">
        <v>0</v>
      </c>
      <c r="AG160" s="225">
        <v>0</v>
      </c>
      <c r="AJ160" s="56"/>
      <c r="AK160" s="500" t="s">
        <v>495</v>
      </c>
      <c r="AL160" s="56"/>
      <c r="AM160" s="56"/>
      <c r="AN160" s="56"/>
      <c r="AO160" s="56"/>
      <c r="AP160" s="56"/>
      <c r="AQ160" s="56"/>
      <c r="AT160" s="17" t="str">
        <f t="shared" ref="AT160:AV163" si="143">IF($AK$4=ais_nei,AIS_NA,IF(AL160="",AIS_NA,AL160))</f>
        <v>N/A</v>
      </c>
      <c r="AU160" s="17" t="str">
        <f t="shared" si="143"/>
        <v>N/A</v>
      </c>
      <c r="AV160" s="17" t="str">
        <f t="shared" si="143"/>
        <v>N/A</v>
      </c>
      <c r="AW160" s="17"/>
      <c r="AX160" s="17"/>
      <c r="AY160" s="17"/>
      <c r="BA160" s="474"/>
      <c r="BB160" s="17"/>
      <c r="BC160" s="17" t="b">
        <f t="shared" si="131"/>
        <v>1</v>
      </c>
      <c r="BD160" s="17" t="str">
        <f>Poeng!B166</f>
        <v>Wst sum</v>
      </c>
      <c r="BE160" s="13" t="str">
        <f>Poeng!E166</f>
        <v>Sum</v>
      </c>
      <c r="BF160" s="13">
        <f>Poeng!AB166</f>
        <v>7</v>
      </c>
      <c r="BG160" s="13">
        <f>Poeng!AI166</f>
        <v>0</v>
      </c>
      <c r="BH160" s="1076">
        <f>Poeng!AE166</f>
        <v>0</v>
      </c>
      <c r="BI160" s="1">
        <f>Poeng!BE166</f>
        <v>0</v>
      </c>
      <c r="BK160" s="1">
        <f>Poeng!AJ166</f>
        <v>0</v>
      </c>
      <c r="BL160" s="1076">
        <f>Poeng!AF166</f>
        <v>0</v>
      </c>
      <c r="BM160" s="1076">
        <f>Poeng!BH166</f>
        <v>0</v>
      </c>
      <c r="BO160" s="1">
        <f>Poeng!AK166</f>
        <v>0</v>
      </c>
      <c r="BP160" s="1076">
        <f>Poeng!AG166</f>
        <v>0</v>
      </c>
      <c r="BQ160" s="1076">
        <f>Poeng!BK166</f>
        <v>0</v>
      </c>
    </row>
    <row r="161" spans="1:69">
      <c r="A161" s="792">
        <v>152</v>
      </c>
      <c r="B161" s="793" t="s">
        <v>475</v>
      </c>
      <c r="C161" s="798"/>
      <c r="D161" s="621"/>
      <c r="E161" s="966"/>
      <c r="F161" s="275"/>
      <c r="G161" s="264"/>
      <c r="H161" s="265"/>
      <c r="I161" s="264"/>
      <c r="J161" s="264"/>
      <c r="K161" s="266"/>
      <c r="L161" s="265"/>
      <c r="M161" s="556"/>
      <c r="N161" s="616"/>
      <c r="O161" s="267"/>
      <c r="P161" s="267"/>
      <c r="Q161" s="556"/>
      <c r="R161" s="556"/>
      <c r="S161" s="557"/>
      <c r="T161" s="556"/>
      <c r="U161" s="261"/>
      <c r="V161" s="267"/>
      <c r="W161" s="267"/>
      <c r="X161" s="556"/>
      <c r="Y161" s="266"/>
      <c r="Z161" s="267"/>
      <c r="AA161" s="556"/>
      <c r="AB161" s="105"/>
      <c r="AC161" s="266"/>
      <c r="AD161" s="17"/>
      <c r="AE161" s="226">
        <v>0</v>
      </c>
      <c r="AF161" s="226">
        <v>0</v>
      </c>
      <c r="AG161" s="226">
        <v>0</v>
      </c>
      <c r="AJ161" s="56"/>
      <c r="AK161" s="500"/>
      <c r="AL161" s="56"/>
      <c r="AM161" s="56"/>
      <c r="AN161" s="56"/>
      <c r="AO161" s="56"/>
      <c r="AP161" s="56"/>
      <c r="AQ161" s="56"/>
      <c r="AT161" s="17" t="str">
        <f t="shared" si="143"/>
        <v>N/A</v>
      </c>
      <c r="AU161" s="17" t="str">
        <f t="shared" si="143"/>
        <v>N/A</v>
      </c>
      <c r="AV161" s="17" t="str">
        <f t="shared" si="143"/>
        <v>N/A</v>
      </c>
      <c r="AW161" s="17"/>
      <c r="AX161" s="17"/>
      <c r="AY161" s="17"/>
      <c r="BA161" s="266"/>
      <c r="BB161" s="17"/>
      <c r="BC161" s="17"/>
    </row>
    <row r="162" spans="1:69" ht="18.75">
      <c r="A162" s="792">
        <v>153</v>
      </c>
      <c r="B162" s="793" t="s">
        <v>496</v>
      </c>
      <c r="C162" s="799"/>
      <c r="D162" s="621"/>
      <c r="E162" s="968"/>
      <c r="F162" s="276" t="s">
        <v>497</v>
      </c>
      <c r="G162" s="257"/>
      <c r="H162" s="258"/>
      <c r="I162" s="277"/>
      <c r="J162" s="257"/>
      <c r="K162" s="269"/>
      <c r="L162" s="270"/>
      <c r="M162" s="559"/>
      <c r="N162" s="616"/>
      <c r="O162" s="280"/>
      <c r="P162" s="273"/>
      <c r="Q162" s="549"/>
      <c r="R162" s="560"/>
      <c r="S162" s="561"/>
      <c r="T162" s="562"/>
      <c r="U162" s="261"/>
      <c r="V162" s="280"/>
      <c r="W162" s="279"/>
      <c r="X162" s="549"/>
      <c r="Y162" s="269"/>
      <c r="Z162" s="279"/>
      <c r="AA162" s="559"/>
      <c r="AB162" s="105"/>
      <c r="AC162" s="278"/>
      <c r="AD162" s="17"/>
      <c r="AE162" s="224">
        <v>0</v>
      </c>
      <c r="AF162" s="224">
        <v>0</v>
      </c>
      <c r="AG162" s="224">
        <v>0</v>
      </c>
      <c r="AJ162" s="56"/>
      <c r="AK162" s="500" t="s">
        <v>498</v>
      </c>
      <c r="AL162" s="56"/>
      <c r="AM162" s="56"/>
      <c r="AN162" s="56"/>
      <c r="AO162" s="56"/>
      <c r="AP162" s="56"/>
      <c r="AQ162" s="56"/>
      <c r="AT162" s="17" t="str">
        <f t="shared" si="143"/>
        <v>N/A</v>
      </c>
      <c r="AU162" s="17" t="str">
        <f t="shared" si="143"/>
        <v>N/A</v>
      </c>
      <c r="AV162" s="17" t="str">
        <f t="shared" si="143"/>
        <v>N/A</v>
      </c>
      <c r="AW162" s="17"/>
      <c r="AX162" s="17"/>
      <c r="AY162" s="17"/>
      <c r="BA162" s="278"/>
      <c r="BB162" s="17"/>
      <c r="BC162" s="17"/>
    </row>
    <row r="163" spans="1:69">
      <c r="A163" s="792">
        <v>154</v>
      </c>
      <c r="B163" s="793" t="s">
        <v>496</v>
      </c>
      <c r="C163" s="704" t="s">
        <v>499</v>
      </c>
      <c r="D163" s="621" t="s">
        <v>499</v>
      </c>
      <c r="E163" s="962"/>
      <c r="F163" s="654" t="str">
        <f t="shared" ref="F163:G166" si="144">BE163</f>
        <v>LE 01 Valg av tomt</v>
      </c>
      <c r="G163" s="659">
        <f t="shared" si="144"/>
        <v>2</v>
      </c>
      <c r="H163" s="745"/>
      <c r="I163" s="660" t="str">
        <f>BG163&amp;" c. "&amp;ROUND(BH163*100,1)&amp;" %"</f>
        <v>0 c. 0 %</v>
      </c>
      <c r="J163" s="703" t="str">
        <f>BI163</f>
        <v>N/A</v>
      </c>
      <c r="K163" s="667"/>
      <c r="L163" s="668"/>
      <c r="M163" s="669"/>
      <c r="N163" s="616"/>
      <c r="O163" s="746"/>
      <c r="P163" s="670" t="str">
        <f>BK163&amp;" c. "&amp;ROUND(BL163*100,1)&amp;" %"</f>
        <v>0 c. 0 %</v>
      </c>
      <c r="Q163" s="670" t="str">
        <f>BM163</f>
        <v>N/A</v>
      </c>
      <c r="R163" s="551"/>
      <c r="S163" s="552"/>
      <c r="T163" s="545"/>
      <c r="U163" s="261"/>
      <c r="V163" s="746"/>
      <c r="W163" s="670" t="str">
        <f>BO163&amp;" c. "&amp;ROUND(BP163*100,1)&amp;" %"</f>
        <v>0 c. 0 %</v>
      </c>
      <c r="X163" s="670" t="str">
        <f>BQ163</f>
        <v>N/A</v>
      </c>
      <c r="Y163" s="67"/>
      <c r="Z163" s="66"/>
      <c r="AA163" s="545"/>
      <c r="AB163" s="105"/>
      <c r="AC163" s="473" t="s">
        <v>209</v>
      </c>
      <c r="AD163" s="17">
        <f t="shared" si="125"/>
        <v>0</v>
      </c>
      <c r="AE163" s="1">
        <f t="shared" ref="AE163:AE191" si="145">IF(L163=$AE$4,$AF$4,IF(L163=$AE$5,$AF$5,IF(L163=$AE$6,$AF$6,0)))</f>
        <v>0</v>
      </c>
      <c r="AF163" s="1">
        <f t="shared" ref="AF163:AF191" si="146">IF(S163=$AE$4,$AF$4,IF(S163=$AE$5,$AF$5,IF(S163=$AE$6,$AF$6,0)))</f>
        <v>0</v>
      </c>
      <c r="AG163" s="1">
        <f t="shared" ref="AG163:AG191" si="147">IF(Z163=$AE$4,$AF$4,IF(Z163=$AE$5,$AF$5,IF(Z163=$AE$6,$AF$6,0)))</f>
        <v>0</v>
      </c>
      <c r="AJ163" s="56"/>
      <c r="AK163" s="500" t="s">
        <v>500</v>
      </c>
      <c r="AL163" s="56"/>
      <c r="AM163" s="56"/>
      <c r="AN163" s="56"/>
      <c r="AO163" s="56"/>
      <c r="AP163" s="56"/>
      <c r="AQ163" s="56"/>
      <c r="AT163" s="17" t="str">
        <f t="shared" si="143"/>
        <v>N/A</v>
      </c>
      <c r="AU163" s="17" t="str">
        <f t="shared" si="143"/>
        <v>N/A</v>
      </c>
      <c r="AV163" s="17" t="str">
        <f t="shared" si="143"/>
        <v>N/A</v>
      </c>
      <c r="AW163" s="17"/>
      <c r="AX163" s="17"/>
      <c r="AY163" s="17"/>
      <c r="BA163" s="473"/>
      <c r="BB163" s="17"/>
      <c r="BC163" s="17" t="b">
        <f t="shared" si="131"/>
        <v>1</v>
      </c>
      <c r="BD163" s="17" t="str">
        <f>Poeng!B169</f>
        <v>LE 01</v>
      </c>
      <c r="BE163" s="13" t="str">
        <f>Poeng!E169</f>
        <v>LE 01 Valg av tomt</v>
      </c>
      <c r="BF163" s="13">
        <f>Poeng!AB169</f>
        <v>2</v>
      </c>
      <c r="BG163" s="13">
        <f>Poeng!AI169</f>
        <v>0</v>
      </c>
      <c r="BH163" s="1076">
        <f>Poeng!AE169</f>
        <v>0</v>
      </c>
      <c r="BI163" s="1" t="str">
        <f>Poeng!BE169</f>
        <v>N/A</v>
      </c>
      <c r="BK163" s="1">
        <f>Poeng!AJ169</f>
        <v>0</v>
      </c>
      <c r="BL163" s="1076">
        <f>Poeng!AF169</f>
        <v>0</v>
      </c>
      <c r="BM163" s="1076" t="str">
        <f>Poeng!BH169</f>
        <v>N/A</v>
      </c>
      <c r="BO163" s="1">
        <f>Poeng!AK169</f>
        <v>0</v>
      </c>
      <c r="BP163" s="1076">
        <f>Poeng!AG169</f>
        <v>0</v>
      </c>
      <c r="BQ163" s="1076" t="str">
        <f>Poeng!BK169</f>
        <v>N/A</v>
      </c>
    </row>
    <row r="164" spans="1:69">
      <c r="A164" s="792">
        <v>155</v>
      </c>
      <c r="B164" s="793" t="s">
        <v>496</v>
      </c>
      <c r="C164" s="97" t="str">
        <f t="shared" si="100"/>
        <v>LE 01</v>
      </c>
      <c r="D164" s="621" t="s">
        <v>501</v>
      </c>
      <c r="E164" s="975" t="s">
        <v>288</v>
      </c>
      <c r="F164" s="787" t="str">
        <f t="shared" si="144"/>
        <v>Tidligere utbygget areal</v>
      </c>
      <c r="G164" s="95">
        <f t="shared" si="144"/>
        <v>2</v>
      </c>
      <c r="H164" s="29"/>
      <c r="I164" s="96">
        <f>BH164</f>
        <v>0</v>
      </c>
      <c r="J164" s="97" t="str">
        <f>BI164</f>
        <v>N/A</v>
      </c>
      <c r="K164" s="66"/>
      <c r="L164" s="228"/>
      <c r="M164" s="601"/>
      <c r="N164" s="616"/>
      <c r="O164" s="69"/>
      <c r="P164" s="96">
        <f>BL164</f>
        <v>0</v>
      </c>
      <c r="Q164" s="96" t="str">
        <f>BM164</f>
        <v>N/A</v>
      </c>
      <c r="R164" s="551"/>
      <c r="S164" s="552"/>
      <c r="T164" s="545"/>
      <c r="U164" s="261"/>
      <c r="V164" s="69"/>
      <c r="W164" s="96">
        <f>BP164</f>
        <v>0</v>
      </c>
      <c r="X164" s="96" t="str">
        <f>BQ164</f>
        <v>N/A</v>
      </c>
      <c r="Y164" s="67"/>
      <c r="Z164" s="66"/>
      <c r="AA164" s="545"/>
      <c r="AB164" s="105"/>
      <c r="AC164" s="473"/>
      <c r="AD164" s="17">
        <f t="shared" si="125"/>
        <v>0</v>
      </c>
      <c r="AE164" s="1">
        <f t="shared" si="145"/>
        <v>0</v>
      </c>
      <c r="AF164" s="1">
        <f t="shared" si="146"/>
        <v>0</v>
      </c>
      <c r="AG164" s="1">
        <f t="shared" si="147"/>
        <v>0</v>
      </c>
      <c r="AJ164" s="56"/>
      <c r="AK164" s="500"/>
      <c r="AL164" s="56"/>
      <c r="AM164" s="56"/>
      <c r="AN164" s="56"/>
      <c r="AO164" s="56"/>
      <c r="AP164" s="56"/>
      <c r="AQ164" s="56"/>
      <c r="AT164" s="17"/>
      <c r="AU164" s="17"/>
      <c r="AV164" s="17"/>
      <c r="AW164" s="17"/>
      <c r="AX164" s="17"/>
      <c r="AY164" s="17"/>
      <c r="BA164" s="473"/>
      <c r="BB164" s="17"/>
      <c r="BC164" s="17" t="b">
        <f t="shared" si="131"/>
        <v>1</v>
      </c>
      <c r="BD164" s="17" t="str">
        <f>Poeng!B170</f>
        <v>LE 01a</v>
      </c>
      <c r="BE164" s="13" t="str">
        <f>Poeng!E170</f>
        <v>Tidligere utbygget areal</v>
      </c>
      <c r="BF164" s="13">
        <f>Poeng!AB170</f>
        <v>2</v>
      </c>
      <c r="BG164" s="13">
        <f>Poeng!AI170</f>
        <v>0</v>
      </c>
      <c r="BH164" s="1076">
        <f>Poeng!AE170</f>
        <v>0</v>
      </c>
      <c r="BI164" s="1" t="str">
        <f>Poeng!BE170</f>
        <v>N/A</v>
      </c>
      <c r="BK164" s="1">
        <f>Poeng!AJ170</f>
        <v>0</v>
      </c>
      <c r="BL164" s="1076">
        <f>Poeng!AF170</f>
        <v>0</v>
      </c>
      <c r="BM164" s="1076" t="str">
        <f>Poeng!BH170</f>
        <v>N/A</v>
      </c>
      <c r="BO164" s="1">
        <f>Poeng!AK170</f>
        <v>0</v>
      </c>
      <c r="BP164" s="1076">
        <f>Poeng!AG170</f>
        <v>0</v>
      </c>
      <c r="BQ164" s="1076" t="str">
        <f>Poeng!BK170</f>
        <v>N/A</v>
      </c>
    </row>
    <row r="165" spans="1:69" ht="14.25" customHeight="1">
      <c r="A165" s="792">
        <v>156</v>
      </c>
      <c r="B165" s="793" t="s">
        <v>496</v>
      </c>
      <c r="C165" s="97" t="str">
        <f t="shared" si="100"/>
        <v>LE 01</v>
      </c>
      <c r="D165" s="621" t="s">
        <v>502</v>
      </c>
      <c r="E165" s="963">
        <v>2</v>
      </c>
      <c r="F165" s="787" t="str">
        <f t="shared" si="144"/>
        <v>Minstekrav: utbygging på jordbruksareal eller dyrkbar jord (EU taksonomi: krit. 2)</v>
      </c>
      <c r="G165" s="95" t="str">
        <f t="shared" si="144"/>
        <v>Yes/No</v>
      </c>
      <c r="H165" s="29"/>
      <c r="I165" s="96" t="str">
        <f>BH165</f>
        <v>-</v>
      </c>
      <c r="J165" s="97" t="str">
        <f>BI165</f>
        <v>Very Good</v>
      </c>
      <c r="K165" s="66"/>
      <c r="L165" s="228"/>
      <c r="M165" s="601"/>
      <c r="N165" s="616"/>
      <c r="O165" s="69"/>
      <c r="P165" s="96" t="str">
        <f>BL165</f>
        <v>-</v>
      </c>
      <c r="Q165" s="96" t="str">
        <f>BM165</f>
        <v>Very Good</v>
      </c>
      <c r="R165" s="551"/>
      <c r="S165" s="552"/>
      <c r="T165" s="545"/>
      <c r="U165" s="261"/>
      <c r="V165" s="69"/>
      <c r="W165" s="96" t="str">
        <f>BP165</f>
        <v>-</v>
      </c>
      <c r="X165" s="96" t="str">
        <f>BQ165</f>
        <v>Very Good</v>
      </c>
      <c r="Y165" s="67"/>
      <c r="Z165" s="66"/>
      <c r="AA165" s="545"/>
      <c r="AB165" s="105"/>
      <c r="AC165" s="473"/>
      <c r="AD165" s="17">
        <f t="shared" si="125"/>
        <v>0</v>
      </c>
      <c r="AE165" s="1">
        <f t="shared" si="145"/>
        <v>0</v>
      </c>
      <c r="AF165" s="1">
        <f t="shared" si="146"/>
        <v>0</v>
      </c>
      <c r="AG165" s="1">
        <f t="shared" si="147"/>
        <v>0</v>
      </c>
      <c r="AJ165" s="56"/>
      <c r="AK165" s="500"/>
      <c r="AL165" s="56"/>
      <c r="AM165" s="56"/>
      <c r="AN165" s="56"/>
      <c r="AO165" s="56"/>
      <c r="AP165" s="56"/>
      <c r="AQ165" s="56"/>
      <c r="AT165" s="17"/>
      <c r="AU165" s="17"/>
      <c r="AV165" s="17"/>
      <c r="AW165" s="17"/>
      <c r="AX165" s="17"/>
      <c r="AY165" s="17"/>
      <c r="BA165" s="473"/>
      <c r="BB165" s="17"/>
      <c r="BC165" s="17" t="b">
        <f t="shared" si="131"/>
        <v>1</v>
      </c>
      <c r="BD165" s="17" t="str">
        <f>Poeng!B252</f>
        <v>LE 01b</v>
      </c>
      <c r="BE165" s="13" t="str">
        <f>Poeng!E252</f>
        <v>Minstekrav: utbygging på jordbruksareal eller dyrkbar jord (EU taksonomi: krit. 2)</v>
      </c>
      <c r="BF165" s="13" t="str">
        <f>Poeng!AB252</f>
        <v>Yes/No</v>
      </c>
      <c r="BG165" s="13">
        <f>Poeng!AI252</f>
        <v>0</v>
      </c>
      <c r="BH165" s="1076" t="str">
        <f>Poeng!AE252</f>
        <v>-</v>
      </c>
      <c r="BI165" s="1" t="str">
        <f>Poeng!BE252</f>
        <v>Very Good</v>
      </c>
      <c r="BK165" s="1">
        <f>Poeng!AJ252</f>
        <v>0</v>
      </c>
      <c r="BL165" s="1076" t="str">
        <f>Poeng!AF252</f>
        <v>-</v>
      </c>
      <c r="BM165" s="1076" t="str">
        <f>Poeng!BH252</f>
        <v>Very Good</v>
      </c>
      <c r="BO165" s="1">
        <f>Poeng!AK252</f>
        <v>0</v>
      </c>
      <c r="BP165" s="1076" t="str">
        <f>Poeng!AG252</f>
        <v>-</v>
      </c>
      <c r="BQ165" s="1076" t="str">
        <f>Poeng!BK252</f>
        <v>Very Good</v>
      </c>
    </row>
    <row r="166" spans="1:69">
      <c r="A166" s="792">
        <v>157</v>
      </c>
      <c r="B166" s="793" t="s">
        <v>496</v>
      </c>
      <c r="C166" s="704" t="s">
        <v>503</v>
      </c>
      <c r="D166" s="621" t="s">
        <v>503</v>
      </c>
      <c r="E166" s="962"/>
      <c r="F166" s="654" t="str">
        <f t="shared" si="144"/>
        <v>LE 02 Økologisk risiko og muligheter</v>
      </c>
      <c r="G166" s="659">
        <f t="shared" si="144"/>
        <v>2</v>
      </c>
      <c r="H166" s="746"/>
      <c r="I166" s="660" t="str">
        <f>BG166&amp;" c. "&amp;ROUND(BH166*100,1)&amp;" %"</f>
        <v>0 c. 0 %</v>
      </c>
      <c r="J166" s="703" t="str">
        <f>BI166</f>
        <v>N/A</v>
      </c>
      <c r="K166" s="66"/>
      <c r="L166" s="228"/>
      <c r="M166" s="601"/>
      <c r="N166" s="616"/>
      <c r="O166" s="746"/>
      <c r="P166" s="670" t="str">
        <f>BK166&amp;" c. "&amp;ROUND(BL166*100,1)&amp;" %"</f>
        <v>0 c. 0 %</v>
      </c>
      <c r="Q166" s="670" t="str">
        <f>BM166</f>
        <v>N/A</v>
      </c>
      <c r="R166" s="551"/>
      <c r="S166" s="552"/>
      <c r="T166" s="545"/>
      <c r="U166" s="261"/>
      <c r="V166" s="746"/>
      <c r="W166" s="670" t="str">
        <f>BO166&amp;" c. "&amp;ROUND(BP166*100,1)&amp;" %"</f>
        <v>0 c. 0 %</v>
      </c>
      <c r="X166" s="670" t="str">
        <f>BQ166</f>
        <v>N/A</v>
      </c>
      <c r="Y166" s="67"/>
      <c r="Z166" s="66"/>
      <c r="AA166" s="545"/>
      <c r="AB166" s="105"/>
      <c r="AC166" s="473" t="s">
        <v>209</v>
      </c>
      <c r="AD166" s="17">
        <f t="shared" si="125"/>
        <v>0</v>
      </c>
      <c r="AE166" s="1">
        <f t="shared" si="145"/>
        <v>0</v>
      </c>
      <c r="AF166" s="1">
        <f t="shared" si="146"/>
        <v>0</v>
      </c>
      <c r="AG166" s="1">
        <f t="shared" si="147"/>
        <v>0</v>
      </c>
      <c r="AJ166" s="56"/>
      <c r="AK166" s="500" t="s">
        <v>504</v>
      </c>
      <c r="AL166" s="56"/>
      <c r="AM166" s="56"/>
      <c r="AN166" s="56"/>
      <c r="AO166" s="56"/>
      <c r="AP166" s="56"/>
      <c r="AQ166" s="56"/>
      <c r="AT166" s="17" t="str">
        <f>IF($AK$4=ais_nei,AIS_NA,IF(AL166="",AIS_NA,AL166))</f>
        <v>N/A</v>
      </c>
      <c r="AU166" s="17" t="str">
        <f>IF($AK$4=ais_nei,AIS_NA,IF(AM166="",AIS_NA,AM166))</f>
        <v>N/A</v>
      </c>
      <c r="AV166" s="17" t="str">
        <f>IF($AK$4=ais_nei,AIS_NA,IF(AN166="",AIS_NA,AN166))</f>
        <v>N/A</v>
      </c>
      <c r="AW166" s="17"/>
      <c r="AX166" s="17"/>
      <c r="AY166" s="17"/>
      <c r="BA166" s="473"/>
      <c r="BB166" s="17"/>
      <c r="BC166" s="17" t="b">
        <f t="shared" si="131"/>
        <v>1</v>
      </c>
      <c r="BD166" s="17" t="str">
        <f>Poeng!B171</f>
        <v>LE 02</v>
      </c>
      <c r="BE166" s="13" t="str">
        <f>Poeng!E171</f>
        <v>LE 02 Økologisk risiko og muligheter</v>
      </c>
      <c r="BF166" s="13">
        <f>Poeng!AB171</f>
        <v>2</v>
      </c>
      <c r="BG166" s="13">
        <f>Poeng!AI171</f>
        <v>0</v>
      </c>
      <c r="BH166" s="1076">
        <f>Poeng!AE171</f>
        <v>0</v>
      </c>
      <c r="BI166" s="1" t="str">
        <f>Poeng!BE171</f>
        <v>N/A</v>
      </c>
      <c r="BK166" s="1">
        <f>Poeng!AJ171</f>
        <v>0</v>
      </c>
      <c r="BL166" s="1076">
        <f>Poeng!AF171</f>
        <v>0</v>
      </c>
      <c r="BM166" s="1076" t="str">
        <f>Poeng!BH171</f>
        <v>N/A</v>
      </c>
      <c r="BO166" s="1">
        <f>Poeng!AK171</f>
        <v>0</v>
      </c>
      <c r="BP166" s="1076">
        <f>Poeng!AG171</f>
        <v>0</v>
      </c>
      <c r="BQ166" s="1076" t="str">
        <f>Poeng!BK171</f>
        <v>N/A</v>
      </c>
    </row>
    <row r="167" spans="1:69">
      <c r="A167" s="792">
        <v>158</v>
      </c>
      <c r="B167" s="793" t="s">
        <v>496</v>
      </c>
      <c r="C167" s="97" t="str">
        <f t="shared" si="100"/>
        <v>LE 02</v>
      </c>
      <c r="D167" s="621" t="s">
        <v>505</v>
      </c>
      <c r="E167" s="963">
        <v>1</v>
      </c>
      <c r="F167" s="787" t="str">
        <f t="shared" ref="F167:G169" si="148">BE167</f>
        <v>Forkrav: Lovfestede plikter</v>
      </c>
      <c r="G167" s="95" t="str">
        <f t="shared" si="148"/>
        <v>Yes/No</v>
      </c>
      <c r="H167" s="29"/>
      <c r="I167" s="96" t="str">
        <f t="shared" ref="I167:J169" si="149">BH167</f>
        <v>-</v>
      </c>
      <c r="J167" s="97" t="str">
        <f t="shared" si="149"/>
        <v>N/A</v>
      </c>
      <c r="K167" s="66"/>
      <c r="L167" s="228"/>
      <c r="M167" s="601"/>
      <c r="N167" s="616"/>
      <c r="O167" s="69"/>
      <c r="P167" s="96" t="str">
        <f t="shared" ref="P167:Q169" si="150">BL167</f>
        <v>-</v>
      </c>
      <c r="Q167" s="96" t="str">
        <f t="shared" si="150"/>
        <v>N/A</v>
      </c>
      <c r="R167" s="551"/>
      <c r="S167" s="552"/>
      <c r="T167" s="545"/>
      <c r="U167" s="261"/>
      <c r="V167" s="69"/>
      <c r="W167" s="96" t="str">
        <f t="shared" ref="W167:X169" si="151">BP167</f>
        <v>-</v>
      </c>
      <c r="X167" s="96" t="str">
        <f t="shared" si="151"/>
        <v>N/A</v>
      </c>
      <c r="Y167" s="67"/>
      <c r="Z167" s="66"/>
      <c r="AA167" s="545"/>
      <c r="AB167" s="105"/>
      <c r="AC167" s="473"/>
      <c r="AD167" s="17">
        <f t="shared" si="125"/>
        <v>0</v>
      </c>
      <c r="AE167" s="1">
        <f t="shared" si="145"/>
        <v>0</v>
      </c>
      <c r="AF167" s="1">
        <f t="shared" si="146"/>
        <v>0</v>
      </c>
      <c r="AG167" s="1">
        <f t="shared" si="147"/>
        <v>0</v>
      </c>
      <c r="AJ167" s="56"/>
      <c r="AK167" s="500"/>
      <c r="AL167" s="56"/>
      <c r="AM167" s="56"/>
      <c r="AN167" s="56"/>
      <c r="AO167" s="56"/>
      <c r="AP167" s="56"/>
      <c r="AQ167" s="56"/>
      <c r="AT167" s="17"/>
      <c r="AU167" s="17"/>
      <c r="AV167" s="17"/>
      <c r="AW167" s="17"/>
      <c r="AX167" s="17"/>
      <c r="AY167" s="17"/>
      <c r="BA167" s="473"/>
      <c r="BB167" s="17"/>
      <c r="BC167" s="17" t="b">
        <f t="shared" si="131"/>
        <v>1</v>
      </c>
      <c r="BD167" s="17" t="str">
        <f>Poeng!B242</f>
        <v>LE 02a</v>
      </c>
      <c r="BE167" s="13" t="str">
        <f>Poeng!E242</f>
        <v>Forkrav: Lovfestede plikter</v>
      </c>
      <c r="BF167" s="13" t="str">
        <f>Poeng!AB242</f>
        <v>Yes/No</v>
      </c>
      <c r="BG167" s="13">
        <f>Poeng!AI242</f>
        <v>0</v>
      </c>
      <c r="BH167" s="1076" t="str">
        <f>Poeng!AE242</f>
        <v>-</v>
      </c>
      <c r="BI167" s="1" t="str">
        <f>Poeng!BE242</f>
        <v>N/A</v>
      </c>
      <c r="BK167" s="1">
        <f>Poeng!AJ242</f>
        <v>0</v>
      </c>
      <c r="BL167" s="1076" t="str">
        <f>Poeng!AF242</f>
        <v>-</v>
      </c>
      <c r="BM167" s="1076" t="str">
        <f>Poeng!BH242</f>
        <v>N/A</v>
      </c>
      <c r="BO167" s="1">
        <f>Poeng!AK242</f>
        <v>0</v>
      </c>
      <c r="BP167" s="1076" t="str">
        <f>Poeng!AG242</f>
        <v>-</v>
      </c>
      <c r="BQ167" s="1076" t="str">
        <f>Poeng!BK242</f>
        <v>N/A</v>
      </c>
    </row>
    <row r="168" spans="1:69">
      <c r="A168" s="792">
        <v>159</v>
      </c>
      <c r="B168" s="793" t="s">
        <v>496</v>
      </c>
      <c r="C168" s="97" t="str">
        <f t="shared" si="100"/>
        <v>LE 02</v>
      </c>
      <c r="D168" s="621" t="s">
        <v>506</v>
      </c>
      <c r="E168" s="964" t="s">
        <v>268</v>
      </c>
      <c r="F168" s="787" t="str">
        <f t="shared" si="148"/>
        <v>Kartlegging og vurdering (EU taksonomi: krit 2-4)</v>
      </c>
      <c r="G168" s="95">
        <f t="shared" si="148"/>
        <v>1</v>
      </c>
      <c r="H168" s="29"/>
      <c r="I168" s="96">
        <f t="shared" si="149"/>
        <v>0</v>
      </c>
      <c r="J168" s="97" t="str">
        <f t="shared" si="149"/>
        <v>Good</v>
      </c>
      <c r="K168" s="66"/>
      <c r="L168" s="228"/>
      <c r="M168" s="601"/>
      <c r="N168" s="616"/>
      <c r="O168" s="69"/>
      <c r="P168" s="96">
        <f t="shared" si="150"/>
        <v>0</v>
      </c>
      <c r="Q168" s="96" t="str">
        <f t="shared" si="150"/>
        <v>Good</v>
      </c>
      <c r="R168" s="551"/>
      <c r="S168" s="552"/>
      <c r="T168" s="545"/>
      <c r="U168" s="261"/>
      <c r="V168" s="69"/>
      <c r="W168" s="96">
        <f t="shared" si="151"/>
        <v>0</v>
      </c>
      <c r="X168" s="96" t="str">
        <f t="shared" si="151"/>
        <v>Good</v>
      </c>
      <c r="Y168" s="67"/>
      <c r="Z168" s="66"/>
      <c r="AA168" s="545"/>
      <c r="AB168" s="105"/>
      <c r="AC168" s="473"/>
      <c r="AD168" s="17">
        <f t="shared" si="125"/>
        <v>0</v>
      </c>
      <c r="AE168" s="1">
        <f t="shared" si="145"/>
        <v>0</v>
      </c>
      <c r="AF168" s="1">
        <f t="shared" si="146"/>
        <v>0</v>
      </c>
      <c r="AG168" s="1">
        <f t="shared" si="147"/>
        <v>0</v>
      </c>
      <c r="AJ168" s="56"/>
      <c r="AK168" s="500"/>
      <c r="AL168" s="56"/>
      <c r="AM168" s="56"/>
      <c r="AN168" s="56"/>
      <c r="AO168" s="56"/>
      <c r="AP168" s="56"/>
      <c r="AQ168" s="56"/>
      <c r="AT168" s="17"/>
      <c r="AU168" s="17"/>
      <c r="AV168" s="17"/>
      <c r="AW168" s="17"/>
      <c r="AX168" s="17"/>
      <c r="AY168" s="17"/>
      <c r="BA168" s="473"/>
      <c r="BB168" s="17"/>
      <c r="BC168" s="17" t="b">
        <f t="shared" si="131"/>
        <v>1</v>
      </c>
      <c r="BD168" s="17" t="str">
        <f>Poeng!B173</f>
        <v>LE 02b</v>
      </c>
      <c r="BE168" s="13" t="str">
        <f>Poeng!E173</f>
        <v>Kartlegging og vurdering (EU taksonomi: krit 2-4)</v>
      </c>
      <c r="BF168" s="13">
        <f>Poeng!AB173</f>
        <v>1</v>
      </c>
      <c r="BG168" s="13">
        <f>Poeng!AI173</f>
        <v>0</v>
      </c>
      <c r="BH168" s="1076">
        <f>Poeng!AE173</f>
        <v>0</v>
      </c>
      <c r="BI168" s="1" t="str">
        <f>Poeng!BE173</f>
        <v>Good</v>
      </c>
      <c r="BK168" s="1">
        <f>Poeng!AJ173</f>
        <v>0</v>
      </c>
      <c r="BL168" s="1076">
        <f>Poeng!AF173</f>
        <v>0</v>
      </c>
      <c r="BM168" s="1076" t="str">
        <f>Poeng!BH173</f>
        <v>Good</v>
      </c>
      <c r="BO168" s="1">
        <f>Poeng!AK173</f>
        <v>0</v>
      </c>
      <c r="BP168" s="1076">
        <f>Poeng!AG173</f>
        <v>0</v>
      </c>
      <c r="BQ168" s="1076" t="str">
        <f>Poeng!BK173</f>
        <v>Good</v>
      </c>
    </row>
    <row r="169" spans="1:69">
      <c r="A169" s="792">
        <v>160</v>
      </c>
      <c r="B169" s="793" t="s">
        <v>496</v>
      </c>
      <c r="C169" s="97" t="str">
        <f t="shared" si="100"/>
        <v>LE 02</v>
      </c>
      <c r="D169" s="621" t="s">
        <v>507</v>
      </c>
      <c r="E169" s="964" t="s">
        <v>264</v>
      </c>
      <c r="F169" s="787" t="str">
        <f t="shared" si="148"/>
        <v>Fastsette økologiske muligheter</v>
      </c>
      <c r="G169" s="95">
        <f t="shared" si="148"/>
        <v>1</v>
      </c>
      <c r="H169" s="29"/>
      <c r="I169" s="96">
        <f t="shared" si="149"/>
        <v>0</v>
      </c>
      <c r="J169" s="97" t="str">
        <f t="shared" si="149"/>
        <v>N/A</v>
      </c>
      <c r="K169" s="66"/>
      <c r="L169" s="228"/>
      <c r="M169" s="601"/>
      <c r="N169" s="616"/>
      <c r="O169" s="69"/>
      <c r="P169" s="96">
        <f t="shared" si="150"/>
        <v>0</v>
      </c>
      <c r="Q169" s="96" t="str">
        <f t="shared" si="150"/>
        <v>N/A</v>
      </c>
      <c r="R169" s="551"/>
      <c r="S169" s="552"/>
      <c r="T169" s="545"/>
      <c r="U169" s="261"/>
      <c r="V169" s="69"/>
      <c r="W169" s="96">
        <f t="shared" si="151"/>
        <v>0</v>
      </c>
      <c r="X169" s="96" t="str">
        <f t="shared" si="151"/>
        <v>N/A</v>
      </c>
      <c r="Y169" s="67"/>
      <c r="Z169" s="66"/>
      <c r="AA169" s="545"/>
      <c r="AB169" s="105"/>
      <c r="AC169" s="473"/>
      <c r="AD169" s="17">
        <f t="shared" si="125"/>
        <v>0</v>
      </c>
      <c r="AE169" s="1">
        <f t="shared" si="145"/>
        <v>0</v>
      </c>
      <c r="AF169" s="1">
        <f t="shared" si="146"/>
        <v>0</v>
      </c>
      <c r="AG169" s="1">
        <f t="shared" si="147"/>
        <v>0</v>
      </c>
      <c r="AJ169" s="56"/>
      <c r="AK169" s="500"/>
      <c r="AL169" s="56"/>
      <c r="AM169" s="56"/>
      <c r="AN169" s="56"/>
      <c r="AO169" s="56"/>
      <c r="AP169" s="56"/>
      <c r="AQ169" s="56"/>
      <c r="AT169" s="17"/>
      <c r="AU169" s="17"/>
      <c r="AV169" s="17"/>
      <c r="AW169" s="17"/>
      <c r="AX169" s="17"/>
      <c r="AY169" s="17"/>
      <c r="BA169" s="473"/>
      <c r="BB169" s="17"/>
      <c r="BC169" s="17" t="b">
        <f t="shared" si="131"/>
        <v>1</v>
      </c>
      <c r="BD169" s="17" t="str">
        <f>Poeng!B174</f>
        <v>LE 02c</v>
      </c>
      <c r="BE169" s="13" t="str">
        <f>Poeng!E174</f>
        <v>Fastsette økologiske muligheter</v>
      </c>
      <c r="BF169" s="13">
        <f>Poeng!AB174</f>
        <v>1</v>
      </c>
      <c r="BG169" s="13">
        <f>Poeng!AI174</f>
        <v>0</v>
      </c>
      <c r="BH169" s="1076">
        <f>Poeng!AE174</f>
        <v>0</v>
      </c>
      <c r="BI169" s="1" t="str">
        <f>Poeng!BE174</f>
        <v>N/A</v>
      </c>
      <c r="BK169" s="1">
        <f>Poeng!AJ174</f>
        <v>0</v>
      </c>
      <c r="BL169" s="1076">
        <f>Poeng!AF174</f>
        <v>0</v>
      </c>
      <c r="BM169" s="1076" t="str">
        <f>Poeng!BH174</f>
        <v>N/A</v>
      </c>
      <c r="BO169" s="1">
        <f>Poeng!AK174</f>
        <v>0</v>
      </c>
      <c r="BP169" s="1076">
        <f>Poeng!AG174</f>
        <v>0</v>
      </c>
      <c r="BQ169" s="1076" t="str">
        <f>Poeng!BK174</f>
        <v>N/A</v>
      </c>
    </row>
    <row r="170" spans="1:69">
      <c r="A170" s="792">
        <v>161</v>
      </c>
      <c r="B170" s="793" t="s">
        <v>496</v>
      </c>
      <c r="C170" s="704" t="s">
        <v>508</v>
      </c>
      <c r="D170" s="621" t="s">
        <v>508</v>
      </c>
      <c r="E170" s="962"/>
      <c r="F170" s="654" t="str">
        <f>BE170</f>
        <v>LE 03 Håndtering av påvirkning på økologi</v>
      </c>
      <c r="G170" s="659">
        <f>BF170</f>
        <v>3</v>
      </c>
      <c r="H170" s="746"/>
      <c r="I170" s="660" t="str">
        <f>BG170&amp;" c. "&amp;ROUND(BH170*100,1)&amp;" %"</f>
        <v>0 c. 0 %</v>
      </c>
      <c r="J170" s="703" t="str">
        <f>BI170</f>
        <v>N/A</v>
      </c>
      <c r="K170" s="66"/>
      <c r="L170" s="228"/>
      <c r="M170" s="601"/>
      <c r="N170" s="616"/>
      <c r="O170" s="746"/>
      <c r="P170" s="670" t="str">
        <f>BK170&amp;" c. "&amp;ROUND(BL170*100,1)&amp;" %"</f>
        <v>0 c. 0 %</v>
      </c>
      <c r="Q170" s="670" t="str">
        <f>BM170</f>
        <v>N/A</v>
      </c>
      <c r="R170" s="551"/>
      <c r="S170" s="552"/>
      <c r="T170" s="545"/>
      <c r="U170" s="261"/>
      <c r="V170" s="746"/>
      <c r="W170" s="670" t="str">
        <f>BO170&amp;" c. "&amp;ROUND(BP170*100,1)&amp;" %"</f>
        <v>0 c. 0 %</v>
      </c>
      <c r="X170" s="670" t="str">
        <f>BQ170</f>
        <v>N/A</v>
      </c>
      <c r="Y170" s="67"/>
      <c r="Z170" s="66"/>
      <c r="AA170" s="545"/>
      <c r="AB170" s="105"/>
      <c r="AC170" s="473"/>
      <c r="AD170" s="17">
        <f t="shared" si="125"/>
        <v>0</v>
      </c>
      <c r="AE170" s="1">
        <f t="shared" si="145"/>
        <v>0</v>
      </c>
      <c r="AF170" s="1">
        <f t="shared" si="146"/>
        <v>0</v>
      </c>
      <c r="AG170" s="1">
        <f t="shared" si="147"/>
        <v>0</v>
      </c>
      <c r="AJ170" s="56"/>
      <c r="AK170" s="500"/>
      <c r="AL170" s="56"/>
      <c r="AM170" s="56"/>
      <c r="AN170" s="56"/>
      <c r="AO170" s="56"/>
      <c r="AP170" s="56"/>
      <c r="AQ170" s="56"/>
      <c r="AT170" s="17"/>
      <c r="AU170" s="17"/>
      <c r="AV170" s="17"/>
      <c r="AW170" s="17"/>
      <c r="AX170" s="17"/>
      <c r="AY170" s="17"/>
      <c r="BA170" s="473"/>
      <c r="BB170" s="17"/>
      <c r="BC170" s="17" t="b">
        <f t="shared" si="131"/>
        <v>1</v>
      </c>
      <c r="BD170" s="17" t="str">
        <f>Poeng!B175</f>
        <v>LE 03</v>
      </c>
      <c r="BE170" s="13" t="str">
        <f>Poeng!E175</f>
        <v>LE 03 Håndtering av påvirkning på økologi</v>
      </c>
      <c r="BF170" s="13">
        <f>Poeng!AB175</f>
        <v>3</v>
      </c>
      <c r="BG170" s="13">
        <f>Poeng!AI175</f>
        <v>0</v>
      </c>
      <c r="BH170" s="1076">
        <f>Poeng!AE175</f>
        <v>0</v>
      </c>
      <c r="BI170" s="1" t="str">
        <f>Poeng!BE175</f>
        <v>N/A</v>
      </c>
      <c r="BK170" s="1">
        <f>Poeng!AJ175</f>
        <v>0</v>
      </c>
      <c r="BL170" s="1076">
        <f>Poeng!AF175</f>
        <v>0</v>
      </c>
      <c r="BM170" s="1076" t="str">
        <f>Poeng!BH175</f>
        <v>N/A</v>
      </c>
      <c r="BO170" s="1">
        <f>Poeng!AK175</f>
        <v>0</v>
      </c>
      <c r="BP170" s="1076">
        <f>Poeng!AG175</f>
        <v>0</v>
      </c>
      <c r="BQ170" s="1076" t="str">
        <f>Poeng!BK175</f>
        <v>N/A</v>
      </c>
    </row>
    <row r="171" spans="1:69">
      <c r="A171" s="792">
        <v>162</v>
      </c>
      <c r="B171" s="793" t="s">
        <v>496</v>
      </c>
      <c r="C171" s="97" t="s">
        <v>508</v>
      </c>
      <c r="D171" s="621" t="s">
        <v>509</v>
      </c>
      <c r="E171" s="963">
        <v>1</v>
      </c>
      <c r="F171" s="787" t="str">
        <f t="shared" ref="F171:G173" si="152">BE171</f>
        <v>Forkrav: økologisk risiko og muligheter</v>
      </c>
      <c r="G171" s="95" t="str">
        <f t="shared" si="152"/>
        <v>Yes/No</v>
      </c>
      <c r="H171" s="746"/>
      <c r="I171" s="96" t="str">
        <f>Poeng!AI243</f>
        <v>No</v>
      </c>
      <c r="J171" s="97" t="str">
        <f>BI171</f>
        <v>N/A</v>
      </c>
      <c r="K171" s="66"/>
      <c r="L171" s="228"/>
      <c r="M171" s="601"/>
      <c r="N171" s="616"/>
      <c r="O171" s="746"/>
      <c r="P171" s="96" t="str">
        <f>Poeng!AJ243</f>
        <v>No</v>
      </c>
      <c r="Q171" s="96" t="str">
        <f>BM171</f>
        <v>N/A</v>
      </c>
      <c r="R171" s="551"/>
      <c r="S171" s="552"/>
      <c r="T171" s="545"/>
      <c r="U171" s="261"/>
      <c r="V171" s="746"/>
      <c r="W171" s="1078" t="str">
        <f>Poeng!AK243</f>
        <v>No</v>
      </c>
      <c r="X171" s="96" t="str">
        <f>VLOOKUP(D171,Poeng!$B$10:$BK$252,Poeng!BK$1,FALSE)</f>
        <v>N/A</v>
      </c>
      <c r="Y171" s="67"/>
      <c r="Z171" s="66"/>
      <c r="AA171" s="545"/>
      <c r="AB171" s="105"/>
      <c r="AC171" s="473"/>
      <c r="AD171" s="17">
        <f t="shared" si="125"/>
        <v>0</v>
      </c>
      <c r="AE171" s="1">
        <f t="shared" si="145"/>
        <v>0</v>
      </c>
      <c r="AF171" s="1">
        <f t="shared" si="146"/>
        <v>0</v>
      </c>
      <c r="AG171" s="1">
        <f t="shared" si="147"/>
        <v>0</v>
      </c>
      <c r="AJ171" s="56"/>
      <c r="AK171" s="500"/>
      <c r="AL171" s="56"/>
      <c r="AM171" s="56"/>
      <c r="AN171" s="56"/>
      <c r="AO171" s="56"/>
      <c r="AP171" s="56"/>
      <c r="AQ171" s="56"/>
      <c r="AT171" s="17"/>
      <c r="AU171" s="17"/>
      <c r="AV171" s="17"/>
      <c r="AW171" s="17"/>
      <c r="AX171" s="17"/>
      <c r="AY171" s="17"/>
      <c r="BA171" s="473"/>
      <c r="BB171" s="17"/>
      <c r="BC171" s="17" t="b">
        <f t="shared" si="131"/>
        <v>1</v>
      </c>
      <c r="BD171" s="17" t="str">
        <f>Poeng!B243</f>
        <v>LE 03a</v>
      </c>
      <c r="BE171" s="13" t="str">
        <f>Poeng!E243</f>
        <v>Forkrav: økologisk risiko og muligheter</v>
      </c>
      <c r="BF171" s="13" t="str">
        <f>Poeng!AB243</f>
        <v>Yes/No</v>
      </c>
      <c r="BG171" s="13" t="str">
        <f>Poeng!AI243</f>
        <v>No</v>
      </c>
      <c r="BH171" s="1076" t="str">
        <f>Poeng!AE243</f>
        <v>-</v>
      </c>
      <c r="BI171" s="1" t="str">
        <f>Poeng!BE243</f>
        <v>N/A</v>
      </c>
      <c r="BK171" s="1" t="str">
        <f>Poeng!AJ243</f>
        <v>No</v>
      </c>
      <c r="BL171" s="1076" t="str">
        <f>Poeng!AF243</f>
        <v>-</v>
      </c>
      <c r="BM171" s="1076" t="str">
        <f>Poeng!BH243</f>
        <v>N/A</v>
      </c>
      <c r="BO171" s="1" t="str">
        <f>Poeng!AK243</f>
        <v>No</v>
      </c>
      <c r="BP171" s="1076" t="str">
        <f>Poeng!AG243</f>
        <v>-</v>
      </c>
      <c r="BQ171" s="1076" t="str">
        <f>Poeng!BK243</f>
        <v>N/A</v>
      </c>
    </row>
    <row r="172" spans="1:69">
      <c r="A172" s="792">
        <v>163</v>
      </c>
      <c r="B172" s="793" t="s">
        <v>496</v>
      </c>
      <c r="C172" s="97" t="s">
        <v>508</v>
      </c>
      <c r="D172" s="621" t="s">
        <v>510</v>
      </c>
      <c r="E172" s="964" t="s">
        <v>268</v>
      </c>
      <c r="F172" s="787" t="str">
        <f t="shared" si="152"/>
        <v>Planlegging og tiltak på utbyggingsområdet</v>
      </c>
      <c r="G172" s="95">
        <f t="shared" si="152"/>
        <v>1</v>
      </c>
      <c r="H172" s="29"/>
      <c r="I172" s="96">
        <f>BH172</f>
        <v>0</v>
      </c>
      <c r="J172" s="97" t="str">
        <f>BI172</f>
        <v>N/A</v>
      </c>
      <c r="K172" s="66"/>
      <c r="L172" s="228"/>
      <c r="M172" s="601"/>
      <c r="N172" s="616"/>
      <c r="O172" s="69"/>
      <c r="P172" s="96">
        <f>BL172</f>
        <v>0</v>
      </c>
      <c r="Q172" s="96" t="str">
        <f>BM172</f>
        <v>N/A</v>
      </c>
      <c r="R172" s="551"/>
      <c r="S172" s="552"/>
      <c r="T172" s="601"/>
      <c r="U172" s="261"/>
      <c r="V172" s="69"/>
      <c r="W172" s="96">
        <f>BP172</f>
        <v>0</v>
      </c>
      <c r="X172" s="96" t="str">
        <f>BQ172</f>
        <v>N/A</v>
      </c>
      <c r="Y172" s="67"/>
      <c r="Z172" s="66"/>
      <c r="AA172" s="601"/>
      <c r="AB172" s="105"/>
      <c r="AC172" s="473"/>
      <c r="AD172" s="17">
        <f t="shared" si="125"/>
        <v>0</v>
      </c>
      <c r="AE172" s="1">
        <f t="shared" si="145"/>
        <v>0</v>
      </c>
      <c r="AF172" s="1">
        <f t="shared" si="146"/>
        <v>0</v>
      </c>
      <c r="AG172" s="1">
        <f t="shared" si="147"/>
        <v>0</v>
      </c>
      <c r="AJ172" s="56"/>
      <c r="AK172" s="500"/>
      <c r="AL172" s="56"/>
      <c r="AM172" s="56"/>
      <c r="AN172" s="56"/>
      <c r="AO172" s="56"/>
      <c r="AP172" s="56"/>
      <c r="AQ172" s="56"/>
      <c r="AT172" s="17"/>
      <c r="AU172" s="17"/>
      <c r="AV172" s="17"/>
      <c r="AW172" s="17"/>
      <c r="AX172" s="17"/>
      <c r="AY172" s="17"/>
      <c r="BA172" s="473"/>
      <c r="BB172" s="17"/>
      <c r="BC172" s="17" t="b">
        <f t="shared" si="131"/>
        <v>1</v>
      </c>
      <c r="BD172" s="17" t="str">
        <f>Poeng!B177</f>
        <v>LE 03b</v>
      </c>
      <c r="BE172" s="13" t="str">
        <f>Poeng!E177</f>
        <v>Planlegging og tiltak på utbyggingsområdet</v>
      </c>
      <c r="BF172" s="13">
        <f>Poeng!AB177</f>
        <v>1</v>
      </c>
      <c r="BG172" s="13">
        <f>Poeng!AI177</f>
        <v>0</v>
      </c>
      <c r="BH172" s="1076">
        <f>Poeng!AE177</f>
        <v>0</v>
      </c>
      <c r="BI172" s="1" t="str">
        <f>Poeng!BE177</f>
        <v>N/A</v>
      </c>
      <c r="BK172" s="1">
        <f>Poeng!AJ177</f>
        <v>0</v>
      </c>
      <c r="BL172" s="1076">
        <f>Poeng!AF177</f>
        <v>0</v>
      </c>
      <c r="BM172" s="1076" t="str">
        <f>Poeng!BH177</f>
        <v>N/A</v>
      </c>
      <c r="BO172" s="1">
        <f>Poeng!AK177</f>
        <v>0</v>
      </c>
      <c r="BP172" s="1076">
        <f>Poeng!AG177</f>
        <v>0</v>
      </c>
      <c r="BQ172" s="1076" t="str">
        <f>Poeng!BK177</f>
        <v>N/A</v>
      </c>
    </row>
    <row r="173" spans="1:69">
      <c r="A173" s="792">
        <v>164</v>
      </c>
      <c r="B173" s="793" t="s">
        <v>496</v>
      </c>
      <c r="C173" s="97" t="s">
        <v>508</v>
      </c>
      <c r="D173" s="621" t="s">
        <v>511</v>
      </c>
      <c r="E173" s="964" t="s">
        <v>264</v>
      </c>
      <c r="F173" s="787" t="str">
        <f t="shared" si="152"/>
        <v>Håndtering av negativ påvirkning</v>
      </c>
      <c r="G173" s="95">
        <f t="shared" si="152"/>
        <v>2</v>
      </c>
      <c r="H173" s="29"/>
      <c r="I173" s="96">
        <f>BH173</f>
        <v>0</v>
      </c>
      <c r="J173" s="97" t="str">
        <f>BI173</f>
        <v>N/A</v>
      </c>
      <c r="K173" s="66"/>
      <c r="L173" s="228"/>
      <c r="M173" s="601"/>
      <c r="N173" s="616"/>
      <c r="O173" s="69"/>
      <c r="P173" s="96">
        <f>BL173</f>
        <v>0</v>
      </c>
      <c r="Q173" s="96" t="str">
        <f>BM173</f>
        <v>N/A</v>
      </c>
      <c r="R173" s="551"/>
      <c r="S173" s="552"/>
      <c r="T173" s="601"/>
      <c r="U173" s="261"/>
      <c r="V173" s="69"/>
      <c r="W173" s="96">
        <f>BP173</f>
        <v>0</v>
      </c>
      <c r="X173" s="96" t="str">
        <f>BQ173</f>
        <v>N/A</v>
      </c>
      <c r="Y173" s="67"/>
      <c r="Z173" s="66"/>
      <c r="AA173" s="601"/>
      <c r="AB173" s="105"/>
      <c r="AC173" s="473"/>
      <c r="AD173" s="17">
        <f t="shared" si="125"/>
        <v>0</v>
      </c>
      <c r="AE173" s="1">
        <f t="shared" si="145"/>
        <v>0</v>
      </c>
      <c r="AF173" s="1">
        <f t="shared" si="146"/>
        <v>0</v>
      </c>
      <c r="AG173" s="1">
        <f t="shared" si="147"/>
        <v>0</v>
      </c>
      <c r="AJ173" s="56"/>
      <c r="AK173" s="500"/>
      <c r="AL173" s="56"/>
      <c r="AM173" s="56"/>
      <c r="AN173" s="56"/>
      <c r="AO173" s="56"/>
      <c r="AP173" s="56"/>
      <c r="AQ173" s="56"/>
      <c r="AT173" s="17"/>
      <c r="AU173" s="17"/>
      <c r="AV173" s="17"/>
      <c r="AW173" s="17"/>
      <c r="AX173" s="17"/>
      <c r="AY173" s="17"/>
      <c r="BA173" s="473"/>
      <c r="BB173" s="17"/>
      <c r="BC173" s="17" t="b">
        <f t="shared" si="131"/>
        <v>1</v>
      </c>
      <c r="BD173" s="17" t="str">
        <f>Poeng!B178</f>
        <v>LE 03c</v>
      </c>
      <c r="BE173" s="13" t="str">
        <f>Poeng!E178</f>
        <v>Håndtering av negativ påvirkning</v>
      </c>
      <c r="BF173" s="13">
        <f>Poeng!AB178</f>
        <v>2</v>
      </c>
      <c r="BG173" s="13">
        <f>Poeng!AI178</f>
        <v>0</v>
      </c>
      <c r="BH173" s="1076">
        <f>Poeng!AE178</f>
        <v>0</v>
      </c>
      <c r="BI173" s="1" t="str">
        <f>Poeng!BE178</f>
        <v>N/A</v>
      </c>
      <c r="BK173" s="1">
        <f>Poeng!AJ178</f>
        <v>0</v>
      </c>
      <c r="BL173" s="1076">
        <f>Poeng!AF178</f>
        <v>0</v>
      </c>
      <c r="BM173" s="1076" t="str">
        <f>Poeng!BH178</f>
        <v>N/A</v>
      </c>
      <c r="BO173" s="1">
        <f>Poeng!AK178</f>
        <v>0</v>
      </c>
      <c r="BP173" s="1076">
        <f>Poeng!AG178</f>
        <v>0</v>
      </c>
      <c r="BQ173" s="1076" t="str">
        <f>Poeng!BK178</f>
        <v>N/A</v>
      </c>
    </row>
    <row r="174" spans="1:69">
      <c r="A174" s="792">
        <v>165</v>
      </c>
      <c r="B174" s="793" t="s">
        <v>496</v>
      </c>
      <c r="C174" s="704" t="s">
        <v>512</v>
      </c>
      <c r="D174" s="621" t="s">
        <v>512</v>
      </c>
      <c r="E174" s="962"/>
      <c r="F174" s="654" t="str">
        <f>BE174</f>
        <v>LE 04 Økologisk endring og forbedring</v>
      </c>
      <c r="G174" s="659">
        <f>BF174</f>
        <v>4</v>
      </c>
      <c r="H174" s="746"/>
      <c r="I174" s="660" t="str">
        <f>BG174&amp;" c. "&amp;ROUND(BH174*100,1)&amp;" %"</f>
        <v>0 c. 0 %</v>
      </c>
      <c r="J174" s="703" t="str">
        <f>BI174</f>
        <v>N/A</v>
      </c>
      <c r="K174" s="66"/>
      <c r="L174" s="228"/>
      <c r="M174" s="601"/>
      <c r="N174" s="616"/>
      <c r="O174" s="746"/>
      <c r="P174" s="670" t="str">
        <f>BK174&amp;" c. "&amp;ROUND(BL174*100,1)&amp;" %"</f>
        <v>0 c. 0 %</v>
      </c>
      <c r="Q174" s="670" t="str">
        <f>BM174</f>
        <v>N/A</v>
      </c>
      <c r="R174" s="551"/>
      <c r="S174" s="552"/>
      <c r="T174" s="601"/>
      <c r="U174" s="261"/>
      <c r="V174" s="746"/>
      <c r="W174" s="670" t="str">
        <f>BO174&amp;" c. "&amp;ROUND(BP174*100,1)&amp;" %"</f>
        <v>0 c. 0 %</v>
      </c>
      <c r="X174" s="670" t="str">
        <f>BQ174</f>
        <v>N/A</v>
      </c>
      <c r="Y174" s="67"/>
      <c r="Z174" s="66"/>
      <c r="AA174" s="601"/>
      <c r="AB174" s="105"/>
      <c r="AC174" s="473" t="s">
        <v>209</v>
      </c>
      <c r="AD174" s="17">
        <f t="shared" si="125"/>
        <v>0</v>
      </c>
      <c r="AE174" s="1">
        <f t="shared" si="145"/>
        <v>0</v>
      </c>
      <c r="AF174" s="1">
        <f t="shared" si="146"/>
        <v>0</v>
      </c>
      <c r="AG174" s="1">
        <f t="shared" si="147"/>
        <v>0</v>
      </c>
      <c r="AJ174" s="56"/>
      <c r="AK174" s="500" t="s">
        <v>513</v>
      </c>
      <c r="AL174" s="56"/>
      <c r="AM174" s="56"/>
      <c r="AN174" s="56"/>
      <c r="AO174" s="56"/>
      <c r="AP174" s="56"/>
      <c r="AQ174" s="56"/>
      <c r="AT174" s="17" t="str">
        <f>IF($AK$4=ais_nei,AIS_NA,IF(AL174="",AIS_NA,AL174))</f>
        <v>N/A</v>
      </c>
      <c r="AU174" s="17" t="str">
        <f>IF($AK$4=ais_nei,AIS_NA,IF(AM174="",AIS_NA,AM174))</f>
        <v>N/A</v>
      </c>
      <c r="AV174" s="17" t="str">
        <f>IF($AK$4=ais_nei,AIS_NA,IF(AN174="",AIS_NA,AN174))</f>
        <v>N/A</v>
      </c>
      <c r="AW174" s="17"/>
      <c r="AX174" s="17"/>
      <c r="AY174" s="17"/>
      <c r="BA174" s="473"/>
      <c r="BB174" s="17"/>
      <c r="BC174" s="17" t="b">
        <f t="shared" si="131"/>
        <v>1</v>
      </c>
      <c r="BD174" s="17" t="str">
        <f>Poeng!B179</f>
        <v>LE 04</v>
      </c>
      <c r="BE174" s="13" t="str">
        <f>Poeng!E179</f>
        <v>LE 04 Økologisk endring og forbedring</v>
      </c>
      <c r="BF174" s="13">
        <f>Poeng!AB179</f>
        <v>4</v>
      </c>
      <c r="BG174" s="13">
        <f>Poeng!AI179</f>
        <v>0</v>
      </c>
      <c r="BH174" s="1076">
        <f>Poeng!AE179</f>
        <v>0</v>
      </c>
      <c r="BI174" s="1" t="str">
        <f>Poeng!BE179</f>
        <v>N/A</v>
      </c>
      <c r="BK174" s="1">
        <f>Poeng!AJ179</f>
        <v>0</v>
      </c>
      <c r="BL174" s="1076">
        <f>Poeng!AF179</f>
        <v>0</v>
      </c>
      <c r="BM174" s="1076" t="str">
        <f>Poeng!BH179</f>
        <v>N/A</v>
      </c>
      <c r="BO174" s="1">
        <f>Poeng!AK179</f>
        <v>0</v>
      </c>
      <c r="BP174" s="1076">
        <f>Poeng!AG179</f>
        <v>0</v>
      </c>
      <c r="BQ174" s="1076" t="str">
        <f>Poeng!BK179</f>
        <v>N/A</v>
      </c>
    </row>
    <row r="175" spans="1:69">
      <c r="A175" s="792">
        <v>166</v>
      </c>
      <c r="B175" s="793" t="s">
        <v>496</v>
      </c>
      <c r="C175" s="97" t="str">
        <f t="shared" si="100"/>
        <v>LE 04</v>
      </c>
      <c r="D175" s="621" t="s">
        <v>514</v>
      </c>
      <c r="E175" s="964" t="s">
        <v>288</v>
      </c>
      <c r="F175" s="787" t="str">
        <f t="shared" ref="F175:G177" si="153">BE175</f>
        <v>Forkrav: håndtering av negativ påvirkning på økologi</v>
      </c>
      <c r="G175" s="95" t="str">
        <f t="shared" si="153"/>
        <v>Yes/No</v>
      </c>
      <c r="H175" s="29"/>
      <c r="I175" s="96" t="str">
        <f t="shared" ref="I175:J177" si="154">BH175</f>
        <v>-</v>
      </c>
      <c r="J175" s="97" t="str">
        <f t="shared" si="154"/>
        <v>Excellent</v>
      </c>
      <c r="K175" s="66"/>
      <c r="L175" s="228"/>
      <c r="M175" s="601"/>
      <c r="N175" s="616"/>
      <c r="O175" s="69"/>
      <c r="P175" s="96" t="str">
        <f t="shared" ref="P175:Q177" si="155">BL175</f>
        <v>-</v>
      </c>
      <c r="Q175" s="96" t="str">
        <f t="shared" si="155"/>
        <v>Excellent</v>
      </c>
      <c r="R175" s="551"/>
      <c r="S175" s="552"/>
      <c r="T175" s="545"/>
      <c r="U175" s="261"/>
      <c r="V175" s="69"/>
      <c r="W175" s="96" t="str">
        <f t="shared" ref="W175:X177" si="156">BP175</f>
        <v>-</v>
      </c>
      <c r="X175" s="96" t="str">
        <f t="shared" si="156"/>
        <v>Excellent</v>
      </c>
      <c r="Y175" s="67"/>
      <c r="Z175" s="66"/>
      <c r="AA175" s="545"/>
      <c r="AB175" s="105"/>
      <c r="AC175" s="473"/>
      <c r="AD175" s="17">
        <f t="shared" si="125"/>
        <v>0</v>
      </c>
      <c r="AE175" s="1">
        <f t="shared" si="145"/>
        <v>0</v>
      </c>
      <c r="AF175" s="1">
        <f t="shared" si="146"/>
        <v>0</v>
      </c>
      <c r="AG175" s="1">
        <f t="shared" si="147"/>
        <v>0</v>
      </c>
      <c r="AJ175" s="56"/>
      <c r="AK175" s="500"/>
      <c r="AL175" s="56"/>
      <c r="AM175" s="56"/>
      <c r="AN175" s="56"/>
      <c r="AO175" s="56"/>
      <c r="AP175" s="56"/>
      <c r="AQ175" s="56"/>
      <c r="AT175" s="17"/>
      <c r="AU175" s="17"/>
      <c r="AV175" s="17"/>
      <c r="AW175" s="17"/>
      <c r="AX175" s="17"/>
      <c r="AY175" s="17"/>
      <c r="BA175" s="473"/>
      <c r="BB175" s="17"/>
      <c r="BC175" s="17" t="b">
        <f t="shared" si="131"/>
        <v>1</v>
      </c>
      <c r="BD175" s="17" t="str">
        <f>Poeng!B244</f>
        <v>LE 04a</v>
      </c>
      <c r="BE175" s="13" t="str">
        <f>Poeng!E244</f>
        <v>Forkrav: håndtering av negativ påvirkning på økologi</v>
      </c>
      <c r="BF175" s="13" t="str">
        <f>Poeng!AB244</f>
        <v>Yes/No</v>
      </c>
      <c r="BG175" s="13">
        <f>Poeng!AI244</f>
        <v>0</v>
      </c>
      <c r="BH175" s="1076" t="str">
        <f>Poeng!AE244</f>
        <v>-</v>
      </c>
      <c r="BI175" s="1" t="str">
        <f>Poeng!BE244</f>
        <v>Excellent</v>
      </c>
      <c r="BK175" s="1">
        <f>Poeng!AJ244</f>
        <v>0</v>
      </c>
      <c r="BL175" s="1076" t="str">
        <f>Poeng!AF244</f>
        <v>-</v>
      </c>
      <c r="BM175" s="1076" t="str">
        <f>Poeng!BH244</f>
        <v>Excellent</v>
      </c>
      <c r="BO175" s="1">
        <f>Poeng!AK244</f>
        <v>0</v>
      </c>
      <c r="BP175" s="1076" t="str">
        <f>Poeng!AG244</f>
        <v>-</v>
      </c>
      <c r="BQ175" s="1076" t="str">
        <f>Poeng!BK244</f>
        <v>Excellent</v>
      </c>
    </row>
    <row r="176" spans="1:69">
      <c r="A176" s="792">
        <v>167</v>
      </c>
      <c r="B176" s="793" t="s">
        <v>496</v>
      </c>
      <c r="C176" s="97" t="str">
        <f t="shared" si="100"/>
        <v>LE 04</v>
      </c>
      <c r="D176" s="621" t="s">
        <v>515</v>
      </c>
      <c r="E176" s="964" t="s">
        <v>380</v>
      </c>
      <c r="F176" s="787" t="str">
        <f t="shared" si="153"/>
        <v>Økologisk forbedring</v>
      </c>
      <c r="G176" s="95">
        <f t="shared" si="153"/>
        <v>1</v>
      </c>
      <c r="H176" s="29"/>
      <c r="I176" s="96">
        <f t="shared" si="154"/>
        <v>0</v>
      </c>
      <c r="J176" s="97" t="str">
        <f t="shared" si="154"/>
        <v>Excellent</v>
      </c>
      <c r="K176" s="66"/>
      <c r="L176" s="228"/>
      <c r="M176" s="601"/>
      <c r="N176" s="616"/>
      <c r="O176" s="69"/>
      <c r="P176" s="96">
        <f t="shared" si="155"/>
        <v>0</v>
      </c>
      <c r="Q176" s="96" t="str">
        <f t="shared" si="155"/>
        <v>Excellent</v>
      </c>
      <c r="R176" s="551"/>
      <c r="S176" s="552"/>
      <c r="T176" s="545"/>
      <c r="U176" s="261"/>
      <c r="V176" s="69"/>
      <c r="W176" s="96">
        <f t="shared" si="156"/>
        <v>0</v>
      </c>
      <c r="X176" s="96" t="str">
        <f t="shared" si="156"/>
        <v>Excellent</v>
      </c>
      <c r="Y176" s="67"/>
      <c r="Z176" s="66"/>
      <c r="AA176" s="545"/>
      <c r="AB176" s="105"/>
      <c r="AC176" s="473"/>
      <c r="AD176" s="17">
        <f t="shared" si="125"/>
        <v>0</v>
      </c>
      <c r="AE176" s="1">
        <f t="shared" si="145"/>
        <v>0</v>
      </c>
      <c r="AF176" s="1">
        <f t="shared" si="146"/>
        <v>0</v>
      </c>
      <c r="AG176" s="1">
        <f t="shared" si="147"/>
        <v>0</v>
      </c>
      <c r="AJ176" s="56"/>
      <c r="AK176" s="500"/>
      <c r="AL176" s="56"/>
      <c r="AM176" s="56"/>
      <c r="AN176" s="56"/>
      <c r="AO176" s="56"/>
      <c r="AP176" s="56"/>
      <c r="AQ176" s="56"/>
      <c r="AT176" s="17"/>
      <c r="AU176" s="17"/>
      <c r="AV176" s="17"/>
      <c r="AW176" s="17"/>
      <c r="AX176" s="17"/>
      <c r="AY176" s="17"/>
      <c r="BA176" s="473"/>
      <c r="BB176" s="17"/>
      <c r="BC176" s="17" t="b">
        <f t="shared" si="131"/>
        <v>1</v>
      </c>
      <c r="BD176" s="17" t="str">
        <f>Poeng!B181</f>
        <v>LE 04b</v>
      </c>
      <c r="BE176" s="13" t="str">
        <f>Poeng!E181</f>
        <v>Økologisk forbedring</v>
      </c>
      <c r="BF176" s="13">
        <f>Poeng!AB181</f>
        <v>1</v>
      </c>
      <c r="BG176" s="13">
        <f>Poeng!AI181</f>
        <v>0</v>
      </c>
      <c r="BH176" s="1076">
        <f>Poeng!AE181</f>
        <v>0</v>
      </c>
      <c r="BI176" s="1" t="str">
        <f>Poeng!BE181</f>
        <v>Excellent</v>
      </c>
      <c r="BK176" s="1">
        <f>Poeng!AJ181</f>
        <v>0</v>
      </c>
      <c r="BL176" s="1076">
        <f>Poeng!AF181</f>
        <v>0</v>
      </c>
      <c r="BM176" s="1076" t="str">
        <f>Poeng!BH181</f>
        <v>Excellent</v>
      </c>
      <c r="BO176" s="1">
        <f>Poeng!AK181</f>
        <v>0</v>
      </c>
      <c r="BP176" s="1076">
        <f>Poeng!AG181</f>
        <v>0</v>
      </c>
      <c r="BQ176" s="1076" t="str">
        <f>Poeng!BK181</f>
        <v>Excellent</v>
      </c>
    </row>
    <row r="177" spans="1:69">
      <c r="A177" s="792">
        <v>168</v>
      </c>
      <c r="B177" s="793" t="s">
        <v>496</v>
      </c>
      <c r="C177" s="97" t="str">
        <f t="shared" si="100"/>
        <v>LE 04</v>
      </c>
      <c r="D177" s="621" t="s">
        <v>516</v>
      </c>
      <c r="E177" s="963">
        <v>5</v>
      </c>
      <c r="F177" s="787" t="str">
        <f t="shared" si="153"/>
        <v>Beregning av endring i biologisk mangfold</v>
      </c>
      <c r="G177" s="95">
        <f t="shared" si="153"/>
        <v>3</v>
      </c>
      <c r="H177" s="29"/>
      <c r="I177" s="96">
        <f t="shared" si="154"/>
        <v>0</v>
      </c>
      <c r="J177" s="97" t="str">
        <f t="shared" si="154"/>
        <v>N/A</v>
      </c>
      <c r="K177" s="66"/>
      <c r="L177" s="228"/>
      <c r="M177" s="601"/>
      <c r="N177" s="616"/>
      <c r="O177" s="69"/>
      <c r="P177" s="96">
        <f t="shared" si="155"/>
        <v>0</v>
      </c>
      <c r="Q177" s="96" t="str">
        <f t="shared" si="155"/>
        <v>N/A</v>
      </c>
      <c r="R177" s="551"/>
      <c r="S177" s="552"/>
      <c r="T177" s="545"/>
      <c r="U177" s="261"/>
      <c r="V177" s="69"/>
      <c r="W177" s="96">
        <f t="shared" si="156"/>
        <v>0</v>
      </c>
      <c r="X177" s="96" t="str">
        <f t="shared" si="156"/>
        <v>N/A</v>
      </c>
      <c r="Y177" s="67"/>
      <c r="Z177" s="66"/>
      <c r="AA177" s="545"/>
      <c r="AB177" s="105"/>
      <c r="AC177" s="473"/>
      <c r="AD177" s="17">
        <f t="shared" si="125"/>
        <v>0</v>
      </c>
      <c r="AE177" s="1">
        <f t="shared" si="145"/>
        <v>0</v>
      </c>
      <c r="AF177" s="1">
        <f t="shared" si="146"/>
        <v>0</v>
      </c>
      <c r="AG177" s="1">
        <f t="shared" si="147"/>
        <v>0</v>
      </c>
      <c r="AJ177" s="56"/>
      <c r="AK177" s="500"/>
      <c r="AL177" s="56"/>
      <c r="AM177" s="56"/>
      <c r="AN177" s="56"/>
      <c r="AO177" s="56"/>
      <c r="AP177" s="56"/>
      <c r="AQ177" s="56"/>
      <c r="AT177" s="17"/>
      <c r="AU177" s="17"/>
      <c r="AV177" s="17"/>
      <c r="AW177" s="17"/>
      <c r="AX177" s="17"/>
      <c r="AY177" s="17"/>
      <c r="BA177" s="473"/>
      <c r="BB177" s="17"/>
      <c r="BC177" s="17" t="b">
        <f t="shared" si="131"/>
        <v>1</v>
      </c>
      <c r="BD177" s="17" t="str">
        <f>Poeng!B182</f>
        <v>LE 04c</v>
      </c>
      <c r="BE177" s="13" t="str">
        <f>Poeng!E182</f>
        <v>Beregning av endring i biologisk mangfold</v>
      </c>
      <c r="BF177" s="13">
        <f>Poeng!AB182</f>
        <v>3</v>
      </c>
      <c r="BG177" s="13">
        <f>Poeng!AI182</f>
        <v>0</v>
      </c>
      <c r="BH177" s="1076">
        <f>Poeng!AE182</f>
        <v>0</v>
      </c>
      <c r="BI177" s="1" t="str">
        <f>Poeng!BE182</f>
        <v>N/A</v>
      </c>
      <c r="BK177" s="1">
        <f>Poeng!AJ182</f>
        <v>0</v>
      </c>
      <c r="BL177" s="1076">
        <f>Poeng!AF182</f>
        <v>0</v>
      </c>
      <c r="BM177" s="1076" t="str">
        <f>Poeng!BH182</f>
        <v>N/A</v>
      </c>
      <c r="BO177" s="1">
        <f>Poeng!AK182</f>
        <v>0</v>
      </c>
      <c r="BP177" s="1076">
        <f>Poeng!AG182</f>
        <v>0</v>
      </c>
      <c r="BQ177" s="1076" t="str">
        <f>Poeng!BK182</f>
        <v>N/A</v>
      </c>
    </row>
    <row r="178" spans="1:69">
      <c r="A178" s="792">
        <v>169</v>
      </c>
      <c r="B178" s="793" t="s">
        <v>496</v>
      </c>
      <c r="C178" s="704" t="s">
        <v>517</v>
      </c>
      <c r="D178" s="621" t="s">
        <v>517</v>
      </c>
      <c r="E178" s="962"/>
      <c r="F178" s="654" t="str">
        <f>BE178</f>
        <v>LE 05 Langsiktig økologisk forvaltning og vedlikehold</v>
      </c>
      <c r="G178" s="659">
        <f>BF178</f>
        <v>2</v>
      </c>
      <c r="H178" s="746"/>
      <c r="I178" s="660" t="str">
        <f>BG178&amp;" c. "&amp;ROUND(BH178*100,1)&amp;" %"</f>
        <v>0 c. 0 %</v>
      </c>
      <c r="J178" s="703" t="str">
        <f>BI178</f>
        <v>N/A</v>
      </c>
      <c r="K178" s="66"/>
      <c r="L178" s="228"/>
      <c r="M178" s="601"/>
      <c r="N178" s="616"/>
      <c r="O178" s="746"/>
      <c r="P178" s="670" t="str">
        <f>BK178&amp;" c. "&amp;ROUND(BL178*100,1)&amp;" %"</f>
        <v>0 c. 0 %</v>
      </c>
      <c r="Q178" s="670" t="str">
        <f>BM178</f>
        <v>N/A</v>
      </c>
      <c r="R178" s="551"/>
      <c r="S178" s="552"/>
      <c r="T178" s="545"/>
      <c r="U178" s="261"/>
      <c r="V178" s="746"/>
      <c r="W178" s="670" t="str">
        <f>BO178&amp;" c. "&amp;ROUND(BP178*100,1)&amp;" %"</f>
        <v>0 c. 0 %</v>
      </c>
      <c r="X178" s="670" t="str">
        <f>BQ178</f>
        <v>N/A</v>
      </c>
      <c r="Y178" s="67"/>
      <c r="Z178" s="66"/>
      <c r="AA178" s="545"/>
      <c r="AB178" s="105"/>
      <c r="AC178" s="473" t="s">
        <v>209</v>
      </c>
      <c r="AD178" s="17">
        <f t="shared" si="125"/>
        <v>0</v>
      </c>
      <c r="AE178" s="1">
        <f t="shared" si="145"/>
        <v>0</v>
      </c>
      <c r="AF178" s="1">
        <f t="shared" si="146"/>
        <v>0</v>
      </c>
      <c r="AG178" s="1">
        <f t="shared" si="147"/>
        <v>0</v>
      </c>
      <c r="AJ178" s="56"/>
      <c r="AK178" s="500" t="s">
        <v>518</v>
      </c>
      <c r="AL178" s="56"/>
      <c r="AM178" s="56"/>
      <c r="AN178" s="56"/>
      <c r="AO178" s="56"/>
      <c r="AP178" s="56"/>
      <c r="AQ178" s="56"/>
      <c r="AT178" s="17" t="str">
        <f>IF($AK$4=ais_nei,AIS_NA,IF(AL178="",AIS_NA,AL178))</f>
        <v>N/A</v>
      </c>
      <c r="AU178" s="17" t="str">
        <f>IF($AK$4=ais_nei,AIS_NA,IF(AM178="",AIS_NA,AM178))</f>
        <v>N/A</v>
      </c>
      <c r="AV178" s="17" t="str">
        <f>IF($AK$4=ais_nei,AIS_NA,IF(AN178="",AIS_NA,AN178))</f>
        <v>N/A</v>
      </c>
      <c r="AW178" s="17"/>
      <c r="AX178" s="17"/>
      <c r="AY178" s="17"/>
      <c r="BA178" s="473"/>
      <c r="BB178" s="17"/>
      <c r="BC178" s="17" t="b">
        <f t="shared" si="131"/>
        <v>1</v>
      </c>
      <c r="BD178" s="17" t="str">
        <f>Poeng!B183</f>
        <v>LE 05</v>
      </c>
      <c r="BE178" s="13" t="str">
        <f>Poeng!E183</f>
        <v>LE 05 Langsiktig økologisk forvaltning og vedlikehold</v>
      </c>
      <c r="BF178" s="13">
        <f>Poeng!AB183</f>
        <v>2</v>
      </c>
      <c r="BG178" s="13">
        <f>Poeng!AI183</f>
        <v>0</v>
      </c>
      <c r="BH178" s="1076">
        <f>Poeng!AE183</f>
        <v>0</v>
      </c>
      <c r="BI178" s="1" t="str">
        <f>Poeng!BE183</f>
        <v>N/A</v>
      </c>
      <c r="BK178" s="1">
        <f>Poeng!AJ183</f>
        <v>0</v>
      </c>
      <c r="BL178" s="1076">
        <f>Poeng!AF183</f>
        <v>0</v>
      </c>
      <c r="BM178" s="1076" t="str">
        <f>Poeng!BH183</f>
        <v>N/A</v>
      </c>
      <c r="BO178" s="1">
        <f>Poeng!AK183</f>
        <v>0</v>
      </c>
      <c r="BP178" s="1076">
        <f>Poeng!AG183</f>
        <v>0</v>
      </c>
      <c r="BQ178" s="1076" t="str">
        <f>Poeng!BK183</f>
        <v>N/A</v>
      </c>
    </row>
    <row r="179" spans="1:69">
      <c r="A179" s="792">
        <v>170</v>
      </c>
      <c r="B179" s="793" t="s">
        <v>496</v>
      </c>
      <c r="C179" s="800" t="str">
        <f t="shared" si="100"/>
        <v>LE 05</v>
      </c>
      <c r="D179" s="621" t="s">
        <v>519</v>
      </c>
      <c r="E179" s="976" t="s">
        <v>288</v>
      </c>
      <c r="F179" s="787" t="str">
        <f t="shared" ref="F179:G181" si="157">BE179</f>
        <v>Forkrav: Lovkrav, planlegging og iverksettelse i utbyggingsområdet</v>
      </c>
      <c r="G179" s="95" t="str">
        <f t="shared" si="157"/>
        <v>Yes/No</v>
      </c>
      <c r="H179" s="29"/>
      <c r="I179" s="96" t="str">
        <f t="shared" ref="I179:J181" si="158">BH179</f>
        <v>-</v>
      </c>
      <c r="J179" s="97" t="str">
        <f t="shared" si="158"/>
        <v>N/A</v>
      </c>
      <c r="K179" s="66"/>
      <c r="L179" s="228"/>
      <c r="M179" s="601"/>
      <c r="N179" s="616"/>
      <c r="O179" s="69"/>
      <c r="P179" s="96" t="str">
        <f t="shared" ref="P179:Q181" si="159">BL179</f>
        <v>-</v>
      </c>
      <c r="Q179" s="96" t="str">
        <f t="shared" si="159"/>
        <v>N/A</v>
      </c>
      <c r="R179" s="551"/>
      <c r="S179" s="552"/>
      <c r="T179" s="545"/>
      <c r="U179" s="261"/>
      <c r="V179" s="69"/>
      <c r="W179" s="96" t="str">
        <f t="shared" ref="W179:X181" si="160">BP179</f>
        <v>-</v>
      </c>
      <c r="X179" s="96" t="str">
        <f t="shared" si="160"/>
        <v>N/A</v>
      </c>
      <c r="Y179" s="67"/>
      <c r="Z179" s="66"/>
      <c r="AA179" s="545"/>
      <c r="AB179" s="105"/>
      <c r="AC179" s="473"/>
      <c r="AD179" s="17">
        <f t="shared" si="125"/>
        <v>0</v>
      </c>
      <c r="AE179" s="1">
        <f t="shared" si="145"/>
        <v>0</v>
      </c>
      <c r="AF179" s="1">
        <f t="shared" si="146"/>
        <v>0</v>
      </c>
      <c r="AG179" s="1">
        <f t="shared" si="147"/>
        <v>0</v>
      </c>
      <c r="AJ179" s="56"/>
      <c r="AK179" s="500"/>
      <c r="AL179" s="56"/>
      <c r="AM179" s="56"/>
      <c r="AN179" s="56"/>
      <c r="AO179" s="56"/>
      <c r="AP179" s="56"/>
      <c r="AQ179" s="56"/>
      <c r="AT179" s="17"/>
      <c r="AU179" s="17"/>
      <c r="AV179" s="17"/>
      <c r="AW179" s="17"/>
      <c r="AX179" s="17"/>
      <c r="AY179" s="17"/>
      <c r="BA179" s="473"/>
      <c r="BB179" s="17"/>
      <c r="BC179" s="17" t="b">
        <f t="shared" si="131"/>
        <v>1</v>
      </c>
      <c r="BD179" s="17" t="str">
        <f>Poeng!B245</f>
        <v>LE 05a</v>
      </c>
      <c r="BE179" s="13" t="str">
        <f>Poeng!E245</f>
        <v>Forkrav: Lovkrav, planlegging og iverksettelse i utbyggingsområdet</v>
      </c>
      <c r="BF179" s="13" t="str">
        <f>Poeng!AB245</f>
        <v>Yes/No</v>
      </c>
      <c r="BG179" s="13">
        <f>Poeng!AI245</f>
        <v>0</v>
      </c>
      <c r="BH179" s="1076" t="str">
        <f>Poeng!AE245</f>
        <v>-</v>
      </c>
      <c r="BI179" s="1" t="str">
        <f>Poeng!BE245</f>
        <v>N/A</v>
      </c>
      <c r="BK179" s="1">
        <f>Poeng!AJ245</f>
        <v>0</v>
      </c>
      <c r="BL179" s="1076" t="str">
        <f>Poeng!AF245</f>
        <v>-</v>
      </c>
      <c r="BM179" s="1076" t="str">
        <f>Poeng!BH245</f>
        <v>N/A</v>
      </c>
      <c r="BO179" s="1">
        <f>Poeng!AK245</f>
        <v>0</v>
      </c>
      <c r="BP179" s="1076" t="str">
        <f>Poeng!AG245</f>
        <v>-</v>
      </c>
      <c r="BQ179" s="1076" t="str">
        <f>Poeng!BK245</f>
        <v>N/A</v>
      </c>
    </row>
    <row r="180" spans="1:69">
      <c r="A180" s="792">
        <v>171</v>
      </c>
      <c r="B180" s="793" t="s">
        <v>496</v>
      </c>
      <c r="C180" s="97" t="str">
        <f t="shared" si="100"/>
        <v>LE 05</v>
      </c>
      <c r="D180" s="621" t="s">
        <v>520</v>
      </c>
      <c r="E180" s="964" t="s">
        <v>380</v>
      </c>
      <c r="F180" s="787" t="str">
        <f t="shared" si="157"/>
        <v>Forvaltning og ledelse under hele prosjektet</v>
      </c>
      <c r="G180" s="95">
        <f t="shared" si="157"/>
        <v>1</v>
      </c>
      <c r="H180" s="29"/>
      <c r="I180" s="96">
        <f t="shared" si="158"/>
        <v>0</v>
      </c>
      <c r="J180" s="97" t="str">
        <f t="shared" si="158"/>
        <v>N/A</v>
      </c>
      <c r="K180" s="66"/>
      <c r="L180" s="228"/>
      <c r="M180" s="601"/>
      <c r="N180" s="616"/>
      <c r="O180" s="69"/>
      <c r="P180" s="96">
        <f t="shared" si="159"/>
        <v>0</v>
      </c>
      <c r="Q180" s="96" t="str">
        <f t="shared" si="159"/>
        <v>N/A</v>
      </c>
      <c r="R180" s="551"/>
      <c r="S180" s="552"/>
      <c r="T180" s="545"/>
      <c r="U180" s="261"/>
      <c r="V180" s="69"/>
      <c r="W180" s="96">
        <f t="shared" si="160"/>
        <v>0</v>
      </c>
      <c r="X180" s="96" t="str">
        <f t="shared" si="160"/>
        <v>N/A</v>
      </c>
      <c r="Y180" s="67"/>
      <c r="Z180" s="66"/>
      <c r="AA180" s="545"/>
      <c r="AB180" s="105"/>
      <c r="AC180" s="473"/>
      <c r="AD180" s="17">
        <f t="shared" si="125"/>
        <v>0</v>
      </c>
      <c r="AE180" s="1">
        <f t="shared" si="145"/>
        <v>0</v>
      </c>
      <c r="AF180" s="1">
        <f t="shared" si="146"/>
        <v>0</v>
      </c>
      <c r="AG180" s="1">
        <f t="shared" si="147"/>
        <v>0</v>
      </c>
      <c r="AJ180" s="56"/>
      <c r="AK180" s="500"/>
      <c r="AL180" s="56"/>
      <c r="AM180" s="56"/>
      <c r="AN180" s="56"/>
      <c r="AO180" s="56"/>
      <c r="AP180" s="56"/>
      <c r="AQ180" s="56"/>
      <c r="AT180" s="17"/>
      <c r="AU180" s="17"/>
      <c r="AV180" s="17"/>
      <c r="AW180" s="17"/>
      <c r="AX180" s="17"/>
      <c r="AY180" s="17"/>
      <c r="BA180" s="473"/>
      <c r="BB180" s="17"/>
      <c r="BC180" s="17" t="b">
        <f t="shared" si="131"/>
        <v>1</v>
      </c>
      <c r="BD180" s="17" t="str">
        <f>Poeng!B185</f>
        <v>LE 05b</v>
      </c>
      <c r="BE180" s="13" t="str">
        <f>Poeng!E185</f>
        <v>Forvaltning og ledelse under hele prosjektet</v>
      </c>
      <c r="BF180" s="13">
        <f>Poeng!AB185</f>
        <v>1</v>
      </c>
      <c r="BG180" s="13">
        <f>Poeng!AI185</f>
        <v>0</v>
      </c>
      <c r="BH180" s="1076">
        <f>Poeng!AE185</f>
        <v>0</v>
      </c>
      <c r="BI180" s="1" t="str">
        <f>Poeng!BE185</f>
        <v>N/A</v>
      </c>
      <c r="BK180" s="1">
        <f>Poeng!AJ185</f>
        <v>0</v>
      </c>
      <c r="BL180" s="1076">
        <f>Poeng!AF185</f>
        <v>0</v>
      </c>
      <c r="BM180" s="1076" t="str">
        <f>Poeng!BH185</f>
        <v>N/A</v>
      </c>
      <c r="BO180" s="1">
        <f>Poeng!AK185</f>
        <v>0</v>
      </c>
      <c r="BP180" s="1076">
        <f>Poeng!AG185</f>
        <v>0</v>
      </c>
      <c r="BQ180" s="1076" t="str">
        <f>Poeng!BK185</f>
        <v>N/A</v>
      </c>
    </row>
    <row r="181" spans="1:69">
      <c r="A181" s="792">
        <v>172</v>
      </c>
      <c r="B181" s="793" t="s">
        <v>496</v>
      </c>
      <c r="C181" s="97" t="str">
        <f t="shared" si="100"/>
        <v>LE 05</v>
      </c>
      <c r="D181" s="621" t="s">
        <v>521</v>
      </c>
      <c r="E181" s="964" t="s">
        <v>264</v>
      </c>
      <c r="F181" s="787" t="str">
        <f t="shared" si="157"/>
        <v>Forvaltningsplan for landskap og økologi</v>
      </c>
      <c r="G181" s="95">
        <f t="shared" si="157"/>
        <v>1</v>
      </c>
      <c r="H181" s="29"/>
      <c r="I181" s="96">
        <f t="shared" si="158"/>
        <v>0</v>
      </c>
      <c r="J181" s="97" t="str">
        <f t="shared" si="158"/>
        <v>N/A</v>
      </c>
      <c r="K181" s="66"/>
      <c r="L181" s="228"/>
      <c r="M181" s="601"/>
      <c r="N181" s="616"/>
      <c r="O181" s="69"/>
      <c r="P181" s="96">
        <f t="shared" si="159"/>
        <v>0</v>
      </c>
      <c r="Q181" s="96" t="str">
        <f t="shared" si="159"/>
        <v>N/A</v>
      </c>
      <c r="R181" s="551"/>
      <c r="S181" s="552"/>
      <c r="T181" s="545"/>
      <c r="U181" s="261"/>
      <c r="V181" s="69"/>
      <c r="W181" s="96">
        <f t="shared" si="160"/>
        <v>0</v>
      </c>
      <c r="X181" s="96" t="str">
        <f t="shared" si="160"/>
        <v>N/A</v>
      </c>
      <c r="Y181" s="67"/>
      <c r="Z181" s="66"/>
      <c r="AA181" s="545"/>
      <c r="AB181" s="105"/>
      <c r="AC181" s="473"/>
      <c r="AD181" s="17">
        <f t="shared" si="125"/>
        <v>0</v>
      </c>
      <c r="AE181" s="1">
        <f t="shared" si="145"/>
        <v>0</v>
      </c>
      <c r="AF181" s="1">
        <f t="shared" si="146"/>
        <v>0</v>
      </c>
      <c r="AG181" s="1">
        <f t="shared" si="147"/>
        <v>0</v>
      </c>
      <c r="AJ181" s="56"/>
      <c r="AK181" s="500"/>
      <c r="AL181" s="56"/>
      <c r="AM181" s="56"/>
      <c r="AN181" s="56"/>
      <c r="AO181" s="56"/>
      <c r="AP181" s="56"/>
      <c r="AQ181" s="56"/>
      <c r="AT181" s="17"/>
      <c r="AU181" s="17"/>
      <c r="AV181" s="17"/>
      <c r="AW181" s="17"/>
      <c r="AX181" s="17"/>
      <c r="AY181" s="17"/>
      <c r="BA181" s="473"/>
      <c r="BB181" s="17"/>
      <c r="BC181" s="17" t="b">
        <f t="shared" si="131"/>
        <v>1</v>
      </c>
      <c r="BD181" s="17" t="str">
        <f>Poeng!B186</f>
        <v>LE 05c</v>
      </c>
      <c r="BE181" s="13" t="str">
        <f>Poeng!E186</f>
        <v>Forvaltningsplan for landskap og økologi</v>
      </c>
      <c r="BF181" s="13">
        <f>Poeng!AB186</f>
        <v>1</v>
      </c>
      <c r="BG181" s="13">
        <f>Poeng!AI186</f>
        <v>0</v>
      </c>
      <c r="BH181" s="1076">
        <f>Poeng!AE186</f>
        <v>0</v>
      </c>
      <c r="BI181" s="1" t="str">
        <f>Poeng!BE186</f>
        <v>N/A</v>
      </c>
      <c r="BK181" s="1">
        <f>Poeng!AJ186</f>
        <v>0</v>
      </c>
      <c r="BL181" s="1076">
        <f>Poeng!AF186</f>
        <v>0</v>
      </c>
      <c r="BM181" s="1076" t="str">
        <f>Poeng!BH186</f>
        <v>N/A</v>
      </c>
      <c r="BO181" s="1">
        <f>Poeng!AK186</f>
        <v>0</v>
      </c>
      <c r="BP181" s="1076">
        <f>Poeng!AG186</f>
        <v>0</v>
      </c>
      <c r="BQ181" s="1076" t="str">
        <f>Poeng!BK186</f>
        <v>N/A</v>
      </c>
    </row>
    <row r="182" spans="1:69">
      <c r="A182" s="792">
        <v>173</v>
      </c>
      <c r="B182" s="793" t="s">
        <v>496</v>
      </c>
      <c r="C182" s="704" t="s">
        <v>522</v>
      </c>
      <c r="D182" s="621" t="s">
        <v>522</v>
      </c>
      <c r="E182" s="962"/>
      <c r="F182" s="654" t="str">
        <f t="shared" ref="F182:G187" si="161">BE182</f>
        <v>LE 06 Klimatilpasning</v>
      </c>
      <c r="G182" s="659">
        <f t="shared" si="161"/>
        <v>1</v>
      </c>
      <c r="H182" s="746"/>
      <c r="I182" s="660" t="str">
        <f>BG182&amp;" c. "&amp;ROUND(BH182*100,1)&amp;" %"</f>
        <v>0 c. 0 %</v>
      </c>
      <c r="J182" s="703" t="str">
        <f t="shared" ref="J182:J187" si="162">BI182</f>
        <v>N/A</v>
      </c>
      <c r="K182" s="66"/>
      <c r="L182" s="228"/>
      <c r="M182" s="601"/>
      <c r="N182" s="616"/>
      <c r="O182" s="746"/>
      <c r="P182" s="670" t="str">
        <f>BK182&amp;" c. "&amp;ROUND(BL182*100,1)&amp;" %"</f>
        <v>0 c. 0 %</v>
      </c>
      <c r="Q182" s="670" t="str">
        <f t="shared" ref="Q182:Q187" si="163">BM182</f>
        <v>N/A</v>
      </c>
      <c r="R182" s="551"/>
      <c r="S182" s="552"/>
      <c r="T182" s="545"/>
      <c r="U182" s="261"/>
      <c r="V182" s="746"/>
      <c r="W182" s="670" t="str">
        <f>BO182&amp;" c. "&amp;ROUND(BP182*100,1)&amp;" %"</f>
        <v>0 c. 0 %</v>
      </c>
      <c r="X182" s="670" t="str">
        <f t="shared" ref="X182:X187" si="164">BQ182</f>
        <v>N/A</v>
      </c>
      <c r="Y182" s="67"/>
      <c r="Z182" s="66"/>
      <c r="AA182" s="545"/>
      <c r="AB182" s="105"/>
      <c r="AC182" s="473" t="s">
        <v>209</v>
      </c>
      <c r="AD182" s="17">
        <f t="shared" si="125"/>
        <v>0</v>
      </c>
      <c r="AE182" s="1">
        <f t="shared" si="145"/>
        <v>0</v>
      </c>
      <c r="AF182" s="1">
        <f t="shared" si="146"/>
        <v>0</v>
      </c>
      <c r="AG182" s="1">
        <f t="shared" si="147"/>
        <v>0</v>
      </c>
      <c r="AJ182" s="56"/>
      <c r="AK182" s="500" t="s">
        <v>523</v>
      </c>
      <c r="AL182" s="56"/>
      <c r="AM182" s="56"/>
      <c r="AN182" s="56"/>
      <c r="AO182" s="56"/>
      <c r="AP182" s="56"/>
      <c r="AQ182" s="56"/>
      <c r="AT182" s="17" t="str">
        <f>IF($AK$4=ais_nei,AIS_NA,IF(AL182="",AIS_NA,AL182))</f>
        <v>N/A</v>
      </c>
      <c r="AU182" s="17" t="str">
        <f>IF($AK$4=ais_nei,AIS_NA,IF(AM182="",AIS_NA,AM182))</f>
        <v>N/A</v>
      </c>
      <c r="AV182" s="17" t="str">
        <f>IF($AK$4=ais_nei,AIS_NA,IF(AN182="",AIS_NA,AN182))</f>
        <v>N/A</v>
      </c>
      <c r="AW182" s="17"/>
      <c r="AX182" s="17"/>
      <c r="AY182" s="17"/>
      <c r="BA182" s="473"/>
      <c r="BB182" s="17"/>
      <c r="BC182" s="17" t="b">
        <f t="shared" si="131"/>
        <v>1</v>
      </c>
      <c r="BD182" s="17" t="str">
        <f>Poeng!B187</f>
        <v>LE 06</v>
      </c>
      <c r="BE182" s="13" t="str">
        <f>Poeng!E187</f>
        <v>LE 06 Klimatilpasning</v>
      </c>
      <c r="BF182" s="13">
        <f>Poeng!AB187</f>
        <v>1</v>
      </c>
      <c r="BG182" s="13">
        <f>Poeng!AI187</f>
        <v>0</v>
      </c>
      <c r="BH182" s="1076">
        <f>Poeng!AE187</f>
        <v>0</v>
      </c>
      <c r="BI182" s="1" t="str">
        <f>Poeng!BE187</f>
        <v>N/A</v>
      </c>
      <c r="BK182" s="1">
        <f>Poeng!AJ187</f>
        <v>0</v>
      </c>
      <c r="BL182" s="1076">
        <f>Poeng!AF187</f>
        <v>0</v>
      </c>
      <c r="BM182" s="1076" t="str">
        <f>Poeng!BH187</f>
        <v>N/A</v>
      </c>
      <c r="BO182" s="1">
        <f>Poeng!AK187</f>
        <v>0</v>
      </c>
      <c r="BP182" s="1076">
        <f>Poeng!AG187</f>
        <v>0</v>
      </c>
      <c r="BQ182" s="1076" t="str">
        <f>Poeng!BK187</f>
        <v>N/A</v>
      </c>
    </row>
    <row r="183" spans="1:69">
      <c r="A183" s="792">
        <v>174</v>
      </c>
      <c r="B183" s="793" t="s">
        <v>496</v>
      </c>
      <c r="C183" s="97" t="str">
        <f t="shared" si="100"/>
        <v>LE 06</v>
      </c>
      <c r="D183" s="621" t="s">
        <v>524</v>
      </c>
      <c r="E183" s="964" t="s">
        <v>525</v>
      </c>
      <c r="F183" s="787" t="str">
        <f t="shared" si="161"/>
        <v>Risikovurdering (EU taksonomi: krit. 1-6)</v>
      </c>
      <c r="G183" s="95">
        <f t="shared" si="161"/>
        <v>1</v>
      </c>
      <c r="H183" s="29"/>
      <c r="I183" s="96">
        <f>BH183</f>
        <v>0</v>
      </c>
      <c r="J183" s="97" t="str">
        <f t="shared" si="162"/>
        <v>Very Good</v>
      </c>
      <c r="K183" s="66"/>
      <c r="L183" s="228"/>
      <c r="M183" s="601"/>
      <c r="N183" s="616"/>
      <c r="O183" s="69"/>
      <c r="P183" s="96">
        <f>BL183</f>
        <v>0</v>
      </c>
      <c r="Q183" s="96" t="str">
        <f t="shared" si="163"/>
        <v>Very Good</v>
      </c>
      <c r="R183" s="551"/>
      <c r="S183" s="552"/>
      <c r="T183" s="545"/>
      <c r="U183" s="261"/>
      <c r="V183" s="69"/>
      <c r="W183" s="96">
        <f>BP183</f>
        <v>0</v>
      </c>
      <c r="X183" s="96" t="str">
        <f t="shared" si="164"/>
        <v>Very Good</v>
      </c>
      <c r="Y183" s="67"/>
      <c r="Z183" s="66"/>
      <c r="AA183" s="545"/>
      <c r="AB183" s="105"/>
      <c r="AC183" s="527"/>
      <c r="AD183" s="17">
        <f t="shared" si="125"/>
        <v>0</v>
      </c>
      <c r="AE183" s="1">
        <f t="shared" si="145"/>
        <v>0</v>
      </c>
      <c r="AF183" s="1">
        <f t="shared" si="146"/>
        <v>0</v>
      </c>
      <c r="AG183" s="1">
        <f t="shared" si="147"/>
        <v>0</v>
      </c>
      <c r="AJ183" s="56"/>
      <c r="AK183" s="500"/>
      <c r="AL183" s="56"/>
      <c r="AM183" s="56"/>
      <c r="AN183" s="56"/>
      <c r="AO183" s="56"/>
      <c r="AP183" s="56"/>
      <c r="AQ183" s="56"/>
      <c r="AT183" s="17"/>
      <c r="AU183" s="17"/>
      <c r="AV183" s="17"/>
      <c r="AW183" s="17"/>
      <c r="AX183" s="17"/>
      <c r="AY183" s="17"/>
      <c r="BA183" s="527"/>
      <c r="BB183" s="17"/>
      <c r="BC183" s="17" t="b">
        <f t="shared" si="131"/>
        <v>1</v>
      </c>
      <c r="BD183" s="17" t="str">
        <f>Poeng!B188</f>
        <v>LE 06a</v>
      </c>
      <c r="BE183" s="13" t="str">
        <f>Poeng!E188</f>
        <v>Risikovurdering (EU taksonomi: krit. 1-6)</v>
      </c>
      <c r="BF183" s="13">
        <f>Poeng!AB188</f>
        <v>1</v>
      </c>
      <c r="BG183" s="13">
        <f>Poeng!AI188</f>
        <v>0</v>
      </c>
      <c r="BH183" s="1076">
        <f>Poeng!AE188</f>
        <v>0</v>
      </c>
      <c r="BI183" s="1" t="str">
        <f>Poeng!BE188</f>
        <v>Very Good</v>
      </c>
      <c r="BK183" s="1">
        <f>Poeng!AJ188</f>
        <v>0</v>
      </c>
      <c r="BL183" s="1076">
        <f>Poeng!AF188</f>
        <v>0</v>
      </c>
      <c r="BM183" s="1076" t="str">
        <f>Poeng!BH188</f>
        <v>Very Good</v>
      </c>
      <c r="BO183" s="1">
        <f>Poeng!AK188</f>
        <v>0</v>
      </c>
      <c r="BP183" s="1076">
        <f>Poeng!AG188</f>
        <v>0</v>
      </c>
      <c r="BQ183" s="1076" t="str">
        <f>Poeng!BK188</f>
        <v>Very Good</v>
      </c>
    </row>
    <row r="184" spans="1:69">
      <c r="A184" s="792">
        <v>175</v>
      </c>
      <c r="B184" s="793" t="s">
        <v>496</v>
      </c>
      <c r="C184" s="704" t="s">
        <v>526</v>
      </c>
      <c r="D184" s="621" t="s">
        <v>526</v>
      </c>
      <c r="E184" s="962"/>
      <c r="F184" s="654" t="str">
        <f t="shared" si="161"/>
        <v>LE 07 Sikkerhet mot flom og stormflo</v>
      </c>
      <c r="G184" s="659">
        <f t="shared" si="161"/>
        <v>2</v>
      </c>
      <c r="H184" s="746"/>
      <c r="I184" s="660" t="str">
        <f>BG184&amp;" c. "&amp;ROUND(BH184*100,1)&amp;" %"</f>
        <v>0 c. 0 %</v>
      </c>
      <c r="J184" s="703" t="str">
        <f t="shared" si="162"/>
        <v>N/A</v>
      </c>
      <c r="K184" s="66"/>
      <c r="L184" s="228"/>
      <c r="M184" s="601"/>
      <c r="N184" s="616"/>
      <c r="O184" s="746"/>
      <c r="P184" s="670" t="str">
        <f>BK184&amp;" c. "&amp;ROUND(BL184*100,1)&amp;" %"</f>
        <v>0 c. 0 %</v>
      </c>
      <c r="Q184" s="670" t="str">
        <f t="shared" si="163"/>
        <v>N/A</v>
      </c>
      <c r="R184" s="551"/>
      <c r="S184" s="552"/>
      <c r="T184" s="545"/>
      <c r="U184" s="261"/>
      <c r="V184" s="746"/>
      <c r="W184" s="670" t="str">
        <f>BO184&amp;" c. "&amp;ROUND(BP184*100,1)&amp;" %"</f>
        <v>0 c. 0 %</v>
      </c>
      <c r="X184" s="670" t="str">
        <f t="shared" si="164"/>
        <v>N/A</v>
      </c>
      <c r="Y184" s="67"/>
      <c r="Z184" s="66"/>
      <c r="AA184" s="545"/>
      <c r="AB184" s="105"/>
      <c r="AC184" s="527"/>
      <c r="AD184" s="17">
        <f t="shared" si="125"/>
        <v>0</v>
      </c>
      <c r="AE184" s="1">
        <f t="shared" si="145"/>
        <v>0</v>
      </c>
      <c r="AF184" s="1">
        <f t="shared" si="146"/>
        <v>0</v>
      </c>
      <c r="AG184" s="1">
        <f t="shared" si="147"/>
        <v>0</v>
      </c>
      <c r="AJ184" s="56"/>
      <c r="AK184" s="500"/>
      <c r="AL184" s="56"/>
      <c r="AM184" s="56"/>
      <c r="AN184" s="56"/>
      <c r="AO184" s="56"/>
      <c r="AP184" s="56"/>
      <c r="AQ184" s="56"/>
      <c r="AT184" s="17"/>
      <c r="AU184" s="17"/>
      <c r="AV184" s="17"/>
      <c r="AW184" s="17"/>
      <c r="AX184" s="17"/>
      <c r="AY184" s="17"/>
      <c r="BA184" s="527"/>
      <c r="BB184" s="17"/>
      <c r="BC184" s="17" t="b">
        <f t="shared" si="131"/>
        <v>1</v>
      </c>
      <c r="BD184" s="17" t="str">
        <f>Poeng!B189</f>
        <v>LE 07</v>
      </c>
      <c r="BE184" s="13" t="str">
        <f>Poeng!E189</f>
        <v>LE 07 Sikkerhet mot flom og stormflo</v>
      </c>
      <c r="BF184" s="13">
        <f>Poeng!AB189</f>
        <v>2</v>
      </c>
      <c r="BG184" s="13">
        <f>Poeng!AI189</f>
        <v>0</v>
      </c>
      <c r="BH184" s="1076">
        <f>Poeng!AE189</f>
        <v>0</v>
      </c>
      <c r="BI184" s="1" t="str">
        <f>Poeng!BE189</f>
        <v>N/A</v>
      </c>
      <c r="BK184" s="1">
        <f>Poeng!AJ189</f>
        <v>0</v>
      </c>
      <c r="BL184" s="1076">
        <f>Poeng!AF189</f>
        <v>0</v>
      </c>
      <c r="BM184" s="1076" t="str">
        <f>Poeng!BH189</f>
        <v>N/A</v>
      </c>
      <c r="BO184" s="1">
        <f>Poeng!AK189</f>
        <v>0</v>
      </c>
      <c r="BP184" s="1076">
        <f>Poeng!AG189</f>
        <v>0</v>
      </c>
      <c r="BQ184" s="1076" t="str">
        <f>Poeng!BK189</f>
        <v>N/A</v>
      </c>
    </row>
    <row r="185" spans="1:69">
      <c r="A185" s="792">
        <v>176</v>
      </c>
      <c r="B185" s="793" t="s">
        <v>496</v>
      </c>
      <c r="C185" s="97" t="str">
        <f t="shared" si="100"/>
        <v>LE 07</v>
      </c>
      <c r="D185" s="621" t="s">
        <v>527</v>
      </c>
      <c r="E185" s="963">
        <v>1</v>
      </c>
      <c r="F185" s="787" t="str">
        <f t="shared" si="161"/>
        <v>Forkrav: flomrisikoanalyse</v>
      </c>
      <c r="G185" s="95" t="str">
        <f t="shared" si="161"/>
        <v>Yes/No</v>
      </c>
      <c r="H185" s="29"/>
      <c r="I185" s="96" t="str">
        <f>BH185</f>
        <v>-</v>
      </c>
      <c r="J185" s="97" t="str">
        <f t="shared" si="162"/>
        <v>N/A</v>
      </c>
      <c r="K185" s="66"/>
      <c r="L185" s="228"/>
      <c r="M185" s="601"/>
      <c r="N185" s="616"/>
      <c r="O185" s="69"/>
      <c r="P185" s="96" t="str">
        <f>BL185</f>
        <v>-</v>
      </c>
      <c r="Q185" s="96" t="str">
        <f t="shared" si="163"/>
        <v>N/A</v>
      </c>
      <c r="R185" s="551"/>
      <c r="S185" s="552"/>
      <c r="T185" s="545"/>
      <c r="U185" s="261"/>
      <c r="V185" s="69"/>
      <c r="W185" s="96" t="str">
        <f>BP185</f>
        <v>-</v>
      </c>
      <c r="X185" s="96" t="str">
        <f t="shared" si="164"/>
        <v>N/A</v>
      </c>
      <c r="Y185" s="67"/>
      <c r="Z185" s="66"/>
      <c r="AA185" s="545"/>
      <c r="AB185" s="105"/>
      <c r="AC185" s="527"/>
      <c r="AD185" s="17">
        <f t="shared" si="125"/>
        <v>0</v>
      </c>
      <c r="AE185" s="1">
        <f t="shared" si="145"/>
        <v>0</v>
      </c>
      <c r="AF185" s="1">
        <f t="shared" si="146"/>
        <v>0</v>
      </c>
      <c r="AG185" s="1">
        <f t="shared" si="147"/>
        <v>0</v>
      </c>
      <c r="AJ185" s="56"/>
      <c r="AK185" s="500"/>
      <c r="AL185" s="56"/>
      <c r="AM185" s="56"/>
      <c r="AN185" s="56"/>
      <c r="AO185" s="56"/>
      <c r="AP185" s="56"/>
      <c r="AQ185" s="56"/>
      <c r="AT185" s="17"/>
      <c r="AU185" s="17"/>
      <c r="AV185" s="17"/>
      <c r="AW185" s="17"/>
      <c r="AX185" s="17"/>
      <c r="AY185" s="17"/>
      <c r="BA185" s="527"/>
      <c r="BB185" s="17"/>
      <c r="BC185" s="17" t="b">
        <f t="shared" si="131"/>
        <v>1</v>
      </c>
      <c r="BD185" s="17" t="str">
        <f>Poeng!B247</f>
        <v>LE 07a</v>
      </c>
      <c r="BE185" s="13" t="str">
        <f>Poeng!E247</f>
        <v>Forkrav: flomrisikoanalyse</v>
      </c>
      <c r="BF185" s="13" t="str">
        <f>Poeng!AB247</f>
        <v>Yes/No</v>
      </c>
      <c r="BG185" s="13">
        <f>Poeng!AI247</f>
        <v>0</v>
      </c>
      <c r="BH185" s="1076" t="str">
        <f>Poeng!AE247</f>
        <v>-</v>
      </c>
      <c r="BI185" s="1" t="str">
        <f>Poeng!BE247</f>
        <v>N/A</v>
      </c>
      <c r="BK185" s="1">
        <f>Poeng!AJ247</f>
        <v>0</v>
      </c>
      <c r="BL185" s="1076" t="str">
        <f>Poeng!AF247</f>
        <v>-</v>
      </c>
      <c r="BM185" s="1076" t="str">
        <f>Poeng!BH247</f>
        <v>N/A</v>
      </c>
      <c r="BO185" s="1">
        <f>Poeng!AK247</f>
        <v>0</v>
      </c>
      <c r="BP185" s="1076" t="str">
        <f>Poeng!AG247</f>
        <v>-</v>
      </c>
      <c r="BQ185" s="1076" t="str">
        <f>Poeng!BK247</f>
        <v>N/A</v>
      </c>
    </row>
    <row r="186" spans="1:69">
      <c r="A186" s="792">
        <v>177</v>
      </c>
      <c r="B186" s="793" t="s">
        <v>496</v>
      </c>
      <c r="C186" s="97" t="str">
        <f t="shared" si="100"/>
        <v>LE 07</v>
      </c>
      <c r="D186" s="621" t="s">
        <v>528</v>
      </c>
      <c r="E186" s="964" t="s">
        <v>252</v>
      </c>
      <c r="F186" s="787" t="str">
        <f t="shared" si="161"/>
        <v>Robusthet mot flom og stormflo</v>
      </c>
      <c r="G186" s="95">
        <f t="shared" si="161"/>
        <v>2</v>
      </c>
      <c r="H186" s="29"/>
      <c r="I186" s="96">
        <f>BH186</f>
        <v>0</v>
      </c>
      <c r="J186" s="97" t="str">
        <f t="shared" si="162"/>
        <v>N/A</v>
      </c>
      <c r="K186" s="66"/>
      <c r="L186" s="228"/>
      <c r="M186" s="601"/>
      <c r="N186" s="616"/>
      <c r="O186" s="69"/>
      <c r="P186" s="96">
        <f>BL186</f>
        <v>0</v>
      </c>
      <c r="Q186" s="96" t="str">
        <f t="shared" si="163"/>
        <v>N/A</v>
      </c>
      <c r="R186" s="551"/>
      <c r="S186" s="552"/>
      <c r="T186" s="545"/>
      <c r="U186" s="261"/>
      <c r="V186" s="69"/>
      <c r="W186" s="96">
        <f>BP186</f>
        <v>0</v>
      </c>
      <c r="X186" s="96" t="str">
        <f t="shared" si="164"/>
        <v>N/A</v>
      </c>
      <c r="Y186" s="67"/>
      <c r="Z186" s="66"/>
      <c r="AA186" s="545"/>
      <c r="AB186" s="105"/>
      <c r="AC186" s="527"/>
      <c r="AD186" s="17">
        <f t="shared" si="125"/>
        <v>0</v>
      </c>
      <c r="AE186" s="1">
        <f t="shared" si="145"/>
        <v>0</v>
      </c>
      <c r="AF186" s="1">
        <f t="shared" si="146"/>
        <v>0</v>
      </c>
      <c r="AG186" s="1">
        <f t="shared" si="147"/>
        <v>0</v>
      </c>
      <c r="AJ186" s="56"/>
      <c r="AK186" s="500"/>
      <c r="AL186" s="56"/>
      <c r="AM186" s="56"/>
      <c r="AN186" s="56"/>
      <c r="AO186" s="56"/>
      <c r="AP186" s="56"/>
      <c r="AQ186" s="56"/>
      <c r="AT186" s="17"/>
      <c r="AU186" s="17"/>
      <c r="AV186" s="17"/>
      <c r="AW186" s="17"/>
      <c r="AX186" s="17"/>
      <c r="AY186" s="17"/>
      <c r="BA186" s="527"/>
      <c r="BB186" s="17"/>
      <c r="BC186" s="17" t="b">
        <f t="shared" si="131"/>
        <v>1</v>
      </c>
      <c r="BD186" s="17" t="str">
        <f>Poeng!B191</f>
        <v>LE 07b</v>
      </c>
      <c r="BE186" s="13" t="str">
        <f>Poeng!E191</f>
        <v>Robusthet mot flom og stormflo</v>
      </c>
      <c r="BF186" s="13">
        <f>Poeng!AB191</f>
        <v>2</v>
      </c>
      <c r="BG186" s="13">
        <f>Poeng!AI191</f>
        <v>0</v>
      </c>
      <c r="BH186" s="1076">
        <f>Poeng!AE191</f>
        <v>0</v>
      </c>
      <c r="BI186" s="1" t="str">
        <f>Poeng!BE191</f>
        <v>N/A</v>
      </c>
      <c r="BK186" s="1">
        <f>Poeng!AJ191</f>
        <v>0</v>
      </c>
      <c r="BL186" s="1076">
        <f>Poeng!AF191</f>
        <v>0</v>
      </c>
      <c r="BM186" s="1076" t="str">
        <f>Poeng!BH191</f>
        <v>N/A</v>
      </c>
      <c r="BO186" s="1">
        <f>Poeng!AK191</f>
        <v>0</v>
      </c>
      <c r="BP186" s="1076">
        <f>Poeng!AG191</f>
        <v>0</v>
      </c>
      <c r="BQ186" s="1076" t="str">
        <f>Poeng!BK191</f>
        <v>N/A</v>
      </c>
    </row>
    <row r="187" spans="1:69">
      <c r="A187" s="792">
        <v>178</v>
      </c>
      <c r="B187" s="793" t="s">
        <v>496</v>
      </c>
      <c r="C187" s="704" t="s">
        <v>529</v>
      </c>
      <c r="D187" s="621" t="s">
        <v>529</v>
      </c>
      <c r="E187" s="962"/>
      <c r="F187" s="654" t="str">
        <f t="shared" si="161"/>
        <v>LE 08 Lokal overvannshåndtering</v>
      </c>
      <c r="G187" s="659">
        <f t="shared" si="161"/>
        <v>3</v>
      </c>
      <c r="H187" s="746"/>
      <c r="I187" s="660" t="str">
        <f>BG187&amp;" c. "&amp;ROUND(BH187*100,1)&amp;" %"</f>
        <v>0 c. 0 %</v>
      </c>
      <c r="J187" s="703" t="str">
        <f t="shared" si="162"/>
        <v>N/A</v>
      </c>
      <c r="K187" s="66"/>
      <c r="L187" s="228"/>
      <c r="M187" s="601"/>
      <c r="N187" s="616"/>
      <c r="O187" s="746"/>
      <c r="P187" s="670" t="str">
        <f>BK187&amp;" c. "&amp;ROUND(BL187*100,1)&amp;" %"</f>
        <v>0 c. 0 %</v>
      </c>
      <c r="Q187" s="670" t="str">
        <f t="shared" si="163"/>
        <v>N/A</v>
      </c>
      <c r="R187" s="551"/>
      <c r="S187" s="552"/>
      <c r="T187" s="545"/>
      <c r="U187" s="261"/>
      <c r="V187" s="746"/>
      <c r="W187" s="670" t="str">
        <f>BO187&amp;" c. "&amp;ROUND(BP187*100,1)&amp;" %"</f>
        <v>0 c. 0 %</v>
      </c>
      <c r="X187" s="670" t="str">
        <f t="shared" si="164"/>
        <v>N/A</v>
      </c>
      <c r="Y187" s="67"/>
      <c r="Z187" s="66"/>
      <c r="AA187" s="545"/>
      <c r="AB187" s="105"/>
      <c r="AC187" s="527"/>
      <c r="AD187" s="17">
        <f t="shared" si="125"/>
        <v>0</v>
      </c>
      <c r="AE187" s="1">
        <f t="shared" si="145"/>
        <v>0</v>
      </c>
      <c r="AF187" s="1">
        <f t="shared" si="146"/>
        <v>0</v>
      </c>
      <c r="AG187" s="1">
        <f t="shared" si="147"/>
        <v>0</v>
      </c>
      <c r="AJ187" s="56"/>
      <c r="AK187" s="500"/>
      <c r="AL187" s="56"/>
      <c r="AM187" s="56"/>
      <c r="AN187" s="56"/>
      <c r="AO187" s="56"/>
      <c r="AP187" s="56"/>
      <c r="AQ187" s="56"/>
      <c r="AT187" s="17"/>
      <c r="AU187" s="17"/>
      <c r="AV187" s="17"/>
      <c r="AW187" s="17"/>
      <c r="AX187" s="17"/>
      <c r="AY187" s="17"/>
      <c r="BA187" s="527"/>
      <c r="BB187" s="17"/>
      <c r="BC187" s="17" t="b">
        <f t="shared" si="131"/>
        <v>1</v>
      </c>
      <c r="BD187" s="17" t="str">
        <f>Poeng!B192</f>
        <v>LE 08</v>
      </c>
      <c r="BE187" s="13" t="str">
        <f>Poeng!E192</f>
        <v>LE 08 Lokal overvannshåndtering</v>
      </c>
      <c r="BF187" s="13">
        <f>Poeng!AB192</f>
        <v>3</v>
      </c>
      <c r="BG187" s="13">
        <f>Poeng!AI192</f>
        <v>0</v>
      </c>
      <c r="BH187" s="1076">
        <f>Poeng!AE192</f>
        <v>0</v>
      </c>
      <c r="BI187" s="1" t="str">
        <f>Poeng!BE192</f>
        <v>N/A</v>
      </c>
      <c r="BK187" s="1">
        <f>Poeng!AJ192</f>
        <v>0</v>
      </c>
      <c r="BL187" s="1076">
        <f>Poeng!AF192</f>
        <v>0</v>
      </c>
      <c r="BM187" s="1076" t="str">
        <f>Poeng!BH192</f>
        <v>N/A</v>
      </c>
      <c r="BO187" s="1">
        <f>Poeng!AK192</f>
        <v>0</v>
      </c>
      <c r="BP187" s="1076">
        <f>Poeng!AG192</f>
        <v>0</v>
      </c>
      <c r="BQ187" s="1076" t="str">
        <f>Poeng!BK192</f>
        <v>N/A</v>
      </c>
    </row>
    <row r="188" spans="1:69">
      <c r="A188" s="792">
        <v>179</v>
      </c>
      <c r="B188" s="793" t="s">
        <v>496</v>
      </c>
      <c r="C188" s="97" t="str">
        <f t="shared" si="100"/>
        <v>LE 08</v>
      </c>
      <c r="D188" s="621" t="s">
        <v>530</v>
      </c>
      <c r="E188" s="964" t="s">
        <v>394</v>
      </c>
      <c r="F188" s="787" t="str">
        <f t="shared" ref="F188:G191" si="165">BE188</f>
        <v>Forkrav: risikokartlegging og tretrinnsstrategi</v>
      </c>
      <c r="G188" s="95" t="str">
        <f t="shared" si="165"/>
        <v>Yes/No</v>
      </c>
      <c r="H188" s="29"/>
      <c r="I188" s="96" t="str">
        <f t="shared" ref="I188:J191" si="166">BH188</f>
        <v>-</v>
      </c>
      <c r="J188" s="97" t="str">
        <f t="shared" si="166"/>
        <v>N/A</v>
      </c>
      <c r="K188" s="66"/>
      <c r="L188" s="228"/>
      <c r="M188" s="601"/>
      <c r="N188" s="616"/>
      <c r="O188" s="69"/>
      <c r="P188" s="96" t="str">
        <f t="shared" ref="P188:Q191" si="167">BL188</f>
        <v>-</v>
      </c>
      <c r="Q188" s="96" t="str">
        <f t="shared" si="167"/>
        <v>N/A</v>
      </c>
      <c r="R188" s="551"/>
      <c r="S188" s="552"/>
      <c r="T188" s="545"/>
      <c r="U188" s="261"/>
      <c r="V188" s="69"/>
      <c r="W188" s="96" t="str">
        <f t="shared" ref="W188:X191" si="168">BP188</f>
        <v>-</v>
      </c>
      <c r="X188" s="96" t="str">
        <f t="shared" si="168"/>
        <v>N/A</v>
      </c>
      <c r="Y188" s="67"/>
      <c r="Z188" s="66"/>
      <c r="AA188" s="545"/>
      <c r="AB188" s="105"/>
      <c r="AC188" s="527"/>
      <c r="AD188" s="17">
        <f t="shared" si="125"/>
        <v>0</v>
      </c>
      <c r="AE188" s="1">
        <f t="shared" si="145"/>
        <v>0</v>
      </c>
      <c r="AF188" s="1">
        <f t="shared" si="146"/>
        <v>0</v>
      </c>
      <c r="AG188" s="1">
        <f t="shared" si="147"/>
        <v>0</v>
      </c>
      <c r="AJ188" s="56"/>
      <c r="AK188" s="500"/>
      <c r="AL188" s="56"/>
      <c r="AM188" s="56"/>
      <c r="AN188" s="56"/>
      <c r="AO188" s="56"/>
      <c r="AP188" s="56"/>
      <c r="AQ188" s="56"/>
      <c r="AT188" s="17"/>
      <c r="AU188" s="17"/>
      <c r="AV188" s="17"/>
      <c r="AW188" s="17"/>
      <c r="AX188" s="17"/>
      <c r="AY188" s="17"/>
      <c r="BA188" s="527"/>
      <c r="BB188" s="17"/>
      <c r="BC188" s="17" t="b">
        <f t="shared" si="131"/>
        <v>1</v>
      </c>
      <c r="BD188" s="17" t="str">
        <f>Poeng!B248</f>
        <v>LE 08a</v>
      </c>
      <c r="BE188" s="13" t="str">
        <f>Poeng!E248</f>
        <v>Forkrav: risikokartlegging og tretrinnsstrategi</v>
      </c>
      <c r="BF188" s="13" t="str">
        <f>Poeng!AB248</f>
        <v>Yes/No</v>
      </c>
      <c r="BG188" s="13">
        <f>Poeng!AI248</f>
        <v>0</v>
      </c>
      <c r="BH188" s="1076" t="str">
        <f>Poeng!AE248</f>
        <v>-</v>
      </c>
      <c r="BI188" s="1" t="str">
        <f>Poeng!BE248</f>
        <v>N/A</v>
      </c>
      <c r="BK188" s="1">
        <f>Poeng!AJ248</f>
        <v>0</v>
      </c>
      <c r="BL188" s="1076" t="str">
        <f>Poeng!AF248</f>
        <v>-</v>
      </c>
      <c r="BM188" s="1076" t="str">
        <f>Poeng!BH248</f>
        <v>N/A</v>
      </c>
      <c r="BO188" s="1">
        <f>Poeng!AK248</f>
        <v>0</v>
      </c>
      <c r="BP188" s="1076" t="str">
        <f>Poeng!AG248</f>
        <v>-</v>
      </c>
      <c r="BQ188" s="1076" t="str">
        <f>Poeng!BK248</f>
        <v>N/A</v>
      </c>
    </row>
    <row r="189" spans="1:69">
      <c r="A189" s="792">
        <v>180</v>
      </c>
      <c r="B189" s="793" t="s">
        <v>496</v>
      </c>
      <c r="C189" s="97" t="str">
        <f>C188</f>
        <v>LE 08</v>
      </c>
      <c r="D189" s="621" t="s">
        <v>531</v>
      </c>
      <c r="E189" s="964" t="s">
        <v>532</v>
      </c>
      <c r="F189" s="787" t="str">
        <f t="shared" si="165"/>
        <v>Håndtering av 5 mm nedbør</v>
      </c>
      <c r="G189" s="95">
        <f t="shared" si="165"/>
        <v>1</v>
      </c>
      <c r="H189" s="29"/>
      <c r="I189" s="96">
        <f t="shared" si="166"/>
        <v>0</v>
      </c>
      <c r="J189" s="97" t="str">
        <f t="shared" si="166"/>
        <v>N/A</v>
      </c>
      <c r="K189" s="66"/>
      <c r="L189" s="228"/>
      <c r="M189" s="601"/>
      <c r="N189" s="616"/>
      <c r="O189" s="69"/>
      <c r="P189" s="96">
        <f t="shared" si="167"/>
        <v>0</v>
      </c>
      <c r="Q189" s="96" t="str">
        <f t="shared" si="167"/>
        <v>N/A</v>
      </c>
      <c r="R189" s="551"/>
      <c r="S189" s="552"/>
      <c r="T189" s="545"/>
      <c r="U189" s="261"/>
      <c r="V189" s="69"/>
      <c r="W189" s="96">
        <f t="shared" si="168"/>
        <v>0</v>
      </c>
      <c r="X189" s="96" t="str">
        <f t="shared" si="168"/>
        <v>N/A</v>
      </c>
      <c r="Y189" s="67"/>
      <c r="Z189" s="66"/>
      <c r="AA189" s="545"/>
      <c r="AB189" s="105"/>
      <c r="AC189" s="527"/>
      <c r="AD189" s="17">
        <f t="shared" si="125"/>
        <v>0</v>
      </c>
      <c r="AE189" s="1">
        <f t="shared" si="145"/>
        <v>0</v>
      </c>
      <c r="AF189" s="1">
        <f t="shared" si="146"/>
        <v>0</v>
      </c>
      <c r="AG189" s="1">
        <f t="shared" si="147"/>
        <v>0</v>
      </c>
      <c r="AJ189" s="56"/>
      <c r="AK189" s="500"/>
      <c r="AL189" s="56"/>
      <c r="AM189" s="56"/>
      <c r="AN189" s="56"/>
      <c r="AO189" s="56"/>
      <c r="AP189" s="56"/>
      <c r="AQ189" s="56"/>
      <c r="AT189" s="17"/>
      <c r="AU189" s="17"/>
      <c r="AV189" s="17"/>
      <c r="AW189" s="17"/>
      <c r="AX189" s="17"/>
      <c r="AY189" s="17"/>
      <c r="BA189" s="527"/>
      <c r="BB189" s="17"/>
      <c r="BC189" s="17" t="b">
        <f t="shared" si="131"/>
        <v>1</v>
      </c>
      <c r="BD189" s="17" t="str">
        <f>Poeng!B194</f>
        <v>LE 08b</v>
      </c>
      <c r="BE189" s="13" t="str">
        <f>Poeng!E194</f>
        <v>Håndtering av 5 mm nedbør</v>
      </c>
      <c r="BF189" s="13">
        <f>Poeng!AB194</f>
        <v>1</v>
      </c>
      <c r="BG189" s="13">
        <f>Poeng!AI194</f>
        <v>0</v>
      </c>
      <c r="BH189" s="1076">
        <f>Poeng!AE194</f>
        <v>0</v>
      </c>
      <c r="BI189" s="1" t="str">
        <f>Poeng!BE194</f>
        <v>N/A</v>
      </c>
      <c r="BK189" s="1">
        <f>Poeng!AJ194</f>
        <v>0</v>
      </c>
      <c r="BL189" s="1076">
        <f>Poeng!AF194</f>
        <v>0</v>
      </c>
      <c r="BM189" s="1076" t="str">
        <f>Poeng!BH194</f>
        <v>N/A</v>
      </c>
      <c r="BO189" s="1">
        <f>Poeng!AK194</f>
        <v>0</v>
      </c>
      <c r="BP189" s="1076">
        <f>Poeng!AG194</f>
        <v>0</v>
      </c>
      <c r="BQ189" s="1076" t="str">
        <f>Poeng!BK194</f>
        <v>N/A</v>
      </c>
    </row>
    <row r="190" spans="1:69">
      <c r="A190" s="792">
        <v>181</v>
      </c>
      <c r="B190" s="793" t="s">
        <v>496</v>
      </c>
      <c r="C190" s="97" t="str">
        <f>C188</f>
        <v>LE 08</v>
      </c>
      <c r="D190" s="621" t="s">
        <v>533</v>
      </c>
      <c r="E190" s="964" t="s">
        <v>342</v>
      </c>
      <c r="F190" s="787" t="str">
        <f t="shared" si="165"/>
        <v>Maksimal avrenningsmengde</v>
      </c>
      <c r="G190" s="95">
        <f t="shared" si="165"/>
        <v>1</v>
      </c>
      <c r="H190" s="29"/>
      <c r="I190" s="96">
        <f t="shared" si="166"/>
        <v>0</v>
      </c>
      <c r="J190" s="97" t="str">
        <f t="shared" si="166"/>
        <v>N/A</v>
      </c>
      <c r="K190" s="66"/>
      <c r="L190" s="228"/>
      <c r="M190" s="601"/>
      <c r="N190" s="616"/>
      <c r="O190" s="69"/>
      <c r="P190" s="96">
        <f t="shared" si="167"/>
        <v>0</v>
      </c>
      <c r="Q190" s="96" t="str">
        <f t="shared" si="167"/>
        <v>N/A</v>
      </c>
      <c r="R190" s="551"/>
      <c r="S190" s="552"/>
      <c r="T190" s="545"/>
      <c r="U190" s="261"/>
      <c r="V190" s="69"/>
      <c r="W190" s="96">
        <f t="shared" si="168"/>
        <v>0</v>
      </c>
      <c r="X190" s="96" t="str">
        <f t="shared" si="168"/>
        <v>N/A</v>
      </c>
      <c r="Y190" s="67"/>
      <c r="Z190" s="66"/>
      <c r="AA190" s="545"/>
      <c r="AB190" s="105"/>
      <c r="AC190" s="527"/>
      <c r="AD190" s="17">
        <f t="shared" si="125"/>
        <v>0</v>
      </c>
      <c r="AE190" s="1">
        <f t="shared" si="145"/>
        <v>0</v>
      </c>
      <c r="AF190" s="1">
        <f t="shared" si="146"/>
        <v>0</v>
      </c>
      <c r="AG190" s="1">
        <f t="shared" si="147"/>
        <v>0</v>
      </c>
      <c r="AJ190" s="56"/>
      <c r="AK190" s="500"/>
      <c r="AL190" s="56"/>
      <c r="AM190" s="56"/>
      <c r="AN190" s="56"/>
      <c r="AO190" s="56"/>
      <c r="AP190" s="56"/>
      <c r="AQ190" s="56"/>
      <c r="AT190" s="17"/>
      <c r="AU190" s="17"/>
      <c r="AV190" s="17"/>
      <c r="AW190" s="17"/>
      <c r="AX190" s="17"/>
      <c r="AY190" s="17"/>
      <c r="BA190" s="527"/>
      <c r="BB190" s="17"/>
      <c r="BC190" s="17" t="b">
        <f t="shared" si="131"/>
        <v>1</v>
      </c>
      <c r="BD190" s="17" t="str">
        <f>Poeng!B195</f>
        <v>LE 08c</v>
      </c>
      <c r="BE190" s="13" t="str">
        <f>Poeng!E195</f>
        <v>Maksimal avrenningsmengde</v>
      </c>
      <c r="BF190" s="13">
        <f>Poeng!AB195</f>
        <v>1</v>
      </c>
      <c r="BG190" s="13">
        <f>Poeng!AI195</f>
        <v>0</v>
      </c>
      <c r="BH190" s="1076">
        <f>Poeng!AE195</f>
        <v>0</v>
      </c>
      <c r="BI190" s="1" t="str">
        <f>Poeng!BE195</f>
        <v>N/A</v>
      </c>
      <c r="BK190" s="1">
        <f>Poeng!AJ195</f>
        <v>0</v>
      </c>
      <c r="BL190" s="1076">
        <f>Poeng!AF195</f>
        <v>0</v>
      </c>
      <c r="BM190" s="1076" t="str">
        <f>Poeng!BH195</f>
        <v>N/A</v>
      </c>
      <c r="BO190" s="1">
        <f>Poeng!AK195</f>
        <v>0</v>
      </c>
      <c r="BP190" s="1076">
        <f>Poeng!AG195</f>
        <v>0</v>
      </c>
      <c r="BQ190" s="1076" t="str">
        <f>Poeng!BK195</f>
        <v>N/A</v>
      </c>
    </row>
    <row r="191" spans="1:69">
      <c r="A191" s="792">
        <v>182</v>
      </c>
      <c r="B191" s="793" t="s">
        <v>496</v>
      </c>
      <c r="C191" s="97" t="str">
        <f>C189</f>
        <v>LE 08</v>
      </c>
      <c r="D191" s="621" t="s">
        <v>534</v>
      </c>
      <c r="E191" s="964" t="s">
        <v>284</v>
      </c>
      <c r="F191" s="787" t="str">
        <f t="shared" si="165"/>
        <v>Tiltak for overflatebasert overvannshåndtering</v>
      </c>
      <c r="G191" s="95">
        <f t="shared" si="165"/>
        <v>1</v>
      </c>
      <c r="H191" s="29"/>
      <c r="I191" s="96">
        <f t="shared" si="166"/>
        <v>0</v>
      </c>
      <c r="J191" s="97" t="str">
        <f t="shared" si="166"/>
        <v>N/A</v>
      </c>
      <c r="K191" s="66"/>
      <c r="L191" s="228"/>
      <c r="M191" s="601"/>
      <c r="N191" s="616"/>
      <c r="O191" s="69"/>
      <c r="P191" s="96">
        <f t="shared" si="167"/>
        <v>0</v>
      </c>
      <c r="Q191" s="96" t="str">
        <f t="shared" si="167"/>
        <v>N/A</v>
      </c>
      <c r="R191" s="551"/>
      <c r="S191" s="552"/>
      <c r="T191" s="545"/>
      <c r="U191" s="261"/>
      <c r="V191" s="69"/>
      <c r="W191" s="96">
        <f t="shared" si="168"/>
        <v>0</v>
      </c>
      <c r="X191" s="96" t="str">
        <f t="shared" si="168"/>
        <v>N/A</v>
      </c>
      <c r="Y191" s="67"/>
      <c r="Z191" s="66"/>
      <c r="AA191" s="545"/>
      <c r="AB191" s="105"/>
      <c r="AC191" s="527"/>
      <c r="AD191" s="17">
        <f t="shared" si="125"/>
        <v>0</v>
      </c>
      <c r="AE191" s="1">
        <f t="shared" si="145"/>
        <v>0</v>
      </c>
      <c r="AF191" s="1">
        <f t="shared" si="146"/>
        <v>0</v>
      </c>
      <c r="AG191" s="1">
        <f t="shared" si="147"/>
        <v>0</v>
      </c>
      <c r="AJ191" s="56"/>
      <c r="AK191" s="500"/>
      <c r="AL191" s="56"/>
      <c r="AM191" s="56"/>
      <c r="AN191" s="56"/>
      <c r="AO191" s="56"/>
      <c r="AP191" s="56"/>
      <c r="AQ191" s="56"/>
      <c r="AT191" s="17"/>
      <c r="AU191" s="17"/>
      <c r="AV191" s="17"/>
      <c r="AW191" s="17"/>
      <c r="AX191" s="17"/>
      <c r="AY191" s="17"/>
      <c r="BA191" s="527"/>
      <c r="BB191" s="17"/>
      <c r="BC191" s="17" t="b">
        <f t="shared" si="131"/>
        <v>1</v>
      </c>
      <c r="BD191" s="17" t="str">
        <f>Poeng!B196</f>
        <v>LE 08d</v>
      </c>
      <c r="BE191" s="13" t="str">
        <f>Poeng!E196</f>
        <v>Tiltak for overflatebasert overvannshåndtering</v>
      </c>
      <c r="BF191" s="13">
        <f>Poeng!AB196</f>
        <v>1</v>
      </c>
      <c r="BG191" s="13">
        <f>Poeng!AI196</f>
        <v>0</v>
      </c>
      <c r="BH191" s="1076">
        <f>Poeng!AE196</f>
        <v>0</v>
      </c>
      <c r="BI191" s="1" t="str">
        <f>Poeng!BE196</f>
        <v>N/A</v>
      </c>
      <c r="BK191" s="1">
        <f>Poeng!AJ196</f>
        <v>0</v>
      </c>
      <c r="BL191" s="1076">
        <f>Poeng!AF196</f>
        <v>0</v>
      </c>
      <c r="BM191" s="1076" t="str">
        <f>Poeng!BH196</f>
        <v>N/A</v>
      </c>
      <c r="BO191" s="1">
        <f>Poeng!AK196</f>
        <v>0</v>
      </c>
      <c r="BP191" s="1076">
        <f>Poeng!AG196</f>
        <v>0</v>
      </c>
      <c r="BQ191" s="1076" t="str">
        <f>Poeng!BK196</f>
        <v>N/A</v>
      </c>
    </row>
    <row r="192" spans="1:69" ht="15.75" thickBot="1">
      <c r="A192" s="792">
        <v>183</v>
      </c>
      <c r="B192" s="793" t="s">
        <v>496</v>
      </c>
      <c r="C192" s="802"/>
      <c r="D192" s="621" t="s">
        <v>535</v>
      </c>
      <c r="E192" s="970"/>
      <c r="F192" s="282" t="s">
        <v>536</v>
      </c>
      <c r="G192" s="98">
        <f>LE_Credits</f>
        <v>19</v>
      </c>
      <c r="H192" s="103"/>
      <c r="I192" s="99">
        <f>LE_cont_tot</f>
        <v>0</v>
      </c>
      <c r="J192" s="661" t="str">
        <f>"Poeng oppnådd: "&amp;Lue_tot_user</f>
        <v>Poeng oppnådd: 0</v>
      </c>
      <c r="K192" s="106"/>
      <c r="L192" s="229"/>
      <c r="M192" s="553"/>
      <c r="N192" s="616"/>
      <c r="O192" s="317"/>
      <c r="P192" s="99">
        <f>BL192</f>
        <v>0</v>
      </c>
      <c r="Q192" s="661" t="str">
        <f>"Poeng oppnådd: "&amp;Lue_d_user</f>
        <v>Poeng oppnådd: 0</v>
      </c>
      <c r="R192" s="554"/>
      <c r="S192" s="555"/>
      <c r="T192" s="553"/>
      <c r="U192" s="261"/>
      <c r="V192" s="317"/>
      <c r="W192" s="99">
        <f>BP192</f>
        <v>0</v>
      </c>
      <c r="X192" s="661" t="str">
        <f>"Poeng oppnådd: "&amp;Lue_c_user</f>
        <v>Poeng oppnådd: 0</v>
      </c>
      <c r="Y192" s="316"/>
      <c r="Z192" s="108"/>
      <c r="AA192" s="553"/>
      <c r="AB192" s="105"/>
      <c r="AC192" s="474"/>
      <c r="AD192" s="17"/>
      <c r="AE192" s="225">
        <v>0</v>
      </c>
      <c r="AF192" s="225">
        <v>0</v>
      </c>
      <c r="AG192" s="225">
        <v>0</v>
      </c>
      <c r="AJ192" s="56"/>
      <c r="AK192" s="500" t="s">
        <v>537</v>
      </c>
      <c r="AL192" s="56"/>
      <c r="AM192" s="56"/>
      <c r="AN192" s="56"/>
      <c r="AO192" s="56"/>
      <c r="AP192" s="56"/>
      <c r="AQ192" s="56"/>
      <c r="AT192" s="17" t="str">
        <f t="shared" ref="AT192:AV195" si="169">IF($AK$4=ais_nei,AIS_NA,IF(AL192="",AIS_NA,AL192))</f>
        <v>N/A</v>
      </c>
      <c r="AU192" s="17" t="str">
        <f t="shared" si="169"/>
        <v>N/A</v>
      </c>
      <c r="AV192" s="17" t="str">
        <f t="shared" si="169"/>
        <v>N/A</v>
      </c>
      <c r="AW192" s="17"/>
      <c r="AX192" s="17"/>
      <c r="AY192" s="17"/>
      <c r="BA192" s="474"/>
      <c r="BB192" s="17"/>
      <c r="BC192" s="17" t="b">
        <f t="shared" si="131"/>
        <v>1</v>
      </c>
      <c r="BD192" s="17" t="str">
        <f>Poeng!B197</f>
        <v>LE sum</v>
      </c>
      <c r="BE192" s="13" t="str">
        <f>Poeng!E197</f>
        <v>Sum</v>
      </c>
      <c r="BF192" s="13">
        <f>Poeng!AB197</f>
        <v>19</v>
      </c>
      <c r="BG192" s="13">
        <f>Poeng!AI197</f>
        <v>0</v>
      </c>
      <c r="BH192" s="1076">
        <f>Poeng!AE197</f>
        <v>0</v>
      </c>
      <c r="BI192" s="1">
        <f>Poeng!BE197</f>
        <v>0</v>
      </c>
      <c r="BK192" s="1">
        <f>Poeng!AJ197</f>
        <v>0</v>
      </c>
      <c r="BL192" s="1076">
        <f>Poeng!AF197</f>
        <v>0</v>
      </c>
      <c r="BM192" s="1076">
        <f>Poeng!BH197</f>
        <v>0</v>
      </c>
      <c r="BO192" s="1">
        <f>Poeng!AK197</f>
        <v>0</v>
      </c>
      <c r="BP192" s="1076">
        <f>Poeng!AG197</f>
        <v>0</v>
      </c>
      <c r="BQ192" s="1076">
        <f>Poeng!BK197</f>
        <v>0</v>
      </c>
    </row>
    <row r="193" spans="1:69">
      <c r="A193" s="792">
        <v>184</v>
      </c>
      <c r="B193" s="793" t="s">
        <v>496</v>
      </c>
      <c r="C193" s="264"/>
      <c r="D193" s="621"/>
      <c r="E193" s="966"/>
      <c r="F193" s="263"/>
      <c r="G193" s="264"/>
      <c r="H193" s="265"/>
      <c r="I193" s="264"/>
      <c r="J193" s="264"/>
      <c r="K193" s="266"/>
      <c r="L193" s="265"/>
      <c r="M193" s="556"/>
      <c r="N193" s="616"/>
      <c r="O193" s="267"/>
      <c r="P193" s="267"/>
      <c r="Q193" s="556"/>
      <c r="R193" s="556"/>
      <c r="S193" s="557"/>
      <c r="T193" s="556"/>
      <c r="U193" s="261"/>
      <c r="V193" s="267"/>
      <c r="W193" s="267"/>
      <c r="X193" s="556"/>
      <c r="Y193" s="266"/>
      <c r="Z193" s="267"/>
      <c r="AA193" s="556"/>
      <c r="AB193" s="105"/>
      <c r="AC193" s="266"/>
      <c r="AD193" s="17"/>
      <c r="AE193" s="226">
        <v>0</v>
      </c>
      <c r="AF193" s="226">
        <v>0</v>
      </c>
      <c r="AG193" s="226">
        <v>0</v>
      </c>
      <c r="AJ193" s="56"/>
      <c r="AK193" s="500"/>
      <c r="AL193" s="56"/>
      <c r="AM193" s="56"/>
      <c r="AN193" s="56"/>
      <c r="AO193" s="56"/>
      <c r="AP193" s="56"/>
      <c r="AQ193" s="56"/>
      <c r="AT193" s="17" t="str">
        <f t="shared" si="169"/>
        <v>N/A</v>
      </c>
      <c r="AU193" s="17" t="str">
        <f t="shared" si="169"/>
        <v>N/A</v>
      </c>
      <c r="AV193" s="17" t="str">
        <f t="shared" si="169"/>
        <v>N/A</v>
      </c>
      <c r="AW193" s="17"/>
      <c r="AX193" s="17"/>
      <c r="AY193" s="17"/>
      <c r="BA193" s="266"/>
      <c r="BB193" s="17"/>
      <c r="BC193" s="17"/>
      <c r="BD193" s="17"/>
      <c r="BE193" s="13"/>
      <c r="BF193" s="13"/>
      <c r="BG193" s="13"/>
      <c r="BH193" s="1076"/>
      <c r="BL193" s="1076"/>
      <c r="BM193" s="1076"/>
      <c r="BP193" s="1076"/>
      <c r="BQ193" s="1076"/>
    </row>
    <row r="194" spans="1:69" ht="18.75">
      <c r="A194" s="792">
        <v>185</v>
      </c>
      <c r="B194" s="793" t="s">
        <v>538</v>
      </c>
      <c r="C194" s="797"/>
      <c r="D194" s="621"/>
      <c r="E194" s="961"/>
      <c r="F194" s="268" t="s">
        <v>539</v>
      </c>
      <c r="G194" s="257"/>
      <c r="H194" s="258"/>
      <c r="I194" s="277"/>
      <c r="J194" s="257"/>
      <c r="K194" s="269"/>
      <c r="L194" s="270"/>
      <c r="M194" s="559"/>
      <c r="N194" s="616"/>
      <c r="O194" s="280"/>
      <c r="P194" s="273"/>
      <c r="Q194" s="549"/>
      <c r="R194" s="560"/>
      <c r="S194" s="561"/>
      <c r="T194" s="562"/>
      <c r="U194" s="261"/>
      <c r="V194" s="280"/>
      <c r="W194" s="279"/>
      <c r="X194" s="549"/>
      <c r="Y194" s="269"/>
      <c r="Z194" s="279"/>
      <c r="AA194" s="559"/>
      <c r="AB194" s="105"/>
      <c r="AC194" s="278"/>
      <c r="AD194" s="17"/>
      <c r="AE194" s="224">
        <v>0</v>
      </c>
      <c r="AF194" s="224">
        <v>0</v>
      </c>
      <c r="AG194" s="224">
        <v>0</v>
      </c>
      <c r="AJ194" s="56"/>
      <c r="AK194" s="500" t="s">
        <v>540</v>
      </c>
      <c r="AL194" s="56"/>
      <c r="AM194" s="56"/>
      <c r="AN194" s="56"/>
      <c r="AO194" s="56"/>
      <c r="AP194" s="56"/>
      <c r="AQ194" s="56"/>
      <c r="AT194" s="17" t="str">
        <f t="shared" si="169"/>
        <v>N/A</v>
      </c>
      <c r="AU194" s="17" t="str">
        <f t="shared" si="169"/>
        <v>N/A</v>
      </c>
      <c r="AV194" s="17" t="str">
        <f t="shared" si="169"/>
        <v>N/A</v>
      </c>
      <c r="AW194" s="17"/>
      <c r="AX194" s="17"/>
      <c r="AY194" s="17"/>
      <c r="BA194" s="278"/>
      <c r="BB194" s="17"/>
      <c r="BC194" s="17"/>
      <c r="BD194" s="17"/>
      <c r="BE194" s="13"/>
      <c r="BF194" s="13"/>
      <c r="BG194" s="13"/>
      <c r="BH194" s="1076"/>
      <c r="BL194" s="1076"/>
      <c r="BM194" s="1076"/>
      <c r="BP194" s="1076"/>
      <c r="BQ194" s="1076"/>
    </row>
    <row r="195" spans="1:69">
      <c r="A195" s="792">
        <v>186</v>
      </c>
      <c r="B195" s="793" t="s">
        <v>538</v>
      </c>
      <c r="C195" s="704" t="s">
        <v>541</v>
      </c>
      <c r="D195" s="621" t="s">
        <v>541</v>
      </c>
      <c r="E195" s="962"/>
      <c r="F195" s="654" t="str">
        <f>BE195</f>
        <v>POL 01 Påvirkning fra kuldemedier</v>
      </c>
      <c r="G195" s="659">
        <f>BF195</f>
        <v>3</v>
      </c>
      <c r="H195" s="745"/>
      <c r="I195" s="660" t="str">
        <f>BG195&amp;" c. "&amp;ROUND(BH195*100,1)&amp;" %"</f>
        <v>0 c. 0 %</v>
      </c>
      <c r="J195" s="703" t="str">
        <f>BI195</f>
        <v>N/A</v>
      </c>
      <c r="K195" s="667"/>
      <c r="L195" s="668"/>
      <c r="M195" s="669"/>
      <c r="N195" s="616"/>
      <c r="O195" s="746"/>
      <c r="P195" s="670" t="str">
        <f>BK195&amp;" c. "&amp;ROUND(BL195*100,1)&amp;" %"</f>
        <v>0 c. 0 %</v>
      </c>
      <c r="Q195" s="670" t="str">
        <f>BM195</f>
        <v>N/A</v>
      </c>
      <c r="R195" s="551"/>
      <c r="S195" s="552"/>
      <c r="T195" s="545"/>
      <c r="U195" s="261"/>
      <c r="V195" s="746"/>
      <c r="W195" s="670" t="str">
        <f>BO195&amp;" c. "&amp;ROUND(BP195*100,1)&amp;" %"</f>
        <v>0 c. 0 %</v>
      </c>
      <c r="X195" s="670" t="str">
        <f>BQ195</f>
        <v>N/A</v>
      </c>
      <c r="Y195" s="67"/>
      <c r="Z195" s="66"/>
      <c r="AA195" s="545"/>
      <c r="AB195" s="105"/>
      <c r="AC195" s="473" t="s">
        <v>123</v>
      </c>
      <c r="AD195" s="17">
        <f t="shared" si="125"/>
        <v>0</v>
      </c>
      <c r="AE195" s="1">
        <f t="shared" ref="AE195:AE208" si="170">IF(L195=$AE$4,$AF$4,IF(L195=$AE$5,$AF$5,IF(L195=$AE$6,$AF$6,0)))</f>
        <v>0</v>
      </c>
      <c r="AF195" s="1">
        <f t="shared" ref="AF195:AF208" si="171">IF(S195=$AE$4,$AF$4,IF(S195=$AE$5,$AF$5,IF(S195=$AE$6,$AF$6,0)))</f>
        <v>0</v>
      </c>
      <c r="AG195" s="1">
        <f t="shared" ref="AG195:AG208" si="172">IF(Z195=$AE$4,$AF$4,IF(Z195=$AE$5,$AF$5,IF(Z195=$AE$6,$AF$6,0)))</f>
        <v>0</v>
      </c>
      <c r="AJ195" s="56" t="str">
        <f>ais_ja</f>
        <v>Ja</v>
      </c>
      <c r="AK195" s="500" t="s">
        <v>542</v>
      </c>
      <c r="AL195" s="479" t="s">
        <v>277</v>
      </c>
      <c r="AM195" s="479" t="s">
        <v>327</v>
      </c>
      <c r="AN195" s="479" t="s">
        <v>279</v>
      </c>
      <c r="AO195" s="483" t="s">
        <v>543</v>
      </c>
      <c r="AP195" s="56"/>
      <c r="AQ195" s="56"/>
      <c r="AS195" s="1" t="s">
        <v>123</v>
      </c>
      <c r="AT195" s="17" t="str">
        <f t="shared" si="169"/>
        <v>N/A</v>
      </c>
      <c r="AU195" s="17" t="str">
        <f t="shared" si="169"/>
        <v>N/A</v>
      </c>
      <c r="AV195" s="17" t="str">
        <f t="shared" si="169"/>
        <v>N/A</v>
      </c>
      <c r="AW195" s="17" t="str">
        <f>IF($AK$4=ais_nei,AIS_NA,IF(AO195="",AIS_NA,AO195))</f>
        <v>N/A</v>
      </c>
      <c r="AX195" s="17"/>
      <c r="AY195" s="17"/>
      <c r="BA195" s="473"/>
      <c r="BB195" s="17"/>
      <c r="BC195" s="17" t="b">
        <f t="shared" si="131"/>
        <v>1</v>
      </c>
      <c r="BD195" s="17" t="str">
        <f>Poeng!B200</f>
        <v>POL 01</v>
      </c>
      <c r="BE195" s="13" t="str">
        <f>Poeng!E200</f>
        <v>POL 01 Påvirkning fra kuldemedier</v>
      </c>
      <c r="BF195" s="13">
        <f>Poeng!AB200</f>
        <v>3</v>
      </c>
      <c r="BG195" s="13">
        <f>Poeng!AI200</f>
        <v>0</v>
      </c>
      <c r="BH195" s="1076">
        <f>Poeng!AE200</f>
        <v>0</v>
      </c>
      <c r="BI195" s="1" t="str">
        <f>Poeng!BE200</f>
        <v>N/A</v>
      </c>
      <c r="BK195" s="1">
        <f>Poeng!AJ200</f>
        <v>0</v>
      </c>
      <c r="BL195" s="1076">
        <f>Poeng!AF200</f>
        <v>0</v>
      </c>
      <c r="BM195" s="1076" t="str">
        <f>Poeng!BH200</f>
        <v>N/A</v>
      </c>
      <c r="BO195" s="1">
        <f>Poeng!AK200</f>
        <v>0</v>
      </c>
      <c r="BP195" s="1076">
        <f>Poeng!AG200</f>
        <v>0</v>
      </c>
      <c r="BQ195" s="1076" t="str">
        <f>Poeng!BK200</f>
        <v>N/A</v>
      </c>
    </row>
    <row r="196" spans="1:69">
      <c r="A196" s="792">
        <v>187</v>
      </c>
      <c r="B196" s="793" t="s">
        <v>538</v>
      </c>
      <c r="C196" s="97" t="str">
        <f t="shared" si="100"/>
        <v>POL 01</v>
      </c>
      <c r="D196" s="621" t="s">
        <v>544</v>
      </c>
      <c r="E196" s="963">
        <v>1</v>
      </c>
      <c r="F196" s="787" t="str">
        <f t="shared" ref="F196:G208" si="173">BE196</f>
        <v>Ingen kuldemedier i bygget</v>
      </c>
      <c r="G196" s="95">
        <f t="shared" si="173"/>
        <v>0</v>
      </c>
      <c r="H196" s="29"/>
      <c r="I196" s="96">
        <f t="shared" ref="I196:J199" si="174">BH196</f>
        <v>0</v>
      </c>
      <c r="J196" s="97" t="str">
        <f t="shared" si="174"/>
        <v>N/A</v>
      </c>
      <c r="K196" s="66"/>
      <c r="L196" s="228"/>
      <c r="M196" s="601"/>
      <c r="N196" s="616"/>
      <c r="O196" s="69"/>
      <c r="P196" s="96">
        <f t="shared" ref="P196:Q199" si="175">BL196</f>
        <v>0</v>
      </c>
      <c r="Q196" s="96" t="str">
        <f t="shared" si="175"/>
        <v>N/A</v>
      </c>
      <c r="R196" s="551"/>
      <c r="S196" s="552"/>
      <c r="T196" s="545"/>
      <c r="U196" s="261"/>
      <c r="V196" s="69"/>
      <c r="W196" s="96">
        <f t="shared" ref="W196:X199" si="176">BP196</f>
        <v>0</v>
      </c>
      <c r="X196" s="96" t="str">
        <f t="shared" si="176"/>
        <v>N/A</v>
      </c>
      <c r="Y196" s="67"/>
      <c r="Z196" s="66"/>
      <c r="AA196" s="545"/>
      <c r="AB196" s="105"/>
      <c r="AC196" s="473"/>
      <c r="AD196" s="17">
        <f t="shared" si="125"/>
        <v>1</v>
      </c>
      <c r="AE196" s="1">
        <f t="shared" si="170"/>
        <v>0</v>
      </c>
      <c r="AF196" s="1">
        <f t="shared" si="171"/>
        <v>0</v>
      </c>
      <c r="AG196" s="1">
        <f t="shared" si="172"/>
        <v>0</v>
      </c>
      <c r="AJ196" s="56"/>
      <c r="AK196" s="500"/>
      <c r="AL196" s="479"/>
      <c r="AM196" s="479"/>
      <c r="AN196" s="479"/>
      <c r="AO196" s="483"/>
      <c r="AP196" s="56"/>
      <c r="AQ196" s="56"/>
      <c r="AT196" s="17"/>
      <c r="AU196" s="17"/>
      <c r="AV196" s="17"/>
      <c r="AW196" s="17"/>
      <c r="AX196" s="17"/>
      <c r="AY196" s="17"/>
      <c r="BA196" s="473"/>
      <c r="BB196" s="17"/>
      <c r="BC196" s="17" t="b">
        <f t="shared" si="131"/>
        <v>1</v>
      </c>
      <c r="BD196" s="17" t="str">
        <f>Poeng!B201</f>
        <v>POL 01a</v>
      </c>
      <c r="BE196" s="13" t="str">
        <f>Poeng!E201</f>
        <v>Ingen kuldemedier i bygget</v>
      </c>
      <c r="BF196" s="13">
        <f>Poeng!AB201</f>
        <v>0</v>
      </c>
      <c r="BG196" s="13">
        <f>Poeng!AI201</f>
        <v>0</v>
      </c>
      <c r="BH196" s="1076">
        <f>Poeng!AE201</f>
        <v>0</v>
      </c>
      <c r="BI196" s="1" t="str">
        <f>Poeng!BE201</f>
        <v>N/A</v>
      </c>
      <c r="BK196" s="1">
        <f>Poeng!AJ201</f>
        <v>0</v>
      </c>
      <c r="BL196" s="1076">
        <f>Poeng!AF201</f>
        <v>0</v>
      </c>
      <c r="BM196" s="1076" t="str">
        <f>Poeng!BH201</f>
        <v>N/A</v>
      </c>
      <c r="BO196" s="1">
        <f>Poeng!AK201</f>
        <v>0</v>
      </c>
      <c r="BP196" s="1076">
        <f>Poeng!AG201</f>
        <v>0</v>
      </c>
      <c r="BQ196" s="1076" t="str">
        <f>Poeng!BK201</f>
        <v>N/A</v>
      </c>
    </row>
    <row r="197" spans="1:69">
      <c r="A197" s="792">
        <v>188</v>
      </c>
      <c r="B197" s="793" t="s">
        <v>538</v>
      </c>
      <c r="C197" s="97" t="str">
        <f t="shared" si="100"/>
        <v>POL 01</v>
      </c>
      <c r="D197" s="621" t="s">
        <v>545</v>
      </c>
      <c r="E197" s="963">
        <v>2</v>
      </c>
      <c r="F197" s="787" t="str">
        <f t="shared" si="173"/>
        <v>Forkrav - Belastning fra kuldemedier</v>
      </c>
      <c r="G197" s="95" t="str">
        <f t="shared" si="173"/>
        <v>Yes/No</v>
      </c>
      <c r="H197" s="29"/>
      <c r="I197" s="96" t="str">
        <f t="shared" si="174"/>
        <v>-</v>
      </c>
      <c r="J197" s="97" t="str">
        <f t="shared" si="174"/>
        <v>N/A</v>
      </c>
      <c r="K197" s="66"/>
      <c r="L197" s="228"/>
      <c r="M197" s="601"/>
      <c r="N197" s="616"/>
      <c r="O197" s="69"/>
      <c r="P197" s="96" t="str">
        <f t="shared" si="175"/>
        <v>-</v>
      </c>
      <c r="Q197" s="96" t="str">
        <f t="shared" si="175"/>
        <v>N/A</v>
      </c>
      <c r="R197" s="551"/>
      <c r="S197" s="552"/>
      <c r="T197" s="545"/>
      <c r="U197" s="261"/>
      <c r="V197" s="69"/>
      <c r="W197" s="96" t="str">
        <f t="shared" si="176"/>
        <v>-</v>
      </c>
      <c r="X197" s="96" t="str">
        <f t="shared" si="176"/>
        <v>N/A</v>
      </c>
      <c r="Y197" s="67"/>
      <c r="Z197" s="66"/>
      <c r="AA197" s="545"/>
      <c r="AB197" s="105"/>
      <c r="AC197" s="473"/>
      <c r="AD197" s="17">
        <f t="shared" si="125"/>
        <v>0</v>
      </c>
      <c r="AE197" s="1">
        <f t="shared" si="170"/>
        <v>0</v>
      </c>
      <c r="AF197" s="1">
        <f t="shared" si="171"/>
        <v>0</v>
      </c>
      <c r="AG197" s="1">
        <f t="shared" si="172"/>
        <v>0</v>
      </c>
      <c r="AJ197" s="56"/>
      <c r="AK197" s="500"/>
      <c r="AL197" s="479"/>
      <c r="AM197" s="479"/>
      <c r="AN197" s="479"/>
      <c r="AO197" s="483"/>
      <c r="AP197" s="56"/>
      <c r="AQ197" s="56"/>
      <c r="AT197" s="17"/>
      <c r="AU197" s="17"/>
      <c r="AV197" s="17"/>
      <c r="AW197" s="17"/>
      <c r="AX197" s="17"/>
      <c r="AY197" s="17"/>
      <c r="BA197" s="473"/>
      <c r="BB197" s="17"/>
      <c r="BC197" s="17" t="b">
        <f t="shared" si="131"/>
        <v>1</v>
      </c>
      <c r="BD197" s="17" t="str">
        <f>Poeng!B249</f>
        <v>Pol 01b</v>
      </c>
      <c r="BE197" s="13" t="str">
        <f>Poeng!E249</f>
        <v>Forkrav - Belastning fra kuldemedier</v>
      </c>
      <c r="BF197" s="13" t="str">
        <f>Poeng!AB249</f>
        <v>Yes/No</v>
      </c>
      <c r="BG197" s="13">
        <f>Poeng!AI249</f>
        <v>0</v>
      </c>
      <c r="BH197" s="1076" t="str">
        <f>Poeng!AE249</f>
        <v>-</v>
      </c>
      <c r="BI197" s="1" t="str">
        <f>Poeng!BE249</f>
        <v>N/A</v>
      </c>
      <c r="BK197" s="1">
        <f>Poeng!AJ249</f>
        <v>0</v>
      </c>
      <c r="BL197" s="1076" t="str">
        <f>Poeng!AF249</f>
        <v>-</v>
      </c>
      <c r="BM197" s="1076" t="str">
        <f>Poeng!BH249</f>
        <v>N/A</v>
      </c>
      <c r="BO197" s="1">
        <f>Poeng!AK249</f>
        <v>0</v>
      </c>
      <c r="BP197" s="1076" t="str">
        <f>Poeng!AG249</f>
        <v>-</v>
      </c>
      <c r="BQ197" s="1076" t="str">
        <f>Poeng!BK249</f>
        <v>N/A</v>
      </c>
    </row>
    <row r="198" spans="1:69">
      <c r="A198" s="792">
        <v>189</v>
      </c>
      <c r="B198" s="793" t="s">
        <v>538</v>
      </c>
      <c r="C198" s="97" t="str">
        <f t="shared" si="100"/>
        <v>POL 01</v>
      </c>
      <c r="D198" s="621" t="s">
        <v>546</v>
      </c>
      <c r="E198" s="963" t="s">
        <v>547</v>
      </c>
      <c r="F198" s="787" t="str">
        <f t="shared" si="173"/>
        <v>Belastning fra kuldemedier</v>
      </c>
      <c r="G198" s="95">
        <f t="shared" si="173"/>
        <v>2</v>
      </c>
      <c r="H198" s="29"/>
      <c r="I198" s="96">
        <f t="shared" si="174"/>
        <v>0</v>
      </c>
      <c r="J198" s="97" t="str">
        <f t="shared" si="174"/>
        <v>N/A</v>
      </c>
      <c r="K198" s="66"/>
      <c r="L198" s="228"/>
      <c r="M198" s="601"/>
      <c r="N198" s="616"/>
      <c r="O198" s="69"/>
      <c r="P198" s="96">
        <f t="shared" si="175"/>
        <v>0</v>
      </c>
      <c r="Q198" s="96" t="str">
        <f t="shared" si="175"/>
        <v>N/A</v>
      </c>
      <c r="R198" s="551"/>
      <c r="S198" s="552"/>
      <c r="T198" s="545"/>
      <c r="U198" s="261"/>
      <c r="V198" s="69"/>
      <c r="W198" s="96">
        <f t="shared" si="176"/>
        <v>0</v>
      </c>
      <c r="X198" s="96" t="str">
        <f t="shared" si="176"/>
        <v>N/A</v>
      </c>
      <c r="Y198" s="67"/>
      <c r="Z198" s="66"/>
      <c r="AA198" s="545"/>
      <c r="AB198" s="105"/>
      <c r="AC198" s="473"/>
      <c r="AD198" s="17">
        <f t="shared" si="125"/>
        <v>0</v>
      </c>
      <c r="AE198" s="1">
        <f t="shared" si="170"/>
        <v>0</v>
      </c>
      <c r="AF198" s="1">
        <f t="shared" si="171"/>
        <v>0</v>
      </c>
      <c r="AG198" s="1">
        <f t="shared" si="172"/>
        <v>0</v>
      </c>
      <c r="AJ198" s="56"/>
      <c r="AK198" s="500"/>
      <c r="AL198" s="479"/>
      <c r="AM198" s="479"/>
      <c r="AN198" s="479"/>
      <c r="AO198" s="483"/>
      <c r="AP198" s="56"/>
      <c r="AQ198" s="56"/>
      <c r="AT198" s="17"/>
      <c r="AU198" s="17"/>
      <c r="AV198" s="17"/>
      <c r="AW198" s="17"/>
      <c r="AX198" s="17"/>
      <c r="AY198" s="17"/>
      <c r="BA198" s="473"/>
      <c r="BB198" s="17"/>
      <c r="BC198" s="17" t="b">
        <f t="shared" si="131"/>
        <v>1</v>
      </c>
      <c r="BD198" s="17" t="str">
        <f>Poeng!B202</f>
        <v>POL 01c</v>
      </c>
      <c r="BE198" s="13" t="str">
        <f>Poeng!E202</f>
        <v>Belastning fra kuldemedier</v>
      </c>
      <c r="BF198" s="13">
        <f>Poeng!AB202</f>
        <v>2</v>
      </c>
      <c r="BG198" s="13">
        <f>Poeng!AI202</f>
        <v>0</v>
      </c>
      <c r="BH198" s="1076">
        <f>Poeng!AE202</f>
        <v>0</v>
      </c>
      <c r="BI198" s="1" t="str">
        <f>Poeng!BE202</f>
        <v>N/A</v>
      </c>
      <c r="BK198" s="1">
        <f>Poeng!AJ202</f>
        <v>0</v>
      </c>
      <c r="BL198" s="1076">
        <f>Poeng!AF202</f>
        <v>0</v>
      </c>
      <c r="BM198" s="1076" t="str">
        <f>Poeng!BH202</f>
        <v>N/A</v>
      </c>
      <c r="BO198" s="1">
        <f>Poeng!AK202</f>
        <v>0</v>
      </c>
      <c r="BP198" s="1076">
        <f>Poeng!AG202</f>
        <v>0</v>
      </c>
      <c r="BQ198" s="1076" t="str">
        <f>Poeng!BK202</f>
        <v>N/A</v>
      </c>
    </row>
    <row r="199" spans="1:69">
      <c r="A199" s="792">
        <v>190</v>
      </c>
      <c r="B199" s="793" t="s">
        <v>538</v>
      </c>
      <c r="C199" s="97" t="str">
        <f>C197</f>
        <v>POL 01</v>
      </c>
      <c r="D199" s="621" t="s">
        <v>548</v>
      </c>
      <c r="E199" s="964" t="s">
        <v>342</v>
      </c>
      <c r="F199" s="787" t="str">
        <f t="shared" si="173"/>
        <v>Lekkasjedeteksjon</v>
      </c>
      <c r="G199" s="95">
        <f t="shared" si="173"/>
        <v>1</v>
      </c>
      <c r="H199" s="29"/>
      <c r="I199" s="96">
        <f t="shared" si="174"/>
        <v>0</v>
      </c>
      <c r="J199" s="97" t="str">
        <f t="shared" si="174"/>
        <v>N/A</v>
      </c>
      <c r="K199" s="66"/>
      <c r="L199" s="228"/>
      <c r="M199" s="601"/>
      <c r="N199" s="616"/>
      <c r="O199" s="69"/>
      <c r="P199" s="96">
        <f t="shared" si="175"/>
        <v>0</v>
      </c>
      <c r="Q199" s="96" t="str">
        <f t="shared" si="175"/>
        <v>N/A</v>
      </c>
      <c r="R199" s="551"/>
      <c r="S199" s="552"/>
      <c r="T199" s="545"/>
      <c r="U199" s="261"/>
      <c r="V199" s="69"/>
      <c r="W199" s="96">
        <f t="shared" si="176"/>
        <v>0</v>
      </c>
      <c r="X199" s="96" t="str">
        <f t="shared" si="176"/>
        <v>N/A</v>
      </c>
      <c r="Y199" s="67"/>
      <c r="Z199" s="66"/>
      <c r="AA199" s="545"/>
      <c r="AB199" s="105"/>
      <c r="AC199" s="473"/>
      <c r="AD199" s="17">
        <f t="shared" si="125"/>
        <v>0</v>
      </c>
      <c r="AE199" s="1">
        <f t="shared" si="170"/>
        <v>0</v>
      </c>
      <c r="AF199" s="1">
        <f t="shared" si="171"/>
        <v>0</v>
      </c>
      <c r="AG199" s="1">
        <f t="shared" si="172"/>
        <v>0</v>
      </c>
      <c r="AJ199" s="56"/>
      <c r="AK199" s="500"/>
      <c r="AL199" s="479"/>
      <c r="AM199" s="479"/>
      <c r="AN199" s="479"/>
      <c r="AO199" s="483"/>
      <c r="AP199" s="56"/>
      <c r="AQ199" s="56"/>
      <c r="AT199" s="17"/>
      <c r="AU199" s="17"/>
      <c r="AV199" s="17"/>
      <c r="AW199" s="17"/>
      <c r="AX199" s="17"/>
      <c r="AY199" s="17"/>
      <c r="BA199" s="473"/>
      <c r="BB199" s="17"/>
      <c r="BC199" s="17" t="b">
        <f t="shared" si="131"/>
        <v>1</v>
      </c>
      <c r="BD199" s="17" t="str">
        <f>Poeng!B203</f>
        <v>POL 01d</v>
      </c>
      <c r="BE199" s="13" t="str">
        <f>Poeng!E203</f>
        <v>Lekkasjedeteksjon</v>
      </c>
      <c r="BF199" s="13">
        <f>Poeng!AB203</f>
        <v>1</v>
      </c>
      <c r="BG199" s="13">
        <f>Poeng!AI203</f>
        <v>0</v>
      </c>
      <c r="BH199" s="1076">
        <f>Poeng!AE203</f>
        <v>0</v>
      </c>
      <c r="BI199" s="1" t="str">
        <f>Poeng!BE203</f>
        <v>N/A</v>
      </c>
      <c r="BK199" s="1">
        <f>Poeng!AJ203</f>
        <v>0</v>
      </c>
      <c r="BL199" s="1076">
        <f>Poeng!AF203</f>
        <v>0</v>
      </c>
      <c r="BM199" s="1076" t="str">
        <f>Poeng!BH203</f>
        <v>N/A</v>
      </c>
      <c r="BO199" s="1">
        <f>Poeng!AK203</f>
        <v>0</v>
      </c>
      <c r="BP199" s="1076">
        <f>Poeng!AG203</f>
        <v>0</v>
      </c>
      <c r="BQ199" s="1076" t="str">
        <f>Poeng!BK203</f>
        <v>N/A</v>
      </c>
    </row>
    <row r="200" spans="1:69">
      <c r="A200" s="792">
        <v>191</v>
      </c>
      <c r="B200" s="793" t="s">
        <v>538</v>
      </c>
      <c r="C200" s="704" t="s">
        <v>549</v>
      </c>
      <c r="D200" s="621" t="s">
        <v>549</v>
      </c>
      <c r="E200" s="962"/>
      <c r="F200" s="654" t="str">
        <f>BE200</f>
        <v>POL 02 Lokal luftkvalitet</v>
      </c>
      <c r="G200" s="659">
        <f>BF200</f>
        <v>2</v>
      </c>
      <c r="H200" s="746"/>
      <c r="I200" s="660" t="str">
        <f>BG200&amp;" c. "&amp;ROUND(BH200*100,1)&amp;" %"</f>
        <v>0 c. 0 %</v>
      </c>
      <c r="J200" s="703" t="str">
        <f t="shared" ref="J200:J208" si="177">BI200</f>
        <v>N/A</v>
      </c>
      <c r="K200" s="66"/>
      <c r="L200" s="228"/>
      <c r="M200" s="601"/>
      <c r="N200" s="616"/>
      <c r="O200" s="746"/>
      <c r="P200" s="670" t="str">
        <f>BK200&amp;" c. "&amp;ROUND(BL200*100,1)&amp;" %"</f>
        <v>0 c. 0 %</v>
      </c>
      <c r="Q200" s="670" t="str">
        <f t="shared" ref="Q200:Q208" si="178">BM200</f>
        <v>N/A</v>
      </c>
      <c r="R200" s="551"/>
      <c r="S200" s="552"/>
      <c r="T200" s="545"/>
      <c r="U200" s="261"/>
      <c r="V200" s="746"/>
      <c r="W200" s="670" t="str">
        <f>BO200&amp;" c. "&amp;ROUND(BP200*100,1)&amp;" %"</f>
        <v>0 c. 0 %</v>
      </c>
      <c r="X200" s="670" t="str">
        <f t="shared" ref="X200:X208" si="179">BQ200</f>
        <v>N/A</v>
      </c>
      <c r="Y200" s="67"/>
      <c r="Z200" s="66"/>
      <c r="AA200" s="545"/>
      <c r="AB200" s="105"/>
      <c r="AC200" s="473" t="s">
        <v>123</v>
      </c>
      <c r="AD200" s="17">
        <f t="shared" si="125"/>
        <v>0</v>
      </c>
      <c r="AE200" s="1">
        <f t="shared" si="170"/>
        <v>0</v>
      </c>
      <c r="AF200" s="1">
        <f t="shared" si="171"/>
        <v>0</v>
      </c>
      <c r="AG200" s="1">
        <f t="shared" si="172"/>
        <v>0</v>
      </c>
      <c r="AJ200" s="56" t="str">
        <f>ais_ja</f>
        <v>Ja</v>
      </c>
      <c r="AK200" s="500" t="s">
        <v>550</v>
      </c>
      <c r="AL200" s="479" t="s">
        <v>277</v>
      </c>
      <c r="AM200" s="479" t="s">
        <v>327</v>
      </c>
      <c r="AN200" s="479" t="s">
        <v>279</v>
      </c>
      <c r="AO200" s="56"/>
      <c r="AP200" s="56"/>
      <c r="AQ200" s="56"/>
      <c r="AS200" s="1" t="s">
        <v>123</v>
      </c>
      <c r="AT200" s="17" t="str">
        <f>IF($AK$4=ais_nei,AIS_NA,IF(AL200="",AIS_NA,AL200))</f>
        <v>N/A</v>
      </c>
      <c r="AU200" s="17" t="str">
        <f>IF($AK$4=ais_nei,AIS_NA,IF(AM200="",AIS_NA,AM200))</f>
        <v>N/A</v>
      </c>
      <c r="AV200" s="17" t="str">
        <f>IF($AK$4=ais_nei,AIS_NA,IF(AN200="",AIS_NA,AN200))</f>
        <v>N/A</v>
      </c>
      <c r="AW200" s="17"/>
      <c r="AX200" s="17"/>
      <c r="AY200" s="17"/>
      <c r="BA200" s="473"/>
      <c r="BB200" s="17"/>
      <c r="BC200" s="17" t="b">
        <f t="shared" si="131"/>
        <v>1</v>
      </c>
      <c r="BD200" s="17" t="str">
        <f>Poeng!B204</f>
        <v>POL 02</v>
      </c>
      <c r="BE200" s="13" t="str">
        <f>Poeng!E204</f>
        <v>POL 02 Lokal luftkvalitet</v>
      </c>
      <c r="BF200" s="13">
        <f>Poeng!AB204</f>
        <v>2</v>
      </c>
      <c r="BG200" s="13">
        <f>Poeng!AI204</f>
        <v>0</v>
      </c>
      <c r="BH200" s="1076">
        <f>Poeng!AE204</f>
        <v>0</v>
      </c>
      <c r="BI200" s="1" t="str">
        <f>Poeng!BE204</f>
        <v>N/A</v>
      </c>
      <c r="BK200" s="1">
        <f>Poeng!AJ204</f>
        <v>0</v>
      </c>
      <c r="BL200" s="1076">
        <f>Poeng!AF204</f>
        <v>0</v>
      </c>
      <c r="BM200" s="1076" t="str">
        <f>Poeng!BH204</f>
        <v>N/A</v>
      </c>
      <c r="BO200" s="1">
        <f>Poeng!AK204</f>
        <v>0</v>
      </c>
      <c r="BP200" s="1076">
        <f>Poeng!AG204</f>
        <v>0</v>
      </c>
      <c r="BQ200" s="1076" t="str">
        <f>Poeng!BK204</f>
        <v>N/A</v>
      </c>
    </row>
    <row r="201" spans="1:69">
      <c r="A201" s="792">
        <v>192</v>
      </c>
      <c r="B201" s="793" t="s">
        <v>538</v>
      </c>
      <c r="C201" s="97" t="str">
        <f t="shared" si="100"/>
        <v>POL 02</v>
      </c>
      <c r="D201" s="621" t="s">
        <v>551</v>
      </c>
      <c r="E201" s="963">
        <v>1</v>
      </c>
      <c r="F201" s="787" t="str">
        <f t="shared" ref="F201:F208" si="180">BE201</f>
        <v>Oppvarmings- og varmtvannssystemer uten forbrenning</v>
      </c>
      <c r="G201" s="95">
        <f t="shared" si="173"/>
        <v>2</v>
      </c>
      <c r="H201" s="29"/>
      <c r="I201" s="96">
        <f>BH201</f>
        <v>0</v>
      </c>
      <c r="J201" s="97" t="str">
        <f t="shared" si="177"/>
        <v>N/A</v>
      </c>
      <c r="K201" s="66"/>
      <c r="L201" s="228"/>
      <c r="M201" s="601"/>
      <c r="N201" s="616"/>
      <c r="O201" s="69"/>
      <c r="P201" s="96">
        <f>BL201</f>
        <v>0</v>
      </c>
      <c r="Q201" s="96" t="str">
        <f t="shared" si="178"/>
        <v>N/A</v>
      </c>
      <c r="R201" s="551"/>
      <c r="S201" s="552"/>
      <c r="T201" s="545"/>
      <c r="U201" s="261"/>
      <c r="V201" s="69"/>
      <c r="W201" s="96">
        <f>BP201</f>
        <v>0</v>
      </c>
      <c r="X201" s="96" t="str">
        <f t="shared" si="179"/>
        <v>N/A</v>
      </c>
      <c r="Y201" s="67"/>
      <c r="Z201" s="66"/>
      <c r="AA201" s="545"/>
      <c r="AB201" s="105"/>
      <c r="AC201" s="473"/>
      <c r="AD201" s="17">
        <f t="shared" si="125"/>
        <v>0</v>
      </c>
      <c r="AE201" s="1">
        <f t="shared" si="170"/>
        <v>0</v>
      </c>
      <c r="AF201" s="1">
        <f t="shared" si="171"/>
        <v>0</v>
      </c>
      <c r="AG201" s="1">
        <f t="shared" si="172"/>
        <v>0</v>
      </c>
      <c r="AJ201" s="56"/>
      <c r="AK201" s="500"/>
      <c r="AL201" s="479"/>
      <c r="AM201" s="479"/>
      <c r="AN201" s="479"/>
      <c r="AO201" s="56"/>
      <c r="AP201" s="56"/>
      <c r="AQ201" s="56"/>
      <c r="AT201" s="17"/>
      <c r="AU201" s="17"/>
      <c r="AV201" s="17"/>
      <c r="AW201" s="17"/>
      <c r="AX201" s="17"/>
      <c r="AY201" s="17"/>
      <c r="BA201" s="473"/>
      <c r="BB201" s="17"/>
      <c r="BC201" s="17" t="b">
        <f t="shared" si="131"/>
        <v>1</v>
      </c>
      <c r="BD201" s="17" t="str">
        <f>Poeng!B205</f>
        <v>POL 02a</v>
      </c>
      <c r="BE201" s="13" t="str">
        <f>Poeng!E205</f>
        <v>Oppvarmings- og varmtvannssystemer uten forbrenning</v>
      </c>
      <c r="BF201" s="13">
        <f>Poeng!AB205</f>
        <v>2</v>
      </c>
      <c r="BG201" s="13">
        <f>Poeng!AI205</f>
        <v>0</v>
      </c>
      <c r="BH201" s="1076">
        <f>Poeng!AE205</f>
        <v>0</v>
      </c>
      <c r="BI201" s="1" t="str">
        <f>Poeng!BE205</f>
        <v>N/A</v>
      </c>
      <c r="BK201" s="1">
        <f>Poeng!AJ205</f>
        <v>0</v>
      </c>
      <c r="BL201" s="1076">
        <f>Poeng!AF205</f>
        <v>0</v>
      </c>
      <c r="BM201" s="1076" t="str">
        <f>Poeng!BH205</f>
        <v>N/A</v>
      </c>
      <c r="BO201" s="1">
        <f>Poeng!AK205</f>
        <v>0</v>
      </c>
      <c r="BP201" s="1076">
        <f>Poeng!AG205</f>
        <v>0</v>
      </c>
      <c r="BQ201" s="1076" t="str">
        <f>Poeng!BK205</f>
        <v>N/A</v>
      </c>
    </row>
    <row r="202" spans="1:69">
      <c r="A202" s="792">
        <v>193</v>
      </c>
      <c r="B202" s="793" t="s">
        <v>538</v>
      </c>
      <c r="C202" s="97" t="str">
        <f t="shared" si="100"/>
        <v>POL 02</v>
      </c>
      <c r="D202" s="621" t="s">
        <v>552</v>
      </c>
      <c r="E202" s="975" t="s">
        <v>252</v>
      </c>
      <c r="F202" s="787" t="str">
        <f t="shared" si="180"/>
        <v>Forbrenningsbasert oppvarmings- og varmtvannssystem</v>
      </c>
      <c r="G202" s="95">
        <f t="shared" si="173"/>
        <v>0</v>
      </c>
      <c r="H202" s="29"/>
      <c r="I202" s="96">
        <f>BH202</f>
        <v>0</v>
      </c>
      <c r="J202" s="97" t="str">
        <f t="shared" si="177"/>
        <v>N/A</v>
      </c>
      <c r="K202" s="66"/>
      <c r="L202" s="228"/>
      <c r="M202" s="601"/>
      <c r="N202" s="616"/>
      <c r="O202" s="69"/>
      <c r="P202" s="96">
        <f>BL202</f>
        <v>0</v>
      </c>
      <c r="Q202" s="96" t="str">
        <f t="shared" si="178"/>
        <v>N/A</v>
      </c>
      <c r="R202" s="551"/>
      <c r="S202" s="552"/>
      <c r="T202" s="545"/>
      <c r="U202" s="261"/>
      <c r="V202" s="69"/>
      <c r="W202" s="96">
        <f>BP202</f>
        <v>0</v>
      </c>
      <c r="X202" s="96" t="str">
        <f t="shared" si="179"/>
        <v>N/A</v>
      </c>
      <c r="Y202" s="67"/>
      <c r="Z202" s="66"/>
      <c r="AA202" s="545"/>
      <c r="AB202" s="105"/>
      <c r="AC202" s="473"/>
      <c r="AD202" s="17">
        <f t="shared" si="125"/>
        <v>1</v>
      </c>
      <c r="AE202" s="1">
        <f t="shared" si="170"/>
        <v>0</v>
      </c>
      <c r="AF202" s="1">
        <f t="shared" si="171"/>
        <v>0</v>
      </c>
      <c r="AG202" s="1">
        <f t="shared" si="172"/>
        <v>0</v>
      </c>
      <c r="AJ202" s="56"/>
      <c r="AK202" s="500"/>
      <c r="AL202" s="479"/>
      <c r="AM202" s="479"/>
      <c r="AN202" s="479"/>
      <c r="AO202" s="56"/>
      <c r="AP202" s="56"/>
      <c r="AQ202" s="56"/>
      <c r="AT202" s="17"/>
      <c r="AU202" s="17"/>
      <c r="AV202" s="17"/>
      <c r="AW202" s="17"/>
      <c r="AX202" s="17"/>
      <c r="AY202" s="17"/>
      <c r="BA202" s="473"/>
      <c r="BB202" s="17"/>
      <c r="BC202" s="17" t="b">
        <f t="shared" si="131"/>
        <v>1</v>
      </c>
      <c r="BD202" s="17" t="str">
        <f>Poeng!B206</f>
        <v>POL 02b</v>
      </c>
      <c r="BE202" s="13" t="str">
        <f>Poeng!E206</f>
        <v>Forbrenningsbasert oppvarmings- og varmtvannssystem</v>
      </c>
      <c r="BF202" s="13">
        <f>Poeng!AB206</f>
        <v>0</v>
      </c>
      <c r="BG202" s="13">
        <f>Poeng!AI206</f>
        <v>0</v>
      </c>
      <c r="BH202" s="1076">
        <f>Poeng!AE206</f>
        <v>0</v>
      </c>
      <c r="BI202" s="1" t="str">
        <f>Poeng!BE206</f>
        <v>N/A</v>
      </c>
      <c r="BK202" s="1">
        <f>Poeng!AJ206</f>
        <v>0</v>
      </c>
      <c r="BL202" s="1076">
        <f>Poeng!AF206</f>
        <v>0</v>
      </c>
      <c r="BM202" s="1076" t="str">
        <f>Poeng!BH206</f>
        <v>N/A</v>
      </c>
      <c r="BO202" s="1">
        <f>Poeng!AK206</f>
        <v>0</v>
      </c>
      <c r="BP202" s="1076">
        <f>Poeng!AG206</f>
        <v>0</v>
      </c>
      <c r="BQ202" s="1076" t="str">
        <f>Poeng!BK206</f>
        <v>N/A</v>
      </c>
    </row>
    <row r="203" spans="1:69">
      <c r="A203" s="792">
        <v>194</v>
      </c>
      <c r="B203" s="793" t="s">
        <v>538</v>
      </c>
      <c r="C203" s="704" t="s">
        <v>553</v>
      </c>
      <c r="D203" s="621" t="s">
        <v>553</v>
      </c>
      <c r="E203" s="962"/>
      <c r="F203" s="654" t="str">
        <f t="shared" si="180"/>
        <v>POL 04 Reduksjon av lysforurensing</v>
      </c>
      <c r="G203" s="659">
        <f>BF203</f>
        <v>1</v>
      </c>
      <c r="H203" s="746"/>
      <c r="I203" s="660" t="str">
        <f>BG203&amp;" c. "&amp;ROUND(BH203*100,1)&amp;" %"</f>
        <v>0 c. 0 %</v>
      </c>
      <c r="J203" s="703" t="str">
        <f t="shared" si="177"/>
        <v>N/A</v>
      </c>
      <c r="K203" s="66"/>
      <c r="L203" s="228"/>
      <c r="M203" s="601"/>
      <c r="N203" s="616"/>
      <c r="O203" s="746"/>
      <c r="P203" s="670" t="str">
        <f>BK203&amp;" c. "&amp;ROUND(BL203*100,1)&amp;" %"</f>
        <v>0 c. 0 %</v>
      </c>
      <c r="Q203" s="670" t="str">
        <f t="shared" si="178"/>
        <v>N/A</v>
      </c>
      <c r="R203" s="551"/>
      <c r="S203" s="552"/>
      <c r="T203" s="545"/>
      <c r="U203" s="261"/>
      <c r="V203" s="746"/>
      <c r="W203" s="670" t="str">
        <f>BO203&amp;" c. "&amp;ROUND(BP203*100,1)&amp;" %"</f>
        <v>0 c. 0 %</v>
      </c>
      <c r="X203" s="670" t="str">
        <f t="shared" si="179"/>
        <v>N/A</v>
      </c>
      <c r="Y203" s="67"/>
      <c r="Z203" s="66"/>
      <c r="AA203" s="545"/>
      <c r="AB203" s="105"/>
      <c r="AC203" s="473" t="s">
        <v>123</v>
      </c>
      <c r="AD203" s="17">
        <f t="shared" si="125"/>
        <v>0</v>
      </c>
      <c r="AE203" s="1">
        <f t="shared" si="170"/>
        <v>0</v>
      </c>
      <c r="AF203" s="1">
        <f t="shared" si="171"/>
        <v>0</v>
      </c>
      <c r="AG203" s="1">
        <f t="shared" si="172"/>
        <v>0</v>
      </c>
      <c r="AJ203" s="56" t="str">
        <f>ais_ja</f>
        <v>Ja</v>
      </c>
      <c r="AK203" s="500" t="s">
        <v>554</v>
      </c>
      <c r="AL203" s="479" t="s">
        <v>277</v>
      </c>
      <c r="AM203" s="479" t="s">
        <v>327</v>
      </c>
      <c r="AN203" s="479" t="s">
        <v>279</v>
      </c>
      <c r="AO203" s="56"/>
      <c r="AP203" s="56"/>
      <c r="AQ203" s="56"/>
      <c r="AS203" s="1" t="s">
        <v>123</v>
      </c>
      <c r="AT203" s="17" t="str">
        <f>IF($AK$4=ais_nei,AIS_NA,IF(AL203="",AIS_NA,AL203))</f>
        <v>N/A</v>
      </c>
      <c r="AU203" s="17" t="str">
        <f>IF($AK$4=ais_nei,AIS_NA,IF(AM203="",AIS_NA,AM203))</f>
        <v>N/A</v>
      </c>
      <c r="AV203" s="17" t="str">
        <f>IF($AK$4=ais_nei,AIS_NA,IF(AN203="",AIS_NA,AN203))</f>
        <v>N/A</v>
      </c>
      <c r="AW203" s="17"/>
      <c r="AX203" s="17"/>
      <c r="AY203" s="17"/>
      <c r="BA203" s="473"/>
      <c r="BB203" s="17"/>
      <c r="BC203" s="17" t="b">
        <f t="shared" si="131"/>
        <v>1</v>
      </c>
      <c r="BD203" s="17" t="str">
        <f>Poeng!B208</f>
        <v>POL 04</v>
      </c>
      <c r="BE203" s="13" t="str">
        <f>Poeng!E208</f>
        <v>POL 04 Reduksjon av lysforurensing</v>
      </c>
      <c r="BF203" s="13">
        <f>Poeng!AB208</f>
        <v>1</v>
      </c>
      <c r="BG203" s="13">
        <f>Poeng!AI208</f>
        <v>0</v>
      </c>
      <c r="BH203" s="1076">
        <f>Poeng!AE208</f>
        <v>0</v>
      </c>
      <c r="BI203" s="1" t="str">
        <f>Poeng!BE208</f>
        <v>N/A</v>
      </c>
      <c r="BK203" s="1">
        <f>Poeng!AJ208</f>
        <v>0</v>
      </c>
      <c r="BL203" s="1076">
        <f>Poeng!AF208</f>
        <v>0</v>
      </c>
      <c r="BM203" s="1076" t="str">
        <f>Poeng!BH208</f>
        <v>N/A</v>
      </c>
      <c r="BO203" s="1">
        <f>Poeng!AK208</f>
        <v>0</v>
      </c>
      <c r="BP203" s="1076">
        <f>Poeng!AG208</f>
        <v>0</v>
      </c>
      <c r="BQ203" s="1076" t="str">
        <f>Poeng!BK208</f>
        <v>N/A</v>
      </c>
    </row>
    <row r="204" spans="1:69">
      <c r="A204" s="792">
        <v>195</v>
      </c>
      <c r="B204" s="793" t="s">
        <v>538</v>
      </c>
      <c r="C204" s="97" t="str">
        <f t="shared" si="100"/>
        <v>POL 04</v>
      </c>
      <c r="D204" s="621" t="s">
        <v>555</v>
      </c>
      <c r="E204" s="963">
        <v>1</v>
      </c>
      <c r="F204" s="787" t="str">
        <f t="shared" si="180"/>
        <v>Ingen ekstern lysforurensning</v>
      </c>
      <c r="G204" s="95">
        <f t="shared" si="173"/>
        <v>0</v>
      </c>
      <c r="H204" s="29"/>
      <c r="I204" s="96">
        <f>BH204</f>
        <v>0</v>
      </c>
      <c r="J204" s="97" t="str">
        <f t="shared" si="177"/>
        <v>N/A</v>
      </c>
      <c r="K204" s="66"/>
      <c r="L204" s="228"/>
      <c r="M204" s="601"/>
      <c r="N204" s="616"/>
      <c r="O204" s="69"/>
      <c r="P204" s="96">
        <f>BL204</f>
        <v>0</v>
      </c>
      <c r="Q204" s="96" t="str">
        <f t="shared" si="178"/>
        <v>N/A</v>
      </c>
      <c r="R204" s="551"/>
      <c r="S204" s="552"/>
      <c r="T204" s="545"/>
      <c r="U204" s="261"/>
      <c r="V204" s="69"/>
      <c r="W204" s="96">
        <f>BP204</f>
        <v>0</v>
      </c>
      <c r="X204" s="96" t="str">
        <f t="shared" si="179"/>
        <v>N/A</v>
      </c>
      <c r="Y204" s="67"/>
      <c r="Z204" s="66"/>
      <c r="AA204" s="545"/>
      <c r="AB204" s="105"/>
      <c r="AC204" s="473"/>
      <c r="AD204" s="17">
        <f t="shared" ref="AD204:AD226" si="181">IF(G204=0,1,0)</f>
        <v>1</v>
      </c>
      <c r="AE204" s="1">
        <f t="shared" si="170"/>
        <v>0</v>
      </c>
      <c r="AF204" s="1">
        <f t="shared" si="171"/>
        <v>0</v>
      </c>
      <c r="AG204" s="1">
        <f t="shared" si="172"/>
        <v>0</v>
      </c>
      <c r="AJ204" s="56"/>
      <c r="AK204" s="500"/>
      <c r="AL204" s="479"/>
      <c r="AM204" s="479"/>
      <c r="AN204" s="479"/>
      <c r="AO204" s="56"/>
      <c r="AP204" s="56"/>
      <c r="AQ204" s="56"/>
      <c r="AT204" s="17"/>
      <c r="AU204" s="17"/>
      <c r="AV204" s="17"/>
      <c r="AW204" s="17"/>
      <c r="AX204" s="17"/>
      <c r="AY204" s="17"/>
      <c r="BA204" s="473"/>
      <c r="BB204" s="17"/>
      <c r="BC204" s="17" t="b">
        <f t="shared" si="131"/>
        <v>1</v>
      </c>
      <c r="BD204" s="17" t="str">
        <f>Poeng!B209</f>
        <v>POL 04a</v>
      </c>
      <c r="BE204" s="13" t="str">
        <f>Poeng!E209</f>
        <v>Ingen ekstern lysforurensning</v>
      </c>
      <c r="BF204" s="13">
        <f>Poeng!AB209</f>
        <v>0</v>
      </c>
      <c r="BG204" s="13">
        <f>Poeng!AI209</f>
        <v>0</v>
      </c>
      <c r="BH204" s="1076">
        <f>Poeng!AE209</f>
        <v>0</v>
      </c>
      <c r="BI204" s="1" t="str">
        <f>Poeng!BE209</f>
        <v>N/A</v>
      </c>
      <c r="BK204" s="1">
        <f>Poeng!AJ209</f>
        <v>0</v>
      </c>
      <c r="BL204" s="1076">
        <f>Poeng!AF209</f>
        <v>0</v>
      </c>
      <c r="BM204" s="1076" t="str">
        <f>Poeng!BH209</f>
        <v>N/A</v>
      </c>
      <c r="BO204" s="1">
        <f>Poeng!AK209</f>
        <v>0</v>
      </c>
      <c r="BP204" s="1076">
        <f>Poeng!AG209</f>
        <v>0</v>
      </c>
      <c r="BQ204" s="1076" t="str">
        <f>Poeng!BK209</f>
        <v>N/A</v>
      </c>
    </row>
    <row r="205" spans="1:69">
      <c r="A205" s="792">
        <v>196</v>
      </c>
      <c r="B205" s="793" t="s">
        <v>538</v>
      </c>
      <c r="C205" s="97" t="str">
        <f t="shared" si="100"/>
        <v>POL 04</v>
      </c>
      <c r="D205" s="621" t="s">
        <v>556</v>
      </c>
      <c r="E205" s="964" t="s">
        <v>268</v>
      </c>
      <c r="F205" s="787" t="str">
        <f t="shared" si="180"/>
        <v>Minimert ekstern lysforurensning</v>
      </c>
      <c r="G205" s="95">
        <f t="shared" si="173"/>
        <v>1</v>
      </c>
      <c r="H205" s="29"/>
      <c r="I205" s="96">
        <f>BH205</f>
        <v>0</v>
      </c>
      <c r="J205" s="97" t="str">
        <f t="shared" si="177"/>
        <v>N/A</v>
      </c>
      <c r="K205" s="66"/>
      <c r="L205" s="228"/>
      <c r="M205" s="601"/>
      <c r="N205" s="616"/>
      <c r="O205" s="69"/>
      <c r="P205" s="96">
        <f>BL205</f>
        <v>0</v>
      </c>
      <c r="Q205" s="96" t="str">
        <f t="shared" si="178"/>
        <v>N/A</v>
      </c>
      <c r="R205" s="551"/>
      <c r="S205" s="552"/>
      <c r="T205" s="545"/>
      <c r="U205" s="261"/>
      <c r="V205" s="69"/>
      <c r="W205" s="96">
        <f>BP205</f>
        <v>0</v>
      </c>
      <c r="X205" s="96" t="str">
        <f t="shared" si="179"/>
        <v>N/A</v>
      </c>
      <c r="Y205" s="67"/>
      <c r="Z205" s="66"/>
      <c r="AA205" s="545"/>
      <c r="AB205" s="105"/>
      <c r="AC205" s="473"/>
      <c r="AD205" s="17">
        <f t="shared" si="181"/>
        <v>0</v>
      </c>
      <c r="AE205" s="1">
        <f t="shared" si="170"/>
        <v>0</v>
      </c>
      <c r="AF205" s="1">
        <f t="shared" si="171"/>
        <v>0</v>
      </c>
      <c r="AG205" s="1">
        <f t="shared" si="172"/>
        <v>0</v>
      </c>
      <c r="AJ205" s="56"/>
      <c r="AK205" s="500"/>
      <c r="AL205" s="479"/>
      <c r="AM205" s="479"/>
      <c r="AN205" s="479"/>
      <c r="AO205" s="56"/>
      <c r="AP205" s="56"/>
      <c r="AQ205" s="56"/>
      <c r="AT205" s="17"/>
      <c r="AU205" s="17"/>
      <c r="AV205" s="17"/>
      <c r="AW205" s="17"/>
      <c r="AX205" s="17"/>
      <c r="AY205" s="17"/>
      <c r="BA205" s="473"/>
      <c r="BB205" s="17"/>
      <c r="BC205" s="17" t="b">
        <f>D205=BD205</f>
        <v>1</v>
      </c>
      <c r="BD205" s="17" t="str">
        <f>Poeng!B210</f>
        <v>POL 04b</v>
      </c>
      <c r="BE205" s="13" t="str">
        <f>Poeng!E210</f>
        <v>Minimert ekstern lysforurensning</v>
      </c>
      <c r="BF205" s="13">
        <f>Poeng!AB210</f>
        <v>1</v>
      </c>
      <c r="BG205" s="13">
        <f>Poeng!AI210</f>
        <v>0</v>
      </c>
      <c r="BH205" s="1076">
        <f>Poeng!AE210</f>
        <v>0</v>
      </c>
      <c r="BI205" s="1" t="str">
        <f>Poeng!BE210</f>
        <v>N/A</v>
      </c>
      <c r="BK205" s="1">
        <f>Poeng!AJ210</f>
        <v>0</v>
      </c>
      <c r="BL205" s="1076">
        <f>Poeng!AF210</f>
        <v>0</v>
      </c>
      <c r="BM205" s="1076" t="str">
        <f>Poeng!BH210</f>
        <v>N/A</v>
      </c>
      <c r="BO205" s="1">
        <f>Poeng!AK210</f>
        <v>0</v>
      </c>
      <c r="BP205" s="1076">
        <f>Poeng!AG210</f>
        <v>0</v>
      </c>
      <c r="BQ205" s="1076" t="str">
        <f>Poeng!BK210</f>
        <v>N/A</v>
      </c>
    </row>
    <row r="206" spans="1:69">
      <c r="A206" s="792">
        <v>197</v>
      </c>
      <c r="B206" s="793" t="s">
        <v>538</v>
      </c>
      <c r="C206" s="704" t="s">
        <v>557</v>
      </c>
      <c r="D206" s="621" t="s">
        <v>557</v>
      </c>
      <c r="E206" s="962"/>
      <c r="F206" s="654" t="str">
        <f t="shared" si="180"/>
        <v>POL 05 Støydemping</v>
      </c>
      <c r="G206" s="659">
        <f>BF206</f>
        <v>1</v>
      </c>
      <c r="H206" s="746"/>
      <c r="I206" s="660" t="str">
        <f>BG206&amp;" c. "&amp;ROUND(BH206*100,1)&amp;" %"</f>
        <v>0 c. 0 %</v>
      </c>
      <c r="J206" s="703" t="str">
        <f t="shared" si="177"/>
        <v>N/A</v>
      </c>
      <c r="K206" s="66"/>
      <c r="L206" s="228"/>
      <c r="M206" s="601"/>
      <c r="N206" s="616"/>
      <c r="O206" s="746"/>
      <c r="P206" s="670" t="str">
        <f>BK206&amp;" c. "&amp;ROUND(BL206*100,1)&amp;" %"</f>
        <v>0 c. 0 %</v>
      </c>
      <c r="Q206" s="670" t="str">
        <f t="shared" si="178"/>
        <v>N/A</v>
      </c>
      <c r="R206" s="551"/>
      <c r="S206" s="552"/>
      <c r="T206" s="545"/>
      <c r="U206" s="261"/>
      <c r="V206" s="746"/>
      <c r="W206" s="670" t="str">
        <f>BO206&amp;" c. "&amp;ROUND(BP206*100,1)&amp;" %"</f>
        <v>0 c. 0 %</v>
      </c>
      <c r="X206" s="670" t="str">
        <f t="shared" si="179"/>
        <v>N/A</v>
      </c>
      <c r="Y206" s="67"/>
      <c r="Z206" s="66"/>
      <c r="AA206" s="545"/>
      <c r="AB206" s="105"/>
      <c r="AC206" s="473" t="s">
        <v>123</v>
      </c>
      <c r="AD206" s="17">
        <f t="shared" si="181"/>
        <v>0</v>
      </c>
      <c r="AE206" s="1">
        <f t="shared" si="170"/>
        <v>0</v>
      </c>
      <c r="AF206" s="1">
        <f t="shared" si="171"/>
        <v>0</v>
      </c>
      <c r="AG206" s="1">
        <f t="shared" si="172"/>
        <v>0</v>
      </c>
      <c r="AJ206" s="56" t="str">
        <f>ais_ja</f>
        <v>Ja</v>
      </c>
      <c r="AK206" s="500" t="s">
        <v>558</v>
      </c>
      <c r="AL206" s="479" t="s">
        <v>277</v>
      </c>
      <c r="AM206" s="479" t="s">
        <v>327</v>
      </c>
      <c r="AN206" s="479" t="s">
        <v>279</v>
      </c>
      <c r="AO206" s="56"/>
      <c r="AP206" s="56"/>
      <c r="AQ206" s="56"/>
      <c r="AS206" s="1" t="s">
        <v>123</v>
      </c>
      <c r="AT206" s="17" t="str">
        <f>IF($AK$4=ais_nei,AIS_NA,IF(AL206="",AIS_NA,AL206))</f>
        <v>N/A</v>
      </c>
      <c r="AU206" s="17" t="str">
        <f>IF($AK$4=ais_nei,AIS_NA,IF(AM206="",AIS_NA,AM206))</f>
        <v>N/A</v>
      </c>
      <c r="AV206" s="17" t="str">
        <f>IF($AK$4=ais_nei,AIS_NA,IF(AN206="",AIS_NA,AN206))</f>
        <v>N/A</v>
      </c>
      <c r="AW206" s="17"/>
      <c r="AX206" s="17"/>
      <c r="AY206" s="17"/>
      <c r="BA206" s="473"/>
      <c r="BB206" s="17"/>
      <c r="BC206" s="17" t="b">
        <f>D206=BD206</f>
        <v>1</v>
      </c>
      <c r="BD206" s="17" t="str">
        <f>Poeng!B211</f>
        <v>POL 05</v>
      </c>
      <c r="BE206" s="13" t="str">
        <f>Poeng!E211</f>
        <v>POL 05 Støydemping</v>
      </c>
      <c r="BF206" s="13">
        <f>Poeng!AB211</f>
        <v>1</v>
      </c>
      <c r="BG206" s="13">
        <f>Poeng!AI211</f>
        <v>0</v>
      </c>
      <c r="BH206" s="1076">
        <f>Poeng!AE211</f>
        <v>0</v>
      </c>
      <c r="BI206" s="1" t="str">
        <f>Poeng!BE211</f>
        <v>N/A</v>
      </c>
      <c r="BK206" s="1">
        <f>Poeng!AJ211</f>
        <v>0</v>
      </c>
      <c r="BL206" s="1076">
        <f>Poeng!AF211</f>
        <v>0</v>
      </c>
      <c r="BM206" s="1076" t="str">
        <f>Poeng!BH211</f>
        <v>N/A</v>
      </c>
      <c r="BO206" s="1">
        <f>Poeng!AK211</f>
        <v>0</v>
      </c>
      <c r="BP206" s="1076">
        <f>Poeng!AG211</f>
        <v>0</v>
      </c>
      <c r="BQ206" s="1076" t="str">
        <f>Poeng!BK211</f>
        <v>N/A</v>
      </c>
    </row>
    <row r="207" spans="1:69">
      <c r="A207" s="792">
        <v>198</v>
      </c>
      <c r="B207" s="793" t="s">
        <v>538</v>
      </c>
      <c r="C207" s="97" t="str">
        <f t="shared" si="100"/>
        <v>POL 05</v>
      </c>
      <c r="D207" s="621" t="s">
        <v>559</v>
      </c>
      <c r="E207" s="963">
        <v>1</v>
      </c>
      <c r="F207" s="787" t="str">
        <f t="shared" si="180"/>
        <v>Ingen støysensitive områder</v>
      </c>
      <c r="G207" s="95">
        <f t="shared" si="173"/>
        <v>0</v>
      </c>
      <c r="H207" s="29"/>
      <c r="I207" s="96">
        <f>BH207</f>
        <v>0</v>
      </c>
      <c r="J207" s="97" t="str">
        <f t="shared" si="177"/>
        <v>N/A</v>
      </c>
      <c r="K207" s="66"/>
      <c r="L207" s="228"/>
      <c r="M207" s="601"/>
      <c r="N207" s="616"/>
      <c r="O207" s="69"/>
      <c r="P207" s="96">
        <f>BL207</f>
        <v>0</v>
      </c>
      <c r="Q207" s="96" t="str">
        <f t="shared" si="178"/>
        <v>N/A</v>
      </c>
      <c r="R207" s="551"/>
      <c r="S207" s="552"/>
      <c r="T207" s="545"/>
      <c r="U207" s="261"/>
      <c r="V207" s="69"/>
      <c r="W207" s="96">
        <f>BP207</f>
        <v>0</v>
      </c>
      <c r="X207" s="96" t="str">
        <f t="shared" si="179"/>
        <v>N/A</v>
      </c>
      <c r="Y207" s="67"/>
      <c r="Z207" s="66"/>
      <c r="AA207" s="545"/>
      <c r="AB207" s="105"/>
      <c r="AC207" s="527"/>
      <c r="AD207" s="17">
        <f t="shared" si="181"/>
        <v>1</v>
      </c>
      <c r="AE207" s="1">
        <f t="shared" si="170"/>
        <v>0</v>
      </c>
      <c r="AF207" s="1">
        <f t="shared" si="171"/>
        <v>0</v>
      </c>
      <c r="AG207" s="1">
        <f t="shared" si="172"/>
        <v>0</v>
      </c>
      <c r="AJ207" s="56"/>
      <c r="AK207" s="500"/>
      <c r="AL207" s="479"/>
      <c r="AM207" s="479"/>
      <c r="AN207" s="479"/>
      <c r="AO207" s="56"/>
      <c r="AP207" s="56"/>
      <c r="AQ207" s="56"/>
      <c r="AT207" s="17"/>
      <c r="AU207" s="17"/>
      <c r="AV207" s="17"/>
      <c r="AW207" s="17"/>
      <c r="AX207" s="17"/>
      <c r="AY207" s="17"/>
      <c r="BA207" s="527"/>
      <c r="BB207" s="17"/>
      <c r="BC207" s="17" t="b">
        <f>D207=BD207</f>
        <v>1</v>
      </c>
      <c r="BD207" s="17" t="str">
        <f>Poeng!B212</f>
        <v>POL 05a</v>
      </c>
      <c r="BE207" s="13" t="str">
        <f>Poeng!E212</f>
        <v>Ingen støysensitive områder</v>
      </c>
      <c r="BF207" s="13">
        <f>Poeng!AB212</f>
        <v>0</v>
      </c>
      <c r="BG207" s="13">
        <f>Poeng!AI212</f>
        <v>0</v>
      </c>
      <c r="BH207" s="1076">
        <f>Poeng!AE212</f>
        <v>0</v>
      </c>
      <c r="BI207" s="1" t="str">
        <f>Poeng!BE212</f>
        <v>N/A</v>
      </c>
      <c r="BK207" s="1">
        <f>Poeng!AJ212</f>
        <v>0</v>
      </c>
      <c r="BL207" s="1076">
        <f>Poeng!AF212</f>
        <v>0</v>
      </c>
      <c r="BM207" s="1076" t="str">
        <f>Poeng!BH212</f>
        <v>N/A</v>
      </c>
      <c r="BO207" s="1">
        <f>Poeng!AK212</f>
        <v>0</v>
      </c>
      <c r="BP207" s="1076">
        <f>Poeng!AG212</f>
        <v>0</v>
      </c>
      <c r="BQ207" s="1076" t="str">
        <f>Poeng!BK212</f>
        <v>N/A</v>
      </c>
    </row>
    <row r="208" spans="1:69">
      <c r="A208" s="792">
        <v>199</v>
      </c>
      <c r="B208" s="793" t="s">
        <v>538</v>
      </c>
      <c r="C208" s="97" t="str">
        <f t="shared" si="100"/>
        <v>POL 05</v>
      </c>
      <c r="D208" s="621" t="s">
        <v>560</v>
      </c>
      <c r="E208" s="964" t="s">
        <v>384</v>
      </c>
      <c r="F208" s="787" t="str">
        <f t="shared" si="180"/>
        <v>Minimert støyforurensning for sensitive områder</v>
      </c>
      <c r="G208" s="95">
        <f t="shared" si="173"/>
        <v>1</v>
      </c>
      <c r="H208" s="29"/>
      <c r="I208" s="96">
        <f>BH208</f>
        <v>0</v>
      </c>
      <c r="J208" s="97" t="str">
        <f t="shared" si="177"/>
        <v>N/A</v>
      </c>
      <c r="K208" s="66"/>
      <c r="L208" s="228"/>
      <c r="M208" s="601"/>
      <c r="N208" s="616"/>
      <c r="O208" s="69"/>
      <c r="P208" s="96">
        <f>BL208</f>
        <v>0</v>
      </c>
      <c r="Q208" s="96" t="str">
        <f t="shared" si="178"/>
        <v>N/A</v>
      </c>
      <c r="R208" s="551"/>
      <c r="S208" s="552"/>
      <c r="T208" s="545"/>
      <c r="U208" s="261"/>
      <c r="V208" s="69"/>
      <c r="W208" s="96">
        <f>BP208</f>
        <v>0</v>
      </c>
      <c r="X208" s="96" t="str">
        <f t="shared" si="179"/>
        <v>N/A</v>
      </c>
      <c r="Y208" s="67"/>
      <c r="Z208" s="66"/>
      <c r="AA208" s="545"/>
      <c r="AB208" s="105"/>
      <c r="AC208" s="527"/>
      <c r="AD208" s="17">
        <f t="shared" si="181"/>
        <v>0</v>
      </c>
      <c r="AE208" s="1">
        <f t="shared" si="170"/>
        <v>0</v>
      </c>
      <c r="AF208" s="1">
        <f t="shared" si="171"/>
        <v>0</v>
      </c>
      <c r="AG208" s="1">
        <f t="shared" si="172"/>
        <v>0</v>
      </c>
      <c r="AJ208" s="56"/>
      <c r="AK208" s="500"/>
      <c r="AL208" s="479"/>
      <c r="AM208" s="479"/>
      <c r="AN208" s="479"/>
      <c r="AO208" s="56"/>
      <c r="AP208" s="56"/>
      <c r="AQ208" s="56"/>
      <c r="AT208" s="17"/>
      <c r="AU208" s="17"/>
      <c r="AV208" s="17"/>
      <c r="AW208" s="17"/>
      <c r="AX208" s="17"/>
      <c r="AY208" s="17"/>
      <c r="BA208" s="527"/>
      <c r="BB208" s="17"/>
      <c r="BC208" s="17" t="b">
        <f>D208=BD208</f>
        <v>1</v>
      </c>
      <c r="BD208" s="17" t="str">
        <f>Poeng!B213</f>
        <v>POL 05b</v>
      </c>
      <c r="BE208" s="13" t="str">
        <f>Poeng!E213</f>
        <v>Minimert støyforurensning for sensitive områder</v>
      </c>
      <c r="BF208" s="13">
        <f>Poeng!AB213</f>
        <v>1</v>
      </c>
      <c r="BG208" s="13">
        <f>Poeng!AI213</f>
        <v>0</v>
      </c>
      <c r="BH208" s="1076">
        <f>Poeng!AE213</f>
        <v>0</v>
      </c>
      <c r="BI208" s="1" t="str">
        <f>Poeng!BE213</f>
        <v>N/A</v>
      </c>
      <c r="BK208" s="1">
        <f>Poeng!AJ213</f>
        <v>0</v>
      </c>
      <c r="BL208" s="1076">
        <f>Poeng!AF213</f>
        <v>0</v>
      </c>
      <c r="BM208" s="1076" t="str">
        <f>Poeng!BH213</f>
        <v>N/A</v>
      </c>
      <c r="BO208" s="1">
        <f>Poeng!AK213</f>
        <v>0</v>
      </c>
      <c r="BP208" s="1076">
        <f>Poeng!AG213</f>
        <v>0</v>
      </c>
      <c r="BQ208" s="1076" t="str">
        <f>Poeng!BK213</f>
        <v>N/A</v>
      </c>
    </row>
    <row r="209" spans="1:69" ht="15.75" thickBot="1">
      <c r="A209" s="792">
        <v>200</v>
      </c>
      <c r="B209" s="793" t="s">
        <v>538</v>
      </c>
      <c r="C209" s="796"/>
      <c r="D209" s="621" t="s">
        <v>561</v>
      </c>
      <c r="E209" s="967"/>
      <c r="F209" s="262" t="s">
        <v>562</v>
      </c>
      <c r="G209" s="98">
        <f>Pol_Credits</f>
        <v>7</v>
      </c>
      <c r="H209" s="103"/>
      <c r="I209" s="99">
        <f>Pol_cont_tot</f>
        <v>0</v>
      </c>
      <c r="J209" s="661" t="str">
        <f>"Poeng oppnådd: "&amp;Pol_tot_user</f>
        <v>Poeng oppnådd: 0</v>
      </c>
      <c r="K209" s="106"/>
      <c r="L209" s="229"/>
      <c r="M209" s="553"/>
      <c r="N209" s="616"/>
      <c r="O209" s="317"/>
      <c r="P209" s="99">
        <f>BL209</f>
        <v>0</v>
      </c>
      <c r="Q209" s="661" t="str">
        <f>"Poeng oppnådd: "&amp;Pol_d_user</f>
        <v>Poeng oppnådd: 0</v>
      </c>
      <c r="R209" s="554"/>
      <c r="S209" s="555"/>
      <c r="T209" s="553"/>
      <c r="U209" s="261"/>
      <c r="V209" s="317"/>
      <c r="W209" s="99">
        <f>BP209</f>
        <v>0</v>
      </c>
      <c r="X209" s="661" t="str">
        <f>"Poeng oppnådd: "&amp;Pol_c_user</f>
        <v>Poeng oppnådd: 0</v>
      </c>
      <c r="Y209" s="316"/>
      <c r="Z209" s="108"/>
      <c r="AA209" s="553"/>
      <c r="AB209" s="105"/>
      <c r="AC209" s="474"/>
      <c r="AD209" s="17">
        <f t="shared" si="181"/>
        <v>0</v>
      </c>
      <c r="AE209" s="225">
        <v>0</v>
      </c>
      <c r="AF209" s="225">
        <v>0</v>
      </c>
      <c r="AG209" s="225">
        <v>0</v>
      </c>
      <c r="AJ209" s="56"/>
      <c r="AK209" s="500" t="s">
        <v>563</v>
      </c>
      <c r="AL209" s="56"/>
      <c r="AM209" s="56"/>
      <c r="AN209" s="56"/>
      <c r="AO209" s="56"/>
      <c r="AP209" s="56"/>
      <c r="AQ209" s="56"/>
      <c r="AT209" s="17" t="str">
        <f t="shared" ref="AT209:AT220" si="182">IF($AK$4=ais_nei,AIS_NA,IF(AL209="",AIS_NA,AL209))</f>
        <v>N/A</v>
      </c>
      <c r="AU209" s="17" t="str">
        <f t="shared" ref="AU209:AU220" si="183">IF($AK$4=ais_nei,AIS_NA,IF(AM209="",AIS_NA,AM209))</f>
        <v>N/A</v>
      </c>
      <c r="AV209" s="17" t="str">
        <f t="shared" ref="AV209:AV220" si="184">IF($AK$4=ais_nei,AIS_NA,IF(AN209="",AIS_NA,AN209))</f>
        <v>N/A</v>
      </c>
      <c r="AW209" s="17"/>
      <c r="AX209" s="17"/>
      <c r="AY209" s="17"/>
      <c r="BA209" s="474"/>
      <c r="BB209" s="17"/>
      <c r="BC209" s="17" t="b">
        <f>D209=BD209</f>
        <v>1</v>
      </c>
      <c r="BD209" s="17" t="str">
        <f>Poeng!B214</f>
        <v>POL sum</v>
      </c>
      <c r="BE209" s="13" t="str">
        <f>Poeng!E214</f>
        <v>Sum</v>
      </c>
      <c r="BF209" s="13">
        <f>Poeng!AB214</f>
        <v>7</v>
      </c>
      <c r="BG209" s="13">
        <f>Poeng!AI214</f>
        <v>0</v>
      </c>
      <c r="BH209" s="1076">
        <f>Poeng!AE214</f>
        <v>0</v>
      </c>
      <c r="BI209" s="1">
        <f>Poeng!BE214</f>
        <v>0</v>
      </c>
      <c r="BK209" s="1">
        <f>Poeng!AJ214</f>
        <v>0</v>
      </c>
      <c r="BL209" s="1076">
        <f>Poeng!AF214</f>
        <v>0</v>
      </c>
      <c r="BM209" s="1076">
        <f>Poeng!BH214</f>
        <v>0</v>
      </c>
      <c r="BO209" s="1">
        <f>Poeng!AK214</f>
        <v>0</v>
      </c>
      <c r="BP209" s="1076">
        <f>Poeng!AG214</f>
        <v>0</v>
      </c>
      <c r="BQ209" s="1076">
        <f>Poeng!BK214</f>
        <v>0</v>
      </c>
    </row>
    <row r="210" spans="1:69">
      <c r="A210" s="792">
        <v>201</v>
      </c>
      <c r="B210" s="793" t="s">
        <v>538</v>
      </c>
      <c r="C210" s="264"/>
      <c r="D210" s="621"/>
      <c r="E210" s="966"/>
      <c r="F210" s="263"/>
      <c r="G210" s="264"/>
      <c r="H210" s="265"/>
      <c r="I210" s="264"/>
      <c r="J210" s="264"/>
      <c r="K210" s="266"/>
      <c r="L210" s="265"/>
      <c r="M210" s="556"/>
      <c r="N210" s="616"/>
      <c r="O210" s="267"/>
      <c r="P210" s="267"/>
      <c r="Q210" s="556"/>
      <c r="R210" s="556"/>
      <c r="S210" s="557"/>
      <c r="T210" s="556"/>
      <c r="U210" s="261"/>
      <c r="V210" s="267"/>
      <c r="W210" s="267"/>
      <c r="X210" s="556"/>
      <c r="Y210" s="266"/>
      <c r="Z210" s="267"/>
      <c r="AA210" s="556"/>
      <c r="AB210" s="105"/>
      <c r="AC210" s="266"/>
      <c r="AD210" s="17"/>
      <c r="AE210" s="226">
        <v>0</v>
      </c>
      <c r="AF210" s="226">
        <v>0</v>
      </c>
      <c r="AG210" s="226">
        <v>0</v>
      </c>
      <c r="AJ210" s="56"/>
      <c r="AK210" s="500"/>
      <c r="AL210" s="56"/>
      <c r="AM210" s="56"/>
      <c r="AN210" s="56"/>
      <c r="AO210" s="56"/>
      <c r="AP210" s="56"/>
      <c r="AQ210" s="56"/>
      <c r="AT210" s="17" t="str">
        <f t="shared" si="182"/>
        <v>N/A</v>
      </c>
      <c r="AU210" s="17" t="str">
        <f t="shared" si="183"/>
        <v>N/A</v>
      </c>
      <c r="AV210" s="17" t="str">
        <f t="shared" si="184"/>
        <v>N/A</v>
      </c>
      <c r="AW210" s="17"/>
      <c r="AX210" s="17"/>
      <c r="AY210" s="17"/>
      <c r="BA210" s="266"/>
      <c r="BB210" s="17"/>
      <c r="BC210" s="17"/>
      <c r="BD210" s="17"/>
      <c r="BE210" s="13"/>
      <c r="BF210" s="13"/>
      <c r="BG210" s="13"/>
      <c r="BH210" s="1076"/>
      <c r="BL210" s="1076"/>
      <c r="BM210" s="1076"/>
      <c r="BP210" s="1076"/>
      <c r="BQ210" s="1076"/>
    </row>
    <row r="211" spans="1:69" ht="18.75">
      <c r="A211" s="792">
        <v>202</v>
      </c>
      <c r="B211" s="793" t="s">
        <v>564</v>
      </c>
      <c r="C211" s="797"/>
      <c r="D211" s="621"/>
      <c r="E211" s="961"/>
      <c r="F211" s="268" t="s">
        <v>565</v>
      </c>
      <c r="G211" s="257"/>
      <c r="H211" s="258"/>
      <c r="I211" s="277"/>
      <c r="J211" s="257"/>
      <c r="K211" s="269"/>
      <c r="L211" s="270"/>
      <c r="M211" s="559"/>
      <c r="N211" s="616"/>
      <c r="O211" s="280"/>
      <c r="P211" s="273"/>
      <c r="Q211" s="549"/>
      <c r="R211" s="560"/>
      <c r="S211" s="561"/>
      <c r="T211" s="562"/>
      <c r="U211" s="261"/>
      <c r="V211" s="280"/>
      <c r="W211" s="279"/>
      <c r="X211" s="549"/>
      <c r="Y211" s="269"/>
      <c r="Z211" s="279"/>
      <c r="AA211" s="559"/>
      <c r="AB211" s="105"/>
      <c r="AC211" s="278"/>
      <c r="AD211" s="17"/>
      <c r="AE211" s="224">
        <v>0</v>
      </c>
      <c r="AF211" s="224">
        <v>0</v>
      </c>
      <c r="AG211" s="224">
        <v>0</v>
      </c>
      <c r="AJ211" s="56"/>
      <c r="AK211" s="500" t="s">
        <v>566</v>
      </c>
      <c r="AL211" s="56"/>
      <c r="AM211" s="56"/>
      <c r="AN211" s="56"/>
      <c r="AO211" s="56"/>
      <c r="AP211" s="56"/>
      <c r="AQ211" s="56"/>
      <c r="AT211" s="17" t="str">
        <f t="shared" si="182"/>
        <v>N/A</v>
      </c>
      <c r="AU211" s="17" t="str">
        <f t="shared" si="183"/>
        <v>N/A</v>
      </c>
      <c r="AV211" s="17" t="str">
        <f t="shared" si="184"/>
        <v>N/A</v>
      </c>
      <c r="AW211" s="17"/>
      <c r="AX211" s="17"/>
      <c r="AY211" s="17"/>
      <c r="BA211" s="278"/>
      <c r="BB211" s="17"/>
      <c r="BC211" s="17"/>
      <c r="BD211" s="17"/>
      <c r="BE211" s="13"/>
      <c r="BF211" s="13"/>
      <c r="BG211" s="13"/>
      <c r="BH211" s="1076"/>
      <c r="BL211" s="1076"/>
      <c r="BM211" s="1076"/>
      <c r="BP211" s="1076"/>
      <c r="BQ211" s="1076"/>
    </row>
    <row r="212" spans="1:69" ht="30">
      <c r="A212" s="792">
        <v>203</v>
      </c>
      <c r="B212" s="793" t="s">
        <v>564</v>
      </c>
      <c r="C212" s="977" t="s">
        <v>183</v>
      </c>
      <c r="D212" s="621" t="s">
        <v>567</v>
      </c>
      <c r="E212" s="964">
        <v>14</v>
      </c>
      <c r="F212" s="281" t="str">
        <f t="shared" ref="F212:F225" si="185">BE212</f>
        <v>Inn 01 - Man 03: begrensning av direkte klimagassutslipp fra aktiviteter tilknyttet utbyggingsområdet</v>
      </c>
      <c r="G212" s="95">
        <f>Inn01_credits</f>
        <v>1</v>
      </c>
      <c r="H212" s="29"/>
      <c r="I212" s="96">
        <f>Inn01_cont</f>
        <v>0</v>
      </c>
      <c r="J212" s="102" t="str">
        <f>Inn01_minstd</f>
        <v>N/A</v>
      </c>
      <c r="K212" s="66"/>
      <c r="L212" s="228"/>
      <c r="M212" s="545"/>
      <c r="N212" s="616"/>
      <c r="O212" s="69"/>
      <c r="P212" s="96">
        <f t="shared" ref="P212:P225" si="186">BL212</f>
        <v>0</v>
      </c>
      <c r="Q212" s="96" t="str">
        <f t="shared" ref="Q212:Q225" si="187">BM212</f>
        <v>N/A</v>
      </c>
      <c r="R212" s="551"/>
      <c r="S212" s="552"/>
      <c r="T212" s="545"/>
      <c r="U212" s="261"/>
      <c r="V212" s="69"/>
      <c r="W212" s="96">
        <f>VLOOKUP(D212,Poeng!$B$10:$BC$252,Poeng!AG$1,FALSE)</f>
        <v>0</v>
      </c>
      <c r="X212" s="96" t="str">
        <f>VLOOKUP(D212,Poeng!$B$10:$BK$252,Poeng!BK$1,FALSE)</f>
        <v>N/A</v>
      </c>
      <c r="Y212" s="67"/>
      <c r="Z212" s="66"/>
      <c r="AA212" s="545"/>
      <c r="AB212" s="105"/>
      <c r="AC212" s="473" t="s">
        <v>209</v>
      </c>
      <c r="AD212" s="17">
        <f t="shared" si="181"/>
        <v>0</v>
      </c>
      <c r="AE212" s="1">
        <f t="shared" ref="AE212:AE225" si="188">IF(L212=$AE$4,$AF$4,IF(L212=$AE$5,$AF$5,IF(L212=$AE$6,$AF$6,0)))</f>
        <v>0</v>
      </c>
      <c r="AF212" s="1">
        <f t="shared" ref="AF212:AF225" si="189">IF(S212=$AE$4,$AF$4,IF(S212=$AE$5,$AF$5,IF(S212=$AE$6,$AF$6,0)))</f>
        <v>0</v>
      </c>
      <c r="AG212" s="1">
        <f t="shared" ref="AG212:AG225" si="190">IF(Z212=$AE$4,$AF$4,IF(Z212=$AE$5,$AF$5,IF(Z212=$AE$6,$AF$6,0)))</f>
        <v>0</v>
      </c>
      <c r="AJ212" s="56"/>
      <c r="AK212" s="500" t="s">
        <v>568</v>
      </c>
      <c r="AL212" s="56"/>
      <c r="AM212" s="56"/>
      <c r="AN212" s="56"/>
      <c r="AO212" s="56"/>
      <c r="AP212" s="56"/>
      <c r="AQ212" s="56"/>
      <c r="AT212" s="17" t="str">
        <f t="shared" si="182"/>
        <v>N/A</v>
      </c>
      <c r="AU212" s="17" t="str">
        <f t="shared" si="183"/>
        <v>N/A</v>
      </c>
      <c r="AV212" s="17" t="str">
        <f t="shared" si="184"/>
        <v>N/A</v>
      </c>
      <c r="AW212" s="17"/>
      <c r="AX212" s="17"/>
      <c r="AY212" s="17"/>
      <c r="BA212" s="473"/>
      <c r="BB212" s="17"/>
      <c r="BC212" s="17" t="b">
        <f t="shared" ref="BC212:BC226" si="191">D212=BD212</f>
        <v>1</v>
      </c>
      <c r="BD212" s="17" t="str">
        <f>Poeng!B217</f>
        <v>Inn 01</v>
      </c>
      <c r="BE212" s="13" t="str">
        <f>Poeng!E217</f>
        <v>Inn 01 - Man 03: begrensning av direkte klimagassutslipp fra aktiviteter tilknyttet utbyggingsområdet</v>
      </c>
      <c r="BF212" s="13">
        <f>Poeng!AB217</f>
        <v>1</v>
      </c>
      <c r="BG212" s="13">
        <f>Poeng!AI217</f>
        <v>0</v>
      </c>
      <c r="BH212" s="1076">
        <f>Poeng!AE217</f>
        <v>0</v>
      </c>
      <c r="BI212" s="1" t="str">
        <f>Poeng!BE217</f>
        <v>N/A</v>
      </c>
      <c r="BK212" s="1">
        <f>Poeng!AJ217</f>
        <v>0</v>
      </c>
      <c r="BL212" s="1076">
        <f>Poeng!AF217</f>
        <v>0</v>
      </c>
      <c r="BM212" s="1076" t="str">
        <f>Poeng!BH217</f>
        <v>N/A</v>
      </c>
      <c r="BO212" s="1">
        <f>Poeng!AK217</f>
        <v>0</v>
      </c>
      <c r="BP212" s="1076">
        <f>Poeng!AG217</f>
        <v>0</v>
      </c>
      <c r="BQ212" s="1076" t="str">
        <f>Poeng!BK217</f>
        <v>N/A</v>
      </c>
    </row>
    <row r="213" spans="1:69">
      <c r="A213" s="792">
        <v>204</v>
      </c>
      <c r="B213" s="793" t="s">
        <v>564</v>
      </c>
      <c r="C213" s="977" t="s">
        <v>298</v>
      </c>
      <c r="D213" s="621" t="s">
        <v>569</v>
      </c>
      <c r="E213" s="981" t="s">
        <v>570</v>
      </c>
      <c r="F213" s="281" t="str">
        <f t="shared" si="185"/>
        <v xml:space="preserve">Inn 02 - Hea 01:  høyeste krav til utsyn </v>
      </c>
      <c r="G213" s="95">
        <f>Inn02_credits</f>
        <v>1</v>
      </c>
      <c r="H213" s="29"/>
      <c r="I213" s="96">
        <f>Inn02_cont</f>
        <v>0</v>
      </c>
      <c r="J213" s="102" t="str">
        <f>Inn02_minstd</f>
        <v>N/A</v>
      </c>
      <c r="K213" s="66"/>
      <c r="L213" s="228"/>
      <c r="M213" s="545"/>
      <c r="N213" s="616"/>
      <c r="O213" s="69"/>
      <c r="P213" s="96">
        <f t="shared" si="186"/>
        <v>0</v>
      </c>
      <c r="Q213" s="96" t="str">
        <f t="shared" si="187"/>
        <v>N/A</v>
      </c>
      <c r="R213" s="551"/>
      <c r="S213" s="552"/>
      <c r="T213" s="545"/>
      <c r="U213" s="261"/>
      <c r="V213" s="69"/>
      <c r="W213" s="96">
        <f>VLOOKUP(D213,Poeng!$B$10:$BC$252,Poeng!AG$1,FALSE)</f>
        <v>0</v>
      </c>
      <c r="X213" s="96" t="str">
        <f>VLOOKUP(D213,Poeng!$B$10:$BK$252,Poeng!BK$1,FALSE)</f>
        <v>N/A</v>
      </c>
      <c r="Y213" s="67"/>
      <c r="Z213" s="66"/>
      <c r="AA213" s="545"/>
      <c r="AB213" s="105"/>
      <c r="AC213" s="473" t="s">
        <v>209</v>
      </c>
      <c r="AD213" s="17">
        <f t="shared" si="181"/>
        <v>0</v>
      </c>
      <c r="AE213" s="1">
        <f t="shared" si="188"/>
        <v>0</v>
      </c>
      <c r="AF213" s="1">
        <f t="shared" si="189"/>
        <v>0</v>
      </c>
      <c r="AG213" s="1">
        <f t="shared" si="190"/>
        <v>0</v>
      </c>
      <c r="AJ213" s="56"/>
      <c r="AK213" s="500" t="s">
        <v>571</v>
      </c>
      <c r="AL213" s="56"/>
      <c r="AM213" s="56"/>
      <c r="AN213" s="56"/>
      <c r="AO213" s="56"/>
      <c r="AP213" s="56"/>
      <c r="AQ213" s="56"/>
      <c r="AT213" s="17" t="str">
        <f t="shared" si="182"/>
        <v>N/A</v>
      </c>
      <c r="AU213" s="17" t="str">
        <f t="shared" si="183"/>
        <v>N/A</v>
      </c>
      <c r="AV213" s="17" t="str">
        <f t="shared" si="184"/>
        <v>N/A</v>
      </c>
      <c r="AW213" s="17"/>
      <c r="AX213" s="17"/>
      <c r="AY213" s="17"/>
      <c r="BA213" s="473"/>
      <c r="BB213" s="17"/>
      <c r="BC213" s="17" t="b">
        <f t="shared" si="191"/>
        <v>1</v>
      </c>
      <c r="BD213" s="17" t="str">
        <f>Poeng!B218</f>
        <v>Inn 02</v>
      </c>
      <c r="BE213" s="13" t="str">
        <f>Poeng!E218</f>
        <v xml:space="preserve">Inn 02 - Hea 01:  høyeste krav til utsyn </v>
      </c>
      <c r="BF213" s="13">
        <f>Poeng!AB218</f>
        <v>1</v>
      </c>
      <c r="BG213" s="13">
        <f>Poeng!AI218</f>
        <v>0</v>
      </c>
      <c r="BH213" s="1076">
        <f>Poeng!AE218</f>
        <v>0</v>
      </c>
      <c r="BI213" s="1" t="str">
        <f>Poeng!BE218</f>
        <v>N/A</v>
      </c>
      <c r="BK213" s="1">
        <f>Poeng!AJ218</f>
        <v>0</v>
      </c>
      <c r="BL213" s="1076">
        <f>Poeng!AF218</f>
        <v>0</v>
      </c>
      <c r="BM213" s="1076" t="str">
        <f>Poeng!BH218</f>
        <v>N/A</v>
      </c>
      <c r="BO213" s="1">
        <f>Poeng!AK218</f>
        <v>0</v>
      </c>
      <c r="BP213" s="1076">
        <f>Poeng!AG218</f>
        <v>0</v>
      </c>
      <c r="BQ213" s="1076" t="str">
        <f>Poeng!BK218</f>
        <v>N/A</v>
      </c>
    </row>
    <row r="214" spans="1:69">
      <c r="A214" s="792">
        <v>205</v>
      </c>
      <c r="B214" s="793" t="s">
        <v>564</v>
      </c>
      <c r="C214" s="977" t="s">
        <v>182</v>
      </c>
      <c r="D214" s="621" t="s">
        <v>572</v>
      </c>
      <c r="E214" s="982">
        <v>12</v>
      </c>
      <c r="F214" s="281" t="str">
        <f t="shared" si="185"/>
        <v>Inn 03 - Hea 02: emisjoner fra byggeprodukter</v>
      </c>
      <c r="G214" s="95">
        <f>Inn03_credits</f>
        <v>1</v>
      </c>
      <c r="H214" s="29"/>
      <c r="I214" s="96">
        <f>Inn03_cont</f>
        <v>0</v>
      </c>
      <c r="J214" s="102" t="str">
        <f>Inn03_minstd</f>
        <v>N/A</v>
      </c>
      <c r="K214" s="66"/>
      <c r="L214" s="228"/>
      <c r="M214" s="545"/>
      <c r="N214" s="616"/>
      <c r="O214" s="69"/>
      <c r="P214" s="96">
        <f t="shared" si="186"/>
        <v>0</v>
      </c>
      <c r="Q214" s="96" t="str">
        <f t="shared" si="187"/>
        <v>N/A</v>
      </c>
      <c r="R214" s="551"/>
      <c r="S214" s="552"/>
      <c r="T214" s="545"/>
      <c r="U214" s="261"/>
      <c r="V214" s="69"/>
      <c r="W214" s="96">
        <f>VLOOKUP(D214,Poeng!$B$10:$BC$252,Poeng!AG$1,FALSE)</f>
        <v>0</v>
      </c>
      <c r="X214" s="96" t="str">
        <f>VLOOKUP(D214,Poeng!$B$10:$BK$252,Poeng!BK$1,FALSE)</f>
        <v>N/A</v>
      </c>
      <c r="Y214" s="67"/>
      <c r="Z214" s="66"/>
      <c r="AA214" s="545"/>
      <c r="AB214" s="105"/>
      <c r="AC214" s="473" t="s">
        <v>209</v>
      </c>
      <c r="AD214" s="17">
        <f t="shared" si="181"/>
        <v>0</v>
      </c>
      <c r="AE214" s="1">
        <f t="shared" si="188"/>
        <v>0</v>
      </c>
      <c r="AF214" s="1">
        <f t="shared" si="189"/>
        <v>0</v>
      </c>
      <c r="AG214" s="1">
        <f t="shared" si="190"/>
        <v>0</v>
      </c>
      <c r="AJ214" s="56"/>
      <c r="AK214" s="500" t="s">
        <v>573</v>
      </c>
      <c r="AL214" s="56"/>
      <c r="AM214" s="56"/>
      <c r="AN214" s="56"/>
      <c r="AO214" s="56"/>
      <c r="AP214" s="56"/>
      <c r="AQ214" s="56"/>
      <c r="AT214" s="17" t="str">
        <f t="shared" si="182"/>
        <v>N/A</v>
      </c>
      <c r="AU214" s="17" t="str">
        <f t="shared" si="183"/>
        <v>N/A</v>
      </c>
      <c r="AV214" s="17" t="str">
        <f t="shared" si="184"/>
        <v>N/A</v>
      </c>
      <c r="AW214" s="17"/>
      <c r="AX214" s="17"/>
      <c r="AY214" s="17"/>
      <c r="BA214" s="473"/>
      <c r="BB214" s="17"/>
      <c r="BC214" s="17" t="b">
        <f t="shared" si="191"/>
        <v>1</v>
      </c>
      <c r="BD214" s="17" t="str">
        <f>Poeng!B219</f>
        <v>Inn 03</v>
      </c>
      <c r="BE214" s="13" t="str">
        <f>Poeng!E219</f>
        <v>Inn 03 - Hea 02: emisjoner fra byggeprodukter</v>
      </c>
      <c r="BF214" s="13">
        <f>Poeng!AB219</f>
        <v>1</v>
      </c>
      <c r="BG214" s="13">
        <f>Poeng!AI219</f>
        <v>0</v>
      </c>
      <c r="BH214" s="1076">
        <f>Poeng!AE219</f>
        <v>0</v>
      </c>
      <c r="BI214" s="1" t="str">
        <f>Poeng!BE219</f>
        <v>N/A</v>
      </c>
      <c r="BK214" s="1">
        <f>Poeng!AJ219</f>
        <v>0</v>
      </c>
      <c r="BL214" s="1076">
        <f>Poeng!AF219</f>
        <v>0</v>
      </c>
      <c r="BM214" s="1076" t="str">
        <f>Poeng!BH219</f>
        <v>N/A</v>
      </c>
      <c r="BO214" s="1">
        <f>Poeng!AK219</f>
        <v>0</v>
      </c>
      <c r="BP214" s="1076">
        <f>Poeng!AG219</f>
        <v>0</v>
      </c>
      <c r="BQ214" s="1076" t="str">
        <f>Poeng!BK219</f>
        <v>N/A</v>
      </c>
    </row>
    <row r="215" spans="1:69">
      <c r="A215" s="792">
        <v>206</v>
      </c>
      <c r="B215" s="793" t="s">
        <v>564</v>
      </c>
      <c r="C215" s="977" t="s">
        <v>337</v>
      </c>
      <c r="D215" s="621" t="s">
        <v>574</v>
      </c>
      <c r="E215" s="981" t="s">
        <v>284</v>
      </c>
      <c r="F215" s="281" t="str">
        <f t="shared" si="185"/>
        <v xml:space="preserve">Inn 04 - Hea 06: Biofilisk design </v>
      </c>
      <c r="G215" s="95">
        <f>Inn04_credits</f>
        <v>1</v>
      </c>
      <c r="H215" s="29"/>
      <c r="I215" s="96">
        <f>Inn04_cont</f>
        <v>0</v>
      </c>
      <c r="J215" s="102" t="str">
        <f>Inn04_minstd</f>
        <v>N/A</v>
      </c>
      <c r="K215" s="66"/>
      <c r="L215" s="228"/>
      <c r="M215" s="545"/>
      <c r="N215" s="616"/>
      <c r="O215" s="69"/>
      <c r="P215" s="96">
        <f t="shared" si="186"/>
        <v>0</v>
      </c>
      <c r="Q215" s="96" t="str">
        <f t="shared" si="187"/>
        <v>N/A</v>
      </c>
      <c r="R215" s="551"/>
      <c r="S215" s="552"/>
      <c r="T215" s="545"/>
      <c r="U215" s="261"/>
      <c r="V215" s="69"/>
      <c r="W215" s="96">
        <f>VLOOKUP(D215,Poeng!$B$10:$BC$252,Poeng!AG$1,FALSE)</f>
        <v>0</v>
      </c>
      <c r="X215" s="96" t="str">
        <f>VLOOKUP(D215,Poeng!$B$10:$BK$252,Poeng!BK$1,FALSE)</f>
        <v>N/A</v>
      </c>
      <c r="Y215" s="67"/>
      <c r="Z215" s="66"/>
      <c r="AA215" s="545"/>
      <c r="AB215" s="105"/>
      <c r="AC215" s="473" t="s">
        <v>209</v>
      </c>
      <c r="AD215" s="17">
        <f t="shared" si="181"/>
        <v>0</v>
      </c>
      <c r="AE215" s="1">
        <f t="shared" si="188"/>
        <v>0</v>
      </c>
      <c r="AF215" s="1">
        <f t="shared" si="189"/>
        <v>0</v>
      </c>
      <c r="AG215" s="1">
        <f t="shared" si="190"/>
        <v>0</v>
      </c>
      <c r="AJ215" s="56"/>
      <c r="AK215" s="500" t="s">
        <v>575</v>
      </c>
      <c r="AL215" s="56"/>
      <c r="AM215" s="56"/>
      <c r="AN215" s="56"/>
      <c r="AO215" s="56"/>
      <c r="AP215" s="56"/>
      <c r="AQ215" s="56"/>
      <c r="AT215" s="17" t="str">
        <f t="shared" si="182"/>
        <v>N/A</v>
      </c>
      <c r="AU215" s="17" t="str">
        <f t="shared" si="183"/>
        <v>N/A</v>
      </c>
      <c r="AV215" s="17" t="str">
        <f t="shared" si="184"/>
        <v>N/A</v>
      </c>
      <c r="AW215" s="17"/>
      <c r="AX215" s="17"/>
      <c r="AY215" s="17"/>
      <c r="BA215" s="473"/>
      <c r="BB215" s="17"/>
      <c r="BC215" s="17" t="b">
        <f t="shared" si="191"/>
        <v>1</v>
      </c>
      <c r="BD215" s="17" t="str">
        <f>Poeng!B220</f>
        <v>Inn 04</v>
      </c>
      <c r="BE215" s="13" t="str">
        <f>Poeng!E220</f>
        <v xml:space="preserve">Inn 04 - Hea 06: Biofilisk design </v>
      </c>
      <c r="BF215" s="13">
        <f>Poeng!AB220</f>
        <v>1</v>
      </c>
      <c r="BG215" s="13">
        <f>Poeng!AI220</f>
        <v>0</v>
      </c>
      <c r="BH215" s="1076">
        <f>Poeng!AE220</f>
        <v>0</v>
      </c>
      <c r="BI215" s="1" t="str">
        <f>Poeng!BE220</f>
        <v>N/A</v>
      </c>
      <c r="BK215" s="1">
        <f>Poeng!AJ220</f>
        <v>0</v>
      </c>
      <c r="BL215" s="1076">
        <f>Poeng!AF220</f>
        <v>0</v>
      </c>
      <c r="BM215" s="1076" t="str">
        <f>Poeng!BH220</f>
        <v>N/A</v>
      </c>
      <c r="BO215" s="1">
        <f>Poeng!AK220</f>
        <v>0</v>
      </c>
      <c r="BP215" s="1076">
        <f>Poeng!AG220</f>
        <v>0</v>
      </c>
      <c r="BQ215" s="1076" t="str">
        <f>Poeng!BK220</f>
        <v>N/A</v>
      </c>
    </row>
    <row r="216" spans="1:69">
      <c r="A216" s="792">
        <v>207</v>
      </c>
      <c r="B216" s="793" t="s">
        <v>564</v>
      </c>
      <c r="C216" s="977" t="s">
        <v>352</v>
      </c>
      <c r="D216" s="621" t="s">
        <v>576</v>
      </c>
      <c r="E216" s="981" t="s">
        <v>577</v>
      </c>
      <c r="F216" s="281" t="str">
        <f t="shared" si="185"/>
        <v>Inn 05 - Ene 01:  energiledelse i driftsperiode</v>
      </c>
      <c r="G216" s="95">
        <f>Inn05_credits</f>
        <v>2</v>
      </c>
      <c r="H216" s="29"/>
      <c r="I216" s="96">
        <f>Inn05_cont</f>
        <v>0</v>
      </c>
      <c r="J216" s="102" t="str">
        <f>Inn05_minstd</f>
        <v>N/A</v>
      </c>
      <c r="K216" s="66"/>
      <c r="L216" s="228"/>
      <c r="M216" s="545"/>
      <c r="N216" s="616"/>
      <c r="O216" s="69"/>
      <c r="P216" s="96">
        <f t="shared" si="186"/>
        <v>0</v>
      </c>
      <c r="Q216" s="96" t="str">
        <f t="shared" si="187"/>
        <v>N/A</v>
      </c>
      <c r="R216" s="551"/>
      <c r="S216" s="552"/>
      <c r="T216" s="545"/>
      <c r="U216" s="261"/>
      <c r="V216" s="69"/>
      <c r="W216" s="96">
        <f>VLOOKUP(D216,Poeng!$B$10:$BC$252,Poeng!AG$1,FALSE)</f>
        <v>0</v>
      </c>
      <c r="X216" s="96" t="str">
        <f>VLOOKUP(D216,Poeng!$B$10:$BK$252,Poeng!BK$1,FALSE)</f>
        <v>N/A</v>
      </c>
      <c r="Y216" s="67"/>
      <c r="Z216" s="66"/>
      <c r="AA216" s="545"/>
      <c r="AB216" s="105"/>
      <c r="AC216" s="473" t="s">
        <v>209</v>
      </c>
      <c r="AD216" s="17">
        <f t="shared" si="181"/>
        <v>0</v>
      </c>
      <c r="AE216" s="1">
        <f t="shared" si="188"/>
        <v>0</v>
      </c>
      <c r="AF216" s="1">
        <f t="shared" si="189"/>
        <v>0</v>
      </c>
      <c r="AG216" s="1">
        <f t="shared" si="190"/>
        <v>0</v>
      </c>
      <c r="AJ216" s="56"/>
      <c r="AK216" s="500" t="s">
        <v>578</v>
      </c>
      <c r="AL216" s="56"/>
      <c r="AM216" s="56"/>
      <c r="AN216" s="56"/>
      <c r="AO216" s="56"/>
      <c r="AP216" s="56"/>
      <c r="AQ216" s="56"/>
      <c r="AT216" s="17" t="str">
        <f t="shared" si="182"/>
        <v>N/A</v>
      </c>
      <c r="AU216" s="17" t="str">
        <f t="shared" si="183"/>
        <v>N/A</v>
      </c>
      <c r="AV216" s="17" t="str">
        <f t="shared" si="184"/>
        <v>N/A</v>
      </c>
      <c r="AW216" s="17"/>
      <c r="AX216" s="17"/>
      <c r="AY216" s="17"/>
      <c r="BA216" s="473"/>
      <c r="BB216" s="17"/>
      <c r="BC216" s="17" t="b">
        <f t="shared" si="191"/>
        <v>1</v>
      </c>
      <c r="BD216" s="17" t="str">
        <f>Poeng!B221</f>
        <v>Inn 05</v>
      </c>
      <c r="BE216" s="13" t="str">
        <f>Poeng!E221</f>
        <v>Inn 05 - Ene 01:  energiledelse i driftsperiode</v>
      </c>
      <c r="BF216" s="13">
        <f>Poeng!AB221</f>
        <v>2</v>
      </c>
      <c r="BG216" s="13">
        <f>Poeng!AI221</f>
        <v>0</v>
      </c>
      <c r="BH216" s="1076">
        <f>Poeng!AE221</f>
        <v>0</v>
      </c>
      <c r="BI216" s="1" t="str">
        <f>Poeng!BE221</f>
        <v>N/A</v>
      </c>
      <c r="BK216" s="1">
        <f>Poeng!AJ221</f>
        <v>0</v>
      </c>
      <c r="BL216" s="1076">
        <f>Poeng!AF221</f>
        <v>0</v>
      </c>
      <c r="BM216" s="1076" t="str">
        <f>Poeng!BH221</f>
        <v>N/A</v>
      </c>
      <c r="BO216" s="1">
        <f>Poeng!AK221</f>
        <v>0</v>
      </c>
      <c r="BP216" s="1076">
        <f>Poeng!AG221</f>
        <v>0</v>
      </c>
      <c r="BQ216" s="1076" t="str">
        <f>Poeng!BK221</f>
        <v>N/A</v>
      </c>
    </row>
    <row r="217" spans="1:69">
      <c r="A217" s="792">
        <v>208</v>
      </c>
      <c r="B217" s="793" t="s">
        <v>564</v>
      </c>
      <c r="C217" s="977" t="s">
        <v>352</v>
      </c>
      <c r="D217" s="621" t="s">
        <v>579</v>
      </c>
      <c r="E217" s="981">
        <v>21</v>
      </c>
      <c r="F217" s="281" t="str">
        <f t="shared" si="185"/>
        <v>Inn 06 - Ene 01: plusshus</v>
      </c>
      <c r="G217" s="95">
        <f>Inn06_credits</f>
        <v>1</v>
      </c>
      <c r="H217" s="29"/>
      <c r="I217" s="96">
        <f>Inn06_cont</f>
        <v>0</v>
      </c>
      <c r="J217" s="102" t="str">
        <f>Inn06_minstd</f>
        <v>N/A</v>
      </c>
      <c r="K217" s="66"/>
      <c r="L217" s="228"/>
      <c r="M217" s="545"/>
      <c r="N217" s="616"/>
      <c r="O217" s="69"/>
      <c r="P217" s="96">
        <f t="shared" si="186"/>
        <v>0</v>
      </c>
      <c r="Q217" s="96" t="str">
        <f t="shared" si="187"/>
        <v>N/A</v>
      </c>
      <c r="R217" s="551"/>
      <c r="S217" s="552"/>
      <c r="T217" s="545"/>
      <c r="U217" s="261"/>
      <c r="V217" s="69"/>
      <c r="W217" s="96">
        <f>VLOOKUP(D217,Poeng!$B$10:$BC$252,Poeng!AG$1,FALSE)</f>
        <v>0</v>
      </c>
      <c r="X217" s="96" t="str">
        <f>VLOOKUP(D217,Poeng!$B$10:$BK$252,Poeng!BK$1,FALSE)</f>
        <v>N/A</v>
      </c>
      <c r="Y217" s="67"/>
      <c r="Z217" s="66"/>
      <c r="AA217" s="545"/>
      <c r="AB217" s="105"/>
      <c r="AC217" s="473" t="s">
        <v>209</v>
      </c>
      <c r="AD217" s="17">
        <f t="shared" si="181"/>
        <v>0</v>
      </c>
      <c r="AE217" s="1">
        <f t="shared" si="188"/>
        <v>0</v>
      </c>
      <c r="AF217" s="1">
        <f t="shared" si="189"/>
        <v>0</v>
      </c>
      <c r="AG217" s="1">
        <f t="shared" si="190"/>
        <v>0</v>
      </c>
      <c r="AJ217" s="56"/>
      <c r="AK217" s="500" t="s">
        <v>580</v>
      </c>
      <c r="AL217" s="56"/>
      <c r="AM217" s="56"/>
      <c r="AN217" s="56"/>
      <c r="AO217" s="56"/>
      <c r="AP217" s="56"/>
      <c r="AQ217" s="56"/>
      <c r="AT217" s="17" t="str">
        <f t="shared" si="182"/>
        <v>N/A</v>
      </c>
      <c r="AU217" s="17" t="str">
        <f t="shared" si="183"/>
        <v>N/A</v>
      </c>
      <c r="AV217" s="17" t="str">
        <f t="shared" si="184"/>
        <v>N/A</v>
      </c>
      <c r="AW217" s="17"/>
      <c r="AX217" s="17"/>
      <c r="AY217" s="17"/>
      <c r="BA217" s="473"/>
      <c r="BB217" s="17"/>
      <c r="BC217" s="17" t="b">
        <f t="shared" si="191"/>
        <v>1</v>
      </c>
      <c r="BD217" s="17" t="str">
        <f>Poeng!B222</f>
        <v>Inn 06</v>
      </c>
      <c r="BE217" s="13" t="str">
        <f>Poeng!E222</f>
        <v>Inn 06 - Ene 01: plusshus</v>
      </c>
      <c r="BF217" s="13">
        <f>Poeng!AB222</f>
        <v>1</v>
      </c>
      <c r="BG217" s="13">
        <f>Poeng!AI222</f>
        <v>0</v>
      </c>
      <c r="BH217" s="1076">
        <f>Poeng!AE222</f>
        <v>0</v>
      </c>
      <c r="BI217" s="1" t="str">
        <f>Poeng!BE222</f>
        <v>N/A</v>
      </c>
      <c r="BK217" s="1">
        <f>Poeng!AJ222</f>
        <v>0</v>
      </c>
      <c r="BL217" s="1076">
        <f>Poeng!AF222</f>
        <v>0</v>
      </c>
      <c r="BM217" s="1076" t="str">
        <f>Poeng!BH222</f>
        <v>N/A</v>
      </c>
      <c r="BO217" s="1">
        <f>Poeng!AK222</f>
        <v>0</v>
      </c>
      <c r="BP217" s="1076">
        <f>Poeng!AG222</f>
        <v>0</v>
      </c>
      <c r="BQ217" s="1076" t="str">
        <f>Poeng!BK222</f>
        <v>N/A</v>
      </c>
    </row>
    <row r="218" spans="1:69">
      <c r="A218" s="792">
        <v>209</v>
      </c>
      <c r="B218" s="793" t="s">
        <v>564</v>
      </c>
      <c r="C218" s="977" t="s">
        <v>414</v>
      </c>
      <c r="D218" s="621" t="s">
        <v>581</v>
      </c>
      <c r="E218" s="982">
        <v>8</v>
      </c>
      <c r="F218" s="281" t="str">
        <f t="shared" si="185"/>
        <v>Inn 07 - Wat 01: svært vanneffektivt sanitærutstyr</v>
      </c>
      <c r="G218" s="95">
        <f>Inn07_credits</f>
        <v>1</v>
      </c>
      <c r="H218" s="29"/>
      <c r="I218" s="96">
        <f>Inn07_cont</f>
        <v>0</v>
      </c>
      <c r="J218" s="102" t="str">
        <f>Inn07_minstd</f>
        <v>N/A</v>
      </c>
      <c r="K218" s="66"/>
      <c r="L218" s="228"/>
      <c r="M218" s="545"/>
      <c r="N218" s="616"/>
      <c r="O218" s="69"/>
      <c r="P218" s="96">
        <f t="shared" si="186"/>
        <v>0</v>
      </c>
      <c r="Q218" s="96" t="str">
        <f t="shared" si="187"/>
        <v>N/A</v>
      </c>
      <c r="R218" s="551"/>
      <c r="S218" s="552"/>
      <c r="T218" s="545"/>
      <c r="U218" s="261"/>
      <c r="V218" s="69"/>
      <c r="W218" s="96">
        <f>VLOOKUP(D218,Poeng!$B$10:$BC$252,Poeng!AG$1,FALSE)</f>
        <v>0</v>
      </c>
      <c r="X218" s="96" t="str">
        <f>VLOOKUP(D218,Poeng!$B$10:$BK$252,Poeng!BK$1,FALSE)</f>
        <v>N/A</v>
      </c>
      <c r="Y218" s="67"/>
      <c r="Z218" s="66"/>
      <c r="AA218" s="545"/>
      <c r="AB218" s="105"/>
      <c r="AC218" s="473" t="s">
        <v>209</v>
      </c>
      <c r="AD218" s="17">
        <f t="shared" si="181"/>
        <v>0</v>
      </c>
      <c r="AE218" s="1">
        <f t="shared" si="188"/>
        <v>0</v>
      </c>
      <c r="AF218" s="1">
        <f t="shared" si="189"/>
        <v>0</v>
      </c>
      <c r="AG218" s="1">
        <f t="shared" si="190"/>
        <v>0</v>
      </c>
      <c r="AJ218" s="56"/>
      <c r="AK218" s="500" t="s">
        <v>582</v>
      </c>
      <c r="AL218" s="56"/>
      <c r="AM218" s="56"/>
      <c r="AN218" s="56"/>
      <c r="AO218" s="56"/>
      <c r="AP218" s="56"/>
      <c r="AQ218" s="56"/>
      <c r="AT218" s="17" t="str">
        <f t="shared" si="182"/>
        <v>N/A</v>
      </c>
      <c r="AU218" s="17" t="str">
        <f t="shared" si="183"/>
        <v>N/A</v>
      </c>
      <c r="AV218" s="17" t="str">
        <f t="shared" si="184"/>
        <v>N/A</v>
      </c>
      <c r="AW218" s="17"/>
      <c r="AX218" s="17"/>
      <c r="AY218" s="17"/>
      <c r="BA218" s="473"/>
      <c r="BB218" s="17"/>
      <c r="BC218" s="17" t="b">
        <f t="shared" si="191"/>
        <v>1</v>
      </c>
      <c r="BD218" s="17" t="str">
        <f>Poeng!B223</f>
        <v>Inn 07</v>
      </c>
      <c r="BE218" s="13" t="str">
        <f>Poeng!E223</f>
        <v>Inn 07 - Wat 01: svært vanneffektivt sanitærutstyr</v>
      </c>
      <c r="BF218" s="13">
        <f>Poeng!AB223</f>
        <v>1</v>
      </c>
      <c r="BG218" s="13">
        <f>Poeng!AI223</f>
        <v>0</v>
      </c>
      <c r="BH218" s="1076">
        <f>Poeng!AE223</f>
        <v>0</v>
      </c>
      <c r="BI218" s="1" t="str">
        <f>Poeng!BE223</f>
        <v>N/A</v>
      </c>
      <c r="BK218" s="1">
        <f>Poeng!AJ223</f>
        <v>0</v>
      </c>
      <c r="BL218" s="1076">
        <f>Poeng!AF223</f>
        <v>0</v>
      </c>
      <c r="BM218" s="1076" t="str">
        <f>Poeng!BH223</f>
        <v>N/A</v>
      </c>
      <c r="BO218" s="1">
        <f>Poeng!AK223</f>
        <v>0</v>
      </c>
      <c r="BP218" s="1076">
        <f>Poeng!AG223</f>
        <v>0</v>
      </c>
      <c r="BQ218" s="1076" t="str">
        <f>Poeng!BK223</f>
        <v>N/A</v>
      </c>
    </row>
    <row r="219" spans="1:69">
      <c r="A219" s="792">
        <v>210</v>
      </c>
      <c r="B219" s="793" t="s">
        <v>564</v>
      </c>
      <c r="C219" s="977" t="s">
        <v>440</v>
      </c>
      <c r="D219" s="621" t="s">
        <v>583</v>
      </c>
      <c r="E219" s="982">
        <v>4</v>
      </c>
      <c r="F219" s="281" t="str">
        <f t="shared" si="185"/>
        <v>Inn 08 - Mat 01: 60 % reduksjon av klimagassutslipp</v>
      </c>
      <c r="G219" s="95">
        <f>Inn08_credits</f>
        <v>1</v>
      </c>
      <c r="H219" s="29"/>
      <c r="I219" s="96">
        <f>Inn08_cont</f>
        <v>0</v>
      </c>
      <c r="J219" s="102" t="str">
        <f>Inn08_minstd</f>
        <v>N/A</v>
      </c>
      <c r="K219" s="66"/>
      <c r="L219" s="228"/>
      <c r="M219" s="545"/>
      <c r="N219" s="616"/>
      <c r="O219" s="69"/>
      <c r="P219" s="96">
        <f t="shared" si="186"/>
        <v>0</v>
      </c>
      <c r="Q219" s="96" t="str">
        <f t="shared" si="187"/>
        <v>N/A</v>
      </c>
      <c r="R219" s="551"/>
      <c r="S219" s="552"/>
      <c r="T219" s="545"/>
      <c r="U219" s="261"/>
      <c r="V219" s="69"/>
      <c r="W219" s="96">
        <f>VLOOKUP(D219,Poeng!$B$10:$BC$252,Poeng!AG$1,FALSE)</f>
        <v>0</v>
      </c>
      <c r="X219" s="96" t="str">
        <f>VLOOKUP(D219,Poeng!$B$10:$BK$252,Poeng!BK$1,FALSE)</f>
        <v>N/A</v>
      </c>
      <c r="Y219" s="67"/>
      <c r="Z219" s="66"/>
      <c r="AA219" s="545"/>
      <c r="AB219" s="105"/>
      <c r="AC219" s="473" t="s">
        <v>209</v>
      </c>
      <c r="AD219" s="17">
        <f t="shared" si="181"/>
        <v>0</v>
      </c>
      <c r="AE219" s="1">
        <f t="shared" si="188"/>
        <v>0</v>
      </c>
      <c r="AF219" s="1">
        <f t="shared" si="189"/>
        <v>0</v>
      </c>
      <c r="AG219" s="1">
        <f t="shared" si="190"/>
        <v>0</v>
      </c>
      <c r="AJ219" s="56"/>
      <c r="AK219" s="500" t="s">
        <v>584</v>
      </c>
      <c r="AL219" s="56"/>
      <c r="AM219" s="56"/>
      <c r="AN219" s="56"/>
      <c r="AO219" s="56"/>
      <c r="AP219" s="56"/>
      <c r="AQ219" s="56"/>
      <c r="AT219" s="17" t="str">
        <f t="shared" si="182"/>
        <v>N/A</v>
      </c>
      <c r="AU219" s="17" t="str">
        <f t="shared" si="183"/>
        <v>N/A</v>
      </c>
      <c r="AV219" s="17" t="str">
        <f t="shared" si="184"/>
        <v>N/A</v>
      </c>
      <c r="AW219" s="17"/>
      <c r="AX219" s="17"/>
      <c r="AY219" s="17"/>
      <c r="BA219" s="473"/>
      <c r="BB219" s="17"/>
      <c r="BC219" s="17" t="b">
        <f t="shared" si="191"/>
        <v>1</v>
      </c>
      <c r="BD219" s="17" t="str">
        <f>Poeng!B224</f>
        <v>Inn 08</v>
      </c>
      <c r="BE219" s="13" t="str">
        <f>Poeng!E224</f>
        <v>Inn 08 - Mat 01: 60 % reduksjon av klimagassutslipp</v>
      </c>
      <c r="BF219" s="13">
        <f>Poeng!AB224</f>
        <v>1</v>
      </c>
      <c r="BG219" s="13">
        <f>Poeng!AI224</f>
        <v>0</v>
      </c>
      <c r="BH219" s="1076">
        <f>Poeng!AE224</f>
        <v>0</v>
      </c>
      <c r="BI219" s="1" t="str">
        <f>Poeng!BE224</f>
        <v>N/A</v>
      </c>
      <c r="BK219" s="1">
        <f>Poeng!AJ224</f>
        <v>0</v>
      </c>
      <c r="BL219" s="1076">
        <f>Poeng!AF224</f>
        <v>0</v>
      </c>
      <c r="BM219" s="1076" t="str">
        <f>Poeng!BH224</f>
        <v>N/A</v>
      </c>
      <c r="BO219" s="1">
        <f>Poeng!AK224</f>
        <v>0</v>
      </c>
      <c r="BP219" s="1076">
        <f>Poeng!AG224</f>
        <v>0</v>
      </c>
      <c r="BQ219" s="1076" t="str">
        <f>Poeng!BK224</f>
        <v>N/A</v>
      </c>
    </row>
    <row r="220" spans="1:69" ht="34.5" customHeight="1">
      <c r="A220" s="792">
        <v>211</v>
      </c>
      <c r="B220" s="793" t="s">
        <v>564</v>
      </c>
      <c r="C220" s="978" t="s">
        <v>463</v>
      </c>
      <c r="D220" s="621" t="s">
        <v>585</v>
      </c>
      <c r="E220" s="983">
        <v>6</v>
      </c>
      <c r="F220" s="281" t="str">
        <f t="shared" si="185"/>
        <v>Inn 09 - Mat 06: FutureBuilt-kriterier under 2.3 Ombruk av bygningsdeler for sirkulære bygg</v>
      </c>
      <c r="G220" s="95">
        <f>Inn09_credits</f>
        <v>1</v>
      </c>
      <c r="H220" s="29"/>
      <c r="I220" s="96">
        <f>Inn09_cont</f>
        <v>0</v>
      </c>
      <c r="J220" s="102" t="str">
        <f>Inn09_minstd</f>
        <v>N/A</v>
      </c>
      <c r="K220" s="66"/>
      <c r="L220" s="228"/>
      <c r="M220" s="545"/>
      <c r="N220" s="616"/>
      <c r="O220" s="69"/>
      <c r="P220" s="96">
        <f t="shared" si="186"/>
        <v>0</v>
      </c>
      <c r="Q220" s="96" t="str">
        <f t="shared" si="187"/>
        <v>N/A</v>
      </c>
      <c r="R220" s="551"/>
      <c r="S220" s="552"/>
      <c r="T220" s="545"/>
      <c r="U220" s="261"/>
      <c r="V220" s="69"/>
      <c r="W220" s="96">
        <f>VLOOKUP(D220,Poeng!$B$10:$BC$252,Poeng!AG$1,FALSE)</f>
        <v>0</v>
      </c>
      <c r="X220" s="96" t="str">
        <f>VLOOKUP(D220,Poeng!$B$10:$BK$252,Poeng!BK$1,FALSE)</f>
        <v>N/A</v>
      </c>
      <c r="Y220" s="67"/>
      <c r="Z220" s="66"/>
      <c r="AA220" s="545"/>
      <c r="AB220" s="105"/>
      <c r="AC220" s="473" t="s">
        <v>209</v>
      </c>
      <c r="AD220" s="17">
        <f t="shared" si="181"/>
        <v>0</v>
      </c>
      <c r="AE220" s="1">
        <f t="shared" si="188"/>
        <v>0</v>
      </c>
      <c r="AF220" s="1">
        <f t="shared" si="189"/>
        <v>0</v>
      </c>
      <c r="AG220" s="1">
        <f t="shared" si="190"/>
        <v>0</v>
      </c>
      <c r="AJ220" s="56"/>
      <c r="AK220" s="500" t="s">
        <v>586</v>
      </c>
      <c r="AL220" s="56"/>
      <c r="AM220" s="56"/>
      <c r="AN220" s="56"/>
      <c r="AO220" s="56"/>
      <c r="AP220" s="56"/>
      <c r="AQ220" s="56"/>
      <c r="AT220" s="17" t="str">
        <f t="shared" si="182"/>
        <v>N/A</v>
      </c>
      <c r="AU220" s="17" t="str">
        <f t="shared" si="183"/>
        <v>N/A</v>
      </c>
      <c r="AV220" s="17" t="str">
        <f t="shared" si="184"/>
        <v>N/A</v>
      </c>
      <c r="AW220" s="17"/>
      <c r="AX220" s="17"/>
      <c r="AY220" s="17"/>
      <c r="BA220" s="473"/>
      <c r="BB220" s="17"/>
      <c r="BC220" s="17" t="b">
        <f t="shared" si="191"/>
        <v>1</v>
      </c>
      <c r="BD220" s="17" t="str">
        <f>Poeng!B225</f>
        <v>Inn 09</v>
      </c>
      <c r="BE220" s="13" t="str">
        <f>Poeng!E225</f>
        <v>Inn 09 - Mat 06: FutureBuilt-kriterier under 2.3 Ombruk av bygningsdeler for sirkulære bygg</v>
      </c>
      <c r="BF220" s="13">
        <f>Poeng!AB225</f>
        <v>1</v>
      </c>
      <c r="BG220" s="13">
        <f>Poeng!AI225</f>
        <v>0</v>
      </c>
      <c r="BH220" s="1076">
        <f>Poeng!AE225</f>
        <v>0</v>
      </c>
      <c r="BI220" s="1" t="str">
        <f>Poeng!BE225</f>
        <v>N/A</v>
      </c>
      <c r="BK220" s="1">
        <f>Poeng!AJ225</f>
        <v>0</v>
      </c>
      <c r="BL220" s="1076">
        <f>Poeng!AF225</f>
        <v>0</v>
      </c>
      <c r="BM220" s="1076" t="str">
        <f>Poeng!BH225</f>
        <v>N/A</v>
      </c>
      <c r="BO220" s="1">
        <f>Poeng!AK225</f>
        <v>0</v>
      </c>
      <c r="BP220" s="1076">
        <f>Poeng!AG225</f>
        <v>0</v>
      </c>
      <c r="BQ220" s="1076" t="str">
        <f>Poeng!BK225</f>
        <v>N/A</v>
      </c>
    </row>
    <row r="221" spans="1:69">
      <c r="A221" s="792">
        <v>212</v>
      </c>
      <c r="B221" s="793" t="s">
        <v>564</v>
      </c>
      <c r="C221" s="977" t="s">
        <v>478</v>
      </c>
      <c r="D221" s="621" t="s">
        <v>587</v>
      </c>
      <c r="E221" s="982">
        <v>5</v>
      </c>
      <c r="F221" s="281" t="str">
        <f t="shared" si="185"/>
        <v>Inn 10 - Wst 01: svært lave avfallsmengder</v>
      </c>
      <c r="G221" s="526">
        <f>Inn10_credits</f>
        <v>1</v>
      </c>
      <c r="H221" s="29"/>
      <c r="I221" s="96">
        <f>Inn10_cont</f>
        <v>0</v>
      </c>
      <c r="J221" s="102" t="str">
        <f>Inn10_minstd</f>
        <v>N/A</v>
      </c>
      <c r="K221" s="66"/>
      <c r="L221" s="228"/>
      <c r="M221" s="545"/>
      <c r="N221" s="616"/>
      <c r="O221" s="69"/>
      <c r="P221" s="96">
        <f t="shared" si="186"/>
        <v>0</v>
      </c>
      <c r="Q221" s="96" t="str">
        <f t="shared" si="187"/>
        <v>N/A</v>
      </c>
      <c r="R221" s="551"/>
      <c r="S221" s="552"/>
      <c r="T221" s="545"/>
      <c r="U221" s="261"/>
      <c r="V221" s="69"/>
      <c r="W221" s="96">
        <f>VLOOKUP(D221,Poeng!$B$10:$BC$252,Poeng!AG$1,FALSE)</f>
        <v>0</v>
      </c>
      <c r="X221" s="96" t="str">
        <f>VLOOKUP(D221,Poeng!$B$10:$BK$252,Poeng!BK$1,FALSE)</f>
        <v>N/A</v>
      </c>
      <c r="Y221" s="67"/>
      <c r="Z221" s="66"/>
      <c r="AA221" s="545"/>
      <c r="AB221" s="105"/>
      <c r="AC221" s="527"/>
      <c r="AD221" s="17">
        <f t="shared" si="181"/>
        <v>0</v>
      </c>
      <c r="AE221" s="1">
        <f t="shared" si="188"/>
        <v>0</v>
      </c>
      <c r="AF221" s="1">
        <f t="shared" si="189"/>
        <v>0</v>
      </c>
      <c r="AG221" s="1">
        <f t="shared" si="190"/>
        <v>0</v>
      </c>
      <c r="AJ221" s="56"/>
      <c r="AK221" s="500"/>
      <c r="AL221" s="56"/>
      <c r="AM221" s="56"/>
      <c r="AN221" s="56"/>
      <c r="AO221" s="56"/>
      <c r="AP221" s="56"/>
      <c r="AQ221" s="56"/>
      <c r="AT221" s="17"/>
      <c r="AU221" s="17"/>
      <c r="AV221" s="17"/>
      <c r="AW221" s="17"/>
      <c r="AX221" s="17"/>
      <c r="AY221" s="17"/>
      <c r="BA221" s="527"/>
      <c r="BB221" s="17"/>
      <c r="BC221" s="17" t="b">
        <f t="shared" si="191"/>
        <v>1</v>
      </c>
      <c r="BD221" s="17" t="str">
        <f>Poeng!B226</f>
        <v>Inn 10</v>
      </c>
      <c r="BE221" s="13" t="str">
        <f>Poeng!E226</f>
        <v>Inn 10 - Wst 01: svært lave avfallsmengder</v>
      </c>
      <c r="BF221" s="13">
        <f>Poeng!AB226</f>
        <v>1</v>
      </c>
      <c r="BG221" s="13">
        <f>Poeng!AI226</f>
        <v>0</v>
      </c>
      <c r="BH221" s="1076">
        <f>Poeng!AE226</f>
        <v>0</v>
      </c>
      <c r="BI221" s="1" t="str">
        <f>Poeng!BE226</f>
        <v>N/A</v>
      </c>
      <c r="BK221" s="1">
        <f>Poeng!AJ226</f>
        <v>0</v>
      </c>
      <c r="BL221" s="1076">
        <f>Poeng!AF226</f>
        <v>0</v>
      </c>
      <c r="BM221" s="1076" t="str">
        <f>Poeng!BH226</f>
        <v>N/A</v>
      </c>
      <c r="BO221" s="1">
        <f>Poeng!AK226</f>
        <v>0</v>
      </c>
      <c r="BP221" s="1076">
        <f>Poeng!AG226</f>
        <v>0</v>
      </c>
      <c r="BQ221" s="1076" t="str">
        <f>Poeng!BK226</f>
        <v>N/A</v>
      </c>
    </row>
    <row r="222" spans="1:69">
      <c r="A222" s="792">
        <v>213</v>
      </c>
      <c r="B222" s="793" t="s">
        <v>564</v>
      </c>
      <c r="C222" s="977" t="s">
        <v>503</v>
      </c>
      <c r="D222" s="621" t="s">
        <v>588</v>
      </c>
      <c r="E222" s="981" t="s">
        <v>256</v>
      </c>
      <c r="F222" s="281" t="str">
        <f t="shared" si="185"/>
        <v>Inn 11 - LE 02:  helhetlig bærekraft for utbyggingsområdet</v>
      </c>
      <c r="G222" s="526">
        <f>Inn11_credits</f>
        <v>1</v>
      </c>
      <c r="H222" s="29"/>
      <c r="I222" s="96">
        <f>Inn11_cont</f>
        <v>0</v>
      </c>
      <c r="J222" s="102" t="str">
        <f>Inn11_minstd</f>
        <v>N/A</v>
      </c>
      <c r="K222" s="66"/>
      <c r="L222" s="228"/>
      <c r="M222" s="545"/>
      <c r="N222" s="616"/>
      <c r="O222" s="69"/>
      <c r="P222" s="96">
        <f t="shared" si="186"/>
        <v>0</v>
      </c>
      <c r="Q222" s="96" t="str">
        <f t="shared" si="187"/>
        <v>N/A</v>
      </c>
      <c r="R222" s="551"/>
      <c r="S222" s="552"/>
      <c r="T222" s="545"/>
      <c r="U222" s="261"/>
      <c r="V222" s="69"/>
      <c r="W222" s="96">
        <f>VLOOKUP(D222,Poeng!$B$10:$BC$252,Poeng!AG$1,FALSE)</f>
        <v>0</v>
      </c>
      <c r="X222" s="96" t="str">
        <f>VLOOKUP(D222,Poeng!$B$10:$BK$252,Poeng!BK$1,FALSE)</f>
        <v>N/A</v>
      </c>
      <c r="Y222" s="67"/>
      <c r="Z222" s="66"/>
      <c r="AA222" s="545"/>
      <c r="AB222" s="105"/>
      <c r="AC222" s="527"/>
      <c r="AD222" s="17">
        <f t="shared" si="181"/>
        <v>0</v>
      </c>
      <c r="AE222" s="1">
        <f t="shared" si="188"/>
        <v>0</v>
      </c>
      <c r="AF222" s="1">
        <f t="shared" si="189"/>
        <v>0</v>
      </c>
      <c r="AG222" s="1">
        <f t="shared" si="190"/>
        <v>0</v>
      </c>
      <c r="AJ222" s="56"/>
      <c r="AK222" s="500"/>
      <c r="AL222" s="56"/>
      <c r="AM222" s="56"/>
      <c r="AN222" s="56"/>
      <c r="AO222" s="56"/>
      <c r="AP222" s="56"/>
      <c r="AQ222" s="56"/>
      <c r="AT222" s="17"/>
      <c r="AU222" s="17"/>
      <c r="AV222" s="17"/>
      <c r="AW222" s="17"/>
      <c r="AX222" s="17"/>
      <c r="AY222" s="17"/>
      <c r="BA222" s="527"/>
      <c r="BB222" s="17"/>
      <c r="BC222" s="17" t="b">
        <f t="shared" si="191"/>
        <v>1</v>
      </c>
      <c r="BD222" s="17" t="str">
        <f>Poeng!B227</f>
        <v>Inn 11</v>
      </c>
      <c r="BE222" s="13" t="str">
        <f>Poeng!E227</f>
        <v>Inn 11 - LE 02:  helhetlig bærekraft for utbyggingsområdet</v>
      </c>
      <c r="BF222" s="13">
        <f>Poeng!AB227</f>
        <v>1</v>
      </c>
      <c r="BG222" s="13">
        <f>Poeng!AI227</f>
        <v>0</v>
      </c>
      <c r="BH222" s="1076">
        <f>Poeng!AE227</f>
        <v>0</v>
      </c>
      <c r="BI222" s="1" t="str">
        <f>Poeng!BE227</f>
        <v>N/A</v>
      </c>
      <c r="BK222" s="1">
        <f>Poeng!AJ227</f>
        <v>0</v>
      </c>
      <c r="BL222" s="1076">
        <f>Poeng!AF227</f>
        <v>0</v>
      </c>
      <c r="BM222" s="1076" t="str">
        <f>Poeng!BH227</f>
        <v>N/A</v>
      </c>
      <c r="BO222" s="1">
        <f>Poeng!AK227</f>
        <v>0</v>
      </c>
      <c r="BP222" s="1076">
        <f>Poeng!AG227</f>
        <v>0</v>
      </c>
      <c r="BQ222" s="1076" t="str">
        <f>Poeng!BK227</f>
        <v>N/A</v>
      </c>
    </row>
    <row r="223" spans="1:69">
      <c r="A223" s="792">
        <v>214</v>
      </c>
      <c r="B223" s="793" t="s">
        <v>564</v>
      </c>
      <c r="C223" s="977" t="s">
        <v>512</v>
      </c>
      <c r="D223" s="621" t="s">
        <v>589</v>
      </c>
      <c r="E223" s="982">
        <v>6</v>
      </c>
      <c r="F223" s="281" t="str">
        <f t="shared" si="185"/>
        <v>Inn 12 - LE 04: betydelig netto forbedring av biodiversitet</v>
      </c>
      <c r="G223" s="526">
        <f>Inn12_credits</f>
        <v>1</v>
      </c>
      <c r="H223" s="29"/>
      <c r="I223" s="96">
        <f>Inn12_cont</f>
        <v>0</v>
      </c>
      <c r="J223" s="102" t="str">
        <f>Inn12_minstd</f>
        <v>N/A</v>
      </c>
      <c r="K223" s="66"/>
      <c r="L223" s="228"/>
      <c r="M223" s="545"/>
      <c r="N223" s="616"/>
      <c r="O223" s="69"/>
      <c r="P223" s="96">
        <f t="shared" si="186"/>
        <v>0</v>
      </c>
      <c r="Q223" s="96" t="str">
        <f t="shared" si="187"/>
        <v>N/A</v>
      </c>
      <c r="R223" s="551"/>
      <c r="S223" s="552"/>
      <c r="T223" s="545"/>
      <c r="U223" s="261"/>
      <c r="V223" s="69"/>
      <c r="W223" s="96">
        <f>VLOOKUP(D223,Poeng!$B$10:$BC$252,Poeng!AG$1,FALSE)</f>
        <v>0</v>
      </c>
      <c r="X223" s="96" t="str">
        <f>VLOOKUP(D223,Poeng!$B$10:$BK$252,Poeng!BK$1,FALSE)</f>
        <v>N/A</v>
      </c>
      <c r="Y223" s="67"/>
      <c r="Z223" s="66"/>
      <c r="AA223" s="545"/>
      <c r="AB223" s="105"/>
      <c r="AC223" s="527"/>
      <c r="AD223" s="17">
        <f t="shared" si="181"/>
        <v>0</v>
      </c>
      <c r="AE223" s="1">
        <f t="shared" si="188"/>
        <v>0</v>
      </c>
      <c r="AF223" s="1">
        <f t="shared" si="189"/>
        <v>0</v>
      </c>
      <c r="AG223" s="1">
        <f t="shared" si="190"/>
        <v>0</v>
      </c>
      <c r="AJ223" s="56"/>
      <c r="AK223" s="500"/>
      <c r="AL223" s="56"/>
      <c r="AM223" s="56"/>
      <c r="AN223" s="56"/>
      <c r="AO223" s="56"/>
      <c r="AP223" s="56"/>
      <c r="AQ223" s="56"/>
      <c r="AT223" s="17"/>
      <c r="AU223" s="17"/>
      <c r="AV223" s="17"/>
      <c r="AW223" s="17"/>
      <c r="AX223" s="17"/>
      <c r="AY223" s="17"/>
      <c r="BA223" s="527"/>
      <c r="BB223" s="17"/>
      <c r="BC223" s="17" t="b">
        <f t="shared" si="191"/>
        <v>1</v>
      </c>
      <c r="BD223" s="17" t="str">
        <f>Poeng!B228</f>
        <v>Inn 12</v>
      </c>
      <c r="BE223" s="13" t="str">
        <f>Poeng!E228</f>
        <v>Inn 12 - LE 04: betydelig netto forbedring av biodiversitet</v>
      </c>
      <c r="BF223" s="13">
        <f>Poeng!AB228</f>
        <v>1</v>
      </c>
      <c r="BG223" s="13">
        <f>Poeng!AI228</f>
        <v>0</v>
      </c>
      <c r="BH223" s="1076">
        <f>Poeng!AE228</f>
        <v>0</v>
      </c>
      <c r="BI223" s="1" t="str">
        <f>Poeng!BE228</f>
        <v>N/A</v>
      </c>
      <c r="BK223" s="1">
        <f>Poeng!AJ228</f>
        <v>0</v>
      </c>
      <c r="BL223" s="1076">
        <f>Poeng!AF228</f>
        <v>0</v>
      </c>
      <c r="BM223" s="1076" t="str">
        <f>Poeng!BH228</f>
        <v>N/A</v>
      </c>
      <c r="BO223" s="1">
        <f>Poeng!AK228</f>
        <v>0</v>
      </c>
      <c r="BP223" s="1076">
        <f>Poeng!AG228</f>
        <v>0</v>
      </c>
      <c r="BQ223" s="1076" t="str">
        <f>Poeng!BK228</f>
        <v>N/A</v>
      </c>
    </row>
    <row r="224" spans="1:69">
      <c r="A224" s="792">
        <v>215</v>
      </c>
      <c r="B224" s="793" t="s">
        <v>564</v>
      </c>
      <c r="C224" s="977" t="s">
        <v>522</v>
      </c>
      <c r="D224" s="621" t="s">
        <v>590</v>
      </c>
      <c r="E224" s="982">
        <v>7</v>
      </c>
      <c r="F224" s="281" t="str">
        <f t="shared" si="185"/>
        <v>Inn 13 - LE 06: helhetlig respons på klimaendringer</v>
      </c>
      <c r="G224" s="526">
        <f>Inn13_credits</f>
        <v>1</v>
      </c>
      <c r="H224" s="29"/>
      <c r="I224" s="96">
        <f>Inn13_cont</f>
        <v>0</v>
      </c>
      <c r="J224" s="102" t="str">
        <f>Inn13_minstd</f>
        <v>N/A</v>
      </c>
      <c r="K224" s="66"/>
      <c r="L224" s="228"/>
      <c r="M224" s="545"/>
      <c r="N224" s="616"/>
      <c r="O224" s="69"/>
      <c r="P224" s="96">
        <f t="shared" si="186"/>
        <v>0</v>
      </c>
      <c r="Q224" s="96" t="str">
        <f t="shared" si="187"/>
        <v>N/A</v>
      </c>
      <c r="R224" s="551"/>
      <c r="S224" s="552"/>
      <c r="T224" s="545"/>
      <c r="U224" s="261"/>
      <c r="V224" s="69"/>
      <c r="W224" s="96">
        <f>VLOOKUP(D224,Poeng!$B$10:$BC$252,Poeng!AG$1,FALSE)</f>
        <v>0</v>
      </c>
      <c r="X224" s="96" t="str">
        <f>VLOOKUP(D224,Poeng!$B$10:$BK$252,Poeng!BK$1,FALSE)</f>
        <v>N/A</v>
      </c>
      <c r="Y224" s="67"/>
      <c r="Z224" s="66"/>
      <c r="AA224" s="545"/>
      <c r="AB224" s="105"/>
      <c r="AC224" s="527"/>
      <c r="AD224" s="17">
        <f t="shared" si="181"/>
        <v>0</v>
      </c>
      <c r="AE224" s="1">
        <f t="shared" si="188"/>
        <v>0</v>
      </c>
      <c r="AF224" s="1">
        <f t="shared" si="189"/>
        <v>0</v>
      </c>
      <c r="AG224" s="1">
        <f t="shared" si="190"/>
        <v>0</v>
      </c>
      <c r="AJ224" s="56"/>
      <c r="AK224" s="500"/>
      <c r="AL224" s="56"/>
      <c r="AM224" s="56"/>
      <c r="AN224" s="56"/>
      <c r="AO224" s="56"/>
      <c r="AP224" s="56"/>
      <c r="AQ224" s="56"/>
      <c r="AT224" s="17"/>
      <c r="AU224" s="17"/>
      <c r="AV224" s="17"/>
      <c r="AW224" s="17"/>
      <c r="AX224" s="17"/>
      <c r="AY224" s="17"/>
      <c r="BA224" s="527"/>
      <c r="BB224" s="17"/>
      <c r="BC224" s="17" t="b">
        <f t="shared" si="191"/>
        <v>1</v>
      </c>
      <c r="BD224" s="17" t="str">
        <f>Poeng!B229</f>
        <v>Inn 13</v>
      </c>
      <c r="BE224" s="13" t="str">
        <f>Poeng!E229</f>
        <v>Inn 13 - LE 06: helhetlig respons på klimaendringer</v>
      </c>
      <c r="BF224" s="13">
        <f>Poeng!AB229</f>
        <v>1</v>
      </c>
      <c r="BG224" s="13">
        <f>Poeng!AI229</f>
        <v>0</v>
      </c>
      <c r="BH224" s="1076">
        <f>Poeng!AE229</f>
        <v>0</v>
      </c>
      <c r="BI224" s="1" t="str">
        <f>Poeng!BE229</f>
        <v>N/A</v>
      </c>
      <c r="BK224" s="1">
        <f>Poeng!AJ229</f>
        <v>0</v>
      </c>
      <c r="BL224" s="1076">
        <f>Poeng!AF229</f>
        <v>0</v>
      </c>
      <c r="BM224" s="1076" t="str">
        <f>Poeng!BH229</f>
        <v>N/A</v>
      </c>
      <c r="BO224" s="1">
        <f>Poeng!AK229</f>
        <v>0</v>
      </c>
      <c r="BP224" s="1076">
        <f>Poeng!AG229</f>
        <v>0</v>
      </c>
      <c r="BQ224" s="1076" t="str">
        <f>Poeng!BK229</f>
        <v>N/A</v>
      </c>
    </row>
    <row r="225" spans="1:69">
      <c r="A225" s="792">
        <v>216</v>
      </c>
      <c r="B225" s="793" t="s">
        <v>564</v>
      </c>
      <c r="C225" s="979" t="s">
        <v>529</v>
      </c>
      <c r="D225" s="621" t="s">
        <v>591</v>
      </c>
      <c r="E225" s="981" t="s">
        <v>258</v>
      </c>
      <c r="F225" s="281" t="str">
        <f t="shared" si="185"/>
        <v>Inn 14 - LE 08: helhetlig til nærming til overvannshåndtering</v>
      </c>
      <c r="G225" s="526">
        <f>Poeng!AB230</f>
        <v>1</v>
      </c>
      <c r="H225" s="29"/>
      <c r="I225" s="656">
        <f>Poeng!AE230</f>
        <v>0</v>
      </c>
      <c r="J225" s="657" t="str">
        <f>Poeng!BE230</f>
        <v>N/A</v>
      </c>
      <c r="K225" s="66"/>
      <c r="L225" s="228"/>
      <c r="M225" s="545"/>
      <c r="N225" s="616"/>
      <c r="O225" s="69"/>
      <c r="P225" s="96">
        <f t="shared" si="186"/>
        <v>0</v>
      </c>
      <c r="Q225" s="96" t="str">
        <f t="shared" si="187"/>
        <v>N/A</v>
      </c>
      <c r="R225" s="551"/>
      <c r="S225" s="552"/>
      <c r="T225" s="545"/>
      <c r="U225" s="261"/>
      <c r="V225" s="69"/>
      <c r="W225" s="96">
        <f>VLOOKUP(D225,Poeng!$B$10:$BC$252,Poeng!AG$1,FALSE)</f>
        <v>0</v>
      </c>
      <c r="X225" s="96" t="str">
        <f>VLOOKUP(D225,Poeng!$B$10:$BK$252,Poeng!BK$1,FALSE)</f>
        <v>N/A</v>
      </c>
      <c r="Y225" s="67"/>
      <c r="Z225" s="66"/>
      <c r="AA225" s="545"/>
      <c r="AB225" s="105"/>
      <c r="AC225" s="527"/>
      <c r="AD225" s="17">
        <f t="shared" si="181"/>
        <v>0</v>
      </c>
      <c r="AE225" s="1">
        <f t="shared" si="188"/>
        <v>0</v>
      </c>
      <c r="AF225" s="1">
        <f t="shared" si="189"/>
        <v>0</v>
      </c>
      <c r="AG225" s="1">
        <f t="shared" si="190"/>
        <v>0</v>
      </c>
      <c r="AJ225" s="56"/>
      <c r="AK225" s="500"/>
      <c r="AL225" s="56"/>
      <c r="AM225" s="56"/>
      <c r="AN225" s="56"/>
      <c r="AO225" s="56"/>
      <c r="AP225" s="56"/>
      <c r="AQ225" s="56"/>
      <c r="AT225" s="17"/>
      <c r="AU225" s="17"/>
      <c r="AV225" s="17"/>
      <c r="AW225" s="17"/>
      <c r="AX225" s="17"/>
      <c r="AY225" s="17"/>
      <c r="BA225" s="527"/>
      <c r="BB225" s="17"/>
      <c r="BC225" s="17" t="b">
        <f t="shared" si="191"/>
        <v>1</v>
      </c>
      <c r="BD225" s="17" t="str">
        <f>Poeng!B230</f>
        <v>Inn 14</v>
      </c>
      <c r="BE225" s="13" t="str">
        <f>Poeng!E230</f>
        <v>Inn 14 - LE 08: helhetlig til nærming til overvannshåndtering</v>
      </c>
      <c r="BF225" s="13">
        <f>Poeng!AB230</f>
        <v>1</v>
      </c>
      <c r="BG225" s="13">
        <f>Poeng!AI230</f>
        <v>0</v>
      </c>
      <c r="BH225" s="1076">
        <f>Poeng!AE230</f>
        <v>0</v>
      </c>
      <c r="BI225" s="1" t="str">
        <f>Poeng!BE230</f>
        <v>N/A</v>
      </c>
      <c r="BK225" s="1">
        <f>Poeng!AJ230</f>
        <v>0</v>
      </c>
      <c r="BL225" s="1076">
        <f>Poeng!AF230</f>
        <v>0</v>
      </c>
      <c r="BM225" s="1076" t="str">
        <f>Poeng!BH230</f>
        <v>N/A</v>
      </c>
      <c r="BO225" s="1">
        <f>Poeng!AK230</f>
        <v>0</v>
      </c>
      <c r="BP225" s="1076">
        <f>Poeng!AG230</f>
        <v>0</v>
      </c>
      <c r="BQ225" s="1076" t="str">
        <f>Poeng!BK230</f>
        <v>N/A</v>
      </c>
    </row>
    <row r="226" spans="1:69" ht="15" customHeight="1" thickBot="1">
      <c r="A226" s="792">
        <v>217</v>
      </c>
      <c r="B226" s="793" t="s">
        <v>564</v>
      </c>
      <c r="C226" s="980"/>
      <c r="D226" s="621" t="s">
        <v>592</v>
      </c>
      <c r="E226" s="984"/>
      <c r="F226" s="282" t="s">
        <v>593</v>
      </c>
      <c r="G226" s="98">
        <f>Inn_Credits</f>
        <v>10</v>
      </c>
      <c r="H226" s="103"/>
      <c r="I226" s="99">
        <f>Inn_cont_tot</f>
        <v>0</v>
      </c>
      <c r="J226" s="661" t="str">
        <f>"Poeng oppnådd: "&amp;Inn_tot_user</f>
        <v>Poeng oppnådd: 0</v>
      </c>
      <c r="K226" s="106"/>
      <c r="L226" s="229"/>
      <c r="M226" s="553"/>
      <c r="N226" s="616"/>
      <c r="O226" s="317"/>
      <c r="P226" s="99">
        <f>BL226</f>
        <v>0</v>
      </c>
      <c r="Q226" s="661" t="str">
        <f>"Poeng oppnådd: "&amp;Inn_d_user</f>
        <v>Poeng oppnådd: 0</v>
      </c>
      <c r="R226" s="554"/>
      <c r="S226" s="555"/>
      <c r="T226" s="553"/>
      <c r="U226" s="261"/>
      <c r="V226" s="317"/>
      <c r="W226" s="99">
        <f>BP226</f>
        <v>0</v>
      </c>
      <c r="X226" s="661" t="str">
        <f>"Poeng oppnådd: "&amp;Inn_c_user</f>
        <v>Poeng oppnådd: 0</v>
      </c>
      <c r="Y226" s="316"/>
      <c r="Z226" s="108"/>
      <c r="AA226" s="563"/>
      <c r="AB226" s="105"/>
      <c r="AC226" s="474"/>
      <c r="AD226" s="17">
        <f t="shared" si="181"/>
        <v>0</v>
      </c>
      <c r="AE226" s="225">
        <v>0</v>
      </c>
      <c r="AF226" s="225">
        <v>0</v>
      </c>
      <c r="AG226" s="225">
        <v>0</v>
      </c>
      <c r="AJ226" s="56"/>
      <c r="AK226" s="500" t="s">
        <v>594</v>
      </c>
      <c r="AL226" s="56"/>
      <c r="AM226" s="56"/>
      <c r="AN226" s="56"/>
      <c r="AO226" s="56"/>
      <c r="AP226" s="56"/>
      <c r="AQ226" s="56"/>
      <c r="AT226" s="17" t="str">
        <f>IF($AK$4=ais_nei,AIS_NA,IF(AL226="",AIS_NA,AL226))</f>
        <v>N/A</v>
      </c>
      <c r="AU226" s="17" t="str">
        <f>IF($AK$4=ais_nei,AIS_NA,IF(AM226="",AIS_NA,AM226))</f>
        <v>N/A</v>
      </c>
      <c r="AV226" s="17" t="str">
        <f>IF($AK$4=ais_nei,AIS_NA,IF(AN226="",AIS_NA,AN226))</f>
        <v>N/A</v>
      </c>
      <c r="AW226" s="17"/>
      <c r="AX226" s="17"/>
      <c r="AY226" s="17"/>
      <c r="BA226" s="474"/>
      <c r="BB226" s="17"/>
      <c r="BC226" s="17" t="b">
        <f t="shared" si="191"/>
        <v>1</v>
      </c>
      <c r="BD226" s="17" t="str">
        <f>Poeng!B231</f>
        <v>Inn sum</v>
      </c>
      <c r="BE226" s="13">
        <f>Poeng!E231</f>
        <v>0</v>
      </c>
      <c r="BF226" s="13">
        <f>Poeng!AB231</f>
        <v>10</v>
      </c>
      <c r="BG226" s="13">
        <f>Poeng!AI231</f>
        <v>0</v>
      </c>
      <c r="BH226" s="1076">
        <f>Poeng!AE231</f>
        <v>0</v>
      </c>
      <c r="BI226" s="1">
        <f>Poeng!BE231</f>
        <v>0</v>
      </c>
      <c r="BK226" s="1">
        <f>Poeng!AJ231</f>
        <v>0</v>
      </c>
      <c r="BL226" s="1076">
        <f>Poeng!AF231</f>
        <v>0</v>
      </c>
      <c r="BM226" s="1076">
        <f>Poeng!BH231</f>
        <v>0</v>
      </c>
      <c r="BO226" s="1">
        <f>Poeng!AK231</f>
        <v>0</v>
      </c>
      <c r="BP226" s="1076">
        <f>Poeng!AG231</f>
        <v>0</v>
      </c>
      <c r="BQ226" s="1076">
        <f>Poeng!BK231</f>
        <v>0</v>
      </c>
    </row>
    <row r="227" spans="1:69">
      <c r="A227" s="792"/>
      <c r="B227" s="793"/>
      <c r="C227" s="788"/>
      <c r="D227" s="621"/>
      <c r="E227" s="966"/>
      <c r="F227" s="31"/>
      <c r="K227" s="31"/>
      <c r="N227" s="617"/>
      <c r="O227" s="442"/>
      <c r="P227" s="442"/>
      <c r="Q227" s="1"/>
      <c r="R227" s="7"/>
      <c r="S227" s="564"/>
      <c r="T227" s="564"/>
      <c r="U227" s="68"/>
      <c r="V227" s="5"/>
      <c r="W227" s="5"/>
      <c r="X227" s="1"/>
      <c r="Y227" s="227"/>
      <c r="Z227" s="5"/>
      <c r="AA227" s="564"/>
      <c r="AB227" s="68"/>
      <c r="AC227" s="68"/>
      <c r="AD227" s="17"/>
      <c r="AE227" s="226"/>
      <c r="AF227" s="226"/>
      <c r="AG227" s="226"/>
      <c r="BD227" s="17"/>
      <c r="BE227" s="13"/>
      <c r="BF227" s="13"/>
      <c r="BG227" s="13"/>
      <c r="BH227" s="1076"/>
      <c r="BL227" s="1076"/>
      <c r="BM227" s="1076"/>
      <c r="BP227" s="1076"/>
      <c r="BQ227" s="1076"/>
    </row>
    <row r="228" spans="1:69" hidden="1">
      <c r="A228" s="794"/>
      <c r="B228" s="795"/>
      <c r="C228" s="622"/>
      <c r="D228" s="622"/>
      <c r="E228" s="973"/>
      <c r="F228" s="20"/>
      <c r="O228" s="442"/>
      <c r="P228" s="442"/>
      <c r="Q228" s="442"/>
      <c r="R228" s="564"/>
      <c r="S228" s="564"/>
      <c r="T228" s="565"/>
      <c r="U228" s="68"/>
      <c r="V228" s="5"/>
      <c r="W228" s="5"/>
      <c r="X228" s="442"/>
      <c r="Y228" s="5"/>
      <c r="Z228" s="5"/>
      <c r="AA228" s="565"/>
      <c r="AB228" s="68"/>
      <c r="AC228" s="68"/>
      <c r="AD228" s="17"/>
      <c r="AE228" s="1"/>
      <c r="AF228" s="1"/>
      <c r="AG228" s="1"/>
      <c r="BD228" s="17"/>
      <c r="BE228" s="13"/>
      <c r="BF228" s="13"/>
      <c r="BG228" s="13"/>
      <c r="BH228" s="1076"/>
      <c r="BL228" s="1076"/>
      <c r="BM228" s="1076"/>
      <c r="BP228" s="1076"/>
      <c r="BQ228" s="1076"/>
    </row>
    <row r="229" spans="1:69" hidden="1">
      <c r="A229" s="795"/>
      <c r="B229" s="795"/>
      <c r="C229" s="622"/>
      <c r="D229" s="622"/>
      <c r="E229" s="973"/>
      <c r="F229" s="231"/>
      <c r="G229" s="13"/>
      <c r="O229" s="442"/>
      <c r="P229" s="442"/>
      <c r="Q229" s="442"/>
      <c r="R229" s="564"/>
      <c r="S229" s="564"/>
      <c r="T229" s="566"/>
      <c r="U229" s="68"/>
      <c r="V229" s="5"/>
      <c r="W229" s="5"/>
      <c r="X229" s="442"/>
      <c r="Y229" s="5"/>
      <c r="Z229" s="5"/>
      <c r="AA229" s="566"/>
      <c r="AB229" s="68"/>
      <c r="AC229" s="68"/>
      <c r="AD229" s="17"/>
      <c r="AE229" s="1"/>
      <c r="AF229" s="1"/>
      <c r="AG229" s="1"/>
      <c r="BD229" s="17"/>
      <c r="BE229" s="13"/>
      <c r="BF229" s="13"/>
      <c r="BG229" s="13"/>
      <c r="BH229" s="1076"/>
      <c r="BL229" s="1076"/>
      <c r="BM229" s="1076"/>
      <c r="BP229" s="1076"/>
      <c r="BQ229" s="1076"/>
    </row>
    <row r="230" spans="1:69" hidden="1">
      <c r="D230" s="14"/>
      <c r="E230" s="974"/>
      <c r="F230" s="20"/>
      <c r="G230" s="19"/>
      <c r="O230" s="442"/>
      <c r="P230" s="442"/>
      <c r="Q230" s="442"/>
      <c r="R230" s="564"/>
      <c r="S230" s="564"/>
      <c r="T230" s="565"/>
      <c r="U230" s="68"/>
      <c r="V230" s="5"/>
      <c r="W230" s="5"/>
      <c r="X230" s="5"/>
      <c r="Y230" s="5"/>
      <c r="Z230" s="5"/>
      <c r="AA230" s="565"/>
      <c r="AB230" s="68"/>
      <c r="AC230" s="68"/>
      <c r="AD230" s="17"/>
      <c r="AE230" s="1"/>
      <c r="AF230" s="1"/>
      <c r="AG230" s="1"/>
      <c r="BD230" s="17"/>
      <c r="BE230" s="13"/>
      <c r="BF230" s="13"/>
      <c r="BG230" s="13"/>
      <c r="BH230" s="1076"/>
      <c r="BL230" s="1076"/>
      <c r="BM230" s="1076"/>
      <c r="BP230" s="1076"/>
      <c r="BQ230" s="1076"/>
    </row>
    <row r="231" spans="1:69" hidden="1">
      <c r="D231" s="14"/>
      <c r="E231" s="974"/>
      <c r="F231" s="21"/>
      <c r="G231" s="13"/>
      <c r="O231" s="442"/>
      <c r="P231" s="442"/>
      <c r="Q231" s="442"/>
      <c r="R231" s="564"/>
      <c r="S231" s="564"/>
      <c r="T231" s="566"/>
      <c r="U231" s="68"/>
      <c r="V231" s="5"/>
      <c r="W231" s="5"/>
      <c r="X231" s="5"/>
      <c r="Y231" s="5"/>
      <c r="Z231" s="5"/>
      <c r="AA231" s="566"/>
      <c r="AB231" s="68"/>
      <c r="AC231" s="68"/>
      <c r="AD231" s="17"/>
      <c r="AE231" s="1"/>
      <c r="AF231" s="1"/>
      <c r="AG231" s="1"/>
      <c r="BD231" s="17"/>
      <c r="BE231" s="13"/>
      <c r="BF231" s="13"/>
      <c r="BG231" s="13"/>
      <c r="BH231" s="1076"/>
      <c r="BL231" s="1076"/>
      <c r="BM231" s="1076"/>
      <c r="BP231" s="1076"/>
      <c r="BQ231" s="1076"/>
    </row>
    <row r="232" spans="1:69" hidden="1">
      <c r="D232" s="14"/>
      <c r="E232" s="974"/>
      <c r="F232" s="20"/>
      <c r="G232" s="19"/>
      <c r="O232" s="442"/>
      <c r="P232" s="442"/>
      <c r="Q232" s="442"/>
      <c r="R232" s="564"/>
      <c r="S232" s="564"/>
      <c r="T232" s="565"/>
      <c r="U232" s="68"/>
      <c r="V232" s="5"/>
      <c r="W232" s="5"/>
      <c r="X232" s="5"/>
      <c r="Y232" s="5"/>
      <c r="Z232" s="5"/>
      <c r="AA232" s="565"/>
      <c r="AB232" s="68"/>
      <c r="AC232" s="68"/>
      <c r="AD232" s="17"/>
      <c r="AE232" s="7"/>
      <c r="AF232" s="7"/>
      <c r="AG232" s="7"/>
      <c r="AH232" s="7"/>
      <c r="AI232" s="7"/>
      <c r="AJ232" s="7"/>
      <c r="AZ232" s="7"/>
      <c r="BA232" s="7"/>
      <c r="BD232" s="17"/>
      <c r="BE232" s="13"/>
      <c r="BF232" s="13"/>
      <c r="BG232" s="13"/>
      <c r="BH232" s="1076"/>
      <c r="BL232" s="1076"/>
      <c r="BM232" s="1076"/>
      <c r="BP232" s="1076"/>
      <c r="BQ232" s="1076"/>
    </row>
    <row r="233" spans="1:69" hidden="1">
      <c r="D233" s="14"/>
      <c r="E233" s="974"/>
      <c r="O233" s="442"/>
      <c r="P233" s="442"/>
      <c r="Q233" s="442"/>
      <c r="R233" s="564"/>
      <c r="S233" s="564"/>
      <c r="T233" s="564"/>
      <c r="U233" s="68"/>
      <c r="V233" s="5"/>
      <c r="W233" s="5"/>
      <c r="X233" s="5"/>
      <c r="Y233" s="5"/>
      <c r="Z233" s="5"/>
      <c r="AA233" s="564"/>
      <c r="AB233" s="68"/>
      <c r="AC233" s="68"/>
      <c r="AD233" s="17"/>
      <c r="AE233" s="1"/>
      <c r="AF233" s="1"/>
      <c r="AG233" s="1"/>
      <c r="AK233" s="7"/>
      <c r="AL233" s="7"/>
      <c r="AM233" s="7"/>
      <c r="AN233" s="7"/>
      <c r="AO233" s="7"/>
      <c r="AP233" s="7"/>
      <c r="AQ233" s="7"/>
      <c r="AT233" s="7"/>
      <c r="AU233" s="7"/>
      <c r="AV233" s="7"/>
      <c r="AW233" s="7"/>
      <c r="AX233" s="7"/>
      <c r="AY233" s="7"/>
      <c r="BD233" s="17"/>
      <c r="BE233" s="13"/>
      <c r="BF233" s="13"/>
      <c r="BG233" s="13"/>
      <c r="BH233" s="1076"/>
      <c r="BL233" s="1076"/>
      <c r="BM233" s="1076"/>
      <c r="BP233" s="1076"/>
      <c r="BQ233" s="1076"/>
    </row>
    <row r="234" spans="1:69" hidden="1">
      <c r="D234" s="14"/>
      <c r="E234" s="974"/>
      <c r="O234" s="442"/>
      <c r="P234" s="442"/>
      <c r="Q234" s="442"/>
      <c r="R234" s="564"/>
      <c r="S234" s="564"/>
      <c r="T234" s="564"/>
      <c r="U234" s="68"/>
      <c r="V234" s="5"/>
      <c r="W234" s="5"/>
      <c r="X234" s="5"/>
      <c r="Y234" s="5"/>
      <c r="Z234" s="5"/>
      <c r="AA234" s="564"/>
      <c r="AB234" s="68"/>
      <c r="AC234" s="68"/>
      <c r="AD234" s="17"/>
      <c r="AE234" s="1"/>
      <c r="AF234" s="1"/>
      <c r="AG234" s="1"/>
      <c r="BD234" s="17"/>
      <c r="BE234" s="13"/>
      <c r="BF234" s="13"/>
      <c r="BG234" s="13"/>
      <c r="BH234" s="1076"/>
      <c r="BL234" s="1076"/>
      <c r="BM234" s="1076"/>
      <c r="BP234" s="1076"/>
      <c r="BQ234" s="1076"/>
    </row>
    <row r="235" spans="1:69" hidden="1">
      <c r="D235" s="14"/>
      <c r="E235" s="974"/>
      <c r="O235" s="442"/>
      <c r="P235" s="442"/>
      <c r="Q235" s="442"/>
      <c r="R235" s="564"/>
      <c r="S235" s="564"/>
      <c r="T235" s="564"/>
      <c r="U235" s="68"/>
      <c r="V235" s="5"/>
      <c r="W235" s="5"/>
      <c r="X235" s="5"/>
      <c r="Y235" s="5"/>
      <c r="Z235" s="5"/>
      <c r="AA235" s="564"/>
      <c r="AB235" s="68"/>
      <c r="AC235" s="68"/>
      <c r="AD235" s="17"/>
      <c r="AE235" s="1"/>
      <c r="AF235" s="1"/>
      <c r="AG235" s="1"/>
      <c r="BD235" s="17"/>
      <c r="BE235" s="13"/>
      <c r="BF235" s="13"/>
      <c r="BG235" s="13"/>
      <c r="BH235" s="1076"/>
      <c r="BL235" s="1076"/>
      <c r="BM235" s="1076"/>
      <c r="BP235" s="1076"/>
      <c r="BQ235" s="1076"/>
    </row>
    <row r="236" spans="1:69" hidden="1">
      <c r="B236" s="621" t="s">
        <v>295</v>
      </c>
      <c r="C236" s="621"/>
      <c r="D236" s="621"/>
      <c r="E236" s="966"/>
      <c r="F236" s="260" t="str">
        <f>Hea02_Crit1</f>
        <v>Forkrav: plan for inneluftkvalitet</v>
      </c>
      <c r="G236" s="95" t="str">
        <f>Hea02_Crit1_credits</f>
        <v>Yes/No</v>
      </c>
      <c r="H236" s="29"/>
      <c r="I236" s="96"/>
      <c r="J236" s="100" t="str">
        <f>Hea02_minst_crit</f>
        <v>Unclassified</v>
      </c>
      <c r="K236" s="66"/>
      <c r="L236" s="228" t="s">
        <v>176</v>
      </c>
      <c r="M236" s="545"/>
      <c r="N236" s="616"/>
      <c r="O236" s="69"/>
      <c r="P236" s="671"/>
      <c r="Q236" s="671"/>
      <c r="R236" s="551"/>
      <c r="S236" s="552"/>
      <c r="T236" s="545"/>
      <c r="U236" s="261"/>
      <c r="V236" s="69"/>
      <c r="W236" s="671"/>
      <c r="X236" s="671"/>
      <c r="Y236" s="67"/>
      <c r="Z236" s="66"/>
      <c r="AA236" s="545"/>
      <c r="AB236" s="105"/>
      <c r="AC236" s="473" t="s">
        <v>209</v>
      </c>
      <c r="AD236" s="17">
        <f>AD46</f>
        <v>0</v>
      </c>
      <c r="AE236" s="1">
        <f>VLOOKUP(L236,Prosjektdetaljer!$O$45:$P$48,2,FALSE)</f>
        <v>3</v>
      </c>
      <c r="AF236" s="1" t="e">
        <f>VLOOKUP(S236,Prosjektdetaljer!$O$45:$P$48,2,FALSE)</f>
        <v>#N/A</v>
      </c>
      <c r="AG236" s="1" t="e">
        <f>VLOOKUP(Z236,Prosjektdetaljer!$O$45:$P$48,2,FALSE)</f>
        <v>#N/A</v>
      </c>
      <c r="AJ236" s="56"/>
      <c r="AK236" s="500" t="s">
        <v>595</v>
      </c>
      <c r="AL236" s="56"/>
      <c r="AM236" s="56"/>
      <c r="AN236" s="56"/>
      <c r="AO236" s="56"/>
      <c r="AP236" s="56"/>
      <c r="AQ236" s="56"/>
      <c r="AT236" s="17" t="str">
        <f>IF($AK$4=ais_nei,AIS_NA,IF(AL236="",AIS_NA,AL236))</f>
        <v>N/A</v>
      </c>
      <c r="AU236" s="17" t="str">
        <f>IF($AK$4=ais_nei,AIS_NA,IF(AM236="",AIS_NA,AM236))</f>
        <v>N/A</v>
      </c>
      <c r="AV236" s="17" t="str">
        <f>IF($AK$4=ais_nei,AIS_NA,IF(AN236="",AIS_NA,AN236))</f>
        <v>N/A</v>
      </c>
      <c r="AW236" s="17"/>
      <c r="AX236" s="17"/>
      <c r="AY236" s="17"/>
      <c r="BA236" s="473"/>
      <c r="BD236" s="17"/>
      <c r="BE236" s="13"/>
      <c r="BF236" s="13"/>
      <c r="BG236" s="13"/>
      <c r="BH236" s="1076"/>
      <c r="BL236" s="1076"/>
      <c r="BM236" s="1076"/>
      <c r="BP236" s="1076"/>
      <c r="BQ236" s="1076"/>
    </row>
    <row r="237" spans="1:69" hidden="1">
      <c r="D237" s="14"/>
      <c r="E237" s="974"/>
      <c r="O237" s="442"/>
      <c r="P237" s="442"/>
      <c r="Q237" s="442"/>
      <c r="R237" s="564"/>
      <c r="S237" s="564"/>
      <c r="T237" s="564"/>
      <c r="U237" s="68"/>
      <c r="V237" s="5"/>
      <c r="W237" s="5"/>
      <c r="X237" s="5"/>
      <c r="Y237" s="5"/>
      <c r="Z237" s="5"/>
      <c r="AA237" s="564"/>
      <c r="AB237" s="68"/>
      <c r="AC237" s="68"/>
      <c r="AD237" s="17"/>
      <c r="AE237" s="1"/>
      <c r="AF237" s="1"/>
      <c r="AG237" s="1"/>
      <c r="BD237" s="17"/>
      <c r="BE237" s="13"/>
      <c r="BF237" s="13"/>
      <c r="BG237" s="13"/>
      <c r="BH237" s="1076"/>
      <c r="BL237" s="1076"/>
      <c r="BM237" s="1076"/>
      <c r="BP237" s="1076"/>
      <c r="BQ237" s="1076"/>
    </row>
    <row r="238" spans="1:69" hidden="1">
      <c r="D238" s="14"/>
      <c r="E238" s="974"/>
      <c r="O238" s="442"/>
      <c r="P238" s="442"/>
      <c r="Q238" s="442"/>
      <c r="R238" s="564"/>
      <c r="S238" s="564"/>
      <c r="T238" s="564"/>
      <c r="U238" s="68"/>
      <c r="V238" s="5"/>
      <c r="W238" s="5"/>
      <c r="X238" s="5"/>
      <c r="Y238" s="5"/>
      <c r="Z238" s="5"/>
      <c r="AA238" s="564"/>
      <c r="AB238" s="68"/>
      <c r="AC238" s="68"/>
      <c r="AD238" s="17"/>
      <c r="AE238" s="1"/>
      <c r="AF238" s="1"/>
      <c r="AG238" s="1"/>
      <c r="BD238" s="17"/>
      <c r="BE238" s="13"/>
      <c r="BF238" s="13"/>
      <c r="BG238" s="13"/>
      <c r="BH238" s="1076"/>
      <c r="BL238" s="1076"/>
      <c r="BM238" s="1076"/>
      <c r="BP238" s="1076"/>
      <c r="BQ238" s="1076"/>
    </row>
    <row r="239" spans="1:69" hidden="1">
      <c r="D239" s="14"/>
      <c r="E239" s="974"/>
      <c r="O239" s="442"/>
      <c r="P239" s="442"/>
      <c r="Q239" s="442"/>
      <c r="R239" s="564"/>
      <c r="S239" s="564"/>
      <c r="T239" s="564"/>
      <c r="U239" s="68"/>
      <c r="V239" s="5"/>
      <c r="W239" s="5"/>
      <c r="X239" s="5"/>
      <c r="Y239" s="5"/>
      <c r="Z239" s="5"/>
      <c r="AA239" s="564"/>
      <c r="AB239" s="68"/>
      <c r="AC239" s="68"/>
      <c r="AD239" s="17"/>
      <c r="AE239" s="1"/>
      <c r="AF239" s="1"/>
      <c r="AG239" s="1"/>
      <c r="BD239" s="17"/>
      <c r="BE239" s="13"/>
      <c r="BF239" s="13"/>
      <c r="BG239" s="13"/>
      <c r="BH239" s="1076"/>
      <c r="BL239" s="1076"/>
      <c r="BM239" s="1076"/>
      <c r="BP239" s="1076"/>
      <c r="BQ239" s="1076"/>
    </row>
    <row r="240" spans="1:69" hidden="1">
      <c r="D240" s="14"/>
      <c r="E240" s="974"/>
      <c r="O240" s="442"/>
      <c r="P240" s="442"/>
      <c r="Q240" s="442"/>
      <c r="R240" s="564"/>
      <c r="S240" s="564"/>
      <c r="T240" s="564"/>
      <c r="U240" s="68"/>
      <c r="V240" s="5"/>
      <c r="W240" s="5"/>
      <c r="X240" s="5"/>
      <c r="Y240" s="5"/>
      <c r="Z240" s="5"/>
      <c r="AA240" s="564"/>
      <c r="AB240" s="68"/>
      <c r="AC240" s="68"/>
      <c r="AD240" s="17"/>
      <c r="AE240" s="1"/>
      <c r="AF240" s="1"/>
      <c r="AG240" s="1"/>
      <c r="BD240" s="17"/>
      <c r="BE240" s="13"/>
      <c r="BF240" s="13"/>
      <c r="BG240" s="13"/>
      <c r="BH240" s="1076"/>
      <c r="BL240" s="1076"/>
      <c r="BM240" s="1076"/>
      <c r="BP240" s="1076"/>
      <c r="BQ240" s="1076"/>
    </row>
    <row r="241" spans="1:69" hidden="1">
      <c r="D241" s="14"/>
      <c r="E241" s="974"/>
      <c r="O241" s="442"/>
      <c r="P241" s="442"/>
      <c r="Q241" s="442"/>
      <c r="R241" s="564"/>
      <c r="S241" s="564"/>
      <c r="T241" s="564"/>
      <c r="U241" s="68"/>
      <c r="V241" s="5"/>
      <c r="W241" s="5"/>
      <c r="X241" s="5"/>
      <c r="Y241" s="5"/>
      <c r="Z241" s="5"/>
      <c r="AA241" s="564"/>
      <c r="AB241" s="68"/>
      <c r="AC241" s="68"/>
      <c r="AD241" s="17"/>
      <c r="AE241" s="1"/>
      <c r="AF241" s="1"/>
      <c r="AG241" s="1"/>
      <c r="BD241" s="17"/>
      <c r="BE241" s="13"/>
      <c r="BF241" s="13"/>
      <c r="BG241" s="13"/>
      <c r="BH241" s="1076"/>
      <c r="BL241" s="1076"/>
      <c r="BM241" s="1076"/>
      <c r="BP241" s="1076"/>
      <c r="BQ241" s="1076"/>
    </row>
    <row r="242" spans="1:69" hidden="1">
      <c r="D242" s="14"/>
      <c r="E242" s="974"/>
      <c r="O242" s="442"/>
      <c r="P242" s="442"/>
      <c r="Q242" s="442"/>
      <c r="R242" s="564"/>
      <c r="S242" s="564"/>
      <c r="T242" s="564"/>
      <c r="U242" s="68"/>
      <c r="V242" s="5"/>
      <c r="W242" s="5"/>
      <c r="X242" s="5"/>
      <c r="Y242" s="5"/>
      <c r="Z242" s="5"/>
      <c r="AA242" s="564"/>
      <c r="AB242" s="68"/>
      <c r="AC242" s="68"/>
      <c r="AD242" s="17"/>
      <c r="AE242" s="1"/>
      <c r="AF242" s="1"/>
      <c r="AG242" s="1"/>
      <c r="BD242" s="17"/>
      <c r="BE242" s="13"/>
      <c r="BF242" s="13"/>
      <c r="BG242" s="13"/>
      <c r="BH242" s="1076"/>
      <c r="BL242" s="1076"/>
      <c r="BM242" s="1076"/>
      <c r="BP242" s="1076"/>
      <c r="BQ242" s="1076"/>
    </row>
    <row r="243" spans="1:69" hidden="1">
      <c r="D243" s="14"/>
      <c r="E243" s="974"/>
      <c r="O243" s="442"/>
      <c r="P243" s="442"/>
      <c r="Q243" s="442"/>
      <c r="R243" s="564"/>
      <c r="S243" s="564"/>
      <c r="T243" s="564"/>
      <c r="U243" s="68"/>
      <c r="V243" s="5"/>
      <c r="W243" s="5"/>
      <c r="X243" s="5"/>
      <c r="Y243" s="5"/>
      <c r="Z243" s="5"/>
      <c r="AA243" s="564"/>
      <c r="AB243" s="68"/>
      <c r="AC243" s="68"/>
      <c r="AD243" s="17"/>
      <c r="AE243" s="1"/>
      <c r="AF243" s="1"/>
      <c r="AG243" s="1"/>
      <c r="BD243" s="17"/>
      <c r="BE243" s="13"/>
      <c r="BF243" s="13"/>
      <c r="BG243" s="13"/>
      <c r="BH243" s="1076"/>
      <c r="BL243" s="1076"/>
      <c r="BM243" s="1076"/>
      <c r="BP243" s="1076"/>
      <c r="BQ243" s="1076"/>
    </row>
    <row r="244" spans="1:69" hidden="1">
      <c r="D244" s="14"/>
      <c r="E244" s="974"/>
      <c r="O244" s="442"/>
      <c r="P244" s="442"/>
      <c r="Q244" s="442"/>
      <c r="R244" s="564"/>
      <c r="S244" s="564"/>
      <c r="T244" s="564"/>
      <c r="U244" s="68"/>
      <c r="V244" s="5"/>
      <c r="W244" s="5"/>
      <c r="X244" s="5"/>
      <c r="Y244" s="5"/>
      <c r="Z244" s="5"/>
      <c r="AA244" s="564"/>
      <c r="AB244" s="68"/>
      <c r="AC244" s="68"/>
      <c r="AD244" s="17"/>
      <c r="AE244" s="1"/>
      <c r="AF244" s="1"/>
      <c r="AG244" s="1"/>
      <c r="BD244" s="17"/>
      <c r="BE244" s="13"/>
      <c r="BF244" s="13"/>
      <c r="BG244" s="13"/>
      <c r="BH244" s="1076"/>
      <c r="BL244" s="1076"/>
      <c r="BM244" s="1076"/>
      <c r="BP244" s="1076"/>
      <c r="BQ244" s="1076"/>
    </row>
    <row r="245" spans="1:69" hidden="1">
      <c r="A245" s="785">
        <v>3</v>
      </c>
      <c r="B245" s="621" t="s">
        <v>245</v>
      </c>
      <c r="C245" s="621"/>
      <c r="D245" s="621"/>
      <c r="E245" s="966"/>
      <c r="F245" s="281" t="str">
        <f>Man01_Crit1</f>
        <v>Forkrav: Tidligfase klimagassberegninger</v>
      </c>
      <c r="G245" s="95" t="str">
        <f>Man01_Crit1_credits</f>
        <v>Yes/No</v>
      </c>
      <c r="H245" s="29"/>
      <c r="I245" s="96"/>
      <c r="J245" s="102" t="str">
        <f>Man01_minstd</f>
        <v>Unclassified</v>
      </c>
      <c r="K245" s="66"/>
      <c r="L245" s="228" t="s">
        <v>176</v>
      </c>
      <c r="M245" s="545"/>
      <c r="N245" s="616"/>
      <c r="O245" s="69"/>
      <c r="P245" s="671"/>
      <c r="Q245" s="671"/>
      <c r="R245" s="551"/>
      <c r="S245" s="552"/>
      <c r="T245" s="545"/>
      <c r="U245" s="261"/>
      <c r="V245" s="69"/>
      <c r="W245" s="671"/>
      <c r="X245" s="671"/>
      <c r="Y245" s="67"/>
      <c r="Z245" s="66"/>
      <c r="AA245" s="545"/>
      <c r="AB245" s="105"/>
      <c r="AC245" s="473"/>
      <c r="AD245" s="17">
        <f>AD11</f>
        <v>0</v>
      </c>
      <c r="AE245" s="1">
        <f>VLOOKUP(L245,Prosjektdetaljer!$O$45:$P$48,2,FALSE)</f>
        <v>3</v>
      </c>
      <c r="AF245" s="1" t="e">
        <f>VLOOKUP(S245,Prosjektdetaljer!$O$45:$P$48,2,FALSE)</f>
        <v>#N/A</v>
      </c>
      <c r="AG245" s="1" t="e">
        <f>VLOOKUP(Z245,Prosjektdetaljer!$O$45:$P$48,2,FALSE)</f>
        <v>#N/A</v>
      </c>
      <c r="AJ245" s="56"/>
      <c r="AK245" s="500"/>
      <c r="AL245" s="537"/>
      <c r="AM245" s="537"/>
      <c r="AQ245" s="56"/>
      <c r="AT245" s="17"/>
      <c r="AU245" s="17"/>
      <c r="AV245" s="17"/>
      <c r="AW245" s="17"/>
      <c r="AX245" s="17"/>
      <c r="AY245" s="17"/>
      <c r="BA245" s="473"/>
      <c r="BD245" s="17"/>
      <c r="BE245" s="13"/>
      <c r="BF245" s="13"/>
      <c r="BG245" s="13"/>
      <c r="BH245" s="1076"/>
      <c r="BL245" s="1076"/>
      <c r="BM245" s="1076"/>
      <c r="BP245" s="1076"/>
      <c r="BQ245" s="1076"/>
    </row>
    <row r="246" spans="1:69" hidden="1">
      <c r="A246" s="785">
        <v>6</v>
      </c>
      <c r="B246" s="621" t="s">
        <v>245</v>
      </c>
      <c r="C246" s="621"/>
      <c r="D246" s="621"/>
      <c r="E246" s="966"/>
      <c r="F246" s="281" t="str">
        <f>Man03_Crit1</f>
        <v>Minstekrav: Lovlig hugget og bærekraftig tre</v>
      </c>
      <c r="G246" s="95" t="str">
        <f>Man03_Crit1_credits</f>
        <v>Yes/No</v>
      </c>
      <c r="H246" s="542"/>
      <c r="I246" s="96"/>
      <c r="J246" s="100" t="str">
        <f>Man03_minstd_cri</f>
        <v>Unclassified</v>
      </c>
      <c r="K246" s="66"/>
      <c r="L246" s="228" t="s">
        <v>176</v>
      </c>
      <c r="M246" s="545"/>
      <c r="N246" s="616"/>
      <c r="O246" s="69"/>
      <c r="P246" s="671"/>
      <c r="Q246" s="671"/>
      <c r="R246" s="551"/>
      <c r="S246" s="552"/>
      <c r="T246" s="545"/>
      <c r="U246" s="261"/>
      <c r="V246" s="69"/>
      <c r="W246" s="671"/>
      <c r="X246" s="671"/>
      <c r="Y246" s="67"/>
      <c r="Z246" s="66"/>
      <c r="AA246" s="545"/>
      <c r="AB246" s="105"/>
      <c r="AC246" s="473" t="s">
        <v>209</v>
      </c>
      <c r="AD246" s="17">
        <f>AD20</f>
        <v>0</v>
      </c>
      <c r="AE246" s="1">
        <f>VLOOKUP(L246,Prosjektdetaljer!$O$45:$P$48,2,FALSE)</f>
        <v>3</v>
      </c>
      <c r="AF246" s="1" t="e">
        <f>VLOOKUP(S246,Prosjektdetaljer!$O$45:$P$48,2,FALSE)</f>
        <v>#N/A</v>
      </c>
      <c r="AG246" s="1" t="e">
        <f>VLOOKUP(Z246,Prosjektdetaljer!$O$45:$P$48,2,FALSE)</f>
        <v>#N/A</v>
      </c>
      <c r="AJ246" s="56"/>
      <c r="AK246" s="500" t="s">
        <v>595</v>
      </c>
      <c r="AL246" s="56"/>
      <c r="AM246" s="56"/>
      <c r="AN246" s="56"/>
      <c r="AO246" s="56"/>
      <c r="AP246" s="56"/>
      <c r="AQ246" s="56"/>
      <c r="AT246" s="17" t="str">
        <f>IF($AK$4=ais_nei,AIS_NA,IF(AL246="",AIS_NA,AL246))</f>
        <v>N/A</v>
      </c>
      <c r="AU246" s="17" t="str">
        <f>IF($AK$4=ais_nei,AIS_NA,IF(AM246="",AIS_NA,AM246))</f>
        <v>N/A</v>
      </c>
      <c r="AV246" s="17" t="str">
        <f>IF($AK$4=ais_nei,AIS_NA,IF(AN246="",AIS_NA,AN246))</f>
        <v>N/A</v>
      </c>
      <c r="AW246" s="17"/>
      <c r="AX246" s="17"/>
      <c r="AY246" s="17"/>
      <c r="BA246" s="473"/>
      <c r="BD246" s="17"/>
      <c r="BE246" s="13"/>
      <c r="BF246" s="13"/>
      <c r="BG246" s="13"/>
      <c r="BH246" s="1076"/>
      <c r="BL246" s="1076"/>
      <c r="BM246" s="1076"/>
      <c r="BP246" s="1076"/>
      <c r="BQ246" s="1076"/>
    </row>
    <row r="247" spans="1:69" hidden="1">
      <c r="A247" s="785"/>
      <c r="B247" s="621"/>
      <c r="C247" s="621"/>
      <c r="D247" s="621"/>
      <c r="E247" s="966"/>
      <c r="F247" s="281" t="str">
        <f>Man04_Crit1</f>
        <v>Forkrav: Risikoanalyse</v>
      </c>
      <c r="G247" s="95" t="str">
        <f>Man04_Crit1_credits</f>
        <v>Yes/No</v>
      </c>
      <c r="H247" s="542"/>
      <c r="I247" s="96"/>
      <c r="J247" s="100" t="str">
        <f>Man04_minstd_cri</f>
        <v>N/A</v>
      </c>
      <c r="K247" s="66"/>
      <c r="L247" s="228" t="s">
        <v>176</v>
      </c>
      <c r="M247" s="545"/>
      <c r="N247" s="616"/>
      <c r="O247" s="69"/>
      <c r="P247" s="671"/>
      <c r="Q247" s="671"/>
      <c r="R247" s="551"/>
      <c r="S247" s="552"/>
      <c r="T247" s="545"/>
      <c r="U247" s="261"/>
      <c r="V247" s="69"/>
      <c r="W247" s="671"/>
      <c r="X247" s="671"/>
      <c r="Y247" s="67"/>
      <c r="Z247" s="66"/>
      <c r="AA247" s="545"/>
      <c r="AB247" s="105"/>
      <c r="AC247" s="473"/>
      <c r="AD247" s="17">
        <f>IF(G247="",1,IF(G247=0,2,1))</f>
        <v>1</v>
      </c>
      <c r="AE247" s="1">
        <f>VLOOKUP(L247,Prosjektdetaljer!$O$45:$P$48,2,FALSE)</f>
        <v>3</v>
      </c>
      <c r="AF247" s="1" t="e">
        <f>VLOOKUP(S247,Prosjektdetaljer!$O$45:$P$48,2,FALSE)</f>
        <v>#N/A</v>
      </c>
      <c r="AG247" s="1" t="e">
        <f>VLOOKUP(Z247,Prosjektdetaljer!$O$45:$P$48,2,FALSE)</f>
        <v>#N/A</v>
      </c>
      <c r="AJ247" s="56"/>
      <c r="AK247" s="499"/>
      <c r="AL247" s="479"/>
      <c r="AM247" s="479"/>
      <c r="AN247" s="479"/>
      <c r="AO247" s="56"/>
      <c r="AP247" s="56"/>
      <c r="AQ247" s="56"/>
      <c r="AT247" s="17"/>
      <c r="AU247" s="17"/>
      <c r="AV247" s="17"/>
      <c r="AW247" s="17"/>
      <c r="AX247" s="17"/>
      <c r="AY247" s="17"/>
      <c r="AZ247" s="13"/>
      <c r="BA247" s="473"/>
      <c r="BB247" s="13"/>
      <c r="BC247" s="13"/>
      <c r="BD247" s="17"/>
      <c r="BE247" s="13"/>
      <c r="BF247" s="13"/>
      <c r="BG247" s="13"/>
      <c r="BH247" s="1076"/>
      <c r="BL247" s="1076"/>
      <c r="BM247" s="1076"/>
      <c r="BP247" s="1076"/>
      <c r="BQ247" s="1076"/>
    </row>
    <row r="248" spans="1:69" hidden="1">
      <c r="A248" s="785">
        <v>9</v>
      </c>
      <c r="B248" s="621" t="s">
        <v>245</v>
      </c>
      <c r="C248" s="621"/>
      <c r="D248" s="621"/>
      <c r="E248" s="966"/>
      <c r="F248" s="525" t="str">
        <f>Man05_Crit1</f>
        <v>Forkrav: Lovfestede plikter</v>
      </c>
      <c r="G248" s="95" t="str">
        <f>IF(ADBT0=ADBT12,Prosjektdetaljer!O61,Man05_Crit1_credits)</f>
        <v>Yes/No</v>
      </c>
      <c r="H248" s="29"/>
      <c r="I248" s="96"/>
      <c r="J248" s="102" t="str">
        <f>Man05_minstd_cri</f>
        <v>N/A</v>
      </c>
      <c r="K248" s="66"/>
      <c r="L248" s="228" t="s">
        <v>176</v>
      </c>
      <c r="M248" s="545"/>
      <c r="N248" s="616"/>
      <c r="O248" s="69"/>
      <c r="P248" s="671"/>
      <c r="Q248" s="671"/>
      <c r="R248" s="551"/>
      <c r="S248" s="552"/>
      <c r="T248" s="545"/>
      <c r="U248" s="261"/>
      <c r="V248" s="69"/>
      <c r="W248" s="671"/>
      <c r="X248" s="671"/>
      <c r="Y248" s="67"/>
      <c r="Z248" s="66"/>
      <c r="AA248" s="545"/>
      <c r="AB248" s="105"/>
      <c r="AC248" s="473"/>
      <c r="AD248" s="17">
        <f>AD31</f>
        <v>0</v>
      </c>
      <c r="AE248" s="1">
        <f>VLOOKUP(L248,Prosjektdetaljer!$O$45:$P$48,2,FALSE)</f>
        <v>3</v>
      </c>
      <c r="AF248" s="1" t="e">
        <f>VLOOKUP(S248,Prosjektdetaljer!$O$45:$P$48,2,FALSE)</f>
        <v>#N/A</v>
      </c>
      <c r="AG248" s="1" t="e">
        <f>VLOOKUP(Z248,Prosjektdetaljer!$O$45:$P$48,2,FALSE)</f>
        <v>#N/A</v>
      </c>
      <c r="AJ248" s="56"/>
      <c r="AK248" s="500"/>
      <c r="AL248" s="537"/>
      <c r="AM248" s="537"/>
      <c r="AQ248" s="56"/>
      <c r="AT248" s="17"/>
      <c r="AU248" s="17"/>
      <c r="AV248" s="17"/>
      <c r="AW248" s="17"/>
      <c r="AX248" s="17"/>
      <c r="AY248" s="17"/>
      <c r="BA248" s="473"/>
      <c r="BD248" s="17"/>
      <c r="BE248" s="13"/>
      <c r="BF248" s="13"/>
      <c r="BG248" s="13"/>
      <c r="BH248" s="1076"/>
      <c r="BL248" s="1076"/>
      <c r="BM248" s="1076"/>
      <c r="BP248" s="1076"/>
      <c r="BQ248" s="1076"/>
    </row>
    <row r="249" spans="1:69" hidden="1">
      <c r="D249" s="14"/>
      <c r="E249" s="974"/>
      <c r="O249" s="618"/>
      <c r="P249" s="618"/>
      <c r="Q249" s="618"/>
      <c r="AB249" s="68"/>
      <c r="AC249" s="68"/>
      <c r="BD249" s="17"/>
      <c r="BE249" s="13"/>
      <c r="BF249" s="13"/>
      <c r="BG249" s="13"/>
      <c r="BH249" s="1076"/>
      <c r="BL249" s="1076"/>
      <c r="BM249" s="1076"/>
      <c r="BP249" s="1076"/>
      <c r="BQ249" s="1076"/>
    </row>
    <row r="250" spans="1:69" hidden="1">
      <c r="A250" s="785">
        <v>29</v>
      </c>
      <c r="BD250" s="17"/>
      <c r="BE250" s="13"/>
      <c r="BF250" s="13"/>
      <c r="BG250" s="13"/>
      <c r="BH250" s="1076"/>
      <c r="BL250" s="1076"/>
      <c r="BM250" s="1076"/>
      <c r="BP250" s="1076"/>
      <c r="BQ250" s="1076"/>
    </row>
    <row r="251" spans="1:69" hidden="1">
      <c r="A251" s="785">
        <v>24</v>
      </c>
      <c r="B251" s="621" t="s">
        <v>349</v>
      </c>
      <c r="C251" s="621"/>
      <c r="D251" s="621"/>
      <c r="E251" s="966"/>
      <c r="F251" s="260" t="str">
        <f>Ene01_Crit1</f>
        <v>Minstekrav: Fravær av miljøgifter (EU taksonomi: krit. 1)</v>
      </c>
      <c r="G251" s="95" t="str">
        <f>Ene01_Crit1_credits</f>
        <v>Yes/No</v>
      </c>
      <c r="H251" s="29"/>
      <c r="I251" s="96"/>
      <c r="J251" s="102" t="str">
        <f>Ene01_minstd</f>
        <v>Unclassified</v>
      </c>
      <c r="K251" s="66"/>
      <c r="L251" s="228" t="s">
        <v>176</v>
      </c>
      <c r="M251" s="545"/>
      <c r="N251" s="616"/>
      <c r="O251" s="69"/>
      <c r="P251" s="671"/>
      <c r="Q251" s="671"/>
      <c r="R251" s="551"/>
      <c r="S251" s="552"/>
      <c r="T251" s="545"/>
      <c r="U251" s="261"/>
      <c r="V251" s="69"/>
      <c r="W251" s="671"/>
      <c r="X251" s="671"/>
      <c r="Y251" s="67"/>
      <c r="Z251" s="66"/>
      <c r="AA251" s="545"/>
      <c r="AB251" s="105"/>
      <c r="AC251" s="473"/>
      <c r="AD251" s="17">
        <f>AD66</f>
        <v>0</v>
      </c>
      <c r="AE251" s="1">
        <f>VLOOKUP(L251,Prosjektdetaljer!$O$45:$P$48,2,FALSE)</f>
        <v>3</v>
      </c>
      <c r="AF251" s="1" t="e">
        <f>VLOOKUP(S251,Prosjektdetaljer!$O$45:$P$48,2,FALSE)</f>
        <v>#N/A</v>
      </c>
      <c r="AG251" s="1" t="e">
        <f>VLOOKUP(Z251,Prosjektdetaljer!$O$45:$P$48,2,FALSE)</f>
        <v>#N/A</v>
      </c>
      <c r="AJ251" s="56"/>
      <c r="AK251" s="500"/>
      <c r="AL251" s="537"/>
      <c r="AM251" s="537"/>
      <c r="AQ251" s="56"/>
      <c r="AT251" s="17"/>
      <c r="AU251" s="17"/>
      <c r="AV251" s="17"/>
      <c r="AW251" s="17"/>
      <c r="AX251" s="17"/>
      <c r="AY251" s="17"/>
      <c r="BA251" s="473"/>
      <c r="BD251" s="17"/>
      <c r="BE251" s="13"/>
      <c r="BF251" s="13"/>
      <c r="BG251" s="13"/>
      <c r="BH251" s="1076"/>
      <c r="BL251" s="1076"/>
      <c r="BM251" s="1076"/>
      <c r="BP251" s="1076"/>
      <c r="BQ251" s="1076"/>
    </row>
    <row r="252" spans="1:69" hidden="1">
      <c r="A252" s="785">
        <v>81</v>
      </c>
      <c r="B252" s="621" t="s">
        <v>398</v>
      </c>
      <c r="C252" s="621"/>
      <c r="D252" s="621"/>
      <c r="E252" s="966"/>
      <c r="F252" s="260" t="str">
        <f>Tra01_Crit1</f>
        <v>Forkrav: økologisk risiko og muligheter</v>
      </c>
      <c r="G252" s="95" t="str">
        <f>Tra01_Crit1_credits</f>
        <v>Yes/No</v>
      </c>
      <c r="H252" s="29"/>
      <c r="I252" s="96"/>
      <c r="J252" s="102" t="str">
        <f>Tra01_minstd</f>
        <v>N/A</v>
      </c>
      <c r="K252" s="66"/>
      <c r="L252" s="228" t="s">
        <v>176</v>
      </c>
      <c r="M252" s="545"/>
      <c r="N252" s="616"/>
      <c r="O252" s="69"/>
      <c r="P252" s="671"/>
      <c r="Q252" s="671"/>
      <c r="R252" s="551"/>
      <c r="S252" s="552"/>
      <c r="T252" s="545"/>
      <c r="U252" s="261"/>
      <c r="V252" s="69"/>
      <c r="W252" s="671"/>
      <c r="X252" s="671"/>
      <c r="Y252" s="67"/>
      <c r="Z252" s="66"/>
      <c r="AA252" s="545"/>
      <c r="AB252" s="105"/>
      <c r="AC252" s="473"/>
      <c r="AD252" s="17">
        <f>AD95</f>
        <v>0</v>
      </c>
      <c r="AE252" s="1">
        <f>VLOOKUP(L252,Prosjektdetaljer!$O$45:$P$48,2,FALSE)</f>
        <v>3</v>
      </c>
      <c r="AF252" s="1" t="e">
        <f>VLOOKUP(S252,Prosjektdetaljer!$O$45:$P$48,2,FALSE)</f>
        <v>#N/A</v>
      </c>
      <c r="AG252" s="1" t="e">
        <f>VLOOKUP(Z252,Prosjektdetaljer!$O$45:$P$48,2,FALSE)</f>
        <v>#N/A</v>
      </c>
      <c r="AJ252" s="56"/>
      <c r="AK252" s="500"/>
      <c r="AL252" s="537"/>
      <c r="AM252" s="537"/>
      <c r="AQ252" s="56"/>
      <c r="AT252" s="17"/>
      <c r="AU252" s="17"/>
      <c r="AV252" s="17"/>
      <c r="AW252" s="17"/>
      <c r="AX252" s="17"/>
      <c r="AY252" s="17"/>
      <c r="BA252" s="473"/>
      <c r="BD252" s="17"/>
      <c r="BE252" s="13"/>
      <c r="BF252" s="13"/>
      <c r="BG252" s="13"/>
      <c r="BH252" s="1076"/>
      <c r="BL252" s="1076"/>
      <c r="BM252" s="1076"/>
      <c r="BP252" s="1076"/>
      <c r="BQ252" s="1076"/>
    </row>
    <row r="253" spans="1:69" hidden="1">
      <c r="D253" s="14"/>
      <c r="E253" s="974"/>
      <c r="O253" s="618"/>
      <c r="P253" s="618"/>
      <c r="Q253" s="618"/>
      <c r="BD253" s="17"/>
      <c r="BE253" s="13"/>
      <c r="BF253" s="13"/>
      <c r="BG253" s="13"/>
      <c r="BH253" s="1076"/>
      <c r="BL253" s="1076"/>
      <c r="BM253" s="1076"/>
      <c r="BP253" s="1076"/>
      <c r="BQ253" s="1076"/>
    </row>
    <row r="254" spans="1:69" hidden="1">
      <c r="A254" s="785">
        <v>48</v>
      </c>
      <c r="B254" s="621" t="s">
        <v>437</v>
      </c>
      <c r="C254" s="621"/>
      <c r="D254" s="621"/>
      <c r="E254" s="966"/>
      <c r="F254" s="281" t="str">
        <f>Mat01_Crit1</f>
        <v>Forkrav: håndtering av negativ påvirkning på økologi</v>
      </c>
      <c r="G254" s="95" t="str">
        <f>Mat01_Crit1_credits</f>
        <v>Yes/No</v>
      </c>
      <c r="H254" s="542"/>
      <c r="I254" s="96"/>
      <c r="J254" s="100" t="str">
        <f>Mat01_minstd</f>
        <v>Excellent</v>
      </c>
      <c r="K254" s="66"/>
      <c r="L254" s="228" t="s">
        <v>176</v>
      </c>
      <c r="M254" s="545"/>
      <c r="N254" s="616"/>
      <c r="O254" s="69"/>
      <c r="P254" s="671"/>
      <c r="Q254" s="671"/>
      <c r="R254" s="551"/>
      <c r="S254" s="552"/>
      <c r="T254" s="545"/>
      <c r="U254" s="261"/>
      <c r="V254" s="69"/>
      <c r="W254" s="671"/>
      <c r="X254" s="671"/>
      <c r="Y254" s="67"/>
      <c r="Z254" s="66"/>
      <c r="AA254" s="545"/>
      <c r="AB254" s="105"/>
      <c r="AC254" s="473" t="s">
        <v>209</v>
      </c>
      <c r="AD254" s="17">
        <f>AD118</f>
        <v>0</v>
      </c>
      <c r="AE254" s="1">
        <f>VLOOKUP(L254,Prosjektdetaljer!$O$45:$P$48,2,FALSE)</f>
        <v>3</v>
      </c>
      <c r="AF254" s="1" t="e">
        <f>VLOOKUP(S254,Prosjektdetaljer!$O$45:$P$48,2,FALSE)</f>
        <v>#N/A</v>
      </c>
      <c r="AG254" s="1" t="e">
        <f>VLOOKUP(Z254,Prosjektdetaljer!$O$45:$P$48,2,FALSE)</f>
        <v>#N/A</v>
      </c>
      <c r="AJ254" s="56"/>
      <c r="AK254" s="500" t="s">
        <v>595</v>
      </c>
      <c r="AL254" s="56"/>
      <c r="AM254" s="56"/>
      <c r="AN254" s="56"/>
      <c r="AO254" s="56"/>
      <c r="AP254" s="56"/>
      <c r="AQ254" s="56"/>
      <c r="AT254" s="17" t="str">
        <f t="shared" ref="AT254:AV259" si="192">IF($AK$4=ais_nei,AIS_NA,IF(AL254="",AIS_NA,AL254))</f>
        <v>N/A</v>
      </c>
      <c r="AU254" s="17" t="str">
        <f t="shared" si="192"/>
        <v>N/A</v>
      </c>
      <c r="AV254" s="17" t="str">
        <f t="shared" si="192"/>
        <v>N/A</v>
      </c>
      <c r="AW254" s="17"/>
      <c r="AX254" s="17"/>
      <c r="AY254" s="17"/>
      <c r="BA254" s="473"/>
      <c r="BD254" s="17"/>
      <c r="BE254" s="13"/>
      <c r="BF254" s="13"/>
      <c r="BG254" s="13"/>
      <c r="BH254" s="1076"/>
      <c r="BL254" s="1076"/>
      <c r="BM254" s="1076"/>
      <c r="BP254" s="1076"/>
      <c r="BQ254" s="1076"/>
    </row>
    <row r="255" spans="1:69" hidden="1">
      <c r="A255" s="785">
        <v>50</v>
      </c>
      <c r="B255" s="621" t="s">
        <v>437</v>
      </c>
      <c r="C255" s="621"/>
      <c r="D255" s="621"/>
      <c r="E255" s="966"/>
      <c r="F255" s="281" t="str">
        <f>Mat02_Crit1</f>
        <v>Forkrav: kvalifisert akustiker</v>
      </c>
      <c r="G255" s="95" t="str">
        <f>Mat02_Crit1_credits</f>
        <v>Yes/No</v>
      </c>
      <c r="H255" s="29"/>
      <c r="I255" s="96"/>
      <c r="J255" s="100" t="str">
        <f>Mat02_minstd</f>
        <v>N/A</v>
      </c>
      <c r="K255" s="66"/>
      <c r="L255" s="228" t="s">
        <v>176</v>
      </c>
      <c r="M255" s="545"/>
      <c r="N255" s="616"/>
      <c r="O255" s="69"/>
      <c r="P255" s="671"/>
      <c r="Q255" s="671"/>
      <c r="R255" s="551"/>
      <c r="S255" s="552"/>
      <c r="T255" s="545"/>
      <c r="U255" s="261"/>
      <c r="V255" s="69"/>
      <c r="W255" s="671"/>
      <c r="X255" s="671"/>
      <c r="Y255" s="67"/>
      <c r="Z255" s="66"/>
      <c r="AA255" s="545"/>
      <c r="AB255" s="105"/>
      <c r="AC255" s="473" t="s">
        <v>209</v>
      </c>
      <c r="AD255" s="17">
        <f>IF(G255="",1,IF(G255=0,2,1))</f>
        <v>1</v>
      </c>
      <c r="AE255" s="1">
        <f>VLOOKUP(L255,Prosjektdetaljer!$O$45:$P$48,2,FALSE)</f>
        <v>3</v>
      </c>
      <c r="AF255" s="1" t="e">
        <f>VLOOKUP(S255,Prosjektdetaljer!$O$45:$P$48,2,FALSE)</f>
        <v>#N/A</v>
      </c>
      <c r="AG255" s="1" t="e">
        <f>VLOOKUP(Z255,Prosjektdetaljer!$O$45:$P$48,2,FALSE)</f>
        <v>#N/A</v>
      </c>
      <c r="AJ255" s="56"/>
      <c r="AK255" s="500" t="s">
        <v>596</v>
      </c>
      <c r="AL255" s="56"/>
      <c r="AM255" s="56"/>
      <c r="AN255" s="56"/>
      <c r="AO255" s="56"/>
      <c r="AP255" s="56"/>
      <c r="AQ255" s="56"/>
      <c r="AT255" s="17" t="str">
        <f t="shared" si="192"/>
        <v>N/A</v>
      </c>
      <c r="AU255" s="17" t="str">
        <f t="shared" si="192"/>
        <v>N/A</v>
      </c>
      <c r="AV255" s="17" t="str">
        <f t="shared" si="192"/>
        <v>N/A</v>
      </c>
      <c r="AW255" s="17"/>
      <c r="AX255" s="17"/>
      <c r="AY255" s="17"/>
      <c r="BA255" s="473"/>
      <c r="BD255" s="17"/>
      <c r="BE255" s="13"/>
      <c r="BF255" s="13"/>
      <c r="BG255" s="13"/>
      <c r="BH255" s="1076"/>
      <c r="BL255" s="1076"/>
      <c r="BM255" s="1076"/>
      <c r="BP255" s="1076"/>
      <c r="BQ255" s="1076"/>
    </row>
    <row r="256" spans="1:69" hidden="1">
      <c r="A256" s="785">
        <v>52</v>
      </c>
      <c r="B256" s="621" t="s">
        <v>437</v>
      </c>
      <c r="C256" s="621"/>
      <c r="D256" s="621"/>
      <c r="E256" s="966"/>
      <c r="F256" s="281" t="str">
        <f>Mat03_Crit1</f>
        <v>Minstekrav: utbygging på jordbruksareal eller dyrkbar jord (EU taksonomi: krit. 2)</v>
      </c>
      <c r="G256" s="95" t="str">
        <f>Mat03_Crit1_credits</f>
        <v>Yes/No</v>
      </c>
      <c r="H256" s="29"/>
      <c r="I256" s="96"/>
      <c r="J256" s="101" t="str">
        <f>Mat03_minstd</f>
        <v>Very Good</v>
      </c>
      <c r="K256" s="66"/>
      <c r="L256" s="228" t="s">
        <v>176</v>
      </c>
      <c r="M256" s="545"/>
      <c r="N256" s="616"/>
      <c r="O256" s="69"/>
      <c r="P256" s="671"/>
      <c r="Q256" s="671"/>
      <c r="R256" s="551"/>
      <c r="S256" s="552"/>
      <c r="T256" s="545"/>
      <c r="U256" s="261"/>
      <c r="V256" s="69"/>
      <c r="W256" s="671"/>
      <c r="X256" s="671"/>
      <c r="Y256" s="67"/>
      <c r="Z256" s="66"/>
      <c r="AA256" s="545"/>
      <c r="AB256" s="105"/>
      <c r="AC256" s="473" t="s">
        <v>209</v>
      </c>
      <c r="AD256" s="17">
        <f>IF(G256="",1,IF(G256=0,2,1))</f>
        <v>1</v>
      </c>
      <c r="AE256" s="1">
        <f>VLOOKUP(L256,Prosjektdetaljer!$O$45:$P$48,2,FALSE)</f>
        <v>3</v>
      </c>
      <c r="AF256" s="1" t="e">
        <f>VLOOKUP(S256,Prosjektdetaljer!$O$45:$P$48,2,FALSE)</f>
        <v>#N/A</v>
      </c>
      <c r="AG256" s="1" t="e">
        <f>VLOOKUP(Z256,Prosjektdetaljer!$O$45:$P$48,2,FALSE)</f>
        <v>#N/A</v>
      </c>
      <c r="AJ256" s="56"/>
      <c r="AK256" s="500" t="s">
        <v>597</v>
      </c>
      <c r="AL256" s="56"/>
      <c r="AM256" s="56"/>
      <c r="AN256" s="56"/>
      <c r="AO256" s="56"/>
      <c r="AP256" s="56"/>
      <c r="AQ256" s="56"/>
      <c r="AT256" s="17" t="str">
        <f t="shared" si="192"/>
        <v>N/A</v>
      </c>
      <c r="AU256" s="17" t="str">
        <f t="shared" si="192"/>
        <v>N/A</v>
      </c>
      <c r="AV256" s="17" t="str">
        <f t="shared" si="192"/>
        <v>N/A</v>
      </c>
      <c r="AW256" s="17"/>
      <c r="AX256" s="17"/>
      <c r="AY256" s="17"/>
      <c r="BA256" s="473"/>
      <c r="BD256" s="17"/>
      <c r="BE256" s="13"/>
      <c r="BF256" s="13"/>
      <c r="BG256" s="13"/>
      <c r="BH256" s="1076"/>
      <c r="BL256" s="1076"/>
      <c r="BM256" s="1076"/>
      <c r="BP256" s="1076"/>
      <c r="BQ256" s="1076"/>
    </row>
    <row r="257" spans="1:69" ht="15" hidden="1" customHeight="1">
      <c r="A257" s="785">
        <v>55</v>
      </c>
      <c r="B257" s="621" t="s">
        <v>437</v>
      </c>
      <c r="C257" s="621"/>
      <c r="D257" s="621"/>
      <c r="E257" s="966"/>
      <c r="F257" s="619" t="str">
        <f>Mat06_Crit1</f>
        <v>Forkrav: Lovkrav, planlegging og iverksettelse i utbyggingsområdet</v>
      </c>
      <c r="G257" s="95" t="str">
        <f>Mat06_Crit1_credits</f>
        <v>Yes/No</v>
      </c>
      <c r="H257" s="29"/>
      <c r="I257" s="96"/>
      <c r="J257" s="100" t="str">
        <f>Mat06_minstd_cred</f>
        <v>N/A</v>
      </c>
      <c r="K257" s="66"/>
      <c r="L257" s="228" t="s">
        <v>176</v>
      </c>
      <c r="M257" s="545"/>
      <c r="N257" s="616"/>
      <c r="O257" s="69"/>
      <c r="P257" s="671"/>
      <c r="Q257" s="671"/>
      <c r="R257" s="551"/>
      <c r="S257" s="552"/>
      <c r="T257" s="545"/>
      <c r="U257" s="261"/>
      <c r="V257" s="69"/>
      <c r="W257" s="671"/>
      <c r="X257" s="671"/>
      <c r="Y257" s="67"/>
      <c r="Z257" s="66"/>
      <c r="AA257" s="545"/>
      <c r="AB257" s="105"/>
      <c r="AC257" s="473" t="s">
        <v>209</v>
      </c>
      <c r="AD257" s="17">
        <f>IF(G257="",1,IF(G257=0,2,1))</f>
        <v>1</v>
      </c>
      <c r="AE257" s="1">
        <f>VLOOKUP(L257,Prosjektdetaljer!$O$45:$P$48,2,FALSE)</f>
        <v>3</v>
      </c>
      <c r="AF257" s="1" t="e">
        <f>VLOOKUP(S257,Prosjektdetaljer!$O$45:$P$48,2,FALSE)</f>
        <v>#N/A</v>
      </c>
      <c r="AG257" s="1" t="e">
        <f>VLOOKUP(Z257,Prosjektdetaljer!$O$45:$P$48,2,FALSE)</f>
        <v>#N/A</v>
      </c>
      <c r="AJ257" s="56"/>
      <c r="AK257" s="500" t="s">
        <v>596</v>
      </c>
      <c r="AL257" s="56"/>
      <c r="AM257" s="56"/>
      <c r="AN257" s="56"/>
      <c r="AO257" s="56"/>
      <c r="AP257" s="56"/>
      <c r="AQ257" s="56"/>
      <c r="AT257" s="17" t="str">
        <f t="shared" si="192"/>
        <v>N/A</v>
      </c>
      <c r="AU257" s="17" t="str">
        <f t="shared" si="192"/>
        <v>N/A</v>
      </c>
      <c r="AV257" s="17" t="str">
        <f t="shared" si="192"/>
        <v>N/A</v>
      </c>
      <c r="AW257" s="17"/>
      <c r="AX257" s="17"/>
      <c r="AY257" s="17"/>
      <c r="BA257" s="473"/>
      <c r="BD257" s="17"/>
      <c r="BE257" s="13"/>
      <c r="BF257" s="13"/>
      <c r="BG257" s="13"/>
      <c r="BH257" s="1076"/>
      <c r="BL257" s="1076"/>
      <c r="BM257" s="1076"/>
      <c r="BP257" s="1076"/>
      <c r="BQ257" s="1076"/>
    </row>
    <row r="258" spans="1:69" hidden="1">
      <c r="A258" s="785">
        <v>57</v>
      </c>
      <c r="B258" s="621" t="s">
        <v>437</v>
      </c>
      <c r="C258" s="621"/>
      <c r="D258" s="621"/>
      <c r="E258" s="966"/>
      <c r="F258" s="619" t="str">
        <f>Mat07_Crit1</f>
        <v>Forkrav: flomrisikoanalyse</v>
      </c>
      <c r="G258" s="95" t="str">
        <f>Mat07_Crit1_credits</f>
        <v>Yes/No</v>
      </c>
      <c r="H258" s="29"/>
      <c r="I258" s="96"/>
      <c r="J258" s="100" t="str" cm="1">
        <f t="array" ref="J258">Mat07_minstd_cred</f>
        <v>N/A</v>
      </c>
      <c r="K258" s="66"/>
      <c r="L258" s="228" t="s">
        <v>176</v>
      </c>
      <c r="M258" s="601"/>
      <c r="N258" s="616"/>
      <c r="O258" s="69"/>
      <c r="P258" s="671"/>
      <c r="Q258" s="671"/>
      <c r="R258" s="551"/>
      <c r="S258" s="552"/>
      <c r="T258" s="545"/>
      <c r="U258" s="261"/>
      <c r="V258" s="69"/>
      <c r="W258" s="671"/>
      <c r="X258" s="671"/>
      <c r="Y258" s="67"/>
      <c r="Z258" s="66"/>
      <c r="AA258" s="545"/>
      <c r="AB258" s="105"/>
      <c r="AC258" s="473" t="s">
        <v>209</v>
      </c>
      <c r="AD258" s="17">
        <f>IF(G258="",1,IF(G258=0,2,1))</f>
        <v>1</v>
      </c>
      <c r="AE258" s="1">
        <f>VLOOKUP(L258,Prosjektdetaljer!$O$45:$P$48,2,FALSE)</f>
        <v>3</v>
      </c>
      <c r="AF258" s="1" t="e">
        <f>VLOOKUP(S258,Prosjektdetaljer!$O$45:$P$48,2,FALSE)</f>
        <v>#N/A</v>
      </c>
      <c r="AG258" s="1" t="e">
        <f>VLOOKUP(Z258,Prosjektdetaljer!$O$45:$P$48,2,FALSE)</f>
        <v>#N/A</v>
      </c>
      <c r="AJ258" s="56"/>
      <c r="AK258" s="500" t="s">
        <v>596</v>
      </c>
      <c r="AL258" s="56"/>
      <c r="AM258" s="56"/>
      <c r="AN258" s="56"/>
      <c r="AO258" s="56"/>
      <c r="AP258" s="56"/>
      <c r="AQ258" s="56"/>
      <c r="AT258" s="17" t="str">
        <f t="shared" si="192"/>
        <v>N/A</v>
      </c>
      <c r="AU258" s="17" t="str">
        <f t="shared" si="192"/>
        <v>N/A</v>
      </c>
      <c r="AV258" s="17" t="str">
        <f t="shared" si="192"/>
        <v>N/A</v>
      </c>
      <c r="AW258" s="17"/>
      <c r="AX258" s="17"/>
      <c r="AY258" s="17"/>
      <c r="BA258" s="473"/>
      <c r="BD258" s="17"/>
      <c r="BE258" s="13"/>
      <c r="BF258" s="13"/>
      <c r="BG258" s="13"/>
      <c r="BH258" s="1076"/>
      <c r="BL258" s="1076"/>
      <c r="BM258" s="1076"/>
      <c r="BP258" s="1076"/>
      <c r="BQ258" s="1076"/>
    </row>
    <row r="259" spans="1:69" hidden="1">
      <c r="A259" s="785">
        <v>62</v>
      </c>
      <c r="B259" s="621" t="s">
        <v>475</v>
      </c>
      <c r="C259" s="621"/>
      <c r="D259" s="621"/>
      <c r="E259" s="966"/>
      <c r="F259" s="281" t="str">
        <f>Wst01_Crit1</f>
        <v>Forkrav: risikokartlegging og tretrinnsstrategi</v>
      </c>
      <c r="G259" s="95" t="str">
        <f>Wst01_Crit1_credits</f>
        <v>Yes/No</v>
      </c>
      <c r="H259" s="29"/>
      <c r="I259" s="96"/>
      <c r="J259" s="100" t="str">
        <f>Wst01_minstd</f>
        <v>N/A</v>
      </c>
      <c r="K259" s="66"/>
      <c r="L259" s="228" t="s">
        <v>176</v>
      </c>
      <c r="M259" s="545"/>
      <c r="N259" s="616"/>
      <c r="O259" s="69"/>
      <c r="P259" s="671"/>
      <c r="Q259" s="671"/>
      <c r="R259" s="551"/>
      <c r="S259" s="552"/>
      <c r="T259" s="545"/>
      <c r="U259" s="261"/>
      <c r="V259" s="69"/>
      <c r="W259" s="671"/>
      <c r="X259" s="671"/>
      <c r="Y259" s="67"/>
      <c r="Z259" s="66"/>
      <c r="AA259" s="545"/>
      <c r="AB259" s="105"/>
      <c r="AC259" s="473" t="s">
        <v>209</v>
      </c>
      <c r="AD259" s="17">
        <f>AD148</f>
        <v>0</v>
      </c>
      <c r="AE259" s="1">
        <f>VLOOKUP(L259,Prosjektdetaljer!$O$45:$P$48,2,FALSE)</f>
        <v>3</v>
      </c>
      <c r="AF259" s="1" t="e">
        <f>VLOOKUP(S259,Prosjektdetaljer!$O$45:$P$48,2,FALSE)</f>
        <v>#N/A</v>
      </c>
      <c r="AG259" s="1" t="e">
        <f>VLOOKUP(Z259,Prosjektdetaljer!$O$45:$P$48,2,FALSE)</f>
        <v>#N/A</v>
      </c>
      <c r="AJ259" s="56"/>
      <c r="AK259" s="500" t="s">
        <v>595</v>
      </c>
      <c r="AL259" s="56"/>
      <c r="AM259" s="56"/>
      <c r="AN259" s="56"/>
      <c r="AO259" s="56"/>
      <c r="AP259" s="56"/>
      <c r="AQ259" s="56"/>
      <c r="AT259" s="17" t="str">
        <f t="shared" si="192"/>
        <v>N/A</v>
      </c>
      <c r="AU259" s="17" t="str">
        <f t="shared" si="192"/>
        <v>N/A</v>
      </c>
      <c r="AV259" s="17" t="str">
        <f t="shared" si="192"/>
        <v>N/A</v>
      </c>
      <c r="AW259" s="17"/>
      <c r="AX259" s="17"/>
      <c r="AY259" s="17"/>
      <c r="BA259" s="473"/>
      <c r="BD259" s="17"/>
      <c r="BE259" s="13"/>
      <c r="BF259" s="13"/>
      <c r="BG259" s="13"/>
      <c r="BH259" s="1076"/>
      <c r="BL259" s="1076"/>
      <c r="BM259" s="1076"/>
      <c r="BP259" s="1076"/>
      <c r="BQ259" s="1076"/>
    </row>
    <row r="260" spans="1:69" hidden="1">
      <c r="D260" s="14"/>
      <c r="E260" s="974"/>
      <c r="O260" s="618"/>
      <c r="P260" s="618"/>
      <c r="Q260" s="618"/>
      <c r="BD260" s="17"/>
      <c r="BE260" s="13"/>
      <c r="BF260" s="13"/>
      <c r="BG260" s="13"/>
      <c r="BH260" s="1076"/>
      <c r="BL260" s="1076"/>
      <c r="BM260" s="1076"/>
      <c r="BP260" s="1076"/>
      <c r="BQ260" s="1076"/>
    </row>
    <row r="261" spans="1:69" hidden="1">
      <c r="D261" s="14"/>
      <c r="E261" s="974"/>
      <c r="O261" s="618"/>
      <c r="P261" s="618"/>
      <c r="Q261" s="618"/>
      <c r="BD261" s="17"/>
      <c r="BE261" s="13"/>
      <c r="BF261" s="13"/>
      <c r="BG261" s="13"/>
      <c r="BH261" s="1076"/>
      <c r="BL261" s="1076"/>
      <c r="BM261" s="1076"/>
      <c r="BP261" s="1076"/>
      <c r="BQ261" s="1076"/>
    </row>
    <row r="262" spans="1:69">
      <c r="D262" s="14"/>
      <c r="E262" s="974"/>
      <c r="O262" s="618"/>
      <c r="P262" s="618"/>
      <c r="Q262" s="618"/>
      <c r="BD262" s="17"/>
      <c r="BE262" s="13"/>
      <c r="BF262" s="13"/>
      <c r="BG262" s="13"/>
      <c r="BH262" s="1076"/>
      <c r="BL262" s="1076"/>
      <c r="BM262" s="1076"/>
      <c r="BP262" s="1076"/>
      <c r="BQ262" s="1076"/>
    </row>
    <row r="263" spans="1:69">
      <c r="O263" s="618"/>
      <c r="P263" s="618"/>
      <c r="Q263" s="618"/>
      <c r="BD263" s="17"/>
      <c r="BE263" s="13"/>
      <c r="BF263" s="13"/>
      <c r="BG263" s="13"/>
      <c r="BH263" s="1076"/>
      <c r="BL263" s="1076"/>
      <c r="BM263" s="1076"/>
      <c r="BP263" s="1076"/>
      <c r="BQ263" s="1076"/>
    </row>
    <row r="264" spans="1:69">
      <c r="O264" s="618"/>
      <c r="P264" s="618"/>
      <c r="Q264" s="618"/>
      <c r="BD264" s="17"/>
      <c r="BE264" s="13"/>
      <c r="BF264" s="13"/>
      <c r="BG264" s="13"/>
      <c r="BH264" s="1076"/>
      <c r="BL264" s="1076"/>
      <c r="BM264" s="1076"/>
      <c r="BP264" s="1076"/>
      <c r="BQ264" s="1076"/>
    </row>
    <row r="265" spans="1:69">
      <c r="O265" s="618"/>
      <c r="P265" s="618"/>
      <c r="Q265" s="618"/>
      <c r="BD265" s="17"/>
      <c r="BE265" s="13"/>
      <c r="BF265" s="13"/>
      <c r="BG265" s="13"/>
      <c r="BH265" s="1076"/>
      <c r="BL265" s="1076"/>
      <c r="BM265" s="1076"/>
      <c r="BP265" s="1076"/>
      <c r="BQ265" s="1076"/>
    </row>
    <row r="266" spans="1:69">
      <c r="O266" s="618"/>
      <c r="P266" s="618"/>
      <c r="Q266" s="618"/>
      <c r="BD266" s="17"/>
      <c r="BE266" s="13"/>
      <c r="BF266" s="13"/>
      <c r="BG266" s="13"/>
      <c r="BH266" s="1076"/>
      <c r="BL266" s="1076"/>
      <c r="BM266" s="1076"/>
      <c r="BP266" s="1076"/>
      <c r="BQ266" s="1076"/>
    </row>
    <row r="267" spans="1:69">
      <c r="O267" s="618"/>
      <c r="P267" s="618"/>
      <c r="Q267" s="618"/>
      <c r="BD267" s="17"/>
      <c r="BE267" s="13"/>
      <c r="BF267" s="13"/>
      <c r="BG267" s="13"/>
      <c r="BH267" s="1076"/>
      <c r="BL267" s="1076"/>
      <c r="BM267" s="1076"/>
      <c r="BP267" s="1076"/>
      <c r="BQ267" s="1076"/>
    </row>
    <row r="268" spans="1:69">
      <c r="O268" s="618"/>
      <c r="P268" s="618"/>
      <c r="Q268" s="618"/>
      <c r="BD268" s="17"/>
      <c r="BE268" s="13"/>
      <c r="BF268" s="13"/>
      <c r="BG268" s="13"/>
      <c r="BH268" s="1076"/>
      <c r="BL268" s="1076"/>
      <c r="BM268" s="1076"/>
      <c r="BP268" s="1076"/>
      <c r="BQ268" s="1076"/>
    </row>
    <row r="269" spans="1:69">
      <c r="O269" s="618"/>
      <c r="P269" s="618"/>
      <c r="Q269" s="618"/>
      <c r="BD269" s="17"/>
      <c r="BE269" s="13"/>
      <c r="BF269" s="13"/>
      <c r="BG269" s="13"/>
      <c r="BH269" s="1076"/>
      <c r="BL269" s="1076"/>
      <c r="BM269" s="1076"/>
      <c r="BP269" s="1076"/>
      <c r="BQ269" s="1076"/>
    </row>
    <row r="270" spans="1:69">
      <c r="O270" s="618"/>
      <c r="P270" s="618"/>
      <c r="Q270" s="618"/>
      <c r="BD270" s="17"/>
      <c r="BE270" s="13"/>
      <c r="BF270" s="13"/>
      <c r="BG270" s="13"/>
      <c r="BH270" s="1076"/>
      <c r="BL270" s="1076"/>
      <c r="BM270" s="1076"/>
      <c r="BP270" s="1076"/>
      <c r="BQ270" s="1076"/>
    </row>
    <row r="271" spans="1:69">
      <c r="O271" s="618"/>
      <c r="P271" s="618"/>
      <c r="Q271" s="618"/>
      <c r="BD271" s="17"/>
      <c r="BE271" s="13"/>
      <c r="BF271" s="13"/>
      <c r="BG271" s="13"/>
      <c r="BH271" s="1076"/>
      <c r="BL271" s="1076"/>
      <c r="BM271" s="1076"/>
      <c r="BP271" s="1076"/>
      <c r="BQ271" s="1076"/>
    </row>
    <row r="272" spans="1:69">
      <c r="O272" s="618"/>
      <c r="P272" s="618"/>
      <c r="Q272" s="618"/>
      <c r="BD272" s="17"/>
      <c r="BE272" s="13"/>
      <c r="BF272" s="13"/>
      <c r="BG272" s="13"/>
      <c r="BH272" s="1076"/>
      <c r="BL272" s="1076"/>
      <c r="BM272" s="1076"/>
      <c r="BP272" s="1076"/>
      <c r="BQ272" s="1076"/>
    </row>
    <row r="273" spans="15:69">
      <c r="O273" s="618"/>
      <c r="P273" s="618"/>
      <c r="Q273" s="618"/>
      <c r="BD273" s="17"/>
      <c r="BE273" s="13"/>
      <c r="BF273" s="13"/>
      <c r="BG273" s="13"/>
      <c r="BH273" s="1076"/>
      <c r="BL273" s="1076"/>
      <c r="BM273" s="1076"/>
      <c r="BP273" s="1076"/>
      <c r="BQ273" s="1076"/>
    </row>
    <row r="274" spans="15:69">
      <c r="O274" s="618"/>
      <c r="P274" s="618"/>
      <c r="Q274" s="618"/>
      <c r="BD274" s="17"/>
      <c r="BE274" s="13"/>
      <c r="BF274" s="13"/>
      <c r="BG274" s="13"/>
      <c r="BH274" s="1076"/>
      <c r="BL274" s="1076"/>
      <c r="BM274" s="1076"/>
      <c r="BP274" s="1076"/>
      <c r="BQ274" s="1076"/>
    </row>
    <row r="275" spans="15:69">
      <c r="O275" s="618"/>
      <c r="P275" s="618"/>
      <c r="Q275" s="618"/>
      <c r="BD275" s="17"/>
      <c r="BE275" s="13"/>
      <c r="BF275" s="13"/>
      <c r="BG275" s="13"/>
      <c r="BH275" s="1076"/>
      <c r="BL275" s="1076"/>
      <c r="BM275" s="1076"/>
      <c r="BP275" s="1076"/>
      <c r="BQ275" s="1076"/>
    </row>
    <row r="276" spans="15:69">
      <c r="O276" s="618"/>
      <c r="P276" s="618"/>
      <c r="Q276" s="618"/>
      <c r="BD276" s="17"/>
      <c r="BE276" s="13"/>
      <c r="BF276" s="13"/>
      <c r="BG276" s="13"/>
      <c r="BH276" s="1076"/>
      <c r="BL276" s="1076"/>
      <c r="BM276" s="1076"/>
      <c r="BP276" s="1076"/>
      <c r="BQ276" s="1076"/>
    </row>
    <row r="277" spans="15:69">
      <c r="O277" s="618"/>
      <c r="P277" s="618"/>
      <c r="Q277" s="618"/>
      <c r="BD277" s="17"/>
      <c r="BE277" s="13"/>
      <c r="BF277" s="13"/>
      <c r="BG277" s="13"/>
      <c r="BH277" s="1076"/>
      <c r="BL277" s="1076"/>
      <c r="BM277" s="1076"/>
      <c r="BP277" s="1076"/>
      <c r="BQ277" s="1076"/>
    </row>
    <row r="278" spans="15:69">
      <c r="O278" s="618"/>
      <c r="P278" s="618"/>
      <c r="Q278" s="618"/>
      <c r="BD278" s="17"/>
      <c r="BE278" s="13"/>
      <c r="BF278" s="13"/>
      <c r="BG278" s="13"/>
      <c r="BH278" s="1076"/>
      <c r="BL278" s="1076"/>
      <c r="BM278" s="1076"/>
      <c r="BP278" s="1076"/>
      <c r="BQ278" s="1076"/>
    </row>
    <row r="279" spans="15:69">
      <c r="O279" s="618"/>
      <c r="P279" s="618"/>
      <c r="Q279" s="618"/>
      <c r="BD279" s="17"/>
      <c r="BE279" s="13"/>
      <c r="BF279" s="13"/>
      <c r="BG279" s="13"/>
      <c r="BH279" s="1076"/>
      <c r="BL279" s="1076"/>
      <c r="BM279" s="1076"/>
      <c r="BP279" s="1076"/>
      <c r="BQ279" s="1076"/>
    </row>
    <row r="280" spans="15:69">
      <c r="O280" s="618"/>
      <c r="P280" s="618"/>
      <c r="Q280" s="618"/>
      <c r="BD280" s="17"/>
      <c r="BE280" s="13"/>
      <c r="BF280" s="13"/>
      <c r="BG280" s="13"/>
      <c r="BH280" s="1076"/>
      <c r="BL280" s="1076"/>
      <c r="BM280" s="1076"/>
      <c r="BP280" s="1076"/>
      <c r="BQ280" s="1076"/>
    </row>
    <row r="281" spans="15:69">
      <c r="O281" s="618"/>
      <c r="P281" s="618"/>
      <c r="Q281" s="618"/>
      <c r="BD281" s="17"/>
      <c r="BE281" s="13"/>
      <c r="BF281" s="13"/>
      <c r="BG281" s="13"/>
      <c r="BH281" s="1076"/>
      <c r="BL281" s="1076"/>
      <c r="BM281" s="1076"/>
      <c r="BP281" s="1076"/>
      <c r="BQ281" s="1076"/>
    </row>
    <row r="282" spans="15:69">
      <c r="O282" s="618"/>
      <c r="P282" s="618"/>
      <c r="Q282" s="618"/>
      <c r="BD282" s="17"/>
      <c r="BE282" s="13"/>
      <c r="BF282" s="13"/>
      <c r="BG282" s="13"/>
      <c r="BH282" s="1076"/>
      <c r="BL282" s="1076"/>
      <c r="BM282" s="1076"/>
      <c r="BP282" s="1076"/>
      <c r="BQ282" s="1076"/>
    </row>
    <row r="283" spans="15:69">
      <c r="O283" s="618"/>
      <c r="P283" s="618"/>
      <c r="Q283" s="618"/>
      <c r="BD283" s="17"/>
      <c r="BE283" s="13"/>
      <c r="BF283" s="13"/>
      <c r="BG283" s="13"/>
      <c r="BH283" s="1076"/>
      <c r="BL283" s="1076"/>
      <c r="BM283" s="1076"/>
      <c r="BP283" s="1076"/>
      <c r="BQ283" s="1076"/>
    </row>
    <row r="284" spans="15:69">
      <c r="O284" s="618"/>
      <c r="P284" s="618"/>
      <c r="Q284" s="618"/>
    </row>
    <row r="285" spans="15:69">
      <c r="O285" s="618"/>
      <c r="P285" s="618"/>
      <c r="Q285" s="618"/>
    </row>
    <row r="286" spans="15:69">
      <c r="O286" s="618"/>
      <c r="P286" s="618"/>
      <c r="Q286" s="618"/>
    </row>
    <row r="287" spans="15:69">
      <c r="O287" s="618"/>
      <c r="P287" s="618"/>
      <c r="Q287" s="618"/>
    </row>
    <row r="288" spans="15:69">
      <c r="O288" s="618"/>
      <c r="P288" s="618"/>
      <c r="Q288" s="618"/>
      <c r="BD288" s="17"/>
      <c r="BE288" s="13"/>
      <c r="BF288" s="13"/>
      <c r="BG288" s="13"/>
      <c r="BH288" s="1076"/>
      <c r="BL288" s="1076"/>
      <c r="BM288" s="1076"/>
      <c r="BP288" s="1076"/>
      <c r="BQ288" s="1076"/>
    </row>
    <row r="289" spans="15:69">
      <c r="O289" s="618"/>
      <c r="P289" s="618"/>
      <c r="Q289" s="618"/>
    </row>
    <row r="290" spans="15:69">
      <c r="O290" s="618"/>
      <c r="P290" s="618"/>
      <c r="Q290" s="618"/>
    </row>
    <row r="291" spans="15:69">
      <c r="O291" s="618"/>
      <c r="P291" s="618"/>
      <c r="Q291" s="618"/>
    </row>
    <row r="292" spans="15:69">
      <c r="O292" s="618"/>
      <c r="P292" s="618"/>
      <c r="Q292" s="618"/>
      <c r="BD292" s="17"/>
      <c r="BE292" s="13"/>
      <c r="BF292" s="13"/>
      <c r="BG292" s="13"/>
      <c r="BH292" s="1076"/>
      <c r="BL292" s="1076"/>
      <c r="BM292" s="1076"/>
      <c r="BP292" s="1076"/>
      <c r="BQ292" s="1076"/>
    </row>
    <row r="293" spans="15:69">
      <c r="O293" s="618"/>
      <c r="P293" s="618"/>
      <c r="Q293" s="618"/>
      <c r="BD293" s="17"/>
      <c r="BE293" s="13"/>
      <c r="BF293" s="13"/>
      <c r="BG293" s="13"/>
      <c r="BH293" s="1076"/>
      <c r="BL293" s="1076"/>
      <c r="BM293" s="1076"/>
      <c r="BP293" s="1076"/>
      <c r="BQ293" s="1076"/>
    </row>
    <row r="294" spans="15:69">
      <c r="O294" s="618"/>
      <c r="P294" s="618"/>
      <c r="Q294" s="618"/>
      <c r="BD294" s="17"/>
      <c r="BE294" s="13"/>
      <c r="BF294" s="13"/>
      <c r="BG294" s="13"/>
      <c r="BH294" s="1076"/>
      <c r="BL294" s="1076"/>
      <c r="BM294" s="1076"/>
      <c r="BP294" s="1076"/>
      <c r="BQ294" s="1076"/>
    </row>
    <row r="295" spans="15:69">
      <c r="O295" s="618"/>
      <c r="P295" s="618"/>
      <c r="Q295" s="618"/>
    </row>
    <row r="296" spans="15:69">
      <c r="O296" s="618"/>
      <c r="P296" s="618"/>
      <c r="Q296" s="618"/>
    </row>
    <row r="297" spans="15:69">
      <c r="O297" s="618"/>
      <c r="P297" s="618"/>
      <c r="Q297" s="618"/>
    </row>
    <row r="298" spans="15:69">
      <c r="O298" s="618"/>
      <c r="P298" s="618"/>
      <c r="Q298" s="618"/>
    </row>
    <row r="299" spans="15:69">
      <c r="O299" s="618"/>
      <c r="P299" s="618"/>
      <c r="Q299" s="618"/>
    </row>
    <row r="300" spans="15:69">
      <c r="O300" s="618"/>
      <c r="P300" s="618"/>
      <c r="Q300" s="618"/>
    </row>
    <row r="301" spans="15:69">
      <c r="O301" s="618"/>
      <c r="P301" s="618"/>
      <c r="Q301" s="618"/>
    </row>
    <row r="302" spans="15:69">
      <c r="O302" s="618"/>
      <c r="P302" s="618"/>
      <c r="Q302" s="618"/>
    </row>
    <row r="303" spans="15:69">
      <c r="O303" s="618"/>
      <c r="P303" s="618"/>
      <c r="Q303" s="618"/>
    </row>
    <row r="304" spans="15:69">
      <c r="O304" s="618"/>
      <c r="P304" s="618"/>
      <c r="Q304" s="618"/>
    </row>
    <row r="305" spans="15:37">
      <c r="O305" s="618"/>
      <c r="P305" s="618"/>
      <c r="Q305" s="618"/>
    </row>
    <row r="306" spans="15:37">
      <c r="O306" s="618"/>
      <c r="P306" s="618"/>
      <c r="Q306" s="618"/>
    </row>
    <row r="307" spans="15:37">
      <c r="O307" s="618"/>
      <c r="P307" s="618"/>
      <c r="Q307" s="618"/>
    </row>
    <row r="308" spans="15:37">
      <c r="O308" s="618"/>
      <c r="P308" s="618"/>
      <c r="Q308" s="618"/>
    </row>
    <row r="309" spans="15:37">
      <c r="O309" s="618"/>
      <c r="P309" s="618"/>
      <c r="Q309" s="618"/>
    </row>
    <row r="310" spans="15:37">
      <c r="O310" s="618"/>
      <c r="P310" s="618"/>
      <c r="Q310" s="618"/>
    </row>
    <row r="311" spans="15:37">
      <c r="O311" s="618"/>
      <c r="P311" s="618"/>
      <c r="Q311" s="618"/>
    </row>
    <row r="312" spans="15:37">
      <c r="O312" s="618"/>
      <c r="P312" s="618"/>
      <c r="Q312" s="618"/>
    </row>
    <row r="313" spans="15:37">
      <c r="O313" s="618"/>
      <c r="P313" s="618"/>
      <c r="Q313" s="618"/>
    </row>
    <row r="314" spans="15:37">
      <c r="O314" s="618"/>
      <c r="P314" s="618"/>
      <c r="Q314" s="618"/>
    </row>
    <row r="315" spans="15:37">
      <c r="O315" s="618"/>
      <c r="P315" s="618"/>
      <c r="Q315" s="618"/>
    </row>
    <row r="316" spans="15:37">
      <c r="O316" s="618"/>
      <c r="P316" s="618"/>
      <c r="Q316" s="618"/>
    </row>
    <row r="317" spans="15:37">
      <c r="O317" s="618"/>
      <c r="P317" s="618"/>
      <c r="Q317" s="618"/>
    </row>
    <row r="318" spans="15:37">
      <c r="O318" s="618"/>
      <c r="P318" s="618"/>
      <c r="Q318" s="618"/>
      <c r="AK318" s="4"/>
    </row>
    <row r="319" spans="15:37">
      <c r="O319" s="618"/>
      <c r="P319" s="618"/>
      <c r="Q319" s="618"/>
    </row>
    <row r="320" spans="15:37">
      <c r="O320" s="618"/>
      <c r="P320" s="618"/>
      <c r="Q320" s="618"/>
    </row>
    <row r="321" spans="15:17">
      <c r="O321" s="618"/>
      <c r="P321" s="618"/>
      <c r="Q321" s="618"/>
    </row>
    <row r="322" spans="15:17">
      <c r="O322" s="618"/>
      <c r="P322" s="618"/>
      <c r="Q322" s="618"/>
    </row>
    <row r="323" spans="15:17">
      <c r="O323" s="618"/>
      <c r="P323" s="618"/>
      <c r="Q323" s="618"/>
    </row>
    <row r="324" spans="15:17">
      <c r="O324" s="618"/>
      <c r="P324" s="618"/>
      <c r="Q324" s="618"/>
    </row>
    <row r="325" spans="15:17">
      <c r="O325" s="618"/>
      <c r="P325" s="618"/>
      <c r="Q325" s="618"/>
    </row>
    <row r="326" spans="15:17">
      <c r="O326" s="618"/>
      <c r="P326" s="618"/>
      <c r="Q326" s="618"/>
    </row>
    <row r="327" spans="15:17">
      <c r="O327" s="618"/>
      <c r="P327" s="618"/>
      <c r="Q327" s="618"/>
    </row>
    <row r="328" spans="15:17">
      <c r="O328" s="618"/>
      <c r="P328" s="618"/>
      <c r="Q328" s="618"/>
    </row>
    <row r="329" spans="15:17">
      <c r="O329" s="618"/>
      <c r="P329" s="618"/>
      <c r="Q329" s="618"/>
    </row>
    <row r="330" spans="15:17">
      <c r="O330" s="618"/>
      <c r="P330" s="618"/>
      <c r="Q330" s="618"/>
    </row>
    <row r="331" spans="15:17">
      <c r="O331" s="618"/>
      <c r="P331" s="618"/>
      <c r="Q331" s="618"/>
    </row>
    <row r="332" spans="15:17">
      <c r="O332" s="618"/>
      <c r="P332" s="618"/>
      <c r="Q332" s="618"/>
    </row>
    <row r="333" spans="15:17">
      <c r="O333" s="618"/>
      <c r="P333" s="618"/>
      <c r="Q333" s="618"/>
    </row>
    <row r="334" spans="15:17">
      <c r="O334" s="618"/>
      <c r="P334" s="618"/>
      <c r="Q334" s="618"/>
    </row>
    <row r="335" spans="15:17">
      <c r="O335" s="618"/>
      <c r="P335" s="618"/>
      <c r="Q335" s="618"/>
    </row>
    <row r="336" spans="15:17">
      <c r="O336" s="618"/>
      <c r="P336" s="618"/>
      <c r="Q336" s="618"/>
    </row>
    <row r="337" spans="15:17">
      <c r="O337" s="618"/>
      <c r="P337" s="618"/>
      <c r="Q337" s="618"/>
    </row>
    <row r="338" spans="15:17">
      <c r="O338" s="618"/>
      <c r="P338" s="618"/>
      <c r="Q338" s="618"/>
    </row>
    <row r="339" spans="15:17">
      <c r="O339" s="618"/>
      <c r="P339" s="618"/>
      <c r="Q339" s="618"/>
    </row>
    <row r="340" spans="15:17">
      <c r="O340" s="618"/>
      <c r="P340" s="618"/>
      <c r="Q340" s="618"/>
    </row>
    <row r="341" spans="15:17">
      <c r="O341" s="618"/>
      <c r="P341" s="618"/>
      <c r="Q341" s="618"/>
    </row>
    <row r="342" spans="15:17">
      <c r="O342" s="618"/>
      <c r="P342" s="618"/>
      <c r="Q342" s="618"/>
    </row>
    <row r="343" spans="15:17">
      <c r="O343" s="618"/>
      <c r="P343" s="618"/>
      <c r="Q343" s="618"/>
    </row>
    <row r="344" spans="15:17">
      <c r="O344" s="618"/>
      <c r="P344" s="618"/>
      <c r="Q344" s="618"/>
    </row>
    <row r="345" spans="15:17">
      <c r="O345" s="618"/>
      <c r="P345" s="618"/>
      <c r="Q345" s="618"/>
    </row>
    <row r="346" spans="15:17">
      <c r="O346" s="618"/>
      <c r="P346" s="618"/>
      <c r="Q346" s="618"/>
    </row>
    <row r="347" spans="15:17">
      <c r="O347" s="618"/>
      <c r="P347" s="618"/>
      <c r="Q347" s="618"/>
    </row>
    <row r="348" spans="15:17">
      <c r="O348" s="618"/>
      <c r="P348" s="618"/>
      <c r="Q348" s="618"/>
    </row>
    <row r="349" spans="15:17">
      <c r="O349" s="618"/>
      <c r="P349" s="618"/>
      <c r="Q349" s="618"/>
    </row>
    <row r="350" spans="15:17">
      <c r="O350" s="618"/>
      <c r="P350" s="618"/>
      <c r="Q350" s="618"/>
    </row>
    <row r="385" spans="6:27" ht="15.75">
      <c r="F385" s="3"/>
      <c r="G385" s="3"/>
      <c r="H385" s="3"/>
      <c r="I385" s="3"/>
      <c r="J385" s="3"/>
      <c r="K385" s="3"/>
      <c r="L385" s="3"/>
      <c r="M385" s="1018"/>
      <c r="O385" s="568"/>
      <c r="P385" s="568"/>
      <c r="Q385" s="568"/>
      <c r="R385" s="568"/>
      <c r="S385" s="568"/>
      <c r="T385" s="568"/>
      <c r="V385" s="215"/>
      <c r="W385" s="215"/>
      <c r="X385" s="215"/>
      <c r="Y385" s="215"/>
      <c r="Z385" s="215"/>
      <c r="AA385" s="568"/>
    </row>
  </sheetData>
  <sheetProtection algorithmName="SHA-512" hashValue="ZGuzwQxCx2YKQXwFwU2IuPt0nBF41bcozDJ5ttTreU9kDtmhvLYj+xTNE+oMH8nwg6fYl1AUVGx0IZO2eg9SIQ==" saltValue="oH1UQajFNFjkactO4KwflQ==" spinCount="100000" sheet="1" formatCells="0" formatColumns="0" formatRows="0" selectLockedCells="1" sort="0" autoFilter="0"/>
  <protectedRanges>
    <protectedRange sqref="N11:O11 N17:O20 N27:O27 D11:G11 D17:E20 D27:E27 D31:E31 D36:P36 C41:E41 B37:P37 H18:H19 I11:L11 H28:H30 H32:H34 O12:O16 AA11:AC11 D42:E46 D51:E51 D122 D126 D141 A250:A252 D102:P102 D116:P116 D146:P146 D161:P161 D193:P193 D210:P210 O21:O26 B11:C36 B226:D226 T214:W226 AB17:AC20 AB27:AC27 AB31:AC31 AB122:AC122 AB126:AC126 AB141:AC141 AB130:AC137 AB51:AC66 AB145:AC149 B227:AG227 A245:AG248 B236:AG236 A254:AG259 A228:AG231 B251:AG252 R166:S226 Y166:Z226 D130:D137 B39:E40 AB35:AC46 B41:B225 C42:C225 R11:S104 A11:A227 D98:D101 F101:P101 D94:D95 F94:P94 E94:E101 F103:P103 D103:E115 F115:P115 D117:D120 F117:P117 D145 F145:P145 E117:E145 D147:D149 F147:P147 D154:D160 F160:P160 E147:E160 F162:P162 D162:E192 F192:P192 F194:P194 D194:E209 F209:P209 D211:D225 D63:P65 D92:P93 A9:AG10 BF9:BQ9 E211:P211 B38:G38 D55:G55 D58:G58 D61:G61 D66:G66 D73:G73 D77:G77 D80:G80 D83:G83 D87:G87 D90:G90 F95:G95 F98:G98 F104:G104 F107:G107 F109:G109 F113:G113 F118:G118 F122:G122 F126:G126 F130:G130 F136:G136 F141:G141 F148:G148 F154:G154 F156:G156 F158:G158 F163:G163 F166:G166 F178:G178 F182:G182 F184:G184 F187:G187 F195:G195 F200:G200 F203:G203 F206:G206 F12:G20 F21:H26 F27:G34 F46:G51 D62:H62 D78:H79 D81:H82 D84:H86 D88:H89 D91:H91 F110:H112 F114:H114 F155:H155 F157:H157 F159:H159 F170:G174 H12:L16 F39:L45 D52:L54 D56:L57 D59:L60 I61:L62 F67:L72 D74:L76 F96:L97 F99:L100 F105:L106 F108:L108 F119:L121 F123:L125 F127:L129 F131:L135 F137:L140 F142:L144 F149:L153 F164:L165 F167:L169 H172:L173 F175:L177 F179:L181 F183:L183 F185:L186 F188:L191 F196:L199 F201:L202 F204:L205 F207:L208 O28:Q30 E35:P35 O32:Q34 N164:S165 Q209:Q211 E212:Q226 X209:X226 U209:W213 AB73:AC95 AB98:AC120 AA214:AC226 AB154:AC213 Q35:Q38 Q63:Q66 Q92:Q95 Q101:Q104 Q115:S118 Q145:S148 Q160:S163 Q192:Q195 I17:L34 I38:L38 I46:L46 H47:L51 I55:L55 I58:L58 I66:L66 I73:L73 I77:L91 I95:L95 I98:L98 I104:L104 I107:L107 I109:L114 I118:L118 I122:L122 I126:L126 I130:L130 I136:L136 I141:L141 I148:L148 I154:L159 I163:L163 I166:L166 I170:L171 I174:L174 I178:L178 I182:L182 I184:L184 I187:L187 I195:L195 I200:L200 I203:L203 I206:L206 P11:Q27 N31:Q31 N38:P38 N39:Q62 N66:P66 N95:P95 N96:Q100 N104:P104 N105:S114 N118:P118 N119:S144 N148:P148 N149:S159 N163:P163 N166:Q191 N195:P195 N196:Q208 U166:X208 U11:Z165 N67:Q91 AD11:AG226" name="Sortering"/>
    <protectedRange sqref="M38:M62 M104:M114 M195:M208 M11:M34 M66 M95:M100 M163:M191 M148:M159 M118:M144 M68:M91" name="Sortering_1"/>
    <protectedRange sqref="T11" name="Sortering_5"/>
    <protectedRange sqref="T20 T27 T31 T35:T37 T63:T65 T92:T94 T101:T103 T115:T117 T145:T147 T160:T162 T192:T194 T209:T213" name="Sortering_2"/>
    <protectedRange sqref="T38:T40 T66 T95 T104 T118 T148 T163 T195" name="Sortering_5_1"/>
    <protectedRange sqref="T12:T19 T28:T30 T32:T34 T41:T62 T196:T208 T21:T26 T96:T100 T164:T191 M67 AA67 T105:T114 T149:T159 T119:T144 T67:T91" name="Sortering_6_1"/>
    <protectedRange sqref="AA12:AA66 AA68:AA213" name="Sortering_3"/>
  </protectedRanges>
  <autoFilter ref="A9:AG227" xr:uid="{00000000-0009-0000-0000-000002000000}">
    <sortState xmlns:xlrd2="http://schemas.microsoft.com/office/spreadsheetml/2017/richdata2" ref="A10:AG227">
      <sortCondition ref="A9:A227"/>
    </sortState>
  </autoFilter>
  <mergeCells count="5">
    <mergeCell ref="AE8:AG8"/>
    <mergeCell ref="H3:L3"/>
    <mergeCell ref="O3:T3"/>
    <mergeCell ref="V3:AA3"/>
    <mergeCell ref="AC4:AC8"/>
  </mergeCells>
  <phoneticPr fontId="19" type="noConversion"/>
  <conditionalFormatting sqref="K11:L226">
    <cfRule type="expression" dxfId="49" priority="10">
      <formula>$AE11=3</formula>
    </cfRule>
    <cfRule type="expression" dxfId="48" priority="11">
      <formula>$AE11=2</formula>
    </cfRule>
    <cfRule type="expression" dxfId="47" priority="12">
      <formula>$AE11=1</formula>
    </cfRule>
  </conditionalFormatting>
  <conditionalFormatting sqref="O11:O226 V11:V226 H11:H226">
    <cfRule type="expression" dxfId="46" priority="3">
      <formula>$AD11=1</formula>
    </cfRule>
  </conditionalFormatting>
  <conditionalFormatting sqref="O10:T226">
    <cfRule type="expression" dxfId="45" priority="2">
      <formula>$T$8="No"</formula>
    </cfRule>
  </conditionalFormatting>
  <conditionalFormatting sqref="R11:S226">
    <cfRule type="expression" dxfId="44" priority="7">
      <formula>$AF11=3</formula>
    </cfRule>
    <cfRule type="expression" dxfId="43" priority="8">
      <formula>$AF11=2</formula>
    </cfRule>
    <cfRule type="expression" dxfId="42" priority="9">
      <formula>$AF11=1</formula>
    </cfRule>
  </conditionalFormatting>
  <conditionalFormatting sqref="V10:AA226">
    <cfRule type="expression" dxfId="41" priority="1">
      <formula>$AA$8="No"</formula>
    </cfRule>
  </conditionalFormatting>
  <conditionalFormatting sqref="Y11:Z226">
    <cfRule type="expression" dxfId="40" priority="4">
      <formula>$AG11=3</formula>
    </cfRule>
    <cfRule type="expression" dxfId="39" priority="5">
      <formula>$AG11=2</formula>
    </cfRule>
    <cfRule type="expression" dxfId="38" priority="6">
      <formula>$AG11=1</formula>
    </cfRule>
  </conditionalFormatting>
  <dataValidations count="21">
    <dataValidation type="decimal" operator="lessThanOrEqual" allowBlank="1" showInputMessage="1" showErrorMessage="1" errorTitle="Invalid entry" error="Cannot award more credits than available" sqref="H142:H144 H48:H54 V178 V176 O176 O71:O91 H71:H72 V107:V114 V132:V136 O132:O136 O148:O149 V148:V149 O104:O105 V104:V105 V66:V69 O66:O69 H67:H69 V163:V164 O163:O164 V151:V152 O151:O152 V38 O38 O95:O98 V95:V98 H84:H86 O11:O34 O100 V195:V196 H196 O195:O196 O198:O208 H198:H199 H151:H152 O138:O144 V186:V187 V180:V184 O178 O166 V128:V130 V124:V126 V120:V122 V118 V48:V55 O186:O187 O180:O184 H176 H189:H191 H164 O128:O130 O124:O126 O120:O122 O118 O48:O55 O41:O46 H105 H132:H135 O212:O225 H207:H208 V189:V191 O107:O114 H149 V71:V91 H159 V11:V34 H168:H169 H100 H96:H97 H21:H26 H88:H89 H180:H181 H183 H81:H82 H186 H78:H79 V138:V144 H74:H76 V166 H62 O189:O191 H59:H60 V212:V225 H201:H202 H138:H140 H41:H45 V57:V62 V100 V198:V208 H18:H19 H12:H16 H124:H125 H120:H121 H114 H172:H173 H28:H30 H32:H34 O154:O159 H204:H205 O57:O62 H108 H91 H157 V41:V46 H110:H112 V154:V159 H155 H128:H129 H57 H212:H225 O168:O174 V168:V174" xr:uid="{761C2899-C41E-4CB4-9A6A-B730042C503A}">
      <formula1>$G11</formula1>
    </dataValidation>
    <dataValidation allowBlank="1" showInputMessage="1" showErrorMessage="1" promptTitle="Sorting" prompt="Sort from smallest to largest to get original sorting" sqref="A9" xr:uid="{0AF35F10-022A-4DA7-B62D-1B00842C3916}"/>
    <dataValidation type="list" allowBlank="1" showInputMessage="1" showErrorMessage="1" sqref="T8 AA8" xr:uid="{0CA5FD98-0E0E-42DB-B3A9-D3359F8533E7}">
      <formula1>AD_YesNo</formula1>
    </dataValidation>
    <dataValidation type="list" allowBlank="1" showInputMessage="1" showErrorMessage="1" sqref="O255:Q255 H255 V255:X255 H245 O245:Q245 V245:X245 H248 O248:Q248 V248:X248 H251:H252 O251:Q252 V251:X252 O257:Q258 H257:H258 V257:X258 H47 H56 H119 H123 H127 H131 H167 H175 H179 H185 H188 H197 H99 H39:H40 H153 H165 H70 H150 H137 H106" xr:uid="{22BE7E90-5ABF-4D8B-B9E1-13B9FBF50DD2}">
      <formula1>janei</formula1>
    </dataValidation>
    <dataValidation type="list" operator="lessThanOrEqual" allowBlank="1" showInputMessage="1" showErrorMessage="1" errorTitle="Invalid entry" error="Cannot award more credits than available" sqref="O256:Q256 H256 V256:X256 O47 V47 O56 O119 O123 O127 O131 O167 O175 O179 O185 O188 V56 V119 V123 V127 V131 V167 V175 V179 V185 V188 O197 V197 O99 V99 O39:O40 V39:V40 O153 V153 O165 V165 O70 V70 V150 O106 V137 O150 O137 V106" xr:uid="{03ABA2CF-6716-4939-93B7-97B7AC87BF40}">
      <formula1>janei</formula1>
    </dataValidation>
    <dataValidation type="list" allowBlank="1" showInputMessage="1" showErrorMessage="1" sqref="L212:L225 Z212:Z225 S251:S252 Z254:Z259 L245:L248 Z245:Z248 S245:S248 S195:S208 L254:L259 S254:S259 Z38:Z62 S38:S62 L38:L62 S11:S34 Z163:Z191 L104:L114 L163:L191 S212:S225 L236 L251:L252 Z236 Z251:Z252 S236 S148:S159 Z195:Z208 L195:L208 L11:L34 L95:L100 Z95:Z100 S95:S100 Z11:Z34 S104:S114 S163:S191 Z104:Z114 Z148:Z159 L148:L159 Z118:Z144 L118:L144 S118:S144 S66:S91 L66:L91 Z66:Z91" xr:uid="{A2F8AE69-7927-4C5A-8BCD-FCA4D7548729}">
      <formula1>status</formula1>
    </dataValidation>
    <dataValidation type="list" allowBlank="1" showInputMessage="1" showErrorMessage="1" sqref="AC11" xr:uid="{52119410-4940-4560-ACF3-B4D36F22FF1C}">
      <formula1>$AT$11:$AU$11</formula1>
    </dataValidation>
    <dataValidation type="list" allowBlank="1" showInputMessage="1" showErrorMessage="1" sqref="AC17:AC19" xr:uid="{EE6BF5E8-7CDB-4807-9B0A-F8ECE29CA962}">
      <formula1>AT11:AU11</formula1>
    </dataValidation>
    <dataValidation type="list" allowBlank="1" showInputMessage="1" showErrorMessage="1" sqref="AC200:AC208 AC107:AC108 AC77:AC82 AC51:AC54 AC90:AC91 AC27 AC141 AC247 AC130:AC137" xr:uid="{6CEC8711-2A98-4F32-9055-E18FEC2DBB6A}">
      <formula1>AS27:AV27</formula1>
    </dataValidation>
    <dataValidation type="list" allowBlank="1" showInputMessage="1" showErrorMessage="1" sqref="AC245 AC66 AC104:AC106 AC248 AC31 AC251:AC252 AC83:AC86" xr:uid="{781EC385-077F-49C8-9AA8-44D1278D625B}">
      <formula1>AS31:AU31</formula1>
    </dataValidation>
    <dataValidation type="list" allowBlank="1" showInputMessage="1" showErrorMessage="1" sqref="AC55:AC57" xr:uid="{24651123-2858-4D11-B9BA-955F1121EF2A}">
      <formula1>$AT$55:$AU$55</formula1>
    </dataValidation>
    <dataValidation type="list" allowBlank="1" showInputMessage="1" showErrorMessage="1" sqref="AC73:AC76" xr:uid="{A2447A68-0EFE-49DE-834D-86A022CED83E}">
      <formula1>$AS$73:$AX$73</formula1>
    </dataValidation>
    <dataValidation type="list" allowBlank="1" showInputMessage="1" showErrorMessage="1" sqref="AC154:AC157" xr:uid="{800C288F-3080-484D-99C3-EF245027D370}">
      <formula1>$AT$154:$AU$154</formula1>
    </dataValidation>
    <dataValidation type="list" allowBlank="1" showInputMessage="1" showErrorMessage="1" sqref="AC158:AC159" xr:uid="{BAE0647B-0B37-4579-8D07-391CC7B6D095}">
      <formula1>$AT$158:$AU$158</formula1>
    </dataValidation>
    <dataValidation type="list" allowBlank="1" showInputMessage="1" showErrorMessage="1" sqref="AC38:AC45" xr:uid="{E93D53CD-31D4-4658-BC71-1787C1CBD43D}">
      <formula1>$AS$38:$AY$38</formula1>
    </dataValidation>
    <dataValidation type="list" allowBlank="1" showInputMessage="1" showErrorMessage="1" sqref="AC195:AC199" xr:uid="{1AA37297-542F-4309-94D1-2CB265735AAC}">
      <formula1>$AS$195:$AW$195</formula1>
    </dataValidation>
    <dataValidation type="list" allowBlank="1" showInputMessage="1" showErrorMessage="1" sqref="AC109:AC112" xr:uid="{3D41E413-A485-4435-9342-64D253BE2FD0}">
      <formula1>$AS$109:$AW$109</formula1>
    </dataValidation>
    <dataValidation type="list" allowBlank="1" showInputMessage="1" showErrorMessage="1" sqref="AC46" xr:uid="{71C997F3-54DC-4893-9440-A6D7528EC886}">
      <formula1>$AS$46:$AX$46</formula1>
    </dataValidation>
    <dataValidation type="list" allowBlank="1" showInputMessage="1" showErrorMessage="1" sqref="AC236 AC87:AC89 AC113:AC114 AC58:AC62 AC148:AC149 AC212:AC225 AC95 AC246 AC20 AC118:AC120 AC122 AC126 AC254:AC259 AC98:AC100 AC163:AC191" xr:uid="{E35FFF80-45ED-44D3-B8FE-6FE6E5F3155D}">
      <formula1>AIS_NA</formula1>
    </dataValidation>
    <dataValidation type="custom" operator="equal" allowBlank="1" showInputMessage="1" showErrorMessage="1" errorTitle="Invalid entry" error="Only 0 or 3 credits can be awarded" sqref="H177" xr:uid="{F24105B0-2548-4C53-8D6F-A86FEAB87B12}">
      <formula1>OR(H177=0,H177=3)</formula1>
    </dataValidation>
    <dataValidation type="custom" operator="lessThanOrEqual" allowBlank="1" showInputMessage="1" showErrorMessage="1" errorTitle="Invalid entry" error="Only 0 or 3 credits can be awarded" sqref="V177 O177" xr:uid="{EF8BFBDC-1986-4701-BCEA-8CCEA2541DD1}">
      <formula1>OR(O177=0,O177=3)</formula1>
    </dataValidation>
  </dataValidations>
  <pageMargins left="0.25" right="0.25" top="0.75" bottom="0.75" header="0.3" footer="0.3"/>
  <pageSetup paperSize="9" scale="47" fitToHeight="0" orientation="landscape" r:id="rId1"/>
  <headerFooter>
    <oddFooter xml:space="preserve">&amp;L&amp;F&amp;C&amp;D&amp;RPage &amp;P of &amp;N  </oddFooter>
  </headerFooter>
  <ignoredErrors>
    <ignoredError sqref="I227:U335 AB17:AC17 U17:U18 AB52:AC52 U125 AB150:AC152 C150 W36:X37 U39 U41 C41 N39 N47 N73 N107 U70 I226 N153 N41:N42 AB71:AC71 W306:BF335 AB20:AC34 AB192:AC194 AB145:AC147 AB66:AC66 AB115:AC117 AB106:AC113 AB92:AC94 AB51:AC51 AB35:AC35 AB38:AC39 AB123:AC136 AB122:AC122 AB160:AC162 W225:Z225 AB209:AC211 AB196:AC196 AB165:AC170 AB164:AC164 AB121:AC121 AB120:AC120 AB101:AC103 AB96:AC96 AB68:AC69 AB67:AC67 AB41:AC41 U126:U136 U42:U69 U138:U149 U19:U38 U172:U225 U150 U107:U121 U106 U123:U124 U122 U72:U105 U151:U170 U71 S221:S225 N43:N46 N138:N149 N17:N38 N151:N152 N150 N108:N121 N106 N123:N136 N122 N72 N74:N105 N172:N225 N154:N170 N48:N71 P36:Q37 I210:J225 I209 K226:N226 R226:U226 Y226:AC226 P210:Q211 W210:X224 I193:J194 I192 P193:Q194 W193:X194 I161:J162 I160 P161:Q162 W161:X162 I146:J147 I145 P146:Q147 W146:X147 I116:J117 I115 P116:Q117 W116:X117 I102:J103 I101 P102:Q103 W102:X103 I93:J94 I92 P93:Q94 W93:X94 I64:J65 I63 P64:Q65 W64:X65 I36:J37 I35 AB42:AC49 AB36 AB50:AC50 AB53:AC57 AB58:AC60 AB62:AC62 AB61:AC61 BD146:BF147 BD161:BF162 AB197:AC199 W227:BC269 W276:BB276 W274:BB275 W277:BB294 W295:BB305 W273:BB273 W270:BB272 AH35:BA35 AB37:AC37 AH37:BA37 AB64:AC65 AH64:BA65 AB63:AC63 AH63:BA63 AH17:BA17 AB18:AC18 AH18:BA18 AB19:AC19 AH19:BA19 AH20:BA34 AH52:BA52 AH51:BA51 AH38:BA39 AH41:BA41 AH42:BA49 AH50:BA50 AH53:BA57 AH58:BA60 AH62:BA62 AH61:BA61 AH71:BA71 AH66:BA66 AB72:AC91 AH72:BA91 AH68:BA69 AH67:BA67 AB95:AC95 AH95:BA95 AB97:AC100 AH97:BA100 AH96:BA96 AB114:AC114 AH114:BA114 AH106:BA113 AB104:AC104 AH104:BA104 AB138:AC144 AH138:BA144 AB118:AC119 AH118:BA119 AH123:BA136 AH122:BA122 AH121:BA121 AH120:BA120 AH150:BA152 AB148:AC148 AH148:BA148 AB153:AC159 AH153:BA159 AB172:AC191 AH172:BA191 AB163:AC163 AH163:BA163 AH165:BA170 AH164:BA164 AB195:AC195 AH195:BA195 AB200:AC208 AH200:BA208 AH196:BA196 AH197:BA199 AB212:AC225 AH212:BA225 AE92:BA94 AE101:BA103 AE115:BA117 AE145:BA147 AE160:BA162 AE192:BA194 AE209:BA211 AE226:BA226" formula="1"/>
    <ignoredError sqref="E26" twoDigitTextYear="1"/>
  </ignoredErrors>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9DD9B8DC-50C3-42AA-B785-0ACAAF7B8138}">
          <x14:formula1>
            <xm:f>Prosjektdetaljer!$R$51:$R$53</xm:f>
          </x14:formula1>
          <xm:sqref>H236 V236:X236 O236:Q236</xm:sqref>
        </x14:dataValidation>
        <x14:dataValidation type="list" allowBlank="1" showInputMessage="1" showErrorMessage="1" xr:uid="{7DE43009-7353-4701-B7CF-95630AC842DF}">
          <x14:formula1>
            <xm:f>Prosjektdetaljer!$S$51:$S$54</xm:f>
          </x14:formula1>
          <xm:sqref>H246 V246:X246 O246:Q246</xm:sqref>
        </x14:dataValidation>
        <x14:dataValidation type="list" allowBlank="1" showInputMessage="1" showErrorMessage="1" xr:uid="{5D177215-4930-400E-A3FB-EDCFC4BEE1FF}">
          <x14:formula1>
            <xm:f>Prosjektdetaljer!$Y$51:$Y$54</xm:f>
          </x14:formula1>
          <xm:sqref>H259 V259:X259 O259:Q259</xm:sqref>
        </x14:dataValidation>
        <x14:dataValidation type="list" allowBlank="1" showInputMessage="1" showErrorMessage="1" xr:uid="{1E93DD87-5A0C-4126-B9A3-5DAD71ABAFE9}">
          <x14:formula1>
            <xm:f>Prosjektdetaljer!$V$51:$V$53</xm:f>
          </x14:formula1>
          <xm:sqref>H254 V254:X254 O254:Q254</xm:sqref>
        </x14:dataValidation>
        <x14:dataValidation type="list" allowBlank="1" showInputMessage="1" showErrorMessage="1" xr:uid="{132D4D07-9028-4ECD-B9C8-6A71A2814CDB}">
          <x14:formula1>
            <xm:f>Prosjektdetaljer!$T$51:$T$53</xm:f>
          </x14:formula1>
          <xm:sqref>H247 V247:X247 O247:Q247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7407-5863-4540-8005-DCA0DF80D7D1}">
  <dimension ref="B3:F158"/>
  <sheetViews>
    <sheetView zoomScale="85" zoomScaleNormal="85" workbookViewId="0">
      <selection activeCell="C35" sqref="C35:F35"/>
    </sheetView>
  </sheetViews>
  <sheetFormatPr baseColWidth="10" defaultColWidth="8.7109375" defaultRowHeight="15"/>
  <cols>
    <col min="2" max="2" width="15.28515625" bestFit="1" customWidth="1"/>
    <col min="3" max="3" width="71.7109375" bestFit="1" customWidth="1"/>
    <col min="5" max="5" width="22.42578125" bestFit="1" customWidth="1"/>
  </cols>
  <sheetData>
    <row r="3" spans="2:6">
      <c r="B3" s="1117" t="s">
        <v>598</v>
      </c>
      <c r="C3" s="1117" t="s">
        <v>599</v>
      </c>
      <c r="D3" s="1119" t="s">
        <v>600</v>
      </c>
      <c r="E3" s="1117" t="s">
        <v>601</v>
      </c>
      <c r="F3" s="1118" t="s">
        <v>602</v>
      </c>
    </row>
    <row r="4" spans="2:6">
      <c r="B4" s="1117"/>
      <c r="C4" s="1117"/>
      <c r="D4" s="1119"/>
      <c r="E4" s="1117"/>
      <c r="F4" s="1118"/>
    </row>
    <row r="5" spans="2:6">
      <c r="B5" s="1117"/>
      <c r="C5" s="1117"/>
      <c r="D5" s="1119"/>
      <c r="E5" s="1117"/>
      <c r="F5" s="1118"/>
    </row>
    <row r="6" spans="2:6">
      <c r="B6" s="288" t="s">
        <v>603</v>
      </c>
      <c r="C6" s="288"/>
      <c r="D6" s="674"/>
      <c r="E6" s="288"/>
      <c r="F6" s="672"/>
    </row>
    <row r="7" spans="2:6">
      <c r="B7" s="1120" t="s">
        <v>248</v>
      </c>
      <c r="C7" s="1105" t="s">
        <v>604</v>
      </c>
      <c r="D7" s="1106"/>
      <c r="E7" s="1106"/>
      <c r="F7" s="1107"/>
    </row>
    <row r="8" spans="2:6">
      <c r="B8" s="1121"/>
      <c r="C8" s="291" t="s">
        <v>605</v>
      </c>
      <c r="D8" s="675">
        <v>1</v>
      </c>
      <c r="E8" s="682">
        <v>1</v>
      </c>
      <c r="F8" s="683" t="s">
        <v>606</v>
      </c>
    </row>
    <row r="9" spans="2:6">
      <c r="B9" s="1121"/>
      <c r="C9" s="291" t="s">
        <v>607</v>
      </c>
      <c r="D9" s="675">
        <v>1</v>
      </c>
      <c r="E9" s="682">
        <v>1</v>
      </c>
      <c r="F9" s="683" t="s">
        <v>606</v>
      </c>
    </row>
    <row r="10" spans="2:6">
      <c r="B10" s="1121"/>
      <c r="C10" s="291" t="s">
        <v>608</v>
      </c>
      <c r="D10" s="675">
        <v>2</v>
      </c>
      <c r="E10" s="682">
        <v>2</v>
      </c>
      <c r="F10" s="683" t="s">
        <v>606</v>
      </c>
    </row>
    <row r="11" spans="2:6">
      <c r="B11" s="1122"/>
      <c r="C11" s="291" t="s">
        <v>609</v>
      </c>
      <c r="D11" s="675">
        <v>1</v>
      </c>
      <c r="E11" s="682">
        <v>1</v>
      </c>
      <c r="F11" s="683" t="s">
        <v>606</v>
      </c>
    </row>
    <row r="12" spans="2:6">
      <c r="B12" s="1120" t="s">
        <v>259</v>
      </c>
      <c r="C12" s="1105" t="s">
        <v>610</v>
      </c>
      <c r="D12" s="1106"/>
      <c r="E12" s="1106"/>
      <c r="F12" s="1107"/>
    </row>
    <row r="13" spans="2:6">
      <c r="B13" s="1121"/>
      <c r="C13" s="291" t="s">
        <v>611</v>
      </c>
      <c r="D13" s="675">
        <v>2</v>
      </c>
      <c r="E13" s="684">
        <v>2</v>
      </c>
      <c r="F13" s="683" t="s">
        <v>606</v>
      </c>
    </row>
    <row r="14" spans="2:6">
      <c r="B14" s="1122"/>
      <c r="C14" s="291" t="s">
        <v>612</v>
      </c>
      <c r="D14" s="675">
        <v>1</v>
      </c>
      <c r="E14" s="684">
        <v>1</v>
      </c>
      <c r="F14" s="683" t="s">
        <v>606</v>
      </c>
    </row>
    <row r="15" spans="2:6">
      <c r="B15" s="1120" t="s">
        <v>183</v>
      </c>
      <c r="C15" s="1105" t="s">
        <v>613</v>
      </c>
      <c r="D15" s="1106"/>
      <c r="E15" s="1106"/>
      <c r="F15" s="1107"/>
    </row>
    <row r="16" spans="2:6">
      <c r="B16" s="1121"/>
      <c r="C16" s="291" t="s">
        <v>614</v>
      </c>
      <c r="D16" s="675">
        <v>1</v>
      </c>
      <c r="E16" s="682">
        <v>1</v>
      </c>
      <c r="F16" s="683" t="s">
        <v>606</v>
      </c>
    </row>
    <row r="17" spans="2:6">
      <c r="B17" s="1121"/>
      <c r="C17" s="291" t="s">
        <v>615</v>
      </c>
      <c r="D17" s="675">
        <v>1</v>
      </c>
      <c r="E17" s="682">
        <v>1</v>
      </c>
      <c r="F17" s="683" t="s">
        <v>606</v>
      </c>
    </row>
    <row r="18" spans="2:6">
      <c r="B18" s="1121"/>
      <c r="C18" s="291" t="s">
        <v>616</v>
      </c>
      <c r="D18" s="675">
        <v>2</v>
      </c>
      <c r="E18" s="682">
        <v>2</v>
      </c>
      <c r="F18" s="683" t="s">
        <v>606</v>
      </c>
    </row>
    <row r="19" spans="2:6">
      <c r="B19" s="1122"/>
      <c r="C19" s="291" t="s">
        <v>617</v>
      </c>
      <c r="D19" s="675">
        <v>1</v>
      </c>
      <c r="E19" s="682">
        <v>1</v>
      </c>
      <c r="F19" s="683" t="s">
        <v>606</v>
      </c>
    </row>
    <row r="20" spans="2:6">
      <c r="B20" s="1120" t="s">
        <v>275</v>
      </c>
      <c r="C20" s="1105" t="s">
        <v>618</v>
      </c>
      <c r="D20" s="1106"/>
      <c r="E20" s="1106"/>
      <c r="F20" s="1107"/>
    </row>
    <row r="21" spans="2:6">
      <c r="B21" s="1121"/>
      <c r="C21" s="291" t="s">
        <v>619</v>
      </c>
      <c r="D21" s="675">
        <v>1</v>
      </c>
      <c r="E21" s="682">
        <v>1</v>
      </c>
      <c r="F21" s="683" t="s">
        <v>606</v>
      </c>
    </row>
    <row r="22" spans="2:6">
      <c r="B22" s="1121"/>
      <c r="C22" s="291" t="s">
        <v>620</v>
      </c>
      <c r="D22" s="675">
        <v>1</v>
      </c>
      <c r="E22" s="682">
        <v>1</v>
      </c>
      <c r="F22" s="683" t="s">
        <v>606</v>
      </c>
    </row>
    <row r="23" spans="2:6">
      <c r="B23" s="1122"/>
      <c r="C23" s="291" t="s">
        <v>621</v>
      </c>
      <c r="D23" s="675">
        <v>1</v>
      </c>
      <c r="E23" s="682">
        <v>1</v>
      </c>
      <c r="F23" s="683" t="s">
        <v>606</v>
      </c>
    </row>
    <row r="24" spans="2:6">
      <c r="B24" s="1123" t="s">
        <v>285</v>
      </c>
      <c r="C24" s="1106" t="s">
        <v>622</v>
      </c>
      <c r="D24" s="1106"/>
      <c r="E24" s="1106"/>
      <c r="F24" s="1107"/>
    </row>
    <row r="25" spans="2:6">
      <c r="B25" s="1124"/>
      <c r="C25" s="291" t="s">
        <v>623</v>
      </c>
      <c r="D25" s="675">
        <v>1</v>
      </c>
      <c r="E25" s="682">
        <v>1</v>
      </c>
      <c r="F25" s="683" t="s">
        <v>606</v>
      </c>
    </row>
    <row r="26" spans="2:6">
      <c r="B26" s="1124"/>
      <c r="C26" s="291" t="s">
        <v>624</v>
      </c>
      <c r="D26" s="675">
        <v>1</v>
      </c>
      <c r="E26" s="682">
        <v>1</v>
      </c>
      <c r="F26" s="683" t="s">
        <v>606</v>
      </c>
    </row>
    <row r="27" spans="2:6">
      <c r="B27" s="1124"/>
      <c r="C27" s="291" t="s">
        <v>625</v>
      </c>
      <c r="D27" s="675">
        <v>1</v>
      </c>
      <c r="E27" s="682">
        <v>1</v>
      </c>
      <c r="F27" s="683" t="s">
        <v>606</v>
      </c>
    </row>
    <row r="28" spans="2:6">
      <c r="B28" s="290" t="s">
        <v>626</v>
      </c>
      <c r="C28" s="289"/>
      <c r="D28" s="676"/>
      <c r="E28" s="290"/>
      <c r="F28" s="685"/>
    </row>
    <row r="29" spans="2:6">
      <c r="B29" s="1111" t="s">
        <v>298</v>
      </c>
      <c r="C29" s="1125" t="s">
        <v>627</v>
      </c>
      <c r="D29" s="1126"/>
      <c r="E29" s="1126"/>
      <c r="F29" s="1127"/>
    </row>
    <row r="30" spans="2:6">
      <c r="B30" s="1112"/>
      <c r="C30" s="673" t="s">
        <v>628</v>
      </c>
      <c r="D30" s="675">
        <v>3</v>
      </c>
      <c r="E30" s="686">
        <v>3</v>
      </c>
      <c r="F30" s="687" t="s">
        <v>606</v>
      </c>
    </row>
    <row r="31" spans="2:6">
      <c r="B31" s="1112"/>
      <c r="C31" s="673" t="s">
        <v>629</v>
      </c>
      <c r="D31" s="675">
        <v>1</v>
      </c>
      <c r="E31" s="688">
        <v>1</v>
      </c>
      <c r="F31" s="689" t="s">
        <v>606</v>
      </c>
    </row>
    <row r="32" spans="2:6">
      <c r="B32" s="1112"/>
      <c r="C32" s="673" t="s">
        <v>630</v>
      </c>
      <c r="D32" s="675">
        <v>1</v>
      </c>
      <c r="E32" s="688">
        <v>1</v>
      </c>
      <c r="F32" s="689" t="s">
        <v>606</v>
      </c>
    </row>
    <row r="33" spans="2:6">
      <c r="B33" s="1112"/>
      <c r="C33" s="673" t="s">
        <v>631</v>
      </c>
      <c r="D33" s="675" t="s">
        <v>632</v>
      </c>
      <c r="E33" s="688" t="s">
        <v>632</v>
      </c>
      <c r="F33" s="689" t="s">
        <v>633</v>
      </c>
    </row>
    <row r="34" spans="2:6">
      <c r="B34" s="1113"/>
      <c r="C34" s="673" t="s">
        <v>634</v>
      </c>
      <c r="D34" s="675">
        <v>1</v>
      </c>
      <c r="E34" s="682">
        <v>1</v>
      </c>
      <c r="F34" s="687" t="s">
        <v>633</v>
      </c>
    </row>
    <row r="35" spans="2:6">
      <c r="B35" s="1111" t="s">
        <v>182</v>
      </c>
      <c r="C35" s="1125" t="s">
        <v>635</v>
      </c>
      <c r="D35" s="1126"/>
      <c r="E35" s="1126"/>
      <c r="F35" s="1127"/>
    </row>
    <row r="36" spans="2:6">
      <c r="B36" s="1112"/>
      <c r="C36" s="673" t="s">
        <v>636</v>
      </c>
      <c r="D36" s="675">
        <v>1</v>
      </c>
      <c r="E36" s="682">
        <v>1</v>
      </c>
      <c r="F36" s="687"/>
    </row>
    <row r="37" spans="2:6">
      <c r="B37" s="1112"/>
      <c r="C37" s="292" t="s">
        <v>637</v>
      </c>
      <c r="D37" s="675">
        <v>2</v>
      </c>
      <c r="E37" s="682">
        <v>2</v>
      </c>
      <c r="F37" s="687" t="s">
        <v>606</v>
      </c>
    </row>
    <row r="38" spans="2:6">
      <c r="B38" s="1113"/>
      <c r="C38" s="292" t="s">
        <v>638</v>
      </c>
      <c r="D38" s="675">
        <v>1</v>
      </c>
      <c r="E38" s="690">
        <v>1</v>
      </c>
      <c r="F38" s="687" t="s">
        <v>606</v>
      </c>
    </row>
    <row r="39" spans="2:6">
      <c r="B39" s="1111" t="s">
        <v>325</v>
      </c>
      <c r="C39" s="1125" t="s">
        <v>639</v>
      </c>
      <c r="D39" s="1126"/>
      <c r="E39" s="1126"/>
      <c r="F39" s="1127"/>
    </row>
    <row r="40" spans="2:6">
      <c r="B40" s="1112"/>
      <c r="C40" s="673" t="s">
        <v>640</v>
      </c>
      <c r="D40" s="675">
        <v>1</v>
      </c>
      <c r="E40" s="682">
        <v>1</v>
      </c>
      <c r="F40" s="687" t="s">
        <v>606</v>
      </c>
    </row>
    <row r="41" spans="2:6">
      <c r="B41" s="1112"/>
      <c r="C41" s="292" t="s">
        <v>641</v>
      </c>
      <c r="D41" s="675">
        <v>1</v>
      </c>
      <c r="E41" s="682">
        <v>1</v>
      </c>
      <c r="F41" s="687" t="s">
        <v>606</v>
      </c>
    </row>
    <row r="42" spans="2:6">
      <c r="B42" s="1113"/>
      <c r="C42" s="292" t="s">
        <v>642</v>
      </c>
      <c r="D42" s="675">
        <v>1</v>
      </c>
      <c r="E42" s="682">
        <v>1</v>
      </c>
      <c r="F42" s="687" t="s">
        <v>606</v>
      </c>
    </row>
    <row r="43" spans="2:6">
      <c r="B43" s="292" t="s">
        <v>333</v>
      </c>
      <c r="C43" s="678" t="s">
        <v>643</v>
      </c>
      <c r="D43" s="675">
        <v>3</v>
      </c>
      <c r="E43" s="686">
        <v>3</v>
      </c>
      <c r="F43" s="687" t="s">
        <v>606</v>
      </c>
    </row>
    <row r="44" spans="2:6">
      <c r="B44" s="1114" t="s">
        <v>337</v>
      </c>
      <c r="C44" s="1125" t="s">
        <v>644</v>
      </c>
      <c r="D44" s="1126"/>
      <c r="E44" s="1126"/>
      <c r="F44" s="1127"/>
    </row>
    <row r="45" spans="2:6">
      <c r="B45" s="1115"/>
      <c r="C45" s="673" t="s">
        <v>645</v>
      </c>
      <c r="D45" s="675">
        <v>1</v>
      </c>
      <c r="E45" s="686">
        <v>1</v>
      </c>
      <c r="F45" s="691" t="s">
        <v>606</v>
      </c>
    </row>
    <row r="46" spans="2:6">
      <c r="B46" s="1116"/>
      <c r="C46" s="292" t="s">
        <v>646</v>
      </c>
      <c r="D46" s="675">
        <v>1</v>
      </c>
      <c r="E46" s="686">
        <v>1</v>
      </c>
      <c r="F46" s="691" t="s">
        <v>606</v>
      </c>
    </row>
    <row r="47" spans="2:6">
      <c r="B47" s="292" t="s">
        <v>343</v>
      </c>
      <c r="C47" s="678" t="s">
        <v>647</v>
      </c>
      <c r="D47" s="675" t="s">
        <v>632</v>
      </c>
      <c r="E47" s="682" t="s">
        <v>632</v>
      </c>
      <c r="F47" s="687" t="s">
        <v>633</v>
      </c>
    </row>
    <row r="48" spans="2:6">
      <c r="B48" s="289"/>
      <c r="C48" s="289"/>
      <c r="D48" s="676"/>
      <c r="E48" s="290"/>
      <c r="F48" s="685"/>
    </row>
    <row r="49" spans="2:6">
      <c r="B49" s="290" t="s">
        <v>648</v>
      </c>
      <c r="C49" s="289"/>
      <c r="D49" s="676"/>
      <c r="E49" s="290"/>
      <c r="F49" s="685"/>
    </row>
    <row r="50" spans="2:6">
      <c r="B50" s="1114" t="s">
        <v>352</v>
      </c>
      <c r="C50" s="1125" t="s">
        <v>649</v>
      </c>
      <c r="D50" s="1126"/>
      <c r="E50" s="1126"/>
      <c r="F50" s="1127"/>
    </row>
    <row r="51" spans="2:6">
      <c r="B51" s="1115"/>
      <c r="C51" s="673" t="s">
        <v>650</v>
      </c>
      <c r="D51" s="675">
        <v>2</v>
      </c>
      <c r="E51" s="682">
        <v>2</v>
      </c>
      <c r="F51" s="683" t="s">
        <v>606</v>
      </c>
    </row>
    <row r="52" spans="2:6">
      <c r="B52" s="1115"/>
      <c r="C52" s="292" t="s">
        <v>651</v>
      </c>
      <c r="D52" s="675">
        <v>1</v>
      </c>
      <c r="E52" s="682">
        <v>1</v>
      </c>
      <c r="F52" s="683" t="s">
        <v>606</v>
      </c>
    </row>
    <row r="53" spans="2:6">
      <c r="B53" s="1115"/>
      <c r="C53" s="292" t="s">
        <v>652</v>
      </c>
      <c r="D53" s="675">
        <v>4</v>
      </c>
      <c r="E53" s="682">
        <v>4</v>
      </c>
      <c r="F53" s="683" t="s">
        <v>606</v>
      </c>
    </row>
    <row r="54" spans="2:6">
      <c r="B54" s="1115"/>
      <c r="C54" s="292" t="s">
        <v>653</v>
      </c>
      <c r="D54" s="675">
        <v>1</v>
      </c>
      <c r="E54" s="682">
        <v>1</v>
      </c>
      <c r="F54" s="683" t="s">
        <v>606</v>
      </c>
    </row>
    <row r="55" spans="2:6">
      <c r="B55" s="1116"/>
      <c r="C55" s="292" t="s">
        <v>654</v>
      </c>
      <c r="D55" s="675">
        <v>4</v>
      </c>
      <c r="E55" s="682">
        <v>4</v>
      </c>
      <c r="F55" s="683" t="s">
        <v>606</v>
      </c>
    </row>
    <row r="56" spans="2:6">
      <c r="B56" s="1114" t="s">
        <v>363</v>
      </c>
      <c r="C56" s="1128" t="s">
        <v>655</v>
      </c>
      <c r="D56" s="1129"/>
      <c r="E56" s="1129"/>
      <c r="F56" s="1130"/>
    </row>
    <row r="57" spans="2:6">
      <c r="B57" s="1115"/>
      <c r="C57" s="292" t="s">
        <v>656</v>
      </c>
      <c r="D57" s="675">
        <v>1</v>
      </c>
      <c r="E57" s="682">
        <v>1</v>
      </c>
      <c r="F57" s="692" t="s">
        <v>606</v>
      </c>
    </row>
    <row r="58" spans="2:6">
      <c r="B58" s="1115"/>
      <c r="C58" s="292" t="s">
        <v>657</v>
      </c>
      <c r="D58" s="675">
        <v>1</v>
      </c>
      <c r="E58" s="682">
        <v>1</v>
      </c>
      <c r="F58" s="692" t="s">
        <v>606</v>
      </c>
    </row>
    <row r="59" spans="2:6">
      <c r="B59" s="1116"/>
      <c r="C59" s="292" t="s">
        <v>658</v>
      </c>
      <c r="D59" s="675" t="s">
        <v>632</v>
      </c>
      <c r="E59" s="682" t="s">
        <v>632</v>
      </c>
      <c r="F59" s="692" t="s">
        <v>633</v>
      </c>
    </row>
    <row r="60" spans="2:6">
      <c r="B60" s="292" t="s">
        <v>372</v>
      </c>
      <c r="C60" s="681" t="s">
        <v>659</v>
      </c>
      <c r="D60" s="675">
        <v>1</v>
      </c>
      <c r="E60" s="682">
        <v>1</v>
      </c>
      <c r="F60" s="692" t="s">
        <v>606</v>
      </c>
    </row>
    <row r="61" spans="2:6">
      <c r="B61" s="1114" t="s">
        <v>376</v>
      </c>
      <c r="C61" s="1105" t="s">
        <v>660</v>
      </c>
      <c r="D61" s="1106"/>
      <c r="E61" s="1106"/>
      <c r="F61" s="1107"/>
    </row>
    <row r="62" spans="2:6">
      <c r="B62" s="1115"/>
      <c r="C62" s="292" t="s">
        <v>661</v>
      </c>
      <c r="D62" s="675">
        <v>1</v>
      </c>
      <c r="E62" s="688" t="s">
        <v>632</v>
      </c>
      <c r="F62" s="693" t="s">
        <v>633</v>
      </c>
    </row>
    <row r="63" spans="2:6">
      <c r="B63" s="1116"/>
      <c r="C63" s="292" t="s">
        <v>662</v>
      </c>
      <c r="D63" s="675">
        <v>1</v>
      </c>
      <c r="E63" s="688" t="s">
        <v>632</v>
      </c>
      <c r="F63" s="693" t="s">
        <v>633</v>
      </c>
    </row>
    <row r="64" spans="2:6">
      <c r="B64" s="1114" t="s">
        <v>181</v>
      </c>
      <c r="C64" s="1105" t="s">
        <v>663</v>
      </c>
      <c r="D64" s="1106"/>
      <c r="E64" s="1106"/>
      <c r="F64" s="1107"/>
    </row>
    <row r="65" spans="2:6">
      <c r="B65" s="1115"/>
      <c r="C65" s="292" t="s">
        <v>664</v>
      </c>
      <c r="D65" s="675">
        <v>1</v>
      </c>
      <c r="E65" s="682">
        <v>1</v>
      </c>
      <c r="F65" s="683" t="s">
        <v>606</v>
      </c>
    </row>
    <row r="66" spans="2:6">
      <c r="B66" s="1116"/>
      <c r="C66" s="292" t="s">
        <v>665</v>
      </c>
      <c r="D66" s="675">
        <v>1</v>
      </c>
      <c r="E66" s="682">
        <v>1</v>
      </c>
      <c r="F66" s="683" t="s">
        <v>606</v>
      </c>
    </row>
    <row r="67" spans="2:6">
      <c r="B67" s="1114" t="s">
        <v>387</v>
      </c>
      <c r="C67" s="1105" t="s">
        <v>666</v>
      </c>
      <c r="D67" s="1106"/>
      <c r="E67" s="1106"/>
      <c r="F67" s="1107"/>
    </row>
    <row r="68" spans="2:6">
      <c r="B68" s="1115"/>
      <c r="C68" s="292" t="s">
        <v>667</v>
      </c>
      <c r="D68" s="675">
        <v>1</v>
      </c>
      <c r="E68" s="682" t="s">
        <v>632</v>
      </c>
      <c r="F68" s="683" t="s">
        <v>633</v>
      </c>
    </row>
    <row r="69" spans="2:6">
      <c r="B69" s="1116"/>
      <c r="C69" s="292" t="s">
        <v>668</v>
      </c>
      <c r="D69" s="675">
        <v>4</v>
      </c>
      <c r="E69" s="682" t="s">
        <v>632</v>
      </c>
      <c r="F69" s="683" t="s">
        <v>633</v>
      </c>
    </row>
    <row r="70" spans="2:6">
      <c r="B70" s="292" t="s">
        <v>391</v>
      </c>
      <c r="C70" s="678" t="s">
        <v>669</v>
      </c>
      <c r="D70" s="675">
        <v>2</v>
      </c>
      <c r="E70" s="682">
        <v>2</v>
      </c>
      <c r="F70" s="683" t="s">
        <v>606</v>
      </c>
    </row>
    <row r="71" spans="2:6">
      <c r="B71" s="289"/>
      <c r="C71" s="289"/>
      <c r="D71" s="676"/>
      <c r="E71" s="290"/>
      <c r="F71" s="685"/>
    </row>
    <row r="72" spans="2:6">
      <c r="B72" s="290" t="s">
        <v>670</v>
      </c>
      <c r="C72" s="289"/>
      <c r="D72" s="676"/>
      <c r="E72" s="290"/>
      <c r="F72" s="685"/>
    </row>
    <row r="73" spans="2:6">
      <c r="B73" s="1114" t="s">
        <v>400</v>
      </c>
      <c r="C73" s="1105" t="s">
        <v>671</v>
      </c>
      <c r="D73" s="1106"/>
      <c r="E73" s="1106"/>
      <c r="F73" s="1106"/>
    </row>
    <row r="74" spans="2:6">
      <c r="B74" s="1115"/>
      <c r="C74" s="292" t="s">
        <v>672</v>
      </c>
      <c r="D74" s="675">
        <v>2</v>
      </c>
      <c r="E74" s="682">
        <v>2</v>
      </c>
      <c r="F74" s="691" t="s">
        <v>606</v>
      </c>
    </row>
    <row r="75" spans="2:6">
      <c r="B75" s="1116"/>
      <c r="C75" s="292" t="s">
        <v>673</v>
      </c>
      <c r="D75" s="675">
        <v>1</v>
      </c>
      <c r="E75" s="694">
        <v>1</v>
      </c>
      <c r="F75" s="695" t="s">
        <v>606</v>
      </c>
    </row>
    <row r="76" spans="2:6">
      <c r="B76" s="292" t="s">
        <v>404</v>
      </c>
      <c r="C76" s="678" t="s">
        <v>674</v>
      </c>
      <c r="D76" s="675">
        <v>10</v>
      </c>
      <c r="E76" s="694">
        <v>10</v>
      </c>
      <c r="F76" s="695" t="s">
        <v>606</v>
      </c>
    </row>
    <row r="77" spans="2:6">
      <c r="B77" s="289"/>
      <c r="C77" s="289"/>
      <c r="D77" s="676"/>
      <c r="E77" s="290"/>
      <c r="F77" s="685"/>
    </row>
    <row r="78" spans="2:6">
      <c r="B78" s="290" t="s">
        <v>675</v>
      </c>
      <c r="C78" s="289"/>
      <c r="D78" s="676"/>
      <c r="E78" s="290"/>
      <c r="F78" s="685"/>
    </row>
    <row r="79" spans="2:6">
      <c r="B79" s="292" t="s">
        <v>414</v>
      </c>
      <c r="C79" s="678" t="s">
        <v>676</v>
      </c>
      <c r="D79" s="675">
        <v>5</v>
      </c>
      <c r="E79" s="694">
        <v>1</v>
      </c>
      <c r="F79" s="695" t="s">
        <v>606</v>
      </c>
    </row>
    <row r="80" spans="2:6">
      <c r="B80" s="292" t="s">
        <v>419</v>
      </c>
      <c r="C80" s="678" t="s">
        <v>677</v>
      </c>
      <c r="D80" s="675">
        <v>1</v>
      </c>
      <c r="E80" s="694">
        <v>1</v>
      </c>
      <c r="F80" s="695" t="s">
        <v>606</v>
      </c>
    </row>
    <row r="81" spans="2:6">
      <c r="B81" s="292" t="s">
        <v>422</v>
      </c>
      <c r="C81" s="1105" t="s">
        <v>678</v>
      </c>
      <c r="D81" s="1106"/>
      <c r="E81" s="1106"/>
      <c r="F81" s="1106"/>
    </row>
    <row r="82" spans="2:6">
      <c r="B82" s="292"/>
      <c r="C82" s="292" t="s">
        <v>679</v>
      </c>
      <c r="D82" s="675">
        <v>1</v>
      </c>
      <c r="E82" s="694">
        <v>1</v>
      </c>
      <c r="F82" s="695" t="s">
        <v>606</v>
      </c>
    </row>
    <row r="83" spans="2:6">
      <c r="B83" s="292"/>
      <c r="C83" s="292" t="s">
        <v>680</v>
      </c>
      <c r="D83" s="675">
        <v>1</v>
      </c>
      <c r="E83" s="694">
        <v>1</v>
      </c>
      <c r="F83" s="695" t="s">
        <v>606</v>
      </c>
    </row>
    <row r="84" spans="2:6">
      <c r="B84" s="292"/>
      <c r="C84" s="292" t="s">
        <v>681</v>
      </c>
      <c r="D84" s="675" t="s">
        <v>632</v>
      </c>
      <c r="E84" s="694" t="s">
        <v>632</v>
      </c>
      <c r="F84" s="695" t="s">
        <v>633</v>
      </c>
    </row>
    <row r="85" spans="2:6">
      <c r="B85" s="292" t="s">
        <v>431</v>
      </c>
      <c r="C85" s="678" t="s">
        <v>682</v>
      </c>
      <c r="D85" s="675">
        <v>1</v>
      </c>
      <c r="E85" s="694">
        <v>1</v>
      </c>
      <c r="F85" s="695" t="s">
        <v>606</v>
      </c>
    </row>
    <row r="86" spans="2:6">
      <c r="B86" s="289"/>
      <c r="C86" s="289"/>
      <c r="D86" s="676"/>
      <c r="E86" s="290"/>
      <c r="F86" s="685"/>
    </row>
    <row r="87" spans="2:6">
      <c r="B87" s="290" t="s">
        <v>683</v>
      </c>
      <c r="C87" s="289"/>
      <c r="D87" s="676"/>
      <c r="E87" s="290"/>
      <c r="F87" s="685"/>
    </row>
    <row r="88" spans="2:6">
      <c r="B88" s="292" t="s">
        <v>440</v>
      </c>
      <c r="C88" s="1105" t="s">
        <v>684</v>
      </c>
      <c r="D88" s="1106"/>
      <c r="E88" s="1106"/>
      <c r="F88" s="1107"/>
    </row>
    <row r="89" spans="2:6">
      <c r="B89" s="292"/>
      <c r="C89" s="292" t="s">
        <v>685</v>
      </c>
      <c r="D89" s="675">
        <v>3</v>
      </c>
      <c r="E89" s="682">
        <v>3</v>
      </c>
      <c r="F89" s="683" t="s">
        <v>606</v>
      </c>
    </row>
    <row r="90" spans="2:6">
      <c r="B90" s="292"/>
      <c r="C90" s="292" t="s">
        <v>686</v>
      </c>
      <c r="D90" s="675">
        <v>2</v>
      </c>
      <c r="E90" s="682">
        <v>2</v>
      </c>
      <c r="F90" s="683" t="s">
        <v>606</v>
      </c>
    </row>
    <row r="91" spans="2:6">
      <c r="B91" s="292" t="s">
        <v>445</v>
      </c>
      <c r="C91" s="1105" t="s">
        <v>687</v>
      </c>
      <c r="D91" s="1106"/>
      <c r="E91" s="1106"/>
      <c r="F91" s="1107"/>
    </row>
    <row r="92" spans="2:6">
      <c r="B92" s="292"/>
      <c r="C92" s="292" t="s">
        <v>688</v>
      </c>
      <c r="D92" s="675">
        <v>1</v>
      </c>
      <c r="E92" s="682">
        <v>1</v>
      </c>
      <c r="F92" s="683" t="s">
        <v>606</v>
      </c>
    </row>
    <row r="93" spans="2:6">
      <c r="B93" s="292"/>
      <c r="C93" s="292" t="s">
        <v>689</v>
      </c>
      <c r="D93" s="675">
        <v>2</v>
      </c>
      <c r="E93" s="682">
        <v>1</v>
      </c>
      <c r="F93" s="683" t="s">
        <v>606</v>
      </c>
    </row>
    <row r="94" spans="2:6">
      <c r="B94" s="292" t="s">
        <v>449</v>
      </c>
      <c r="C94" s="1105" t="s">
        <v>690</v>
      </c>
      <c r="D94" s="1106"/>
      <c r="E94" s="1106"/>
      <c r="F94" s="1107"/>
    </row>
    <row r="95" spans="2:6">
      <c r="B95" s="292"/>
      <c r="C95" s="292" t="s">
        <v>691</v>
      </c>
      <c r="D95" s="675">
        <v>1</v>
      </c>
      <c r="E95" s="682">
        <v>1</v>
      </c>
      <c r="F95" s="683" t="s">
        <v>606</v>
      </c>
    </row>
    <row r="96" spans="2:6">
      <c r="B96" s="292"/>
      <c r="C96" s="292" t="s">
        <v>692</v>
      </c>
      <c r="D96" s="675">
        <v>2</v>
      </c>
      <c r="E96" s="682">
        <v>1</v>
      </c>
      <c r="F96" s="683" t="s">
        <v>606</v>
      </c>
    </row>
    <row r="97" spans="2:6">
      <c r="B97" s="292" t="s">
        <v>454</v>
      </c>
      <c r="C97" s="1105" t="s">
        <v>693</v>
      </c>
      <c r="D97" s="1106"/>
      <c r="E97" s="1106"/>
      <c r="F97" s="1107"/>
    </row>
    <row r="98" spans="2:6">
      <c r="B98" s="677"/>
      <c r="C98" s="292" t="s">
        <v>694</v>
      </c>
      <c r="D98" s="675">
        <v>1</v>
      </c>
      <c r="E98" s="682">
        <v>1</v>
      </c>
      <c r="F98" s="683" t="s">
        <v>606</v>
      </c>
    </row>
    <row r="99" spans="2:6">
      <c r="B99" s="677"/>
      <c r="C99" s="292" t="s">
        <v>695</v>
      </c>
      <c r="D99" s="675">
        <v>1</v>
      </c>
      <c r="E99" s="682" t="s">
        <v>632</v>
      </c>
      <c r="F99" s="683" t="s">
        <v>633</v>
      </c>
    </row>
    <row r="100" spans="2:6">
      <c r="B100" s="677"/>
      <c r="C100" s="292" t="s">
        <v>696</v>
      </c>
      <c r="D100" s="675">
        <v>2</v>
      </c>
      <c r="E100" s="682">
        <v>2</v>
      </c>
      <c r="F100" s="683" t="s">
        <v>606</v>
      </c>
    </row>
    <row r="101" spans="2:6">
      <c r="B101" s="292" t="s">
        <v>463</v>
      </c>
      <c r="C101" s="1105" t="s">
        <v>697</v>
      </c>
      <c r="D101" s="1106"/>
      <c r="E101" s="1106"/>
      <c r="F101" s="1107"/>
    </row>
    <row r="102" spans="2:6">
      <c r="B102" s="677"/>
      <c r="C102" s="292" t="s">
        <v>698</v>
      </c>
      <c r="D102" s="675">
        <v>1</v>
      </c>
      <c r="E102" s="682">
        <v>1</v>
      </c>
      <c r="F102" s="683" t="s">
        <v>606</v>
      </c>
    </row>
    <row r="103" spans="2:6">
      <c r="B103" s="677"/>
      <c r="C103" s="292" t="s">
        <v>697</v>
      </c>
      <c r="D103" s="675">
        <v>1</v>
      </c>
      <c r="E103" s="682">
        <v>1</v>
      </c>
      <c r="F103" s="683" t="s">
        <v>606</v>
      </c>
    </row>
    <row r="104" spans="2:6">
      <c r="B104" s="677"/>
      <c r="C104" s="292" t="s">
        <v>699</v>
      </c>
      <c r="D104" s="675">
        <v>2</v>
      </c>
      <c r="E104" s="682">
        <v>2</v>
      </c>
      <c r="F104" s="683" t="s">
        <v>606</v>
      </c>
    </row>
    <row r="105" spans="2:6">
      <c r="B105" s="292" t="s">
        <v>468</v>
      </c>
      <c r="C105" s="1105" t="s">
        <v>700</v>
      </c>
      <c r="D105" s="1106"/>
      <c r="E105" s="1106"/>
      <c r="F105" s="1107"/>
    </row>
    <row r="106" spans="2:6">
      <c r="B106" s="677"/>
      <c r="C106" s="292" t="s">
        <v>701</v>
      </c>
      <c r="D106" s="675">
        <v>1</v>
      </c>
      <c r="E106" s="682">
        <v>1</v>
      </c>
      <c r="F106" s="683" t="s">
        <v>606</v>
      </c>
    </row>
    <row r="107" spans="2:6">
      <c r="B107" s="677"/>
      <c r="C107" s="292" t="s">
        <v>702</v>
      </c>
      <c r="D107" s="675">
        <v>1</v>
      </c>
      <c r="E107" s="682">
        <v>1</v>
      </c>
      <c r="F107" s="683" t="s">
        <v>606</v>
      </c>
    </row>
    <row r="108" spans="2:6">
      <c r="B108" s="677"/>
      <c r="C108" s="292" t="s">
        <v>703</v>
      </c>
      <c r="D108" s="675">
        <v>2</v>
      </c>
      <c r="E108" s="682">
        <v>2</v>
      </c>
      <c r="F108" s="683" t="s">
        <v>606</v>
      </c>
    </row>
    <row r="109" spans="2:6">
      <c r="B109" s="290" t="s">
        <v>704</v>
      </c>
      <c r="C109" s="289"/>
      <c r="D109" s="676"/>
      <c r="E109" s="290"/>
      <c r="F109" s="685"/>
    </row>
    <row r="110" spans="2:6">
      <c r="B110" s="678" t="s">
        <v>478</v>
      </c>
      <c r="C110" s="1110" t="s">
        <v>705</v>
      </c>
      <c r="D110" s="1108"/>
      <c r="E110" s="1108"/>
      <c r="F110" s="1109"/>
    </row>
    <row r="111" spans="2:6">
      <c r="B111" s="292"/>
      <c r="C111" s="292" t="s">
        <v>706</v>
      </c>
      <c r="D111" s="675">
        <v>1</v>
      </c>
      <c r="E111" s="682">
        <v>1</v>
      </c>
      <c r="F111" s="683" t="s">
        <v>606</v>
      </c>
    </row>
    <row r="112" spans="2:6">
      <c r="B112" s="292"/>
      <c r="C112" s="292" t="s">
        <v>707</v>
      </c>
      <c r="D112" s="675">
        <v>2</v>
      </c>
      <c r="E112" s="682">
        <v>2</v>
      </c>
      <c r="F112" s="683" t="s">
        <v>606</v>
      </c>
    </row>
    <row r="113" spans="2:6">
      <c r="B113" s="292"/>
      <c r="C113" s="292" t="s">
        <v>708</v>
      </c>
      <c r="D113" s="675">
        <v>2</v>
      </c>
      <c r="E113" s="682">
        <v>2</v>
      </c>
      <c r="F113" s="683" t="s">
        <v>606</v>
      </c>
    </row>
    <row r="114" spans="2:6">
      <c r="B114" s="678" t="s">
        <v>485</v>
      </c>
      <c r="C114" s="678" t="s">
        <v>709</v>
      </c>
      <c r="D114" s="675">
        <v>1</v>
      </c>
      <c r="E114" s="682">
        <v>1</v>
      </c>
      <c r="F114" s="683" t="s">
        <v>606</v>
      </c>
    </row>
    <row r="115" spans="2:6">
      <c r="B115" s="678" t="s">
        <v>488</v>
      </c>
      <c r="C115" s="678" t="s">
        <v>709</v>
      </c>
      <c r="D115" s="675" t="s">
        <v>632</v>
      </c>
      <c r="E115" s="682" t="s">
        <v>632</v>
      </c>
      <c r="F115" s="683" t="s">
        <v>633</v>
      </c>
    </row>
    <row r="116" spans="2:6">
      <c r="B116" s="678" t="s">
        <v>490</v>
      </c>
      <c r="C116" s="678" t="s">
        <v>710</v>
      </c>
      <c r="D116" s="675">
        <v>1</v>
      </c>
      <c r="E116" s="682">
        <v>1</v>
      </c>
      <c r="F116" s="683" t="s">
        <v>633</v>
      </c>
    </row>
    <row r="117" spans="2:6">
      <c r="B117" s="289"/>
      <c r="C117" s="289"/>
      <c r="D117" s="676"/>
      <c r="E117" s="290"/>
      <c r="F117" s="685"/>
    </row>
    <row r="118" spans="2:6">
      <c r="B118" s="290" t="s">
        <v>711</v>
      </c>
      <c r="C118" s="289"/>
      <c r="D118" s="676"/>
      <c r="E118" s="290"/>
      <c r="F118" s="685"/>
    </row>
    <row r="119" spans="2:6">
      <c r="B119" s="678" t="s">
        <v>499</v>
      </c>
      <c r="C119" s="678" t="s">
        <v>712</v>
      </c>
      <c r="D119" s="675" t="s">
        <v>632</v>
      </c>
      <c r="E119" s="682" t="s">
        <v>632</v>
      </c>
      <c r="F119" s="683" t="s">
        <v>633</v>
      </c>
    </row>
    <row r="120" spans="2:6">
      <c r="B120" s="678" t="s">
        <v>503</v>
      </c>
      <c r="C120" s="1105" t="s">
        <v>713</v>
      </c>
      <c r="D120" s="1106"/>
      <c r="E120" s="1106"/>
      <c r="F120" s="1107"/>
    </row>
    <row r="121" spans="2:6">
      <c r="B121" s="292"/>
      <c r="C121" s="292" t="s">
        <v>714</v>
      </c>
      <c r="D121" s="675">
        <v>1</v>
      </c>
      <c r="E121" s="682">
        <v>1</v>
      </c>
      <c r="F121" s="683" t="s">
        <v>606</v>
      </c>
    </row>
    <row r="122" spans="2:6">
      <c r="B122" s="292"/>
      <c r="C122" s="292" t="s">
        <v>715</v>
      </c>
      <c r="D122" s="675">
        <v>1</v>
      </c>
      <c r="E122" s="682">
        <v>1</v>
      </c>
      <c r="F122" s="683" t="s">
        <v>606</v>
      </c>
    </row>
    <row r="123" spans="2:6">
      <c r="B123" s="678" t="s">
        <v>716</v>
      </c>
      <c r="C123" s="1110" t="s">
        <v>717</v>
      </c>
      <c r="D123" s="1108"/>
      <c r="E123" s="1108"/>
      <c r="F123" s="1109"/>
    </row>
    <row r="124" spans="2:6">
      <c r="B124" s="292"/>
      <c r="C124" s="292" t="s">
        <v>718</v>
      </c>
      <c r="D124" s="675">
        <v>1</v>
      </c>
      <c r="E124" s="682">
        <v>1</v>
      </c>
      <c r="F124" s="683" t="s">
        <v>606</v>
      </c>
    </row>
    <row r="125" spans="2:6">
      <c r="B125" s="292"/>
      <c r="C125" s="292" t="s">
        <v>719</v>
      </c>
      <c r="D125" s="675">
        <v>2</v>
      </c>
      <c r="E125" s="682">
        <v>1</v>
      </c>
      <c r="F125" s="683" t="s">
        <v>606</v>
      </c>
    </row>
    <row r="126" spans="2:6">
      <c r="B126" s="678" t="s">
        <v>512</v>
      </c>
      <c r="C126" s="1105" t="s">
        <v>720</v>
      </c>
      <c r="D126" s="1106"/>
      <c r="E126" s="1106"/>
      <c r="F126" s="1107"/>
    </row>
    <row r="127" spans="2:6">
      <c r="B127" s="292"/>
      <c r="C127" s="292" t="s">
        <v>721</v>
      </c>
      <c r="D127" s="675">
        <v>1</v>
      </c>
      <c r="E127" s="682">
        <v>1</v>
      </c>
      <c r="F127" s="683" t="s">
        <v>606</v>
      </c>
    </row>
    <row r="128" spans="2:6">
      <c r="B128" s="292"/>
      <c r="C128" s="292" t="s">
        <v>722</v>
      </c>
      <c r="D128" s="675">
        <v>3</v>
      </c>
      <c r="E128" s="682">
        <v>3</v>
      </c>
      <c r="F128" s="683" t="s">
        <v>606</v>
      </c>
    </row>
    <row r="129" spans="2:6">
      <c r="B129" s="678" t="s">
        <v>517</v>
      </c>
      <c r="C129" s="1105" t="s">
        <v>723</v>
      </c>
      <c r="D129" s="1106"/>
      <c r="E129" s="1106"/>
      <c r="F129" s="1107"/>
    </row>
    <row r="130" spans="2:6">
      <c r="B130" s="292"/>
      <c r="C130" s="292" t="s">
        <v>724</v>
      </c>
      <c r="D130" s="675">
        <v>1</v>
      </c>
      <c r="E130" s="682">
        <v>1</v>
      </c>
      <c r="F130" s="683" t="s">
        <v>606</v>
      </c>
    </row>
    <row r="131" spans="2:6">
      <c r="B131" s="292"/>
      <c r="C131" s="292" t="s">
        <v>725</v>
      </c>
      <c r="D131" s="675">
        <v>1</v>
      </c>
      <c r="E131" s="682">
        <v>1</v>
      </c>
      <c r="F131" s="683" t="s">
        <v>606</v>
      </c>
    </row>
    <row r="132" spans="2:6">
      <c r="B132" s="678" t="s">
        <v>522</v>
      </c>
      <c r="C132" s="678" t="s">
        <v>726</v>
      </c>
      <c r="D132" s="675">
        <v>1</v>
      </c>
      <c r="E132" s="682" t="s">
        <v>632</v>
      </c>
      <c r="F132" s="683" t="s">
        <v>633</v>
      </c>
    </row>
    <row r="133" spans="2:6">
      <c r="B133" s="680" t="s">
        <v>727</v>
      </c>
      <c r="C133" s="680" t="s">
        <v>728</v>
      </c>
      <c r="D133" s="675">
        <v>2</v>
      </c>
      <c r="E133" s="682">
        <v>2</v>
      </c>
      <c r="F133" s="683" t="s">
        <v>606</v>
      </c>
    </row>
    <row r="134" spans="2:6">
      <c r="B134" s="680" t="s">
        <v>729</v>
      </c>
      <c r="C134" s="1108" t="s">
        <v>730</v>
      </c>
      <c r="D134" s="1108"/>
      <c r="E134" s="1108"/>
      <c r="F134" s="1109"/>
    </row>
    <row r="135" spans="2:6">
      <c r="B135" s="677"/>
      <c r="C135" s="292" t="s">
        <v>731</v>
      </c>
      <c r="D135" s="675">
        <v>1</v>
      </c>
      <c r="E135" s="682">
        <v>1</v>
      </c>
      <c r="F135" s="683" t="s">
        <v>606</v>
      </c>
    </row>
    <row r="136" spans="2:6">
      <c r="B136" s="677"/>
      <c r="C136" s="292" t="s">
        <v>732</v>
      </c>
      <c r="D136" s="675">
        <v>1</v>
      </c>
      <c r="E136" s="682">
        <v>1</v>
      </c>
      <c r="F136" s="683" t="s">
        <v>606</v>
      </c>
    </row>
    <row r="137" spans="2:6">
      <c r="B137" s="677"/>
      <c r="C137" s="677"/>
      <c r="D137" s="679"/>
      <c r="E137" s="696"/>
      <c r="F137" s="685"/>
    </row>
    <row r="138" spans="2:6">
      <c r="B138" s="290" t="s">
        <v>733</v>
      </c>
      <c r="C138" s="289"/>
      <c r="D138" s="676"/>
      <c r="E138" s="290"/>
      <c r="F138" s="685"/>
    </row>
    <row r="139" spans="2:6">
      <c r="B139" s="678" t="s">
        <v>734</v>
      </c>
      <c r="C139" s="678" t="s">
        <v>735</v>
      </c>
      <c r="D139" s="675">
        <v>3</v>
      </c>
      <c r="E139" s="682">
        <v>3</v>
      </c>
      <c r="F139" s="683" t="s">
        <v>606</v>
      </c>
    </row>
    <row r="140" spans="2:6">
      <c r="B140" s="678" t="s">
        <v>736</v>
      </c>
      <c r="C140" s="678" t="s">
        <v>737</v>
      </c>
      <c r="D140" s="675">
        <v>2</v>
      </c>
      <c r="E140" s="682">
        <v>2</v>
      </c>
      <c r="F140" s="683" t="s">
        <v>606</v>
      </c>
    </row>
    <row r="141" spans="2:6">
      <c r="B141" s="678" t="s">
        <v>738</v>
      </c>
      <c r="C141" s="678" t="s">
        <v>739</v>
      </c>
      <c r="D141" s="675">
        <v>1</v>
      </c>
      <c r="E141" s="682">
        <v>1</v>
      </c>
      <c r="F141" s="683" t="s">
        <v>606</v>
      </c>
    </row>
    <row r="142" spans="2:6">
      <c r="B142" s="678" t="s">
        <v>740</v>
      </c>
      <c r="C142" s="678" t="s">
        <v>741</v>
      </c>
      <c r="D142" s="675">
        <v>1</v>
      </c>
      <c r="E142" s="682">
        <v>1</v>
      </c>
      <c r="F142" s="683" t="s">
        <v>606</v>
      </c>
    </row>
    <row r="143" spans="2:6">
      <c r="B143" s="289"/>
      <c r="C143" s="289"/>
      <c r="D143" s="676"/>
      <c r="E143" s="290"/>
      <c r="F143" s="685"/>
    </row>
    <row r="144" spans="2:6">
      <c r="B144" s="290" t="s">
        <v>742</v>
      </c>
      <c r="C144" s="289"/>
      <c r="D144" s="676"/>
      <c r="E144" s="290"/>
      <c r="F144" s="685"/>
    </row>
    <row r="145" spans="2:6">
      <c r="B145" s="292" t="s">
        <v>743</v>
      </c>
      <c r="C145" s="292" t="s">
        <v>744</v>
      </c>
      <c r="D145" s="675">
        <v>1</v>
      </c>
      <c r="E145" s="682">
        <v>1</v>
      </c>
      <c r="F145" s="683" t="s">
        <v>606</v>
      </c>
    </row>
    <row r="146" spans="2:6">
      <c r="B146" s="292" t="s">
        <v>745</v>
      </c>
      <c r="C146" s="292" t="s">
        <v>746</v>
      </c>
      <c r="D146" s="675">
        <v>1</v>
      </c>
      <c r="E146" s="682">
        <v>1</v>
      </c>
      <c r="F146" s="683" t="s">
        <v>606</v>
      </c>
    </row>
    <row r="147" spans="2:6">
      <c r="B147" s="292" t="s">
        <v>745</v>
      </c>
      <c r="C147" s="292" t="s">
        <v>747</v>
      </c>
      <c r="D147" s="675">
        <v>1</v>
      </c>
      <c r="E147" s="682">
        <v>1</v>
      </c>
      <c r="F147" s="683" t="s">
        <v>606</v>
      </c>
    </row>
    <row r="148" spans="2:6">
      <c r="B148" s="292" t="s">
        <v>748</v>
      </c>
      <c r="C148" s="292" t="s">
        <v>749</v>
      </c>
      <c r="D148" s="675">
        <v>1</v>
      </c>
      <c r="E148" s="682">
        <v>1</v>
      </c>
      <c r="F148" s="683" t="s">
        <v>633</v>
      </c>
    </row>
    <row r="149" spans="2:6">
      <c r="B149" s="292" t="s">
        <v>750</v>
      </c>
      <c r="C149" s="292" t="s">
        <v>751</v>
      </c>
      <c r="D149" s="675">
        <v>1</v>
      </c>
      <c r="E149" s="682">
        <v>1</v>
      </c>
      <c r="F149" s="683" t="s">
        <v>606</v>
      </c>
    </row>
    <row r="150" spans="2:6">
      <c r="B150" s="292" t="s">
        <v>750</v>
      </c>
      <c r="C150" s="292" t="s">
        <v>752</v>
      </c>
      <c r="D150" s="675">
        <v>1</v>
      </c>
      <c r="E150" s="682">
        <v>1</v>
      </c>
      <c r="F150" s="683" t="s">
        <v>606</v>
      </c>
    </row>
    <row r="151" spans="2:6">
      <c r="B151" s="292" t="s">
        <v>753</v>
      </c>
      <c r="C151" s="292" t="s">
        <v>754</v>
      </c>
      <c r="D151" s="675">
        <v>1</v>
      </c>
      <c r="E151" s="682">
        <v>1</v>
      </c>
      <c r="F151" s="683" t="s">
        <v>606</v>
      </c>
    </row>
    <row r="152" spans="2:6">
      <c r="B152" s="292" t="s">
        <v>186</v>
      </c>
      <c r="C152" s="292" t="s">
        <v>755</v>
      </c>
      <c r="D152" s="675">
        <v>1</v>
      </c>
      <c r="E152" s="682">
        <v>1</v>
      </c>
      <c r="F152" s="683" t="s">
        <v>606</v>
      </c>
    </row>
    <row r="153" spans="2:6">
      <c r="B153" s="292" t="s">
        <v>187</v>
      </c>
      <c r="C153" s="292" t="s">
        <v>756</v>
      </c>
      <c r="D153" s="675">
        <v>1</v>
      </c>
      <c r="E153" s="682">
        <v>1</v>
      </c>
      <c r="F153" s="683" t="s">
        <v>606</v>
      </c>
    </row>
    <row r="154" spans="2:6">
      <c r="B154" s="289" t="s">
        <v>189</v>
      </c>
      <c r="C154" s="292" t="s">
        <v>757</v>
      </c>
      <c r="D154" s="675">
        <v>1</v>
      </c>
      <c r="E154" s="682">
        <v>1</v>
      </c>
      <c r="F154" s="683" t="s">
        <v>606</v>
      </c>
    </row>
    <row r="155" spans="2:6">
      <c r="B155" s="289" t="s">
        <v>758</v>
      </c>
      <c r="C155" s="292" t="s">
        <v>759</v>
      </c>
      <c r="D155" s="675">
        <v>1</v>
      </c>
      <c r="E155" s="682">
        <v>1</v>
      </c>
      <c r="F155" s="683" t="s">
        <v>606</v>
      </c>
    </row>
    <row r="156" spans="2:6">
      <c r="B156" s="289" t="s">
        <v>760</v>
      </c>
      <c r="C156" s="292" t="s">
        <v>761</v>
      </c>
      <c r="D156" s="675">
        <v>1</v>
      </c>
      <c r="E156" s="682">
        <v>1</v>
      </c>
      <c r="F156" s="683" t="s">
        <v>606</v>
      </c>
    </row>
    <row r="157" spans="2:6">
      <c r="B157" s="289" t="s">
        <v>762</v>
      </c>
      <c r="C157" s="292" t="s">
        <v>763</v>
      </c>
      <c r="D157" s="675">
        <v>1</v>
      </c>
      <c r="E157" s="682" t="s">
        <v>632</v>
      </c>
      <c r="F157" s="683" t="s">
        <v>633</v>
      </c>
    </row>
    <row r="158" spans="2:6">
      <c r="B158" s="289" t="s">
        <v>729</v>
      </c>
      <c r="C158" s="292" t="s">
        <v>764</v>
      </c>
      <c r="D158" s="675">
        <v>1</v>
      </c>
      <c r="E158" s="682">
        <v>1</v>
      </c>
      <c r="F158" s="683" t="s">
        <v>606</v>
      </c>
    </row>
  </sheetData>
  <sheetProtection algorithmName="SHA-512" hashValue="+ICasFIz/O9RKQdIuX4bUYVhKBONwlr52HDdYDH+5JBA33OKCyk+v9BpNX5pRajAs3NvAHKa19C/2dKoqH+gVw==" saltValue="i/qv6BRWIbcIm5bG1jnNyw==" spinCount="100000" sheet="1" objects="1" scenarios="1"/>
  <mergeCells count="48">
    <mergeCell ref="C88:F88"/>
    <mergeCell ref="C91:F91"/>
    <mergeCell ref="C94:F94"/>
    <mergeCell ref="C97:F97"/>
    <mergeCell ref="C101:F101"/>
    <mergeCell ref="C67:F67"/>
    <mergeCell ref="B64:B66"/>
    <mergeCell ref="B73:B75"/>
    <mergeCell ref="C73:F73"/>
    <mergeCell ref="C81:F81"/>
    <mergeCell ref="C50:F50"/>
    <mergeCell ref="C56:F56"/>
    <mergeCell ref="B61:B63"/>
    <mergeCell ref="C61:F61"/>
    <mergeCell ref="C64:F64"/>
    <mergeCell ref="C24:F24"/>
    <mergeCell ref="C29:F29"/>
    <mergeCell ref="C35:F35"/>
    <mergeCell ref="C39:F39"/>
    <mergeCell ref="C44:F44"/>
    <mergeCell ref="B35:B38"/>
    <mergeCell ref="B3:B5"/>
    <mergeCell ref="F3:F5"/>
    <mergeCell ref="D3:D5"/>
    <mergeCell ref="C3:C5"/>
    <mergeCell ref="B29:B34"/>
    <mergeCell ref="E3:E5"/>
    <mergeCell ref="B7:B11"/>
    <mergeCell ref="B12:B14"/>
    <mergeCell ref="B15:B19"/>
    <mergeCell ref="B20:B23"/>
    <mergeCell ref="B24:B27"/>
    <mergeCell ref="C15:F15"/>
    <mergeCell ref="C12:F12"/>
    <mergeCell ref="C7:F7"/>
    <mergeCell ref="C20:F20"/>
    <mergeCell ref="B39:B42"/>
    <mergeCell ref="B44:B46"/>
    <mergeCell ref="B50:B55"/>
    <mergeCell ref="B56:B59"/>
    <mergeCell ref="B67:B69"/>
    <mergeCell ref="C129:F129"/>
    <mergeCell ref="C134:F134"/>
    <mergeCell ref="C105:F105"/>
    <mergeCell ref="C110:F110"/>
    <mergeCell ref="C123:F123"/>
    <mergeCell ref="C120:F120"/>
    <mergeCell ref="C126:F1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46"/>
  <sheetViews>
    <sheetView topLeftCell="A30" zoomScale="55" zoomScaleNormal="55" workbookViewId="0">
      <selection activeCell="O45" sqref="O45"/>
    </sheetView>
  </sheetViews>
  <sheetFormatPr baseColWidth="10" defaultColWidth="8.7109375" defaultRowHeight="15"/>
  <cols>
    <col min="1" max="1" width="13.5703125" customWidth="1"/>
    <col min="2" max="2" width="7.28515625" customWidth="1"/>
    <col min="3" max="3" width="60.28515625" bestFit="1" customWidth="1"/>
    <col min="4" max="4" width="19.7109375" hidden="1" customWidth="1"/>
    <col min="5" max="5" width="27.28515625" hidden="1" customWidth="1"/>
    <col min="6" max="6" width="22.5703125" hidden="1" customWidth="1"/>
    <col min="7" max="7" width="8.7109375" customWidth="1"/>
    <col min="8" max="8" width="11.28515625" customWidth="1"/>
    <col min="9" max="18" width="8.7109375" customWidth="1"/>
    <col min="19" max="19" width="20.28515625" customWidth="1"/>
    <col min="20" max="20" width="45.7109375" customWidth="1"/>
    <col min="21" max="21" width="46.28515625" customWidth="1"/>
    <col min="22" max="22" width="36.28515625" customWidth="1"/>
    <col min="23" max="30" width="8.7109375" customWidth="1"/>
  </cols>
  <sheetData>
    <row r="1" spans="1:31" ht="15.75" thickBot="1">
      <c r="A1">
        <v>1</v>
      </c>
      <c r="B1">
        <v>2</v>
      </c>
      <c r="C1">
        <v>3</v>
      </c>
      <c r="D1">
        <v>4</v>
      </c>
      <c r="E1">
        <v>5</v>
      </c>
      <c r="F1">
        <v>6</v>
      </c>
      <c r="G1">
        <v>7</v>
      </c>
      <c r="H1">
        <v>8</v>
      </c>
    </row>
    <row r="2" spans="1:31" ht="15.75" thickBot="1">
      <c r="C2" s="54" t="s">
        <v>765</v>
      </c>
      <c r="D2" s="54"/>
      <c r="E2" s="54"/>
      <c r="F2" s="54"/>
      <c r="G2" s="54"/>
      <c r="H2" s="301" t="s">
        <v>23</v>
      </c>
      <c r="I2" s="284" t="s">
        <v>123</v>
      </c>
      <c r="J2" t="s">
        <v>119</v>
      </c>
    </row>
    <row r="3" spans="1:31" ht="15.75" thickBot="1">
      <c r="S3" t="s">
        <v>766</v>
      </c>
    </row>
    <row r="4" spans="1:31" ht="15.75" thickBot="1">
      <c r="S4" s="297" t="s">
        <v>598</v>
      </c>
      <c r="T4" s="298" t="s">
        <v>599</v>
      </c>
      <c r="U4" s="298" t="s">
        <v>767</v>
      </c>
      <c r="V4" s="299"/>
    </row>
    <row r="5" spans="1:31" ht="15.75" thickBot="1">
      <c r="C5" s="44" t="s">
        <v>768</v>
      </c>
      <c r="D5" s="47" t="s">
        <v>769</v>
      </c>
      <c r="E5" s="52" t="s">
        <v>770</v>
      </c>
      <c r="F5" s="47" t="s">
        <v>771</v>
      </c>
      <c r="H5" s="300" t="s">
        <v>772</v>
      </c>
      <c r="N5" s="1132" t="s">
        <v>773</v>
      </c>
      <c r="O5" s="1132"/>
      <c r="S5" s="288" t="s">
        <v>603</v>
      </c>
      <c r="T5" s="288"/>
      <c r="U5" s="674"/>
      <c r="V5" s="288"/>
      <c r="W5" s="672"/>
      <c r="X5" s="482"/>
      <c r="Y5" s="482"/>
      <c r="Z5" s="482"/>
      <c r="AA5" s="482"/>
      <c r="AB5" s="482"/>
      <c r="AC5" s="482"/>
      <c r="AD5" s="482"/>
    </row>
    <row r="6" spans="1:31" ht="15.75" thickBot="1">
      <c r="B6" s="120"/>
      <c r="C6" s="121" t="s">
        <v>245</v>
      </c>
      <c r="D6" s="51"/>
      <c r="E6" s="51"/>
      <c r="F6" s="51"/>
      <c r="H6" s="121"/>
      <c r="N6" s="288" t="s">
        <v>603</v>
      </c>
      <c r="O6" t="b">
        <f>N6=S5</f>
        <v>1</v>
      </c>
      <c r="S6" s="1124" t="s">
        <v>248</v>
      </c>
      <c r="T6" s="766" t="s">
        <v>604</v>
      </c>
      <c r="W6" s="672"/>
      <c r="X6" s="482"/>
      <c r="Y6" s="482"/>
      <c r="Z6" s="482"/>
      <c r="AA6" s="482"/>
      <c r="AB6" s="482"/>
      <c r="AC6" s="482"/>
      <c r="AD6" s="482"/>
    </row>
    <row r="7" spans="1:31">
      <c r="A7" s="109" t="s">
        <v>248</v>
      </c>
      <c r="B7" s="629" t="s">
        <v>248</v>
      </c>
      <c r="C7" s="629" t="s">
        <v>249</v>
      </c>
      <c r="D7" s="38">
        <f>Poeng!T10</f>
        <v>5</v>
      </c>
      <c r="E7" s="37"/>
      <c r="F7" s="38">
        <f>Poeng!AB10</f>
        <v>5</v>
      </c>
      <c r="H7" s="699">
        <f>SUMIF($R$7:$R$182,A7,$U$7:$U$182)</f>
        <v>0</v>
      </c>
      <c r="I7" s="303" t="str">
        <f>IF(F7=H7,"OK","FEIL")</f>
        <v>FEIL</v>
      </c>
      <c r="N7" s="291" t="s">
        <v>248</v>
      </c>
      <c r="O7" t="b">
        <f>N7=S6</f>
        <v>1</v>
      </c>
      <c r="R7" t="s">
        <v>250</v>
      </c>
      <c r="S7" s="1124"/>
      <c r="T7" s="814" t="s">
        <v>774</v>
      </c>
      <c r="U7" s="682">
        <v>1</v>
      </c>
      <c r="V7" s="683" t="s">
        <v>606</v>
      </c>
      <c r="W7" s="672"/>
      <c r="X7" s="482"/>
      <c r="Y7" s="482"/>
      <c r="Z7" s="482"/>
      <c r="AA7" s="482"/>
      <c r="AB7" s="482"/>
      <c r="AC7" s="482"/>
      <c r="AD7" s="482"/>
    </row>
    <row r="8" spans="1:31">
      <c r="A8" t="s">
        <v>250</v>
      </c>
      <c r="B8" s="35" t="s">
        <v>775</v>
      </c>
      <c r="C8" s="813" t="s">
        <v>774</v>
      </c>
      <c r="D8" s="36">
        <f>Poeng!T16</f>
        <v>3</v>
      </c>
      <c r="E8" s="35"/>
      <c r="F8" s="38">
        <f>Poeng!AB16</f>
        <v>3</v>
      </c>
      <c r="H8" s="133">
        <f t="shared" ref="H8:H36" si="0">SUMIF($R$7:$R$182,A8,$U$7:$U$182)</f>
        <v>1</v>
      </c>
      <c r="I8" s="303" t="str">
        <f t="shared" ref="I8:I36" si="1">IF(F8=H8,"OK","FEIL")</f>
        <v>FEIL</v>
      </c>
      <c r="N8" s="291" t="s">
        <v>259</v>
      </c>
      <c r="O8" t="b">
        <f t="shared" ref="O8:O72" si="2">N8=S8</f>
        <v>0</v>
      </c>
      <c r="R8" t="s">
        <v>251</v>
      </c>
      <c r="S8" s="1124"/>
      <c r="T8" s="815" t="s">
        <v>609</v>
      </c>
      <c r="U8" s="682">
        <v>1</v>
      </c>
      <c r="V8" s="683" t="s">
        <v>606</v>
      </c>
      <c r="W8" s="672"/>
      <c r="X8" s="482"/>
      <c r="Y8" s="482"/>
      <c r="Z8" s="482"/>
      <c r="AA8" s="482"/>
      <c r="AB8" s="482"/>
      <c r="AC8" s="482"/>
      <c r="AD8" s="482"/>
      <c r="AE8">
        <v>1</v>
      </c>
    </row>
    <row r="9" spans="1:31">
      <c r="A9" t="s">
        <v>251</v>
      </c>
      <c r="B9" s="35" t="s">
        <v>776</v>
      </c>
      <c r="C9" s="813" t="s">
        <v>609</v>
      </c>
      <c r="D9" s="36">
        <f>Poeng!T19</f>
        <v>7</v>
      </c>
      <c r="E9" s="35"/>
      <c r="F9" s="38">
        <f>Poeng!AB19</f>
        <v>7</v>
      </c>
      <c r="H9" s="133">
        <f t="shared" si="0"/>
        <v>1</v>
      </c>
      <c r="I9" s="303" t="str">
        <f t="shared" si="1"/>
        <v>FEIL</v>
      </c>
      <c r="N9" s="291" t="s">
        <v>183</v>
      </c>
      <c r="O9" t="b">
        <f t="shared" si="2"/>
        <v>0</v>
      </c>
      <c r="R9" t="s">
        <v>253</v>
      </c>
      <c r="S9" s="1124"/>
      <c r="T9" s="815" t="s">
        <v>605</v>
      </c>
      <c r="U9" s="682">
        <v>1</v>
      </c>
      <c r="V9" s="683" t="s">
        <v>606</v>
      </c>
      <c r="W9" s="672"/>
      <c r="X9" s="482"/>
      <c r="Y9" s="482"/>
      <c r="Z9" s="482"/>
      <c r="AA9" s="482"/>
      <c r="AB9" s="482"/>
      <c r="AC9" s="482"/>
      <c r="AD9" s="482"/>
      <c r="AE9">
        <v>2</v>
      </c>
    </row>
    <row r="10" spans="1:31">
      <c r="A10" t="s">
        <v>253</v>
      </c>
      <c r="B10" s="35" t="s">
        <v>777</v>
      </c>
      <c r="C10" s="813" t="s">
        <v>605</v>
      </c>
      <c r="D10" s="36">
        <f>Poeng!T26</f>
        <v>3</v>
      </c>
      <c r="E10" s="35"/>
      <c r="F10" s="38">
        <f>Poeng!AB26</f>
        <v>3</v>
      </c>
      <c r="H10" s="133">
        <f t="shared" si="0"/>
        <v>1</v>
      </c>
      <c r="I10" s="303" t="str">
        <f t="shared" si="1"/>
        <v>FEIL</v>
      </c>
      <c r="N10" s="291" t="s">
        <v>275</v>
      </c>
      <c r="O10" t="b">
        <f t="shared" si="2"/>
        <v>0</v>
      </c>
      <c r="R10" t="s">
        <v>255</v>
      </c>
      <c r="S10" s="1124"/>
      <c r="T10" s="815" t="s">
        <v>607</v>
      </c>
      <c r="U10" s="682">
        <v>1</v>
      </c>
      <c r="V10" s="683" t="s">
        <v>606</v>
      </c>
      <c r="W10" s="672"/>
      <c r="X10" s="482"/>
      <c r="Y10" s="482"/>
      <c r="Z10" s="482"/>
      <c r="AA10" s="482"/>
      <c r="AB10" s="482"/>
      <c r="AC10" s="482"/>
      <c r="AD10" s="482"/>
      <c r="AE10">
        <v>3</v>
      </c>
    </row>
    <row r="11" spans="1:31" ht="15" customHeight="1">
      <c r="A11" t="s">
        <v>255</v>
      </c>
      <c r="B11" s="35" t="s">
        <v>778</v>
      </c>
      <c r="C11" s="813" t="s">
        <v>607</v>
      </c>
      <c r="D11" s="36">
        <f>Poeng!T30</f>
        <v>3</v>
      </c>
      <c r="E11" s="35"/>
      <c r="F11" s="38">
        <f>Poeng!AB30</f>
        <v>3</v>
      </c>
      <c r="H11" s="133">
        <f t="shared" si="0"/>
        <v>1</v>
      </c>
      <c r="I11" s="303" t="str">
        <f t="shared" si="1"/>
        <v>FEIL</v>
      </c>
      <c r="N11" s="291" t="s">
        <v>285</v>
      </c>
      <c r="O11" t="b">
        <f t="shared" si="2"/>
        <v>0</v>
      </c>
      <c r="R11" t="s">
        <v>257</v>
      </c>
      <c r="S11" s="1131"/>
      <c r="T11" s="815" t="s">
        <v>608</v>
      </c>
      <c r="U11" s="682">
        <v>2</v>
      </c>
      <c r="V11" s="683" t="s">
        <v>606</v>
      </c>
      <c r="W11" s="672"/>
      <c r="X11" s="482"/>
      <c r="Y11" s="482"/>
      <c r="Z11" s="482"/>
      <c r="AA11" s="482"/>
      <c r="AB11" s="482"/>
      <c r="AC11" s="482"/>
      <c r="AD11" s="482"/>
      <c r="AE11">
        <v>4</v>
      </c>
    </row>
    <row r="12" spans="1:31">
      <c r="A12" t="s">
        <v>257</v>
      </c>
      <c r="B12" s="35" t="s">
        <v>779</v>
      </c>
      <c r="C12" s="813" t="s">
        <v>608</v>
      </c>
      <c r="D12" s="36">
        <f>Poeng!T34</f>
        <v>0</v>
      </c>
      <c r="E12" s="35"/>
      <c r="F12" s="38">
        <f>Poeng!AB34</f>
        <v>0</v>
      </c>
      <c r="H12" s="133">
        <f t="shared" si="0"/>
        <v>2</v>
      </c>
      <c r="I12" s="303" t="str">
        <f t="shared" si="1"/>
        <v>FEIL</v>
      </c>
      <c r="N12" s="289"/>
      <c r="O12" t="b">
        <f t="shared" si="2"/>
        <v>0</v>
      </c>
      <c r="S12" s="1120" t="s">
        <v>259</v>
      </c>
      <c r="T12" s="816" t="s">
        <v>610</v>
      </c>
      <c r="U12" s="767"/>
      <c r="V12" s="768"/>
      <c r="W12" s="672"/>
      <c r="X12" s="482"/>
      <c r="Y12" s="482"/>
      <c r="Z12" s="482"/>
      <c r="AA12" s="482"/>
      <c r="AB12" s="482"/>
      <c r="AC12" s="482"/>
      <c r="AD12" s="482"/>
      <c r="AE12">
        <v>5</v>
      </c>
    </row>
    <row r="13" spans="1:31" ht="15.75" thickBot="1">
      <c r="A13" s="109" t="s">
        <v>259</v>
      </c>
      <c r="B13" s="629" t="s">
        <v>259</v>
      </c>
      <c r="C13" s="629" t="s">
        <v>260</v>
      </c>
      <c r="D13" s="41">
        <f>Poeng!T35</f>
        <v>0</v>
      </c>
      <c r="E13" s="40"/>
      <c r="F13" s="38">
        <f>Poeng!AB35</f>
        <v>0</v>
      </c>
      <c r="H13" s="699">
        <f t="shared" si="0"/>
        <v>0</v>
      </c>
      <c r="I13" s="303" t="str">
        <f t="shared" si="1"/>
        <v>OK</v>
      </c>
      <c r="N13" s="290" t="s">
        <v>626</v>
      </c>
      <c r="O13" t="b">
        <f t="shared" si="2"/>
        <v>0</v>
      </c>
      <c r="R13" t="s">
        <v>261</v>
      </c>
      <c r="S13" s="1121"/>
      <c r="T13" s="815" t="s">
        <v>611</v>
      </c>
      <c r="U13" s="684">
        <v>2</v>
      </c>
      <c r="V13" s="683" t="s">
        <v>606</v>
      </c>
      <c r="W13" s="672"/>
      <c r="X13" s="482"/>
      <c r="Y13" s="482"/>
      <c r="Z13" s="482"/>
      <c r="AA13" s="482"/>
      <c r="AB13" s="482"/>
      <c r="AC13" s="482"/>
      <c r="AD13" s="482"/>
      <c r="AE13">
        <v>6</v>
      </c>
    </row>
    <row r="14" spans="1:31" ht="15.75" thickBot="1">
      <c r="A14" t="s">
        <v>261</v>
      </c>
      <c r="B14" s="35" t="s">
        <v>775</v>
      </c>
      <c r="C14" s="813" t="s">
        <v>611</v>
      </c>
      <c r="D14" s="42">
        <f>Poeng!T36</f>
        <v>21</v>
      </c>
      <c r="E14" s="42"/>
      <c r="F14" s="42">
        <f>SUM(F7:F13)</f>
        <v>21</v>
      </c>
      <c r="H14" s="133">
        <f t="shared" si="0"/>
        <v>2</v>
      </c>
      <c r="I14" s="303" t="str">
        <f t="shared" si="1"/>
        <v>FEIL</v>
      </c>
      <c r="N14" s="294" t="s">
        <v>298</v>
      </c>
      <c r="O14" t="b">
        <f t="shared" si="2"/>
        <v>0</v>
      </c>
      <c r="R14" t="s">
        <v>263</v>
      </c>
      <c r="S14" s="1122"/>
      <c r="T14" s="815" t="s">
        <v>612</v>
      </c>
      <c r="U14" s="684">
        <v>1</v>
      </c>
      <c r="V14" s="683" t="s">
        <v>606</v>
      </c>
      <c r="W14" s="672"/>
      <c r="X14" s="482"/>
      <c r="Y14" s="482"/>
      <c r="Z14" s="482"/>
      <c r="AA14" s="482"/>
      <c r="AB14" s="482"/>
      <c r="AC14" s="482"/>
      <c r="AD14" s="482"/>
      <c r="AE14">
        <v>7</v>
      </c>
    </row>
    <row r="15" spans="1:31" ht="15.75" thickBot="1">
      <c r="A15" t="s">
        <v>263</v>
      </c>
      <c r="B15" s="35" t="s">
        <v>776</v>
      </c>
      <c r="C15" s="813" t="s">
        <v>612</v>
      </c>
      <c r="H15" s="133">
        <f t="shared" si="0"/>
        <v>1</v>
      </c>
      <c r="I15" s="303" t="str">
        <f t="shared" si="1"/>
        <v>FEIL</v>
      </c>
      <c r="N15" s="295"/>
      <c r="O15" t="b">
        <f t="shared" si="2"/>
        <v>0</v>
      </c>
      <c r="S15" s="1120" t="s">
        <v>183</v>
      </c>
      <c r="T15" s="766" t="s">
        <v>613</v>
      </c>
      <c r="U15" s="767"/>
      <c r="V15" s="768"/>
      <c r="W15" s="672"/>
      <c r="AE15">
        <v>8</v>
      </c>
    </row>
    <row r="16" spans="1:31" ht="15.75" thickBot="1">
      <c r="A16" s="109" t="s">
        <v>183</v>
      </c>
      <c r="B16" s="629" t="s">
        <v>183</v>
      </c>
      <c r="C16" s="629" t="s">
        <v>265</v>
      </c>
      <c r="D16" s="39"/>
      <c r="E16" s="39"/>
      <c r="F16" s="39"/>
      <c r="H16" s="699">
        <f t="shared" si="0"/>
        <v>0</v>
      </c>
      <c r="I16" s="303" t="str">
        <f t="shared" si="1"/>
        <v>OK</v>
      </c>
      <c r="N16" s="296"/>
      <c r="O16" t="b">
        <f t="shared" si="2"/>
        <v>1</v>
      </c>
      <c r="R16" t="s">
        <v>266</v>
      </c>
      <c r="S16" s="1121"/>
      <c r="T16" s="291" t="s">
        <v>614</v>
      </c>
      <c r="U16" s="682">
        <v>1</v>
      </c>
      <c r="V16" s="683" t="s">
        <v>606</v>
      </c>
      <c r="W16" s="672"/>
      <c r="AE16">
        <v>9</v>
      </c>
    </row>
    <row r="17" spans="1:31">
      <c r="A17" t="s">
        <v>266</v>
      </c>
      <c r="B17" s="35" t="s">
        <v>775</v>
      </c>
      <c r="C17" s="697" t="s">
        <v>614</v>
      </c>
      <c r="D17" s="38">
        <f>Poeng!T39</f>
        <v>7</v>
      </c>
      <c r="E17" s="37"/>
      <c r="F17" s="38">
        <f>Poeng!AB39</f>
        <v>7</v>
      </c>
      <c r="H17" s="133">
        <f t="shared" si="0"/>
        <v>1</v>
      </c>
      <c r="I17" s="303" t="str">
        <f t="shared" si="1"/>
        <v>FEIL</v>
      </c>
      <c r="N17" s="294" t="s">
        <v>182</v>
      </c>
      <c r="O17" t="b">
        <f t="shared" si="2"/>
        <v>0</v>
      </c>
      <c r="R17" t="s">
        <v>267</v>
      </c>
      <c r="S17" s="1121"/>
      <c r="T17" s="291" t="s">
        <v>615</v>
      </c>
      <c r="U17" s="682">
        <v>1</v>
      </c>
      <c r="V17" s="683" t="s">
        <v>606</v>
      </c>
      <c r="W17" s="672"/>
      <c r="AE17">
        <v>10</v>
      </c>
    </row>
    <row r="18" spans="1:31">
      <c r="A18" t="s">
        <v>267</v>
      </c>
      <c r="B18" s="35" t="s">
        <v>776</v>
      </c>
      <c r="C18" s="697" t="s">
        <v>615</v>
      </c>
      <c r="D18" s="36">
        <f>Poeng!T46</f>
        <v>4</v>
      </c>
      <c r="E18" s="35"/>
      <c r="F18" s="38">
        <f>Poeng!AB46</f>
        <v>4</v>
      </c>
      <c r="H18" s="133">
        <f t="shared" si="0"/>
        <v>1</v>
      </c>
      <c r="I18" s="303" t="str">
        <f t="shared" si="1"/>
        <v>FEIL</v>
      </c>
      <c r="N18" s="295"/>
      <c r="O18" t="b">
        <f t="shared" si="2"/>
        <v>1</v>
      </c>
      <c r="R18" t="s">
        <v>269</v>
      </c>
      <c r="S18" s="1121"/>
      <c r="T18" s="291" t="s">
        <v>616</v>
      </c>
      <c r="U18" s="682">
        <v>2</v>
      </c>
      <c r="V18" s="683" t="s">
        <v>606</v>
      </c>
      <c r="W18" s="672"/>
      <c r="AE18">
        <v>11</v>
      </c>
    </row>
    <row r="19" spans="1:31">
      <c r="A19" t="s">
        <v>269</v>
      </c>
      <c r="B19" s="35" t="s">
        <v>777</v>
      </c>
      <c r="C19" s="753" t="s">
        <v>780</v>
      </c>
      <c r="D19" s="36">
        <f>Poeng!T51</f>
        <v>3</v>
      </c>
      <c r="E19" s="35"/>
      <c r="F19" s="38">
        <f>Poeng!AB51</f>
        <v>3</v>
      </c>
      <c r="H19" s="776">
        <f>IF(SUMIF($R$7:$R$182,A19,$U$7:$U$182)=2,1,SUMIF($R$7:$R$182,A19,$U$7:$U$182))</f>
        <v>1</v>
      </c>
      <c r="I19" s="303" t="str">
        <f t="shared" si="1"/>
        <v>FEIL</v>
      </c>
      <c r="J19" t="s">
        <v>781</v>
      </c>
      <c r="N19" s="296"/>
      <c r="O19" t="b">
        <f t="shared" si="2"/>
        <v>1</v>
      </c>
      <c r="R19" t="s">
        <v>271</v>
      </c>
      <c r="S19" s="1122"/>
      <c r="T19" s="291" t="s">
        <v>617</v>
      </c>
      <c r="U19" s="682">
        <v>3</v>
      </c>
      <c r="V19" s="683" t="s">
        <v>606</v>
      </c>
      <c r="W19" s="672"/>
      <c r="AE19">
        <v>12</v>
      </c>
    </row>
    <row r="20" spans="1:31" ht="15" customHeight="1">
      <c r="A20" t="s">
        <v>270</v>
      </c>
      <c r="B20" s="35" t="s">
        <v>778</v>
      </c>
      <c r="C20" s="753" t="s">
        <v>782</v>
      </c>
      <c r="D20" s="36">
        <f>Poeng!T55</f>
        <v>0</v>
      </c>
      <c r="E20" s="35"/>
      <c r="F20" s="38">
        <f>Poeng!AB55</f>
        <v>0</v>
      </c>
      <c r="H20" s="776">
        <f>IF(SUMIF($R$7:$R$182,A19,$U$7:$U$182)=2,1,0)</f>
        <v>1</v>
      </c>
      <c r="I20" s="303" t="str">
        <f t="shared" si="1"/>
        <v>FEIL</v>
      </c>
      <c r="J20" t="s">
        <v>781</v>
      </c>
      <c r="N20" s="292" t="s">
        <v>325</v>
      </c>
      <c r="O20" t="b">
        <f t="shared" si="2"/>
        <v>0</v>
      </c>
      <c r="S20" s="1120" t="s">
        <v>275</v>
      </c>
      <c r="T20" s="766" t="s">
        <v>618</v>
      </c>
      <c r="U20" s="767"/>
      <c r="V20" s="768"/>
      <c r="W20" s="672"/>
      <c r="AE20">
        <v>13</v>
      </c>
    </row>
    <row r="21" spans="1:31">
      <c r="A21" t="s">
        <v>271</v>
      </c>
      <c r="B21" s="35" t="s">
        <v>779</v>
      </c>
      <c r="C21" s="753" t="s">
        <v>783</v>
      </c>
      <c r="D21" s="36">
        <f>Poeng!T56</f>
        <v>3</v>
      </c>
      <c r="E21" s="35"/>
      <c r="F21" s="38">
        <f>Poeng!AB56</f>
        <v>3</v>
      </c>
      <c r="H21" s="776">
        <f>IF(SUMIF($R$7:$R$182,A21,$U$7:$U$182)=3,1,SUMIF($R$7:$R$182,A21,$U$7:$U$182))</f>
        <v>1</v>
      </c>
      <c r="I21" s="303" t="str">
        <f t="shared" si="1"/>
        <v>FEIL</v>
      </c>
      <c r="J21" t="s">
        <v>781</v>
      </c>
      <c r="N21" s="292" t="s">
        <v>784</v>
      </c>
      <c r="O21" t="b">
        <f t="shared" si="2"/>
        <v>0</v>
      </c>
      <c r="R21" t="s">
        <v>280</v>
      </c>
      <c r="S21" s="1121"/>
      <c r="T21" s="291" t="s">
        <v>619</v>
      </c>
      <c r="U21" s="682">
        <v>1</v>
      </c>
      <c r="V21" s="683" t="s">
        <v>606</v>
      </c>
      <c r="W21" s="672"/>
      <c r="AE21">
        <v>14</v>
      </c>
    </row>
    <row r="22" spans="1:31" ht="48.75" customHeight="1">
      <c r="A22" t="s">
        <v>273</v>
      </c>
      <c r="B22" s="35" t="s">
        <v>785</v>
      </c>
      <c r="C22" s="753" t="s">
        <v>786</v>
      </c>
      <c r="D22" s="36">
        <f>Poeng!T59</f>
        <v>2</v>
      </c>
      <c r="E22" s="35"/>
      <c r="F22" s="38">
        <f>Poeng!AB59</f>
        <v>2</v>
      </c>
      <c r="H22" s="776">
        <f>IF(SUMIF($R$7:$R$182,A21,$U$7:$U$182)=3,2,0)</f>
        <v>2</v>
      </c>
      <c r="I22" s="303" t="str">
        <f t="shared" si="1"/>
        <v>OK</v>
      </c>
      <c r="J22" t="s">
        <v>781</v>
      </c>
      <c r="N22" s="292" t="s">
        <v>333</v>
      </c>
      <c r="O22" t="b">
        <f t="shared" si="2"/>
        <v>0</v>
      </c>
      <c r="R22" t="s">
        <v>281</v>
      </c>
      <c r="S22" s="1121"/>
      <c r="T22" s="291" t="s">
        <v>620</v>
      </c>
      <c r="U22" s="682">
        <v>1</v>
      </c>
      <c r="V22" s="683" t="s">
        <v>606</v>
      </c>
      <c r="W22" s="672"/>
      <c r="AE22">
        <v>15</v>
      </c>
    </row>
    <row r="23" spans="1:31" ht="15" customHeight="1">
      <c r="A23" s="109" t="s">
        <v>275</v>
      </c>
      <c r="B23" s="629" t="s">
        <v>275</v>
      </c>
      <c r="C23" s="629" t="s">
        <v>276</v>
      </c>
      <c r="D23" s="53">
        <f>Poeng!T62</f>
        <v>0</v>
      </c>
      <c r="E23" s="35"/>
      <c r="F23" s="304">
        <f>Poeng!AB62</f>
        <v>0</v>
      </c>
      <c r="H23" s="699">
        <f t="shared" si="0"/>
        <v>0</v>
      </c>
      <c r="I23" s="303" t="str">
        <f t="shared" si="1"/>
        <v>OK</v>
      </c>
      <c r="N23" s="292" t="s">
        <v>337</v>
      </c>
      <c r="O23" t="b">
        <f t="shared" si="2"/>
        <v>0</v>
      </c>
      <c r="R23" t="s">
        <v>283</v>
      </c>
      <c r="S23" s="1122"/>
      <c r="T23" s="291" t="s">
        <v>621</v>
      </c>
      <c r="U23" s="682">
        <v>1</v>
      </c>
      <c r="V23" s="683" t="s">
        <v>606</v>
      </c>
      <c r="W23" s="672"/>
      <c r="AE23">
        <v>16</v>
      </c>
    </row>
    <row r="24" spans="1:31">
      <c r="A24" t="s">
        <v>280</v>
      </c>
      <c r="B24" s="35" t="s">
        <v>775</v>
      </c>
      <c r="C24" s="697" t="s">
        <v>619</v>
      </c>
      <c r="D24" s="36">
        <f>Poeng!T63</f>
        <v>0</v>
      </c>
      <c r="E24" s="35"/>
      <c r="F24" s="38">
        <f>Poeng!AB63</f>
        <v>0</v>
      </c>
      <c r="H24" s="133">
        <f t="shared" si="0"/>
        <v>1</v>
      </c>
      <c r="I24" s="303" t="str">
        <f t="shared" si="1"/>
        <v>FEIL</v>
      </c>
      <c r="N24" s="292" t="s">
        <v>787</v>
      </c>
      <c r="O24" t="b">
        <f t="shared" si="2"/>
        <v>0</v>
      </c>
      <c r="S24" s="1123" t="s">
        <v>285</v>
      </c>
      <c r="T24" s="767" t="s">
        <v>622</v>
      </c>
      <c r="U24" s="767"/>
      <c r="V24" s="768"/>
      <c r="W24" s="672"/>
      <c r="AE24">
        <v>17</v>
      </c>
    </row>
    <row r="25" spans="1:31" ht="73.5" customHeight="1" thickBot="1">
      <c r="A25" t="s">
        <v>281</v>
      </c>
      <c r="B25" s="35" t="s">
        <v>776</v>
      </c>
      <c r="C25" s="697" t="s">
        <v>620</v>
      </c>
      <c r="D25" s="41">
        <f>Poeng!T65</f>
        <v>0</v>
      </c>
      <c r="E25" s="40"/>
      <c r="F25" s="38">
        <f>Poeng!AB65</f>
        <v>0</v>
      </c>
      <c r="H25" s="133">
        <f t="shared" si="0"/>
        <v>1</v>
      </c>
      <c r="I25" s="303" t="str">
        <f t="shared" si="1"/>
        <v>FEIL</v>
      </c>
      <c r="N25" s="292" t="s">
        <v>343</v>
      </c>
      <c r="O25" t="b">
        <f t="shared" si="2"/>
        <v>0</v>
      </c>
      <c r="R25" t="s">
        <v>287</v>
      </c>
      <c r="S25" s="1124"/>
      <c r="T25" s="291" t="s">
        <v>623</v>
      </c>
      <c r="U25" s="682">
        <v>1</v>
      </c>
      <c r="V25" s="683" t="s">
        <v>606</v>
      </c>
      <c r="W25" s="672"/>
      <c r="AE25">
        <v>18</v>
      </c>
    </row>
    <row r="26" spans="1:31" ht="15.75" thickBot="1">
      <c r="A26" t="s">
        <v>283</v>
      </c>
      <c r="B26" s="35" t="s">
        <v>777</v>
      </c>
      <c r="C26" s="697" t="s">
        <v>621</v>
      </c>
      <c r="D26" s="42">
        <f>Poeng!T66</f>
        <v>19</v>
      </c>
      <c r="E26" s="42"/>
      <c r="F26" s="42">
        <f>SUM(F17:F25)</f>
        <v>19</v>
      </c>
      <c r="H26" s="133">
        <f t="shared" si="0"/>
        <v>1</v>
      </c>
      <c r="I26" s="303" t="str">
        <f t="shared" si="1"/>
        <v>FEIL</v>
      </c>
      <c r="N26" s="292" t="s">
        <v>788</v>
      </c>
      <c r="O26" t="b">
        <f t="shared" si="2"/>
        <v>0</v>
      </c>
      <c r="R26" t="s">
        <v>289</v>
      </c>
      <c r="S26" s="1124"/>
      <c r="T26" s="291" t="s">
        <v>624</v>
      </c>
      <c r="U26" s="682">
        <v>1</v>
      </c>
      <c r="V26" s="683" t="s">
        <v>606</v>
      </c>
      <c r="W26" s="672"/>
      <c r="AE26">
        <v>19</v>
      </c>
    </row>
    <row r="27" spans="1:31" ht="15.75" thickBot="1">
      <c r="A27" s="109" t="s">
        <v>285</v>
      </c>
      <c r="B27" s="629" t="s">
        <v>285</v>
      </c>
      <c r="C27" s="629" t="s">
        <v>286</v>
      </c>
      <c r="H27" s="699">
        <f t="shared" si="0"/>
        <v>0</v>
      </c>
      <c r="I27" s="303" t="str">
        <f t="shared" si="1"/>
        <v>OK</v>
      </c>
      <c r="N27" s="289"/>
      <c r="O27" t="b">
        <f t="shared" si="2"/>
        <v>1</v>
      </c>
      <c r="R27" t="s">
        <v>291</v>
      </c>
      <c r="S27" s="1124"/>
      <c r="T27" s="291" t="s">
        <v>625</v>
      </c>
      <c r="U27" s="682">
        <v>1</v>
      </c>
      <c r="V27" s="683" t="s">
        <v>606</v>
      </c>
      <c r="W27" s="672"/>
      <c r="AE27">
        <v>20</v>
      </c>
    </row>
    <row r="28" spans="1:31" ht="15.75" thickBot="1">
      <c r="A28" t="s">
        <v>287</v>
      </c>
      <c r="B28" s="35" t="s">
        <v>775</v>
      </c>
      <c r="C28" s="697" t="s">
        <v>623</v>
      </c>
      <c r="D28" s="39"/>
      <c r="E28" s="39"/>
      <c r="F28" s="39"/>
      <c r="H28" s="133">
        <f t="shared" si="0"/>
        <v>1</v>
      </c>
      <c r="I28" s="303" t="str">
        <f t="shared" si="1"/>
        <v>FEIL</v>
      </c>
      <c r="N28" s="290" t="s">
        <v>648</v>
      </c>
      <c r="O28" t="b">
        <f t="shared" si="2"/>
        <v>0</v>
      </c>
      <c r="S28" s="290" t="s">
        <v>626</v>
      </c>
      <c r="T28" s="289"/>
      <c r="U28" s="290"/>
      <c r="V28" s="685"/>
      <c r="W28" s="672"/>
      <c r="AE28">
        <v>21</v>
      </c>
    </row>
    <row r="29" spans="1:31">
      <c r="A29" t="s">
        <v>289</v>
      </c>
      <c r="B29" s="35" t="s">
        <v>776</v>
      </c>
      <c r="C29" s="697" t="s">
        <v>624</v>
      </c>
      <c r="D29" s="38">
        <f>Poeng!T69</f>
        <v>12</v>
      </c>
      <c r="E29" s="37"/>
      <c r="F29" s="38">
        <f>Poeng!AB69</f>
        <v>12</v>
      </c>
      <c r="H29" s="133">
        <f t="shared" si="0"/>
        <v>1</v>
      </c>
      <c r="I29" s="303" t="str">
        <f t="shared" si="1"/>
        <v>FEIL</v>
      </c>
      <c r="N29" s="292" t="s">
        <v>352</v>
      </c>
      <c r="O29" t="b">
        <f t="shared" si="2"/>
        <v>0</v>
      </c>
      <c r="S29" s="1111" t="s">
        <v>298</v>
      </c>
      <c r="T29" s="769" t="s">
        <v>627</v>
      </c>
      <c r="U29" s="780"/>
      <c r="V29" s="770"/>
      <c r="W29" s="672"/>
      <c r="AE29">
        <v>22</v>
      </c>
    </row>
    <row r="30" spans="1:31">
      <c r="A30" t="s">
        <v>291</v>
      </c>
      <c r="B30" s="35" t="s">
        <v>777</v>
      </c>
      <c r="C30" s="697" t="s">
        <v>625</v>
      </c>
      <c r="D30" s="36">
        <f>Poeng!T75</f>
        <v>2</v>
      </c>
      <c r="E30" s="35"/>
      <c r="F30" s="38">
        <f>Poeng!AB75</f>
        <v>2</v>
      </c>
      <c r="H30" s="133">
        <f t="shared" si="0"/>
        <v>1</v>
      </c>
      <c r="I30" s="303" t="str">
        <f t="shared" si="1"/>
        <v>FEIL</v>
      </c>
      <c r="N30" s="292" t="s">
        <v>167</v>
      </c>
      <c r="O30" t="b">
        <f t="shared" si="2"/>
        <v>0</v>
      </c>
      <c r="R30" t="s">
        <v>308</v>
      </c>
      <c r="S30" s="1112"/>
      <c r="T30" s="673" t="s">
        <v>628</v>
      </c>
      <c r="U30" s="686">
        <v>3</v>
      </c>
      <c r="V30" s="687" t="s">
        <v>606</v>
      </c>
      <c r="W30" s="672"/>
      <c r="AE30">
        <v>23</v>
      </c>
    </row>
    <row r="31" spans="1:31">
      <c r="B31" s="515" t="s">
        <v>789</v>
      </c>
      <c r="C31" s="515"/>
      <c r="D31" s="36">
        <f>Poeng!T79</f>
        <v>1</v>
      </c>
      <c r="E31" s="35"/>
      <c r="F31" s="38">
        <f>Poeng!AB79</f>
        <v>1</v>
      </c>
      <c r="H31" s="722">
        <f t="shared" si="0"/>
        <v>0</v>
      </c>
      <c r="I31" s="303" t="str">
        <f t="shared" si="1"/>
        <v>FEIL</v>
      </c>
      <c r="N31" s="292" t="s">
        <v>370</v>
      </c>
      <c r="O31" t="b">
        <f t="shared" si="2"/>
        <v>0</v>
      </c>
      <c r="R31" t="s">
        <v>309</v>
      </c>
      <c r="S31" s="1112"/>
      <c r="T31" s="673" t="s">
        <v>629</v>
      </c>
      <c r="U31" s="688">
        <v>1</v>
      </c>
      <c r="V31" s="689" t="s">
        <v>606</v>
      </c>
      <c r="W31" s="672"/>
      <c r="AE31">
        <v>24</v>
      </c>
    </row>
    <row r="32" spans="1:31" ht="15.75" customHeight="1" thickBot="1">
      <c r="B32" s="515" t="s">
        <v>790</v>
      </c>
      <c r="C32" s="515"/>
      <c r="D32" s="36">
        <f>Poeng!T82</f>
        <v>0</v>
      </c>
      <c r="E32" s="35"/>
      <c r="F32" s="38">
        <f>Poeng!AB82</f>
        <v>0</v>
      </c>
      <c r="H32" s="722">
        <f t="shared" si="0"/>
        <v>0</v>
      </c>
      <c r="I32" s="303" t="str">
        <f t="shared" si="1"/>
        <v>OK</v>
      </c>
      <c r="N32" s="292" t="s">
        <v>372</v>
      </c>
      <c r="O32" t="b">
        <f t="shared" si="2"/>
        <v>0</v>
      </c>
      <c r="R32" t="s">
        <v>310</v>
      </c>
      <c r="S32" s="1112"/>
      <c r="T32" s="673" t="s">
        <v>630</v>
      </c>
      <c r="U32" s="688">
        <v>1</v>
      </c>
      <c r="V32" s="689" t="s">
        <v>606</v>
      </c>
      <c r="W32" s="672"/>
      <c r="AE32">
        <v>25</v>
      </c>
    </row>
    <row r="33" spans="1:31" ht="15.75" thickBot="1">
      <c r="A33" t="s">
        <v>791</v>
      </c>
      <c r="B33" s="524"/>
      <c r="C33" s="523" t="s">
        <v>771</v>
      </c>
      <c r="D33" s="36">
        <f>Poeng!T83</f>
        <v>2</v>
      </c>
      <c r="E33" s="35"/>
      <c r="F33" s="38">
        <f>Poeng!AB83</f>
        <v>2</v>
      </c>
      <c r="H33" s="163">
        <f t="shared" si="0"/>
        <v>0</v>
      </c>
      <c r="I33" s="303" t="str">
        <f t="shared" si="1"/>
        <v>FEIL</v>
      </c>
      <c r="N33" s="292" t="s">
        <v>792</v>
      </c>
      <c r="O33" t="b">
        <f t="shared" si="2"/>
        <v>0</v>
      </c>
      <c r="R33" t="s">
        <v>311</v>
      </c>
      <c r="S33" s="1112"/>
      <c r="T33" s="673" t="s">
        <v>631</v>
      </c>
      <c r="U33" s="688">
        <v>1</v>
      </c>
      <c r="V33" s="689" t="s">
        <v>606</v>
      </c>
      <c r="W33" s="672"/>
      <c r="AE33">
        <v>26</v>
      </c>
    </row>
    <row r="34" spans="1:31" ht="25.5" thickBot="1">
      <c r="D34" s="36">
        <f>Poeng!T86</f>
        <v>3</v>
      </c>
      <c r="E34" s="35"/>
      <c r="F34" s="38">
        <f>Poeng!AB86</f>
        <v>3</v>
      </c>
      <c r="H34">
        <f t="shared" si="0"/>
        <v>0</v>
      </c>
      <c r="I34" s="303" t="str">
        <f t="shared" si="1"/>
        <v>FEIL</v>
      </c>
      <c r="N34" s="292" t="s">
        <v>376</v>
      </c>
      <c r="O34" t="b">
        <f t="shared" si="2"/>
        <v>0</v>
      </c>
      <c r="R34" t="s">
        <v>312</v>
      </c>
      <c r="S34" s="1113"/>
      <c r="T34" s="673" t="s">
        <v>634</v>
      </c>
      <c r="U34" s="682">
        <v>1</v>
      </c>
      <c r="V34" s="687" t="s">
        <v>606</v>
      </c>
      <c r="W34" s="672"/>
      <c r="AE34">
        <v>27</v>
      </c>
    </row>
    <row r="35" spans="1:31" ht="15.75" thickBot="1">
      <c r="B35" s="115"/>
      <c r="C35" s="39" t="s">
        <v>295</v>
      </c>
      <c r="D35" s="36">
        <f>Poeng!T90</f>
        <v>5</v>
      </c>
      <c r="E35" s="35"/>
      <c r="F35" s="38">
        <f>Poeng!AB90</f>
        <v>0</v>
      </c>
      <c r="H35" s="110">
        <f t="shared" si="0"/>
        <v>0</v>
      </c>
      <c r="I35" s="303" t="str">
        <f t="shared" si="1"/>
        <v>OK</v>
      </c>
      <c r="N35" s="292" t="s">
        <v>181</v>
      </c>
      <c r="O35" t="b">
        <f t="shared" si="2"/>
        <v>0</v>
      </c>
      <c r="S35" s="1111" t="s">
        <v>182</v>
      </c>
      <c r="T35" s="769" t="s">
        <v>635</v>
      </c>
      <c r="U35" s="780"/>
      <c r="V35" s="770"/>
      <c r="W35" s="672"/>
      <c r="AE35">
        <v>28</v>
      </c>
    </row>
    <row r="36" spans="1:31">
      <c r="A36" s="109" t="s">
        <v>298</v>
      </c>
      <c r="B36" s="630" t="s">
        <v>298</v>
      </c>
      <c r="C36" s="628" t="s">
        <v>299</v>
      </c>
      <c r="D36" s="36">
        <f>Poeng!T93</f>
        <v>2</v>
      </c>
      <c r="E36" s="35"/>
      <c r="F36" s="38">
        <f>Poeng!AB93</f>
        <v>2</v>
      </c>
      <c r="H36" s="729">
        <f t="shared" si="0"/>
        <v>0</v>
      </c>
      <c r="I36" s="303" t="str">
        <f t="shared" si="1"/>
        <v>FEIL</v>
      </c>
      <c r="N36" s="292" t="s">
        <v>387</v>
      </c>
      <c r="O36" t="b">
        <f t="shared" si="2"/>
        <v>0</v>
      </c>
      <c r="R36" t="s">
        <v>320</v>
      </c>
      <c r="S36" s="1112"/>
      <c r="T36" s="673" t="s">
        <v>636</v>
      </c>
      <c r="U36" s="682">
        <v>1</v>
      </c>
      <c r="V36" s="687"/>
      <c r="W36" s="672"/>
      <c r="AE36">
        <v>29</v>
      </c>
    </row>
    <row r="37" spans="1:31" ht="15.75" customHeight="1">
      <c r="A37" t="s">
        <v>306</v>
      </c>
      <c r="B37" t="s">
        <v>775</v>
      </c>
      <c r="N37" s="292" t="s">
        <v>391</v>
      </c>
      <c r="O37" t="b">
        <f t="shared" si="2"/>
        <v>0</v>
      </c>
      <c r="R37" t="s">
        <v>321</v>
      </c>
      <c r="S37" s="1112"/>
      <c r="T37" s="292" t="s">
        <v>637</v>
      </c>
      <c r="U37" s="682">
        <v>2</v>
      </c>
      <c r="V37" s="687" t="s">
        <v>606</v>
      </c>
      <c r="W37" s="672"/>
      <c r="AE37">
        <v>30</v>
      </c>
    </row>
    <row r="38" spans="1:31" ht="15.75" customHeight="1">
      <c r="A38" t="s">
        <v>308</v>
      </c>
      <c r="B38" s="132" t="s">
        <v>776</v>
      </c>
      <c r="C38" s="697" t="s">
        <v>628</v>
      </c>
      <c r="D38" s="36">
        <f>Poeng!T95</f>
        <v>0</v>
      </c>
      <c r="E38" s="35"/>
      <c r="F38" s="38">
        <f>Poeng!AB95</f>
        <v>0</v>
      </c>
      <c r="H38" s="172">
        <f>SUMIF($R$7:$R$182,A38,$U$7:$U$182)</f>
        <v>3</v>
      </c>
      <c r="I38" s="303" t="str">
        <f t="shared" ref="I38:I74" si="3">IF(F38=H38,"OK","FEIL")</f>
        <v>FEIL</v>
      </c>
      <c r="N38" s="292" t="s">
        <v>793</v>
      </c>
      <c r="O38" t="b">
        <f t="shared" si="2"/>
        <v>0</v>
      </c>
      <c r="R38" t="s">
        <v>323</v>
      </c>
      <c r="S38" s="1113"/>
      <c r="T38" s="292" t="s">
        <v>638</v>
      </c>
      <c r="U38" s="690">
        <v>1</v>
      </c>
      <c r="V38" s="687" t="s">
        <v>606</v>
      </c>
      <c r="W38" s="672"/>
      <c r="AE38">
        <v>31</v>
      </c>
    </row>
    <row r="39" spans="1:31" ht="15.75" thickBot="1">
      <c r="A39" t="s">
        <v>309</v>
      </c>
      <c r="B39" s="132" t="s">
        <v>777</v>
      </c>
      <c r="C39" s="697" t="s">
        <v>629</v>
      </c>
      <c r="D39" s="36">
        <f>Poeng!T96</f>
        <v>0</v>
      </c>
      <c r="E39" s="35"/>
      <c r="F39" s="38">
        <f>Poeng!AB96</f>
        <v>0</v>
      </c>
      <c r="H39" s="172">
        <f t="shared" ref="H39:H71" si="4">SUMIF($R$7:$R$182,A39,$U$7:$U$182)</f>
        <v>1</v>
      </c>
      <c r="I39" s="303" t="str">
        <f t="shared" si="3"/>
        <v>FEIL</v>
      </c>
      <c r="N39" s="293" t="s">
        <v>794</v>
      </c>
      <c r="O39" t="b">
        <f t="shared" si="2"/>
        <v>0</v>
      </c>
      <c r="S39" s="1111" t="s">
        <v>325</v>
      </c>
      <c r="T39" s="769" t="s">
        <v>639</v>
      </c>
      <c r="U39" s="780"/>
      <c r="V39" s="770"/>
      <c r="W39" s="672"/>
      <c r="AE39">
        <v>32</v>
      </c>
    </row>
    <row r="40" spans="1:31" ht="15.75" thickBot="1">
      <c r="A40" t="s">
        <v>310</v>
      </c>
      <c r="B40" s="132" t="s">
        <v>778</v>
      </c>
      <c r="C40" s="697" t="s">
        <v>630</v>
      </c>
      <c r="D40" s="42">
        <f>Poeng!T97</f>
        <v>27</v>
      </c>
      <c r="E40" s="42"/>
      <c r="F40" s="42">
        <f>SUM(F29:F39)</f>
        <v>22</v>
      </c>
      <c r="H40" s="172">
        <f t="shared" si="4"/>
        <v>1</v>
      </c>
      <c r="I40" s="303" t="str">
        <f t="shared" si="3"/>
        <v>FEIL</v>
      </c>
      <c r="N40" s="289"/>
      <c r="O40" t="b">
        <f t="shared" si="2"/>
        <v>1</v>
      </c>
      <c r="R40" t="s">
        <v>328</v>
      </c>
      <c r="S40" s="1112"/>
      <c r="T40" s="673" t="s">
        <v>640</v>
      </c>
      <c r="U40" s="682">
        <v>1</v>
      </c>
      <c r="V40" s="687" t="s">
        <v>606</v>
      </c>
      <c r="W40" s="672"/>
      <c r="AE40">
        <v>33</v>
      </c>
    </row>
    <row r="41" spans="1:31" ht="15.75" thickBot="1">
      <c r="A41" t="s">
        <v>311</v>
      </c>
      <c r="B41" s="132" t="s">
        <v>779</v>
      </c>
      <c r="C41" s="697" t="s">
        <v>631</v>
      </c>
      <c r="H41" s="172">
        <f t="shared" si="4"/>
        <v>1</v>
      </c>
      <c r="I41" s="303" t="str">
        <f t="shared" si="3"/>
        <v>FEIL</v>
      </c>
      <c r="N41" s="290" t="s">
        <v>670</v>
      </c>
      <c r="O41" t="b">
        <f t="shared" si="2"/>
        <v>0</v>
      </c>
      <c r="R41" t="s">
        <v>329</v>
      </c>
      <c r="S41" s="1112"/>
      <c r="T41" s="292" t="s">
        <v>641</v>
      </c>
      <c r="U41" s="682">
        <v>1</v>
      </c>
      <c r="V41" s="687" t="s">
        <v>606</v>
      </c>
      <c r="W41" s="672"/>
      <c r="AE41">
        <v>34</v>
      </c>
    </row>
    <row r="42" spans="1:31" ht="15.75" thickBot="1">
      <c r="A42" t="s">
        <v>312</v>
      </c>
      <c r="B42" s="132" t="s">
        <v>785</v>
      </c>
      <c r="C42" s="697" t="s">
        <v>634</v>
      </c>
      <c r="D42" s="39"/>
      <c r="E42" s="39"/>
      <c r="F42" s="39"/>
      <c r="H42" s="172">
        <f t="shared" si="4"/>
        <v>1</v>
      </c>
      <c r="I42" s="303" t="str">
        <f t="shared" si="3"/>
        <v>FEIL</v>
      </c>
      <c r="N42" s="292" t="s">
        <v>400</v>
      </c>
      <c r="O42" t="b">
        <f t="shared" si="2"/>
        <v>0</v>
      </c>
      <c r="R42" t="s">
        <v>331</v>
      </c>
      <c r="S42" s="1113"/>
      <c r="T42" s="292" t="s">
        <v>642</v>
      </c>
      <c r="U42" s="682">
        <v>1</v>
      </c>
      <c r="V42" s="687" t="s">
        <v>606</v>
      </c>
      <c r="W42" s="672"/>
      <c r="AE42">
        <v>35</v>
      </c>
    </row>
    <row r="43" spans="1:31">
      <c r="A43" s="109" t="s">
        <v>182</v>
      </c>
      <c r="B43" s="631" t="s">
        <v>182</v>
      </c>
      <c r="C43" s="629" t="s">
        <v>314</v>
      </c>
      <c r="D43" s="36">
        <f>Poeng!T100</f>
        <v>3</v>
      </c>
      <c r="E43" s="35"/>
      <c r="F43" s="38">
        <f>Poeng!AB100</f>
        <v>3</v>
      </c>
      <c r="H43" s="729">
        <f t="shared" si="4"/>
        <v>0</v>
      </c>
      <c r="I43" s="303" t="str">
        <f t="shared" si="3"/>
        <v>FEIL</v>
      </c>
      <c r="N43" s="292" t="s">
        <v>404</v>
      </c>
      <c r="O43" t="b">
        <f t="shared" si="2"/>
        <v>0</v>
      </c>
      <c r="R43" t="s">
        <v>336</v>
      </c>
      <c r="S43" s="292" t="s">
        <v>333</v>
      </c>
      <c r="T43" s="678" t="s">
        <v>643</v>
      </c>
      <c r="U43" s="686">
        <v>3</v>
      </c>
      <c r="V43" s="687" t="s">
        <v>606</v>
      </c>
      <c r="W43" s="672"/>
      <c r="AE43">
        <v>36</v>
      </c>
    </row>
    <row r="44" spans="1:31" ht="15.75" customHeight="1">
      <c r="B44" s="132" t="s">
        <v>775</v>
      </c>
      <c r="C44" s="717" t="s">
        <v>795</v>
      </c>
      <c r="D44" s="36">
        <f>Poeng!T103</f>
        <v>10</v>
      </c>
      <c r="E44" s="35"/>
      <c r="F44" s="38">
        <f>Poeng!AB103</f>
        <v>10</v>
      </c>
      <c r="H44" s="172">
        <f t="shared" si="4"/>
        <v>0</v>
      </c>
      <c r="I44" s="303" t="str">
        <f t="shared" si="3"/>
        <v>FEIL</v>
      </c>
      <c r="N44" s="292" t="s">
        <v>796</v>
      </c>
      <c r="O44" t="b">
        <f t="shared" si="2"/>
        <v>0</v>
      </c>
      <c r="S44" s="1114" t="s">
        <v>337</v>
      </c>
      <c r="T44" s="769" t="s">
        <v>644</v>
      </c>
      <c r="U44" s="780"/>
      <c r="V44" s="770"/>
      <c r="W44" s="672"/>
      <c r="AE44">
        <v>37</v>
      </c>
    </row>
    <row r="45" spans="1:31" ht="15.75" customHeight="1">
      <c r="A45" t="s">
        <v>320</v>
      </c>
      <c r="B45" s="132" t="s">
        <v>776</v>
      </c>
      <c r="C45" s="697" t="s">
        <v>636</v>
      </c>
      <c r="D45" s="53">
        <f>Poeng!T106</f>
        <v>0</v>
      </c>
      <c r="E45" s="35"/>
      <c r="F45" s="38">
        <f>Poeng!AB106</f>
        <v>0</v>
      </c>
      <c r="H45" s="172">
        <f t="shared" si="4"/>
        <v>1</v>
      </c>
      <c r="I45" s="303" t="str">
        <f t="shared" si="3"/>
        <v>FEIL</v>
      </c>
      <c r="N45" s="292" t="s">
        <v>797</v>
      </c>
      <c r="O45" t="b">
        <f t="shared" si="2"/>
        <v>0</v>
      </c>
      <c r="R45" t="s">
        <v>339</v>
      </c>
      <c r="S45" s="1115"/>
      <c r="T45" s="673" t="s">
        <v>645</v>
      </c>
      <c r="U45" s="686">
        <v>2</v>
      </c>
      <c r="V45" s="691" t="s">
        <v>606</v>
      </c>
      <c r="W45" s="672"/>
      <c r="AE45">
        <v>38</v>
      </c>
    </row>
    <row r="46" spans="1:31" ht="15.75" customHeight="1">
      <c r="A46" t="s">
        <v>321</v>
      </c>
      <c r="B46" s="134" t="s">
        <v>777</v>
      </c>
      <c r="C46" s="697" t="s">
        <v>637</v>
      </c>
      <c r="D46" s="53">
        <f>Poeng!T107</f>
        <v>0</v>
      </c>
      <c r="E46" s="35"/>
      <c r="F46" s="38">
        <f>Poeng!AB107</f>
        <v>0</v>
      </c>
      <c r="H46" s="172">
        <f t="shared" si="4"/>
        <v>2</v>
      </c>
      <c r="I46" s="303" t="str">
        <f t="shared" si="3"/>
        <v>FEIL</v>
      </c>
      <c r="N46" s="292" t="s">
        <v>798</v>
      </c>
      <c r="O46" t="b">
        <f t="shared" si="2"/>
        <v>0</v>
      </c>
      <c r="R46" t="s">
        <v>341</v>
      </c>
      <c r="S46" s="1116"/>
      <c r="T46" s="292" t="s">
        <v>646</v>
      </c>
      <c r="U46" s="686">
        <v>1</v>
      </c>
      <c r="V46" s="691" t="s">
        <v>606</v>
      </c>
      <c r="W46" s="672"/>
      <c r="AE46">
        <v>39</v>
      </c>
    </row>
    <row r="47" spans="1:31" ht="15.75" customHeight="1">
      <c r="A47" t="s">
        <v>323</v>
      </c>
      <c r="B47" s="134" t="s">
        <v>778</v>
      </c>
      <c r="C47" s="697" t="s">
        <v>638</v>
      </c>
      <c r="D47" s="53">
        <f>Poeng!T108</f>
        <v>0</v>
      </c>
      <c r="E47" s="35"/>
      <c r="F47" s="38">
        <f>Poeng!AB108</f>
        <v>0</v>
      </c>
      <c r="H47" s="172">
        <f t="shared" si="4"/>
        <v>1</v>
      </c>
      <c r="I47" s="303" t="str">
        <f t="shared" si="3"/>
        <v>FEIL</v>
      </c>
      <c r="N47" s="292" t="s">
        <v>799</v>
      </c>
      <c r="O47" t="b">
        <f t="shared" si="2"/>
        <v>0</v>
      </c>
      <c r="R47" t="s">
        <v>345</v>
      </c>
      <c r="S47" s="292" t="s">
        <v>343</v>
      </c>
      <c r="T47" s="678" t="s">
        <v>647</v>
      </c>
      <c r="U47" s="682" t="s">
        <v>632</v>
      </c>
      <c r="V47" s="687" t="s">
        <v>606</v>
      </c>
      <c r="W47" s="672"/>
      <c r="AE47">
        <v>40</v>
      </c>
    </row>
    <row r="48" spans="1:31" ht="15.75" thickBot="1">
      <c r="A48" s="109" t="s">
        <v>325</v>
      </c>
      <c r="B48" s="631" t="s">
        <v>325</v>
      </c>
      <c r="C48" s="629" t="s">
        <v>326</v>
      </c>
      <c r="D48" s="53">
        <f>Poeng!T109</f>
        <v>0</v>
      </c>
      <c r="E48" s="55"/>
      <c r="F48" s="38">
        <f>Poeng!AB109</f>
        <v>0</v>
      </c>
      <c r="H48" s="729">
        <f t="shared" si="4"/>
        <v>0</v>
      </c>
      <c r="I48" s="303" t="str">
        <f t="shared" si="3"/>
        <v>OK</v>
      </c>
      <c r="N48" s="292" t="s">
        <v>800</v>
      </c>
      <c r="O48" t="b">
        <f t="shared" si="2"/>
        <v>0</v>
      </c>
      <c r="S48" s="289"/>
      <c r="T48" s="289"/>
      <c r="U48" s="290"/>
      <c r="V48" s="685"/>
      <c r="W48" s="672"/>
      <c r="AE48">
        <v>41</v>
      </c>
    </row>
    <row r="49" spans="1:31" ht="15.75" thickBot="1">
      <c r="A49" t="s">
        <v>328</v>
      </c>
      <c r="B49" s="132" t="s">
        <v>775</v>
      </c>
      <c r="C49" s="697" t="s">
        <v>640</v>
      </c>
      <c r="D49" s="42">
        <f>Poeng!T110</f>
        <v>13</v>
      </c>
      <c r="E49" s="42"/>
      <c r="F49" s="42">
        <f>SUM(F43:F48)</f>
        <v>13</v>
      </c>
      <c r="H49" s="172">
        <f t="shared" si="4"/>
        <v>1</v>
      </c>
      <c r="I49" s="303" t="str">
        <f t="shared" si="3"/>
        <v>FEIL</v>
      </c>
      <c r="N49" s="289"/>
      <c r="O49" t="b">
        <f t="shared" si="2"/>
        <v>0</v>
      </c>
      <c r="S49" s="290" t="s">
        <v>648</v>
      </c>
      <c r="T49" s="289"/>
      <c r="U49" s="290"/>
      <c r="V49" s="685"/>
      <c r="W49" s="672"/>
      <c r="AE49">
        <v>42</v>
      </c>
    </row>
    <row r="50" spans="1:31" ht="15.75" thickBot="1">
      <c r="A50" t="s">
        <v>329</v>
      </c>
      <c r="B50" s="132" t="s">
        <v>776</v>
      </c>
      <c r="C50" s="697" t="s">
        <v>641</v>
      </c>
      <c r="H50" s="172">
        <f t="shared" si="4"/>
        <v>1</v>
      </c>
      <c r="I50" s="303" t="str">
        <f t="shared" si="3"/>
        <v>FEIL</v>
      </c>
      <c r="N50" s="290" t="s">
        <v>675</v>
      </c>
      <c r="O50" t="b">
        <f t="shared" si="2"/>
        <v>0</v>
      </c>
      <c r="S50" s="1114" t="s">
        <v>352</v>
      </c>
      <c r="T50" s="769" t="s">
        <v>649</v>
      </c>
      <c r="U50" s="780"/>
      <c r="V50" s="770"/>
      <c r="W50" s="672"/>
      <c r="AE50">
        <v>43</v>
      </c>
    </row>
    <row r="51" spans="1:31" ht="15.75" thickBot="1">
      <c r="A51" t="s">
        <v>331</v>
      </c>
      <c r="B51" s="134" t="s">
        <v>777</v>
      </c>
      <c r="C51" s="697" t="s">
        <v>801</v>
      </c>
      <c r="D51" s="39"/>
      <c r="E51" s="39"/>
      <c r="F51" s="39"/>
      <c r="H51" s="172">
        <f t="shared" si="4"/>
        <v>1</v>
      </c>
      <c r="I51" s="303" t="str">
        <f t="shared" si="3"/>
        <v>FEIL</v>
      </c>
      <c r="N51" s="292" t="s">
        <v>414</v>
      </c>
      <c r="O51" t="b">
        <f t="shared" si="2"/>
        <v>0</v>
      </c>
      <c r="R51" t="s">
        <v>354</v>
      </c>
      <c r="S51" s="1115"/>
      <c r="T51" s="673" t="s">
        <v>650</v>
      </c>
      <c r="U51" s="682" t="s">
        <v>632</v>
      </c>
      <c r="V51" s="683" t="s">
        <v>606</v>
      </c>
      <c r="W51" s="672"/>
      <c r="AE51">
        <v>44</v>
      </c>
    </row>
    <row r="52" spans="1:31">
      <c r="B52" s="516" t="s">
        <v>784</v>
      </c>
      <c r="C52" s="517"/>
      <c r="D52" s="38">
        <f>Poeng!T113</f>
        <v>5</v>
      </c>
      <c r="E52" s="37"/>
      <c r="F52" s="38">
        <f>Poeng!AB113</f>
        <v>5</v>
      </c>
      <c r="H52" s="730">
        <f t="shared" si="4"/>
        <v>0</v>
      </c>
      <c r="I52" s="303" t="str">
        <f t="shared" si="3"/>
        <v>FEIL</v>
      </c>
      <c r="N52" s="292" t="s">
        <v>419</v>
      </c>
      <c r="O52" t="b">
        <f t="shared" si="2"/>
        <v>0</v>
      </c>
      <c r="R52" t="s">
        <v>355</v>
      </c>
      <c r="S52" s="1115"/>
      <c r="T52" s="292" t="s">
        <v>651</v>
      </c>
      <c r="U52" s="682">
        <v>1</v>
      </c>
      <c r="V52" s="683" t="s">
        <v>606</v>
      </c>
      <c r="W52" s="672"/>
      <c r="AE52">
        <v>45</v>
      </c>
    </row>
    <row r="53" spans="1:31">
      <c r="A53" s="109" t="s">
        <v>333</v>
      </c>
      <c r="B53" s="631" t="s">
        <v>333</v>
      </c>
      <c r="C53" s="629" t="s">
        <v>334</v>
      </c>
      <c r="D53" s="36">
        <f>Poeng!T115</f>
        <v>1</v>
      </c>
      <c r="E53" s="35"/>
      <c r="F53" s="38">
        <f>Poeng!AB115</f>
        <v>1</v>
      </c>
      <c r="H53" s="729">
        <f t="shared" si="4"/>
        <v>0</v>
      </c>
      <c r="I53" s="303" t="str">
        <f t="shared" si="3"/>
        <v>FEIL</v>
      </c>
      <c r="N53" s="292" t="s">
        <v>422</v>
      </c>
      <c r="O53" t="b">
        <f t="shared" si="2"/>
        <v>0</v>
      </c>
      <c r="R53" t="s">
        <v>356</v>
      </c>
      <c r="S53" s="1115"/>
      <c r="T53" s="292" t="s">
        <v>652</v>
      </c>
      <c r="U53" s="682">
        <v>22</v>
      </c>
      <c r="V53" s="683" t="s">
        <v>606</v>
      </c>
      <c r="W53" s="672"/>
      <c r="AE53">
        <v>46</v>
      </c>
    </row>
    <row r="54" spans="1:31">
      <c r="B54" s="132" t="s">
        <v>775</v>
      </c>
      <c r="C54" s="717" t="s">
        <v>802</v>
      </c>
      <c r="D54" s="36">
        <f>Poeng!T117</f>
        <v>2</v>
      </c>
      <c r="E54" s="35"/>
      <c r="F54" s="38">
        <f>Poeng!AB117</f>
        <v>2</v>
      </c>
      <c r="H54" s="172">
        <f t="shared" si="4"/>
        <v>0</v>
      </c>
      <c r="I54" s="303" t="str">
        <f t="shared" si="3"/>
        <v>FEIL</v>
      </c>
      <c r="N54" s="292" t="s">
        <v>431</v>
      </c>
      <c r="O54" t="b">
        <f t="shared" si="2"/>
        <v>0</v>
      </c>
      <c r="R54" t="s">
        <v>360</v>
      </c>
      <c r="S54" s="1115"/>
      <c r="T54" s="292" t="s">
        <v>653</v>
      </c>
      <c r="U54" s="682">
        <v>1</v>
      </c>
      <c r="V54" s="683" t="s">
        <v>606</v>
      </c>
      <c r="W54" s="672"/>
      <c r="AE54">
        <v>47</v>
      </c>
    </row>
    <row r="55" spans="1:31" ht="15.75" thickBot="1">
      <c r="A55" t="s">
        <v>336</v>
      </c>
      <c r="B55" s="132" t="s">
        <v>776</v>
      </c>
      <c r="C55" s="697" t="s">
        <v>643</v>
      </c>
      <c r="D55" s="36">
        <f>Poeng!T121</f>
        <v>1</v>
      </c>
      <c r="E55" s="35"/>
      <c r="F55" s="38">
        <f>Poeng!AB121</f>
        <v>1</v>
      </c>
      <c r="H55" s="172">
        <f t="shared" si="4"/>
        <v>3</v>
      </c>
      <c r="I55" s="303" t="str">
        <f t="shared" si="3"/>
        <v>FEIL</v>
      </c>
      <c r="N55" s="289"/>
      <c r="O55" t="b">
        <f t="shared" si="2"/>
        <v>1</v>
      </c>
      <c r="R55" t="s">
        <v>361</v>
      </c>
      <c r="S55" s="1116"/>
      <c r="T55" s="292" t="s">
        <v>654</v>
      </c>
      <c r="U55" s="682" t="s">
        <v>632</v>
      </c>
      <c r="V55" s="683" t="s">
        <v>606</v>
      </c>
      <c r="W55" s="672"/>
      <c r="AE55">
        <v>48</v>
      </c>
    </row>
    <row r="56" spans="1:31" ht="15.75" thickBot="1">
      <c r="A56" s="109" t="s">
        <v>337</v>
      </c>
      <c r="B56" s="631" t="s">
        <v>337</v>
      </c>
      <c r="C56" s="629" t="s">
        <v>338</v>
      </c>
      <c r="D56" s="42">
        <f>Poeng!T123</f>
        <v>9</v>
      </c>
      <c r="E56" s="42"/>
      <c r="F56" s="42">
        <f>SUM(F52:F55)</f>
        <v>9</v>
      </c>
      <c r="H56" s="729">
        <f t="shared" si="4"/>
        <v>0</v>
      </c>
      <c r="I56" s="303" t="str">
        <f t="shared" si="3"/>
        <v>FEIL</v>
      </c>
      <c r="N56" s="290" t="s">
        <v>683</v>
      </c>
      <c r="O56" t="b">
        <f t="shared" si="2"/>
        <v>0</v>
      </c>
      <c r="S56" s="1114" t="s">
        <v>363</v>
      </c>
      <c r="T56" s="771" t="s">
        <v>655</v>
      </c>
      <c r="U56" s="772"/>
      <c r="V56" s="773"/>
      <c r="W56" s="672"/>
      <c r="AE56">
        <v>49</v>
      </c>
    </row>
    <row r="57" spans="1:31" ht="15.75" thickBot="1">
      <c r="A57" t="s">
        <v>339</v>
      </c>
      <c r="B57" s="132" t="s">
        <v>775</v>
      </c>
      <c r="C57" s="697" t="s">
        <v>803</v>
      </c>
      <c r="H57" s="172">
        <f t="shared" si="4"/>
        <v>2</v>
      </c>
      <c r="I57" s="303" t="str">
        <f t="shared" si="3"/>
        <v>FEIL</v>
      </c>
      <c r="N57" s="292" t="s">
        <v>440</v>
      </c>
      <c r="O57" t="b">
        <f t="shared" si="2"/>
        <v>0</v>
      </c>
      <c r="R57" t="s">
        <v>167</v>
      </c>
      <c r="S57" s="1115"/>
      <c r="T57" s="292" t="s">
        <v>656</v>
      </c>
      <c r="U57" s="682">
        <v>1</v>
      </c>
      <c r="V57" s="692" t="s">
        <v>606</v>
      </c>
      <c r="W57" s="672"/>
      <c r="AE57">
        <v>50</v>
      </c>
    </row>
    <row r="58" spans="1:31" ht="15.75" thickBot="1">
      <c r="A58" t="s">
        <v>341</v>
      </c>
      <c r="B58" s="132" t="s">
        <v>776</v>
      </c>
      <c r="C58" s="697" t="s">
        <v>804</v>
      </c>
      <c r="D58" s="39"/>
      <c r="E58" s="39"/>
      <c r="F58" s="39"/>
      <c r="H58" s="172">
        <f t="shared" si="4"/>
        <v>1</v>
      </c>
      <c r="I58" s="303" t="str">
        <f t="shared" si="3"/>
        <v>FEIL</v>
      </c>
      <c r="N58" s="292" t="s">
        <v>449</v>
      </c>
      <c r="O58" t="b">
        <f t="shared" si="2"/>
        <v>0</v>
      </c>
      <c r="R58" t="s">
        <v>370</v>
      </c>
      <c r="S58" s="1115"/>
      <c r="T58" s="292" t="s">
        <v>657</v>
      </c>
      <c r="U58" s="682">
        <v>1</v>
      </c>
      <c r="V58" s="692" t="s">
        <v>606</v>
      </c>
      <c r="W58" s="672"/>
      <c r="AE58">
        <v>51</v>
      </c>
    </row>
    <row r="59" spans="1:31">
      <c r="B59" s="516" t="s">
        <v>787</v>
      </c>
      <c r="C59" s="515"/>
      <c r="D59" s="38">
        <f>Poeng!T126</f>
        <v>5</v>
      </c>
      <c r="E59" s="37"/>
      <c r="F59" s="38">
        <f>Poeng!AB126</f>
        <v>5</v>
      </c>
      <c r="H59" s="730">
        <f t="shared" si="4"/>
        <v>0</v>
      </c>
      <c r="I59" s="303" t="str">
        <f t="shared" si="3"/>
        <v>FEIL</v>
      </c>
      <c r="N59" s="292"/>
      <c r="R59" t="s">
        <v>371</v>
      </c>
      <c r="S59" s="1116"/>
      <c r="T59" s="292" t="s">
        <v>658</v>
      </c>
      <c r="U59" s="682" t="s">
        <v>632</v>
      </c>
      <c r="V59" s="692" t="s">
        <v>606</v>
      </c>
      <c r="W59" s="672"/>
      <c r="AE59">
        <v>52</v>
      </c>
    </row>
    <row r="60" spans="1:31">
      <c r="A60" s="109" t="s">
        <v>343</v>
      </c>
      <c r="B60" s="631" t="s">
        <v>343</v>
      </c>
      <c r="C60" s="629" t="s">
        <v>344</v>
      </c>
      <c r="D60" s="38">
        <f>Poeng!T130</f>
        <v>3</v>
      </c>
      <c r="E60" s="37"/>
      <c r="F60" s="38">
        <f>Poeng!AB130</f>
        <v>3</v>
      </c>
      <c r="H60" s="729">
        <f t="shared" si="4"/>
        <v>0</v>
      </c>
      <c r="I60" s="303" t="str">
        <f t="shared" si="3"/>
        <v>FEIL</v>
      </c>
      <c r="N60" s="292" t="s">
        <v>454</v>
      </c>
      <c r="O60" t="b">
        <f t="shared" si="2"/>
        <v>0</v>
      </c>
      <c r="R60" t="s">
        <v>374</v>
      </c>
      <c r="S60" s="292" t="s">
        <v>372</v>
      </c>
      <c r="T60" s="681" t="s">
        <v>659</v>
      </c>
      <c r="U60" s="682">
        <v>1</v>
      </c>
      <c r="V60" s="692" t="s">
        <v>606</v>
      </c>
      <c r="W60" s="672"/>
      <c r="AE60">
        <v>53</v>
      </c>
    </row>
    <row r="61" spans="1:31">
      <c r="A61" t="s">
        <v>345</v>
      </c>
      <c r="B61" s="155" t="s">
        <v>775</v>
      </c>
      <c r="C61" s="697" t="s">
        <v>805</v>
      </c>
      <c r="D61" s="38">
        <f>Poeng!T134</f>
        <v>3</v>
      </c>
      <c r="E61" s="35"/>
      <c r="F61" s="38">
        <f>Poeng!AB134</f>
        <v>3</v>
      </c>
      <c r="H61" s="172">
        <f t="shared" si="4"/>
        <v>0</v>
      </c>
      <c r="I61" s="303" t="str">
        <f t="shared" si="3"/>
        <v>FEIL</v>
      </c>
      <c r="N61" s="289"/>
      <c r="O61" t="b">
        <f t="shared" si="2"/>
        <v>0</v>
      </c>
      <c r="S61" s="1114" t="s">
        <v>376</v>
      </c>
      <c r="T61" s="766" t="s">
        <v>660</v>
      </c>
      <c r="U61" s="767"/>
      <c r="V61" s="768"/>
      <c r="W61" s="672"/>
      <c r="AE61">
        <v>54</v>
      </c>
    </row>
    <row r="62" spans="1:31" ht="15.75" thickBot="1">
      <c r="B62" s="518" t="s">
        <v>788</v>
      </c>
      <c r="C62" s="519"/>
      <c r="D62" s="38">
        <f>Poeng!T138</f>
        <v>4</v>
      </c>
      <c r="E62" s="35"/>
      <c r="F62" s="38">
        <f>Poeng!AB138</f>
        <v>4</v>
      </c>
      <c r="H62" s="730">
        <f t="shared" si="4"/>
        <v>0</v>
      </c>
      <c r="I62" s="303" t="str">
        <f t="shared" si="3"/>
        <v>FEIL</v>
      </c>
      <c r="N62" s="289"/>
      <c r="R62" t="s">
        <v>378</v>
      </c>
      <c r="S62" s="1115"/>
      <c r="T62" s="292" t="s">
        <v>661</v>
      </c>
      <c r="U62" s="688" t="s">
        <v>632</v>
      </c>
      <c r="V62" s="693" t="s">
        <v>633</v>
      </c>
      <c r="W62" s="672"/>
      <c r="AE62">
        <v>55</v>
      </c>
    </row>
    <row r="63" spans="1:31" ht="15.75" thickBot="1">
      <c r="A63" t="s">
        <v>346</v>
      </c>
      <c r="B63" s="162"/>
      <c r="C63" s="42" t="s">
        <v>771</v>
      </c>
      <c r="D63" s="38">
        <f>Poeng!T144</f>
        <v>3</v>
      </c>
      <c r="E63" s="35"/>
      <c r="F63" s="38">
        <f>Poeng!AB144</f>
        <v>3</v>
      </c>
      <c r="H63" s="183">
        <f t="shared" si="4"/>
        <v>0</v>
      </c>
      <c r="I63" s="303" t="str">
        <f t="shared" si="3"/>
        <v>FEIL</v>
      </c>
      <c r="N63" s="290" t="s">
        <v>704</v>
      </c>
      <c r="O63" t="b">
        <f t="shared" si="2"/>
        <v>0</v>
      </c>
      <c r="R63" t="s">
        <v>379</v>
      </c>
      <c r="S63" s="1116"/>
      <c r="T63" s="292" t="s">
        <v>662</v>
      </c>
      <c r="U63" s="688" t="s">
        <v>632</v>
      </c>
      <c r="V63" s="693" t="s">
        <v>633</v>
      </c>
      <c r="W63" s="672"/>
      <c r="AE63">
        <v>56</v>
      </c>
    </row>
    <row r="64" spans="1:31" ht="15.75" thickBot="1">
      <c r="D64" s="38">
        <f>Poeng!T148</f>
        <v>3</v>
      </c>
      <c r="E64" s="35"/>
      <c r="F64" s="38">
        <f>Poeng!AB148</f>
        <v>3</v>
      </c>
      <c r="H64">
        <f t="shared" si="4"/>
        <v>0</v>
      </c>
      <c r="I64" s="303" t="str">
        <f t="shared" si="3"/>
        <v>FEIL</v>
      </c>
      <c r="N64" s="292" t="s">
        <v>478</v>
      </c>
      <c r="O64" t="b">
        <f t="shared" si="2"/>
        <v>0</v>
      </c>
      <c r="S64" s="1114" t="s">
        <v>181</v>
      </c>
      <c r="T64" s="766" t="s">
        <v>663</v>
      </c>
      <c r="U64" s="767"/>
      <c r="V64" s="768"/>
      <c r="W64" s="672"/>
      <c r="AE64">
        <v>57</v>
      </c>
    </row>
    <row r="65" spans="1:31" ht="15.75" thickBot="1">
      <c r="B65" s="115"/>
      <c r="C65" s="39" t="s">
        <v>349</v>
      </c>
      <c r="D65" s="42">
        <f>Poeng!T152</f>
        <v>21</v>
      </c>
      <c r="E65" s="42"/>
      <c r="F65" s="42">
        <f>SUM(F59:F64)</f>
        <v>21</v>
      </c>
      <c r="H65" s="110">
        <f t="shared" si="4"/>
        <v>0</v>
      </c>
      <c r="I65" s="303" t="str">
        <f t="shared" si="3"/>
        <v>FEIL</v>
      </c>
      <c r="N65" s="292" t="s">
        <v>806</v>
      </c>
      <c r="O65" t="b">
        <f t="shared" si="2"/>
        <v>0</v>
      </c>
      <c r="R65" t="s">
        <v>382</v>
      </c>
      <c r="S65" s="1115"/>
      <c r="T65" s="292" t="s">
        <v>664</v>
      </c>
      <c r="U65" s="682">
        <v>1</v>
      </c>
      <c r="V65" s="683" t="s">
        <v>606</v>
      </c>
      <c r="W65" s="672"/>
      <c r="AE65">
        <v>58</v>
      </c>
    </row>
    <row r="66" spans="1:31" ht="15.75" thickBot="1">
      <c r="A66" s="109" t="s">
        <v>352</v>
      </c>
      <c r="B66" s="630" t="s">
        <v>352</v>
      </c>
      <c r="C66" s="628" t="s">
        <v>353</v>
      </c>
      <c r="H66" s="119">
        <f t="shared" si="4"/>
        <v>0</v>
      </c>
      <c r="I66" s="303" t="str">
        <f t="shared" si="3"/>
        <v>OK</v>
      </c>
      <c r="N66" s="292" t="s">
        <v>485</v>
      </c>
      <c r="O66" t="b">
        <f t="shared" si="2"/>
        <v>0</v>
      </c>
      <c r="R66" t="s">
        <v>383</v>
      </c>
      <c r="S66" s="1116"/>
      <c r="T66" s="292" t="s">
        <v>665</v>
      </c>
      <c r="U66" s="682">
        <v>2</v>
      </c>
      <c r="V66" s="683" t="s">
        <v>606</v>
      </c>
      <c r="W66" s="672"/>
      <c r="AE66">
        <v>59</v>
      </c>
    </row>
    <row r="67" spans="1:31" ht="15.75" thickBot="1">
      <c r="A67" t="s">
        <v>354</v>
      </c>
      <c r="B67" s="132" t="s">
        <v>775</v>
      </c>
      <c r="C67" s="697" t="s">
        <v>650</v>
      </c>
      <c r="D67" s="39"/>
      <c r="E67" s="39"/>
      <c r="F67" s="39"/>
      <c r="H67" s="136">
        <f t="shared" si="4"/>
        <v>0</v>
      </c>
      <c r="I67" s="303" t="str">
        <f t="shared" si="3"/>
        <v>OK</v>
      </c>
      <c r="N67" s="292" t="s">
        <v>488</v>
      </c>
      <c r="O67" t="b">
        <f t="shared" si="2"/>
        <v>0</v>
      </c>
      <c r="S67" s="1114" t="s">
        <v>387</v>
      </c>
      <c r="T67" s="766" t="s">
        <v>666</v>
      </c>
      <c r="U67" s="767"/>
      <c r="V67" s="768"/>
      <c r="W67" s="672"/>
      <c r="AE67">
        <v>60</v>
      </c>
    </row>
    <row r="68" spans="1:31" ht="15" customHeight="1">
      <c r="A68" t="s">
        <v>355</v>
      </c>
      <c r="B68" s="132" t="s">
        <v>776</v>
      </c>
      <c r="C68" s="697" t="s">
        <v>651</v>
      </c>
      <c r="D68" s="38">
        <f>Poeng!T155</f>
        <v>5</v>
      </c>
      <c r="E68" s="37"/>
      <c r="F68" s="38">
        <f>Poeng!AB155</f>
        <v>5</v>
      </c>
      <c r="H68" s="136">
        <f t="shared" si="4"/>
        <v>1</v>
      </c>
      <c r="I68" s="303" t="str">
        <f t="shared" si="3"/>
        <v>FEIL</v>
      </c>
      <c r="N68" s="292" t="s">
        <v>490</v>
      </c>
      <c r="O68" t="b">
        <f t="shared" si="2"/>
        <v>0</v>
      </c>
      <c r="R68" t="s">
        <v>389</v>
      </c>
      <c r="S68" s="1115"/>
      <c r="T68" s="292" t="s">
        <v>667</v>
      </c>
      <c r="U68" s="682" t="s">
        <v>632</v>
      </c>
      <c r="V68" s="683" t="s">
        <v>633</v>
      </c>
      <c r="W68" s="672"/>
      <c r="AE68">
        <v>61</v>
      </c>
    </row>
    <row r="69" spans="1:31">
      <c r="A69" t="s">
        <v>356</v>
      </c>
      <c r="B69" s="132" t="s">
        <v>777</v>
      </c>
      <c r="C69" s="697" t="s">
        <v>652</v>
      </c>
      <c r="D69" s="36">
        <f>Poeng!T159</f>
        <v>0</v>
      </c>
      <c r="E69" s="35"/>
      <c r="F69" s="38">
        <f>Poeng!AB159</f>
        <v>0</v>
      </c>
      <c r="H69" s="136">
        <f t="shared" si="4"/>
        <v>22</v>
      </c>
      <c r="I69" s="303" t="str">
        <f t="shared" si="3"/>
        <v>FEIL</v>
      </c>
      <c r="N69" s="289"/>
      <c r="O69" t="b">
        <f t="shared" si="2"/>
        <v>1</v>
      </c>
      <c r="R69" t="s">
        <v>390</v>
      </c>
      <c r="S69" s="1116"/>
      <c r="T69" s="292" t="s">
        <v>668</v>
      </c>
      <c r="U69" s="682" t="s">
        <v>632</v>
      </c>
      <c r="V69" s="683" t="s">
        <v>633</v>
      </c>
      <c r="W69" s="672"/>
      <c r="AE69">
        <v>62</v>
      </c>
    </row>
    <row r="70" spans="1:31">
      <c r="A70" t="s">
        <v>360</v>
      </c>
      <c r="B70" s="132" t="s">
        <v>778</v>
      </c>
      <c r="C70" s="697" t="s">
        <v>653</v>
      </c>
      <c r="D70" s="36">
        <f>Poeng!T160</f>
        <v>1</v>
      </c>
      <c r="E70" s="35"/>
      <c r="F70" s="38">
        <f>Poeng!AB160</f>
        <v>1</v>
      </c>
      <c r="H70" s="136">
        <f t="shared" si="4"/>
        <v>1</v>
      </c>
      <c r="I70" s="303" t="str">
        <f t="shared" si="3"/>
        <v>OK</v>
      </c>
      <c r="N70" s="290" t="s">
        <v>711</v>
      </c>
      <c r="O70" t="b">
        <f t="shared" si="2"/>
        <v>0</v>
      </c>
      <c r="R70" t="s">
        <v>393</v>
      </c>
      <c r="S70" s="292" t="s">
        <v>391</v>
      </c>
      <c r="T70" s="678" t="s">
        <v>669</v>
      </c>
      <c r="U70" s="682" t="s">
        <v>632</v>
      </c>
      <c r="V70" s="683" t="s">
        <v>606</v>
      </c>
      <c r="W70" s="672"/>
      <c r="AE70">
        <v>63</v>
      </c>
    </row>
    <row r="71" spans="1:31" ht="15.75" thickBot="1">
      <c r="A71" t="s">
        <v>361</v>
      </c>
      <c r="B71" s="132" t="s">
        <v>779</v>
      </c>
      <c r="C71" s="697" t="s">
        <v>654</v>
      </c>
      <c r="D71" s="36">
        <f>Poeng!T164</f>
        <v>1</v>
      </c>
      <c r="E71" s="35"/>
      <c r="F71" s="38">
        <f>Poeng!AB164</f>
        <v>1</v>
      </c>
      <c r="H71" s="136">
        <f t="shared" si="4"/>
        <v>0</v>
      </c>
      <c r="I71" s="303" t="str">
        <f t="shared" si="3"/>
        <v>FEIL</v>
      </c>
      <c r="N71" s="292" t="s">
        <v>499</v>
      </c>
      <c r="O71" t="b">
        <f t="shared" si="2"/>
        <v>0</v>
      </c>
      <c r="S71" s="289"/>
      <c r="T71" s="289"/>
      <c r="U71" s="290"/>
      <c r="V71" s="685"/>
      <c r="W71" s="672"/>
      <c r="AE71">
        <v>64</v>
      </c>
    </row>
    <row r="72" spans="1:31" ht="15.75" thickBot="1">
      <c r="A72" s="109" t="s">
        <v>363</v>
      </c>
      <c r="B72" s="631" t="s">
        <v>363</v>
      </c>
      <c r="C72" s="629" t="s">
        <v>365</v>
      </c>
      <c r="D72" s="42">
        <f>Poeng!T166</f>
        <v>7</v>
      </c>
      <c r="E72" s="42"/>
      <c r="F72" s="42">
        <f>SUM(F68:F71)</f>
        <v>7</v>
      </c>
      <c r="H72" s="731">
        <f t="shared" ref="H72:H135" si="5">SUMIF($R$7:$R$182,A72,$U$7:$U$182)</f>
        <v>0</v>
      </c>
      <c r="I72" s="303" t="str">
        <f t="shared" si="3"/>
        <v>FEIL</v>
      </c>
      <c r="N72" s="292" t="s">
        <v>503</v>
      </c>
      <c r="O72" t="b">
        <f t="shared" si="2"/>
        <v>0</v>
      </c>
      <c r="S72" s="290" t="s">
        <v>670</v>
      </c>
      <c r="T72" s="289"/>
      <c r="U72" s="290"/>
      <c r="V72" s="685"/>
      <c r="W72" s="672"/>
      <c r="AE72">
        <v>65</v>
      </c>
    </row>
    <row r="73" spans="1:31" ht="15.75" thickBot="1">
      <c r="A73" t="s">
        <v>167</v>
      </c>
      <c r="B73" s="132" t="s">
        <v>775</v>
      </c>
      <c r="C73" s="697" t="s">
        <v>656</v>
      </c>
      <c r="H73" s="136">
        <f t="shared" si="5"/>
        <v>1</v>
      </c>
      <c r="I73" s="303" t="str">
        <f t="shared" si="3"/>
        <v>FEIL</v>
      </c>
      <c r="N73" s="292" t="s">
        <v>512</v>
      </c>
      <c r="O73" t="b">
        <f t="shared" ref="O73:O97" si="6">N73=S73</f>
        <v>0</v>
      </c>
      <c r="S73" s="1114" t="s">
        <v>400</v>
      </c>
      <c r="T73" s="766" t="s">
        <v>671</v>
      </c>
      <c r="U73" s="767"/>
      <c r="V73" s="767"/>
      <c r="W73" s="672"/>
      <c r="AE73">
        <v>66</v>
      </c>
    </row>
    <row r="74" spans="1:31" ht="15.75" thickBot="1">
      <c r="A74" t="s">
        <v>370</v>
      </c>
      <c r="B74" s="132" t="s">
        <v>776</v>
      </c>
      <c r="C74" s="697" t="s">
        <v>657</v>
      </c>
      <c r="D74" s="39"/>
      <c r="E74" s="39"/>
      <c r="F74" s="39"/>
      <c r="H74" s="136">
        <f t="shared" si="5"/>
        <v>1</v>
      </c>
      <c r="I74" s="303" t="str">
        <f t="shared" si="3"/>
        <v>FEIL</v>
      </c>
      <c r="N74" s="292" t="s">
        <v>517</v>
      </c>
      <c r="O74" t="b">
        <f t="shared" si="6"/>
        <v>0</v>
      </c>
      <c r="R74" t="s">
        <v>402</v>
      </c>
      <c r="S74" s="1115"/>
      <c r="T74" s="292" t="s">
        <v>672</v>
      </c>
      <c r="U74" s="682">
        <v>2</v>
      </c>
      <c r="V74" s="691" t="s">
        <v>606</v>
      </c>
      <c r="W74" s="672"/>
      <c r="AE74">
        <v>67</v>
      </c>
    </row>
    <row r="75" spans="1:31">
      <c r="A75" t="s">
        <v>371</v>
      </c>
      <c r="B75" s="134" t="s">
        <v>777</v>
      </c>
      <c r="C75" s="697" t="s">
        <v>658</v>
      </c>
      <c r="D75" s="38">
        <f>Poeng!T169</f>
        <v>2</v>
      </c>
      <c r="E75" s="37"/>
      <c r="F75" s="38">
        <f>Poeng!AB169</f>
        <v>2</v>
      </c>
      <c r="H75" s="136">
        <f t="shared" si="5"/>
        <v>0</v>
      </c>
      <c r="I75" s="303" t="str">
        <f t="shared" ref="I75:I107" si="7">IF(F75=H75,"OK","FEIL")</f>
        <v>FEIL</v>
      </c>
      <c r="N75" s="292" t="s">
        <v>522</v>
      </c>
      <c r="O75" t="b">
        <f t="shared" si="6"/>
        <v>0</v>
      </c>
      <c r="R75" t="s">
        <v>403</v>
      </c>
      <c r="S75" s="1116"/>
      <c r="T75" s="292" t="s">
        <v>673</v>
      </c>
      <c r="U75" s="694">
        <v>1</v>
      </c>
      <c r="V75" s="695" t="s">
        <v>606</v>
      </c>
      <c r="W75" s="672"/>
      <c r="AE75">
        <v>68</v>
      </c>
    </row>
    <row r="76" spans="1:31">
      <c r="A76" s="109" t="s">
        <v>372</v>
      </c>
      <c r="B76" s="718" t="s">
        <v>372</v>
      </c>
      <c r="C76" s="629" t="s">
        <v>373</v>
      </c>
      <c r="D76" s="36">
        <f>Poeng!T171</f>
        <v>2</v>
      </c>
      <c r="E76" s="35"/>
      <c r="F76" s="38">
        <f>Poeng!AB171</f>
        <v>2</v>
      </c>
      <c r="H76" s="731">
        <f t="shared" si="5"/>
        <v>0</v>
      </c>
      <c r="I76" s="303" t="str">
        <f t="shared" si="7"/>
        <v>FEIL</v>
      </c>
      <c r="N76" s="292"/>
      <c r="R76" t="s">
        <v>407</v>
      </c>
      <c r="S76" s="292" t="s">
        <v>404</v>
      </c>
      <c r="T76" s="678" t="s">
        <v>674</v>
      </c>
      <c r="U76" s="694">
        <v>10</v>
      </c>
      <c r="V76" s="695" t="s">
        <v>606</v>
      </c>
      <c r="W76" s="672"/>
      <c r="AE76">
        <v>69</v>
      </c>
    </row>
    <row r="77" spans="1:31">
      <c r="A77" t="s">
        <v>374</v>
      </c>
      <c r="B77" s="132" t="s">
        <v>775</v>
      </c>
      <c r="C77" s="697" t="s">
        <v>807</v>
      </c>
      <c r="D77" s="36">
        <f>Poeng!T175</f>
        <v>3</v>
      </c>
      <c r="E77" s="35"/>
      <c r="F77" s="38">
        <f>Poeng!AB175</f>
        <v>3</v>
      </c>
      <c r="H77" s="136">
        <f t="shared" si="5"/>
        <v>1</v>
      </c>
      <c r="I77" s="303"/>
      <c r="N77" s="289"/>
      <c r="O77" t="b">
        <f t="shared" si="6"/>
        <v>1</v>
      </c>
      <c r="S77" s="289"/>
      <c r="T77" s="289"/>
      <c r="U77" s="290"/>
      <c r="V77" s="685"/>
      <c r="W77" s="672"/>
      <c r="AE77">
        <v>70</v>
      </c>
    </row>
    <row r="78" spans="1:31">
      <c r="A78" t="s">
        <v>375</v>
      </c>
      <c r="B78" s="132" t="s">
        <v>776</v>
      </c>
      <c r="C78" s="697" t="s">
        <v>808</v>
      </c>
      <c r="D78" s="36">
        <f>Poeng!T179</f>
        <v>4</v>
      </c>
      <c r="E78" s="35"/>
      <c r="F78" s="38">
        <f>Poeng!AB179</f>
        <v>4</v>
      </c>
      <c r="H78" s="774">
        <f>H77</f>
        <v>1</v>
      </c>
      <c r="I78" s="303" t="str">
        <f t="shared" si="7"/>
        <v>FEIL</v>
      </c>
      <c r="N78" s="290" t="s">
        <v>733</v>
      </c>
      <c r="O78" t="b">
        <f t="shared" si="6"/>
        <v>0</v>
      </c>
      <c r="S78" s="290" t="s">
        <v>675</v>
      </c>
      <c r="T78" s="289"/>
      <c r="U78" s="290"/>
      <c r="V78" s="685"/>
      <c r="W78" s="672"/>
      <c r="AE78">
        <v>71</v>
      </c>
    </row>
    <row r="79" spans="1:31">
      <c r="B79" s="516" t="s">
        <v>792</v>
      </c>
      <c r="C79" s="515"/>
      <c r="D79" s="36">
        <f>Poeng!T183</f>
        <v>2</v>
      </c>
      <c r="E79" s="35"/>
      <c r="F79" s="38">
        <f>Poeng!AB183</f>
        <v>2</v>
      </c>
      <c r="H79" s="724">
        <f t="shared" si="5"/>
        <v>0</v>
      </c>
      <c r="I79" s="303" t="str">
        <f t="shared" si="7"/>
        <v>FEIL</v>
      </c>
      <c r="N79" s="292" t="s">
        <v>734</v>
      </c>
      <c r="O79" t="b">
        <f t="shared" si="6"/>
        <v>0</v>
      </c>
      <c r="R79" t="s">
        <v>416</v>
      </c>
      <c r="S79" s="292" t="s">
        <v>414</v>
      </c>
      <c r="T79" s="678" t="s">
        <v>676</v>
      </c>
      <c r="U79" s="694">
        <v>5</v>
      </c>
      <c r="V79" s="695" t="s">
        <v>606</v>
      </c>
      <c r="W79" s="672"/>
      <c r="AE79">
        <v>72</v>
      </c>
    </row>
    <row r="80" spans="1:31">
      <c r="A80" s="109" t="s">
        <v>376</v>
      </c>
      <c r="B80" s="631" t="s">
        <v>376</v>
      </c>
      <c r="C80" s="629" t="s">
        <v>377</v>
      </c>
      <c r="D80" s="36">
        <f>Poeng!T187</f>
        <v>1</v>
      </c>
      <c r="E80" s="35"/>
      <c r="F80" s="38">
        <f>Poeng!AB187</f>
        <v>1</v>
      </c>
      <c r="H80" s="731">
        <f t="shared" si="5"/>
        <v>0</v>
      </c>
      <c r="I80" s="303" t="str">
        <f t="shared" si="7"/>
        <v>FEIL</v>
      </c>
      <c r="N80" s="292"/>
      <c r="R80" t="s">
        <v>421</v>
      </c>
      <c r="S80" s="292" t="s">
        <v>419</v>
      </c>
      <c r="T80" s="678" t="s">
        <v>677</v>
      </c>
      <c r="U80" s="694">
        <v>1</v>
      </c>
      <c r="V80" s="695" t="s">
        <v>606</v>
      </c>
      <c r="W80" s="672"/>
      <c r="AE80">
        <v>73</v>
      </c>
    </row>
    <row r="81" spans="1:31">
      <c r="A81" t="s">
        <v>378</v>
      </c>
      <c r="B81" s="132" t="s">
        <v>775</v>
      </c>
      <c r="C81" s="697" t="s">
        <v>661</v>
      </c>
      <c r="D81" s="36">
        <f>Poeng!T189</f>
        <v>2</v>
      </c>
      <c r="E81" s="35"/>
      <c r="F81" s="38">
        <f>Poeng!AB189</f>
        <v>2</v>
      </c>
      <c r="H81" s="136">
        <f t="shared" si="5"/>
        <v>0</v>
      </c>
      <c r="I81" s="303" t="str">
        <f t="shared" si="7"/>
        <v>FEIL</v>
      </c>
      <c r="N81" s="292"/>
      <c r="S81" s="292" t="s">
        <v>422</v>
      </c>
      <c r="T81" s="766" t="s">
        <v>678</v>
      </c>
      <c r="U81" s="767"/>
      <c r="V81" s="767"/>
      <c r="W81" s="672"/>
      <c r="AE81">
        <v>74</v>
      </c>
    </row>
    <row r="82" spans="1:31" ht="15.75" thickBot="1">
      <c r="A82" t="s">
        <v>379</v>
      </c>
      <c r="B82" s="132" t="s">
        <v>776</v>
      </c>
      <c r="C82" s="697" t="s">
        <v>662</v>
      </c>
      <c r="D82" s="36">
        <f>Poeng!T192</f>
        <v>3</v>
      </c>
      <c r="E82" s="55"/>
      <c r="F82" s="38">
        <f>Poeng!AB192</f>
        <v>3</v>
      </c>
      <c r="H82" s="136">
        <f t="shared" si="5"/>
        <v>0</v>
      </c>
      <c r="I82" s="303" t="str">
        <f t="shared" si="7"/>
        <v>FEIL</v>
      </c>
      <c r="N82" s="292" t="s">
        <v>736</v>
      </c>
      <c r="O82" t="b">
        <f t="shared" si="6"/>
        <v>0</v>
      </c>
      <c r="R82" t="s">
        <v>428</v>
      </c>
      <c r="S82" s="292"/>
      <c r="T82" s="292" t="s">
        <v>679</v>
      </c>
      <c r="U82" s="694" t="s">
        <v>632</v>
      </c>
      <c r="V82" s="695" t="s">
        <v>606</v>
      </c>
      <c r="W82" s="672"/>
      <c r="AE82">
        <v>75</v>
      </c>
    </row>
    <row r="83" spans="1:31" ht="15.75" thickBot="1">
      <c r="A83" s="109" t="s">
        <v>181</v>
      </c>
      <c r="B83" s="631" t="s">
        <v>181</v>
      </c>
      <c r="C83" s="629" t="s">
        <v>381</v>
      </c>
      <c r="D83" s="42">
        <f>Poeng!T197</f>
        <v>19</v>
      </c>
      <c r="E83" s="42"/>
      <c r="F83" s="42">
        <f>SUM(F75:F82)</f>
        <v>19</v>
      </c>
      <c r="H83" s="731">
        <f t="shared" si="5"/>
        <v>0</v>
      </c>
      <c r="I83" s="303" t="str">
        <f t="shared" si="7"/>
        <v>FEIL</v>
      </c>
      <c r="N83" s="292" t="s">
        <v>809</v>
      </c>
      <c r="O83" t="b">
        <f t="shared" si="6"/>
        <v>0</v>
      </c>
      <c r="R83" t="s">
        <v>429</v>
      </c>
      <c r="S83" s="292"/>
      <c r="T83" s="292" t="s">
        <v>680</v>
      </c>
      <c r="U83" s="694" t="s">
        <v>632</v>
      </c>
      <c r="V83" s="695" t="s">
        <v>606</v>
      </c>
      <c r="W83" s="672"/>
      <c r="AE83">
        <v>76</v>
      </c>
    </row>
    <row r="84" spans="1:31" ht="15.75" thickBot="1">
      <c r="A84" t="s">
        <v>382</v>
      </c>
      <c r="B84" s="132" t="s">
        <v>775</v>
      </c>
      <c r="C84" s="697" t="s">
        <v>810</v>
      </c>
      <c r="H84" s="136">
        <f t="shared" si="5"/>
        <v>1</v>
      </c>
      <c r="I84" s="303" t="str">
        <f t="shared" si="7"/>
        <v>FEIL</v>
      </c>
      <c r="N84" s="292" t="s">
        <v>738</v>
      </c>
      <c r="O84" t="b">
        <f t="shared" si="6"/>
        <v>0</v>
      </c>
      <c r="R84" t="s">
        <v>430</v>
      </c>
      <c r="S84" s="292"/>
      <c r="T84" s="292" t="s">
        <v>681</v>
      </c>
      <c r="U84" s="694" t="s">
        <v>632</v>
      </c>
      <c r="V84" s="695" t="s">
        <v>606</v>
      </c>
      <c r="W84" s="672"/>
      <c r="AE84">
        <v>77</v>
      </c>
    </row>
    <row r="85" spans="1:31" ht="15.75" thickBot="1">
      <c r="A85" t="s">
        <v>383</v>
      </c>
      <c r="B85" s="132" t="s">
        <v>776</v>
      </c>
      <c r="C85" s="753" t="s">
        <v>811</v>
      </c>
      <c r="D85" s="39"/>
      <c r="E85" s="39"/>
      <c r="F85" s="39"/>
      <c r="H85" s="774">
        <f>IF(SUMIF($R$7:$R$182,A85,$U$7:$U$182)=2,1,SUMIF($R$7:$R$182,A85,$U$7:$U$182))</f>
        <v>1</v>
      </c>
      <c r="I85" s="303" t="str">
        <f t="shared" si="7"/>
        <v>FEIL</v>
      </c>
      <c r="J85" t="s">
        <v>812</v>
      </c>
      <c r="N85" s="292" t="s">
        <v>740</v>
      </c>
      <c r="O85" t="b">
        <f t="shared" si="6"/>
        <v>0</v>
      </c>
      <c r="R85" t="s">
        <v>433</v>
      </c>
      <c r="S85" s="292" t="s">
        <v>431</v>
      </c>
      <c r="T85" s="678" t="s">
        <v>682</v>
      </c>
      <c r="U85" s="694">
        <v>1</v>
      </c>
      <c r="V85" s="695" t="s">
        <v>606</v>
      </c>
      <c r="W85" s="672"/>
      <c r="AE85">
        <v>78</v>
      </c>
    </row>
    <row r="86" spans="1:31">
      <c r="A86" t="s">
        <v>385</v>
      </c>
      <c r="B86" s="132" t="s">
        <v>777</v>
      </c>
      <c r="C86" s="753" t="s">
        <v>813</v>
      </c>
      <c r="D86" s="36">
        <f>Poeng!T200</f>
        <v>3</v>
      </c>
      <c r="E86" s="35"/>
      <c r="F86" s="38">
        <f>Poeng!AB200</f>
        <v>3</v>
      </c>
      <c r="H86" s="774">
        <f>IF(SUMIF($R$7:$R$182,A85,$U$7:$U$182)=2,1,0)</f>
        <v>1</v>
      </c>
      <c r="I86" s="303" t="str">
        <f t="shared" si="7"/>
        <v>FEIL</v>
      </c>
      <c r="J86" t="s">
        <v>812</v>
      </c>
      <c r="N86" s="289"/>
      <c r="O86" t="b">
        <f t="shared" si="6"/>
        <v>1</v>
      </c>
      <c r="S86" s="289"/>
      <c r="T86" s="289"/>
      <c r="U86" s="290"/>
      <c r="V86" s="685"/>
      <c r="W86" s="672"/>
      <c r="AE86">
        <v>79</v>
      </c>
    </row>
    <row r="87" spans="1:31" ht="15" customHeight="1">
      <c r="A87" s="109" t="s">
        <v>387</v>
      </c>
      <c r="B87" s="631" t="s">
        <v>387</v>
      </c>
      <c r="C87" s="629" t="s">
        <v>388</v>
      </c>
      <c r="D87" s="36">
        <f>Poeng!T204</f>
        <v>2</v>
      </c>
      <c r="E87" s="35"/>
      <c r="F87" s="38">
        <f>Poeng!AB204</f>
        <v>2</v>
      </c>
      <c r="H87" s="731">
        <f t="shared" si="5"/>
        <v>0</v>
      </c>
      <c r="I87" s="303" t="str">
        <f t="shared" si="7"/>
        <v>FEIL</v>
      </c>
      <c r="N87" s="289"/>
      <c r="O87" t="b">
        <f t="shared" si="6"/>
        <v>0</v>
      </c>
      <c r="S87" s="290" t="s">
        <v>683</v>
      </c>
      <c r="T87" s="289"/>
      <c r="U87" s="290"/>
      <c r="V87" s="685"/>
      <c r="W87" s="672"/>
      <c r="AE87">
        <v>80</v>
      </c>
    </row>
    <row r="88" spans="1:31">
      <c r="A88" t="s">
        <v>389</v>
      </c>
      <c r="B88" s="132" t="s">
        <v>775</v>
      </c>
      <c r="C88" s="697" t="s">
        <v>667</v>
      </c>
      <c r="D88" s="36">
        <f>Poeng!T207</f>
        <v>0</v>
      </c>
      <c r="E88" s="35"/>
      <c r="F88" s="38">
        <f>Poeng!AB207</f>
        <v>0</v>
      </c>
      <c r="H88" s="136">
        <f t="shared" si="5"/>
        <v>0</v>
      </c>
      <c r="I88" s="303" t="str">
        <f t="shared" si="7"/>
        <v>OK</v>
      </c>
      <c r="N88" s="290" t="s">
        <v>742</v>
      </c>
      <c r="O88" t="b">
        <f t="shared" si="6"/>
        <v>0</v>
      </c>
      <c r="S88" s="292" t="s">
        <v>440</v>
      </c>
      <c r="T88" s="766" t="s">
        <v>684</v>
      </c>
      <c r="U88" s="767"/>
      <c r="V88" s="768"/>
      <c r="W88" s="672"/>
      <c r="AE88">
        <v>81</v>
      </c>
    </row>
    <row r="89" spans="1:31">
      <c r="A89" t="s">
        <v>390</v>
      </c>
      <c r="B89" s="132" t="s">
        <v>776</v>
      </c>
      <c r="C89" s="697" t="s">
        <v>668</v>
      </c>
      <c r="D89" s="36">
        <f>Poeng!T208</f>
        <v>1</v>
      </c>
      <c r="E89" s="35"/>
      <c r="F89" s="38">
        <f>Poeng!AB208</f>
        <v>1</v>
      </c>
      <c r="H89" s="136">
        <f t="shared" si="5"/>
        <v>0</v>
      </c>
      <c r="I89" s="303" t="str">
        <f t="shared" si="7"/>
        <v>FEIL</v>
      </c>
      <c r="N89" s="292" t="s">
        <v>285</v>
      </c>
      <c r="O89" t="b">
        <f t="shared" si="6"/>
        <v>0</v>
      </c>
      <c r="R89" t="s">
        <v>443</v>
      </c>
      <c r="S89" s="292"/>
      <c r="T89" s="292" t="s">
        <v>685</v>
      </c>
      <c r="U89" s="682">
        <v>3</v>
      </c>
      <c r="V89" s="683" t="s">
        <v>606</v>
      </c>
      <c r="W89" s="672"/>
      <c r="AE89">
        <v>82</v>
      </c>
    </row>
    <row r="90" spans="1:31" ht="15.75" thickBot="1">
      <c r="A90" s="109" t="s">
        <v>391</v>
      </c>
      <c r="B90" s="631" t="s">
        <v>391</v>
      </c>
      <c r="C90" s="629" t="s">
        <v>392</v>
      </c>
      <c r="D90" s="36">
        <f>Poeng!T211</f>
        <v>1</v>
      </c>
      <c r="E90" s="35"/>
      <c r="F90" s="38">
        <f>Poeng!AB211</f>
        <v>1</v>
      </c>
      <c r="H90" s="731">
        <f t="shared" si="5"/>
        <v>0</v>
      </c>
      <c r="I90" s="303" t="str">
        <f t="shared" si="7"/>
        <v>FEIL</v>
      </c>
      <c r="N90" s="292" t="s">
        <v>182</v>
      </c>
      <c r="O90" t="b">
        <f t="shared" si="6"/>
        <v>0</v>
      </c>
      <c r="R90" t="s">
        <v>444</v>
      </c>
      <c r="S90" s="292"/>
      <c r="T90" s="292" t="s">
        <v>686</v>
      </c>
      <c r="U90" s="682">
        <v>2</v>
      </c>
      <c r="V90" s="683" t="s">
        <v>606</v>
      </c>
      <c r="W90" s="672"/>
      <c r="AE90">
        <v>83</v>
      </c>
    </row>
    <row r="91" spans="1:31" ht="15.75" thickBot="1">
      <c r="A91" t="s">
        <v>393</v>
      </c>
      <c r="B91" s="134" t="s">
        <v>775</v>
      </c>
      <c r="C91" s="697" t="s">
        <v>814</v>
      </c>
      <c r="D91" s="42">
        <f>Poeng!T214</f>
        <v>7</v>
      </c>
      <c r="E91" s="42"/>
      <c r="F91" s="42">
        <f>SUM(F86:F90)</f>
        <v>7</v>
      </c>
      <c r="H91" s="136">
        <f t="shared" si="5"/>
        <v>0</v>
      </c>
      <c r="I91" s="303" t="str">
        <f t="shared" si="7"/>
        <v>FEIL</v>
      </c>
      <c r="N91" s="292" t="s">
        <v>796</v>
      </c>
      <c r="O91" t="b">
        <f t="shared" si="6"/>
        <v>0</v>
      </c>
      <c r="S91" s="292" t="s">
        <v>445</v>
      </c>
      <c r="T91" s="766" t="s">
        <v>687</v>
      </c>
      <c r="U91" s="767"/>
      <c r="V91" s="768"/>
      <c r="W91" s="672"/>
      <c r="AE91">
        <v>84</v>
      </c>
    </row>
    <row r="92" spans="1:31" ht="15.75" thickBot="1">
      <c r="B92" s="516" t="s">
        <v>793</v>
      </c>
      <c r="C92" s="515"/>
      <c r="H92" s="724">
        <f t="shared" si="5"/>
        <v>0</v>
      </c>
      <c r="I92" s="303" t="str">
        <f t="shared" si="7"/>
        <v>OK</v>
      </c>
      <c r="N92" s="292" t="s">
        <v>797</v>
      </c>
      <c r="O92" t="b">
        <f t="shared" si="6"/>
        <v>0</v>
      </c>
      <c r="R92" t="s">
        <v>447</v>
      </c>
      <c r="S92" s="292"/>
      <c r="T92" s="292" t="s">
        <v>688</v>
      </c>
      <c r="U92" s="682">
        <v>1</v>
      </c>
      <c r="V92" s="683" t="s">
        <v>606</v>
      </c>
      <c r="W92" s="672"/>
      <c r="AE92">
        <v>85</v>
      </c>
    </row>
    <row r="93" spans="1:31" ht="15.75" thickBot="1">
      <c r="B93" s="516" t="s">
        <v>794</v>
      </c>
      <c r="C93" s="515"/>
      <c r="D93" s="39"/>
      <c r="E93" s="39"/>
      <c r="F93" s="39"/>
      <c r="H93" s="724">
        <f t="shared" si="5"/>
        <v>0</v>
      </c>
      <c r="I93" s="303" t="str">
        <f t="shared" si="7"/>
        <v>OK</v>
      </c>
      <c r="N93" s="292" t="s">
        <v>414</v>
      </c>
      <c r="O93" t="b">
        <f t="shared" si="6"/>
        <v>0</v>
      </c>
      <c r="R93" t="s">
        <v>448</v>
      </c>
      <c r="S93" s="292"/>
      <c r="T93" s="292" t="s">
        <v>689</v>
      </c>
      <c r="U93" s="682">
        <v>2</v>
      </c>
      <c r="V93" s="683" t="s">
        <v>606</v>
      </c>
      <c r="W93" s="672"/>
      <c r="AE93">
        <v>86</v>
      </c>
    </row>
    <row r="94" spans="1:31" ht="15.75" thickBot="1">
      <c r="A94" t="s">
        <v>395</v>
      </c>
      <c r="B94" s="162"/>
      <c r="C94" s="42" t="s">
        <v>771</v>
      </c>
      <c r="D94" s="38">
        <f>Poeng!T217</f>
        <v>1</v>
      </c>
      <c r="E94" s="37"/>
      <c r="F94" s="38">
        <f>Poeng!AB217</f>
        <v>1</v>
      </c>
      <c r="H94" s="183">
        <f t="shared" si="5"/>
        <v>0</v>
      </c>
      <c r="I94" s="303" t="str">
        <f t="shared" si="7"/>
        <v>FEIL</v>
      </c>
      <c r="N94" s="292" t="s">
        <v>440</v>
      </c>
      <c r="O94" t="b">
        <f t="shared" si="6"/>
        <v>0</v>
      </c>
      <c r="S94" s="292" t="s">
        <v>449</v>
      </c>
      <c r="T94" s="766" t="s">
        <v>690</v>
      </c>
      <c r="U94" s="767"/>
      <c r="V94" s="768"/>
      <c r="W94" s="672"/>
      <c r="AE94">
        <v>87</v>
      </c>
    </row>
    <row r="95" spans="1:31" ht="15.75" thickBot="1">
      <c r="D95" s="36">
        <f>Poeng!T218</f>
        <v>1</v>
      </c>
      <c r="E95" s="35"/>
      <c r="F95" s="38">
        <f>Poeng!AB218</f>
        <v>1</v>
      </c>
      <c r="H95">
        <f t="shared" si="5"/>
        <v>0</v>
      </c>
      <c r="I95" s="303" t="str">
        <f t="shared" si="7"/>
        <v>FEIL</v>
      </c>
      <c r="N95" s="292" t="s">
        <v>449</v>
      </c>
      <c r="O95" t="b">
        <f t="shared" si="6"/>
        <v>0</v>
      </c>
      <c r="R95" t="s">
        <v>452</v>
      </c>
      <c r="S95" s="292"/>
      <c r="T95" s="292" t="s">
        <v>691</v>
      </c>
      <c r="U95" s="682">
        <v>1</v>
      </c>
      <c r="V95" s="683" t="s">
        <v>606</v>
      </c>
      <c r="W95" s="672"/>
      <c r="AE95">
        <v>88</v>
      </c>
    </row>
    <row r="96" spans="1:31" ht="15.75" thickBot="1">
      <c r="B96" s="115"/>
      <c r="C96" s="39" t="s">
        <v>398</v>
      </c>
      <c r="D96" s="36">
        <f>Poeng!T219</f>
        <v>1</v>
      </c>
      <c r="E96" s="35"/>
      <c r="F96" s="38">
        <f>Poeng!AB219</f>
        <v>1</v>
      </c>
      <c r="H96" s="110">
        <f t="shared" si="5"/>
        <v>0</v>
      </c>
      <c r="I96" s="303" t="str">
        <f t="shared" si="7"/>
        <v>FEIL</v>
      </c>
      <c r="N96" s="292" t="s">
        <v>478</v>
      </c>
      <c r="O96" t="b">
        <f t="shared" si="6"/>
        <v>0</v>
      </c>
      <c r="R96" t="s">
        <v>453</v>
      </c>
      <c r="S96" s="292"/>
      <c r="T96" s="292" t="s">
        <v>692</v>
      </c>
      <c r="U96" s="682">
        <v>2</v>
      </c>
      <c r="V96" s="683" t="s">
        <v>606</v>
      </c>
      <c r="W96" s="672"/>
      <c r="AE96">
        <v>89</v>
      </c>
    </row>
    <row r="97" spans="1:31">
      <c r="A97" s="109" t="s">
        <v>400</v>
      </c>
      <c r="B97" s="630" t="s">
        <v>400</v>
      </c>
      <c r="C97" s="628" t="s">
        <v>815</v>
      </c>
      <c r="D97" s="36">
        <f>Poeng!T220</f>
        <v>1</v>
      </c>
      <c r="E97" s="35"/>
      <c r="F97" s="38">
        <f>Poeng!AB220</f>
        <v>1</v>
      </c>
      <c r="H97" s="119">
        <f t="shared" si="5"/>
        <v>0</v>
      </c>
      <c r="I97" s="303" t="str">
        <f t="shared" si="7"/>
        <v>FEIL</v>
      </c>
      <c r="N97" t="s">
        <v>806</v>
      </c>
      <c r="O97" t="b">
        <f t="shared" si="6"/>
        <v>0</v>
      </c>
      <c r="S97" s="292" t="s">
        <v>454</v>
      </c>
      <c r="T97" s="766" t="s">
        <v>693</v>
      </c>
      <c r="U97" s="767"/>
      <c r="V97" s="768"/>
      <c r="W97" s="672"/>
      <c r="AE97">
        <v>90</v>
      </c>
    </row>
    <row r="98" spans="1:31">
      <c r="A98" t="s">
        <v>402</v>
      </c>
      <c r="B98" s="132" t="s">
        <v>775</v>
      </c>
      <c r="C98" s="697" t="s">
        <v>672</v>
      </c>
      <c r="D98" s="36">
        <f>Poeng!T221</f>
        <v>2</v>
      </c>
      <c r="E98" s="35"/>
      <c r="F98" s="38">
        <f>Poeng!AB221</f>
        <v>2</v>
      </c>
      <c r="H98" s="136">
        <f t="shared" si="5"/>
        <v>2</v>
      </c>
      <c r="I98" s="303" t="str">
        <f t="shared" si="7"/>
        <v>OK</v>
      </c>
      <c r="R98" t="s">
        <v>457</v>
      </c>
      <c r="S98" s="677"/>
      <c r="T98" s="292" t="s">
        <v>694</v>
      </c>
      <c r="U98" s="682">
        <v>1</v>
      </c>
      <c r="V98" s="683" t="s">
        <v>606</v>
      </c>
      <c r="W98" s="672"/>
      <c r="AE98">
        <v>91</v>
      </c>
    </row>
    <row r="99" spans="1:31">
      <c r="A99" t="s">
        <v>403</v>
      </c>
      <c r="B99" s="132" t="s">
        <v>776</v>
      </c>
      <c r="C99" s="697" t="s">
        <v>673</v>
      </c>
      <c r="D99" s="36">
        <f>Poeng!T222</f>
        <v>1</v>
      </c>
      <c r="E99" s="35"/>
      <c r="F99" s="38">
        <f>Poeng!AB222</f>
        <v>1</v>
      </c>
      <c r="H99" s="136">
        <f t="shared" si="5"/>
        <v>1</v>
      </c>
      <c r="I99" s="303" t="str">
        <f t="shared" si="7"/>
        <v>OK</v>
      </c>
      <c r="R99" t="s">
        <v>458</v>
      </c>
      <c r="S99" s="677"/>
      <c r="T99" s="292" t="s">
        <v>695</v>
      </c>
      <c r="U99" s="682">
        <v>1</v>
      </c>
      <c r="V99" s="683" t="s">
        <v>606</v>
      </c>
      <c r="W99" s="672"/>
      <c r="AE99">
        <v>92</v>
      </c>
    </row>
    <row r="100" spans="1:31">
      <c r="A100" s="109" t="s">
        <v>404</v>
      </c>
      <c r="B100" s="631" t="s">
        <v>404</v>
      </c>
      <c r="C100" s="629" t="s">
        <v>816</v>
      </c>
      <c r="D100" s="36">
        <f>Poeng!T223</f>
        <v>1</v>
      </c>
      <c r="E100" s="35"/>
      <c r="F100" s="38">
        <f>Poeng!AB223</f>
        <v>1</v>
      </c>
      <c r="H100" s="731">
        <f t="shared" si="5"/>
        <v>0</v>
      </c>
      <c r="I100" s="303" t="str">
        <f t="shared" si="7"/>
        <v>FEIL</v>
      </c>
      <c r="R100" t="s">
        <v>460</v>
      </c>
      <c r="S100" s="677"/>
      <c r="T100" s="292" t="s">
        <v>696</v>
      </c>
      <c r="U100" s="682">
        <v>2</v>
      </c>
      <c r="V100" s="683" t="s">
        <v>606</v>
      </c>
      <c r="W100" s="672"/>
      <c r="AE100">
        <v>93</v>
      </c>
    </row>
    <row r="101" spans="1:31">
      <c r="B101" s="132" t="s">
        <v>775</v>
      </c>
      <c r="C101" s="697" t="s">
        <v>817</v>
      </c>
      <c r="D101" s="36">
        <f>Poeng!T224</f>
        <v>1</v>
      </c>
      <c r="E101" s="35"/>
      <c r="F101" s="38">
        <f>Poeng!AB224</f>
        <v>1</v>
      </c>
      <c r="H101" s="136">
        <f t="shared" si="5"/>
        <v>0</v>
      </c>
      <c r="I101" s="303" t="str">
        <f t="shared" si="7"/>
        <v>FEIL</v>
      </c>
      <c r="S101" s="292" t="s">
        <v>463</v>
      </c>
      <c r="T101" s="766" t="s">
        <v>697</v>
      </c>
      <c r="U101" s="767"/>
      <c r="V101" s="768"/>
      <c r="W101" s="672"/>
      <c r="AE101">
        <v>94</v>
      </c>
    </row>
    <row r="102" spans="1:31">
      <c r="A102" t="s">
        <v>407</v>
      </c>
      <c r="B102" s="132" t="s">
        <v>776</v>
      </c>
      <c r="C102" s="697" t="s">
        <v>818</v>
      </c>
      <c r="D102" s="36">
        <f>Poeng!T225</f>
        <v>1</v>
      </c>
      <c r="E102" s="35"/>
      <c r="F102" s="38">
        <f>D102-E102</f>
        <v>1</v>
      </c>
      <c r="H102" s="136">
        <f t="shared" si="5"/>
        <v>10</v>
      </c>
      <c r="I102" s="303" t="str">
        <f t="shared" si="7"/>
        <v>FEIL</v>
      </c>
      <c r="R102" t="s">
        <v>465</v>
      </c>
      <c r="S102" s="677"/>
      <c r="T102" s="292" t="s">
        <v>698</v>
      </c>
      <c r="U102" s="682">
        <v>1</v>
      </c>
      <c r="V102" s="683" t="s">
        <v>606</v>
      </c>
      <c r="W102" s="672"/>
      <c r="AE102">
        <v>95</v>
      </c>
    </row>
    <row r="103" spans="1:31">
      <c r="B103" s="516" t="s">
        <v>819</v>
      </c>
      <c r="C103" s="515"/>
      <c r="D103" s="36">
        <f>Poeng!T226</f>
        <v>1</v>
      </c>
      <c r="E103" s="35"/>
      <c r="F103" s="38">
        <f>D103-E103</f>
        <v>1</v>
      </c>
      <c r="H103" s="724">
        <f t="shared" si="5"/>
        <v>0</v>
      </c>
      <c r="I103" s="303"/>
      <c r="R103" t="s">
        <v>466</v>
      </c>
      <c r="S103" s="677"/>
      <c r="T103" s="292" t="s">
        <v>697</v>
      </c>
      <c r="U103" s="682">
        <v>1</v>
      </c>
      <c r="V103" s="683" t="s">
        <v>606</v>
      </c>
      <c r="W103" s="672"/>
      <c r="AE103">
        <v>96</v>
      </c>
    </row>
    <row r="104" spans="1:31">
      <c r="B104" s="516" t="s">
        <v>798</v>
      </c>
      <c r="C104" s="515"/>
      <c r="D104" s="36">
        <f>Poeng!T227</f>
        <v>1</v>
      </c>
      <c r="E104" s="35"/>
      <c r="F104" s="38">
        <f>D104-E104</f>
        <v>1</v>
      </c>
      <c r="H104" s="724">
        <f t="shared" si="5"/>
        <v>0</v>
      </c>
      <c r="I104" s="303"/>
      <c r="R104" t="s">
        <v>467</v>
      </c>
      <c r="S104" s="677"/>
      <c r="T104" s="292" t="s">
        <v>699</v>
      </c>
      <c r="U104" s="682">
        <v>1</v>
      </c>
      <c r="V104" s="683" t="s">
        <v>606</v>
      </c>
      <c r="W104" s="672"/>
      <c r="AE104">
        <v>97</v>
      </c>
    </row>
    <row r="105" spans="1:31">
      <c r="B105" s="516" t="s">
        <v>799</v>
      </c>
      <c r="C105" s="515"/>
      <c r="D105" s="36">
        <f>Poeng!T228</f>
        <v>1</v>
      </c>
      <c r="E105" s="35"/>
      <c r="F105" s="38">
        <f>D105-E105</f>
        <v>1</v>
      </c>
      <c r="H105" s="724">
        <f t="shared" si="5"/>
        <v>0</v>
      </c>
      <c r="I105" s="303"/>
      <c r="S105" s="292" t="s">
        <v>468</v>
      </c>
      <c r="T105" s="766" t="s">
        <v>700</v>
      </c>
      <c r="U105" s="767"/>
      <c r="V105" s="768"/>
      <c r="W105" s="672"/>
      <c r="AE105">
        <v>98</v>
      </c>
    </row>
    <row r="106" spans="1:31" ht="15.75" thickBot="1">
      <c r="B106" s="520" t="s">
        <v>800</v>
      </c>
      <c r="C106" s="521"/>
      <c r="D106" s="36">
        <f>Poeng!T229</f>
        <v>1</v>
      </c>
      <c r="E106" s="35"/>
      <c r="F106" s="38">
        <f>D106-E106</f>
        <v>1</v>
      </c>
      <c r="H106" s="724">
        <f t="shared" si="5"/>
        <v>0</v>
      </c>
      <c r="I106" s="303"/>
      <c r="R106" t="s">
        <v>469</v>
      </c>
      <c r="S106" s="677"/>
      <c r="T106" s="292" t="s">
        <v>701</v>
      </c>
      <c r="U106" s="682">
        <v>1</v>
      </c>
      <c r="V106" s="683" t="s">
        <v>606</v>
      </c>
      <c r="W106" s="672"/>
      <c r="AE106">
        <v>99</v>
      </c>
    </row>
    <row r="107" spans="1:31" ht="15.75" thickBot="1">
      <c r="A107" t="s">
        <v>408</v>
      </c>
      <c r="B107" s="162"/>
      <c r="C107" s="42" t="s">
        <v>771</v>
      </c>
      <c r="D107" s="42">
        <f>Poeng!T231</f>
        <v>10</v>
      </c>
      <c r="E107" s="42"/>
      <c r="F107" s="42">
        <f>IF(SUM(F94:F106)&gt;10,10,SUM(F94:F106))</f>
        <v>10</v>
      </c>
      <c r="H107" s="183">
        <f t="shared" si="5"/>
        <v>0</v>
      </c>
      <c r="I107" s="303" t="str">
        <f t="shared" si="7"/>
        <v>FEIL</v>
      </c>
      <c r="R107" t="s">
        <v>470</v>
      </c>
      <c r="S107" s="677"/>
      <c r="T107" s="292" t="s">
        <v>702</v>
      </c>
      <c r="U107" s="682">
        <v>1</v>
      </c>
      <c r="V107" s="683" t="s">
        <v>606</v>
      </c>
      <c r="W107" s="672"/>
      <c r="AE107">
        <v>100</v>
      </c>
    </row>
    <row r="108" spans="1:31" ht="15.75" thickBot="1">
      <c r="H108">
        <f t="shared" si="5"/>
        <v>0</v>
      </c>
      <c r="R108" t="s">
        <v>471</v>
      </c>
      <c r="S108" s="677"/>
      <c r="T108" s="292" t="s">
        <v>703</v>
      </c>
      <c r="U108" s="682">
        <v>1</v>
      </c>
      <c r="V108" s="683" t="s">
        <v>606</v>
      </c>
      <c r="W108" s="672"/>
      <c r="AE108">
        <v>101</v>
      </c>
    </row>
    <row r="109" spans="1:31" ht="15.75" thickBot="1">
      <c r="B109" s="115"/>
      <c r="C109" s="39" t="s">
        <v>411</v>
      </c>
      <c r="H109" s="110">
        <f t="shared" si="5"/>
        <v>0</v>
      </c>
      <c r="S109" s="290" t="s">
        <v>704</v>
      </c>
      <c r="T109" s="289"/>
      <c r="U109" s="290"/>
      <c r="V109" s="685"/>
      <c r="W109" s="672"/>
      <c r="AE109">
        <v>102</v>
      </c>
    </row>
    <row r="110" spans="1:31" ht="15" customHeight="1">
      <c r="A110" s="109" t="s">
        <v>414</v>
      </c>
      <c r="B110" s="630" t="s">
        <v>414</v>
      </c>
      <c r="C110" s="628" t="s">
        <v>415</v>
      </c>
      <c r="H110" s="729">
        <f t="shared" si="5"/>
        <v>0</v>
      </c>
      <c r="S110" s="678" t="s">
        <v>478</v>
      </c>
      <c r="T110" s="681" t="s">
        <v>705</v>
      </c>
      <c r="U110" s="680"/>
      <c r="V110" s="781"/>
      <c r="W110" s="672"/>
      <c r="AE110">
        <v>103</v>
      </c>
    </row>
    <row r="111" spans="1:31" ht="15" customHeight="1">
      <c r="A111" t="s">
        <v>416</v>
      </c>
      <c r="B111" s="132" t="s">
        <v>775</v>
      </c>
      <c r="C111" s="697" t="s">
        <v>820</v>
      </c>
      <c r="H111" s="136">
        <f t="shared" si="5"/>
        <v>5</v>
      </c>
      <c r="R111" t="s">
        <v>480</v>
      </c>
      <c r="S111" s="292"/>
      <c r="T111" s="292" t="s">
        <v>706</v>
      </c>
      <c r="U111" s="682">
        <v>1</v>
      </c>
      <c r="V111" s="683" t="s">
        <v>606</v>
      </c>
      <c r="W111" s="672"/>
      <c r="AE111">
        <v>104</v>
      </c>
    </row>
    <row r="112" spans="1:31" ht="15" customHeight="1">
      <c r="A112" s="109" t="s">
        <v>419</v>
      </c>
      <c r="B112" s="631" t="s">
        <v>419</v>
      </c>
      <c r="C112" s="629" t="s">
        <v>420</v>
      </c>
      <c r="H112" s="731">
        <f t="shared" si="5"/>
        <v>0</v>
      </c>
      <c r="R112" t="s">
        <v>482</v>
      </c>
      <c r="S112" s="292"/>
      <c r="T112" s="292" t="s">
        <v>707</v>
      </c>
      <c r="U112" s="682">
        <v>2</v>
      </c>
      <c r="V112" s="683" t="s">
        <v>606</v>
      </c>
      <c r="W112" s="672"/>
      <c r="AE112">
        <v>105</v>
      </c>
    </row>
    <row r="113" spans="1:31" ht="15" customHeight="1">
      <c r="A113" t="s">
        <v>421</v>
      </c>
      <c r="B113" s="134" t="s">
        <v>775</v>
      </c>
      <c r="C113" s="697" t="s">
        <v>821</v>
      </c>
      <c r="H113" s="136">
        <f t="shared" si="5"/>
        <v>1</v>
      </c>
      <c r="R113" t="s">
        <v>483</v>
      </c>
      <c r="S113" s="292"/>
      <c r="T113" s="292" t="s">
        <v>708</v>
      </c>
      <c r="U113" s="682">
        <v>2</v>
      </c>
      <c r="V113" s="683" t="s">
        <v>606</v>
      </c>
      <c r="W113" s="672"/>
      <c r="AE113">
        <v>106</v>
      </c>
    </row>
    <row r="114" spans="1:31" ht="15" customHeight="1">
      <c r="A114" s="109" t="s">
        <v>422</v>
      </c>
      <c r="B114" s="631" t="s">
        <v>422</v>
      </c>
      <c r="C114" s="629" t="s">
        <v>423</v>
      </c>
      <c r="H114" s="731">
        <f t="shared" si="5"/>
        <v>0</v>
      </c>
      <c r="R114" t="s">
        <v>487</v>
      </c>
      <c r="S114" s="678" t="s">
        <v>485</v>
      </c>
      <c r="T114" s="678" t="s">
        <v>709</v>
      </c>
      <c r="U114" s="682">
        <v>1</v>
      </c>
      <c r="V114" s="683" t="s">
        <v>606</v>
      </c>
      <c r="W114" s="672"/>
      <c r="AE114">
        <v>107</v>
      </c>
    </row>
    <row r="115" spans="1:31" ht="15" customHeight="1">
      <c r="A115" t="s">
        <v>428</v>
      </c>
      <c r="B115" s="132" t="s">
        <v>775</v>
      </c>
      <c r="C115" s="697" t="s">
        <v>679</v>
      </c>
      <c r="H115" s="136">
        <f t="shared" si="5"/>
        <v>0</v>
      </c>
      <c r="R115" t="s">
        <v>489</v>
      </c>
      <c r="S115" s="678" t="s">
        <v>488</v>
      </c>
      <c r="T115" s="678" t="s">
        <v>709</v>
      </c>
      <c r="U115" s="682" t="s">
        <v>632</v>
      </c>
      <c r="V115" s="683" t="s">
        <v>606</v>
      </c>
      <c r="W115" s="672"/>
      <c r="AE115">
        <v>108</v>
      </c>
    </row>
    <row r="116" spans="1:31" ht="15.75" customHeight="1">
      <c r="A116" t="s">
        <v>429</v>
      </c>
      <c r="B116" s="132" t="s">
        <v>776</v>
      </c>
      <c r="C116" s="697" t="s">
        <v>822</v>
      </c>
      <c r="H116" s="136">
        <f t="shared" si="5"/>
        <v>0</v>
      </c>
      <c r="R116" t="s">
        <v>492</v>
      </c>
      <c r="S116" s="678" t="s">
        <v>490</v>
      </c>
      <c r="T116" s="678" t="s">
        <v>710</v>
      </c>
      <c r="U116" s="682" t="s">
        <v>632</v>
      </c>
      <c r="V116" s="683" t="s">
        <v>606</v>
      </c>
      <c r="W116" s="672"/>
      <c r="AE116">
        <v>109</v>
      </c>
    </row>
    <row r="117" spans="1:31" ht="15" customHeight="1">
      <c r="A117" t="s">
        <v>430</v>
      </c>
      <c r="B117" s="134" t="s">
        <v>777</v>
      </c>
      <c r="C117" s="697" t="s">
        <v>681</v>
      </c>
      <c r="H117" s="136">
        <f t="shared" si="5"/>
        <v>0</v>
      </c>
      <c r="S117" s="289"/>
      <c r="T117" s="289"/>
      <c r="U117" s="290"/>
      <c r="V117" s="685"/>
      <c r="W117" s="672"/>
      <c r="AE117">
        <v>110</v>
      </c>
    </row>
    <row r="118" spans="1:31" ht="15" customHeight="1">
      <c r="A118" s="109" t="s">
        <v>431</v>
      </c>
      <c r="B118" s="631" t="s">
        <v>431</v>
      </c>
      <c r="C118" s="629" t="s">
        <v>432</v>
      </c>
      <c r="H118" s="731">
        <f t="shared" si="5"/>
        <v>0</v>
      </c>
      <c r="S118" s="290" t="s">
        <v>711</v>
      </c>
      <c r="T118" s="289"/>
      <c r="U118" s="290"/>
      <c r="V118" s="685"/>
      <c r="W118" s="672"/>
      <c r="AE118">
        <v>111</v>
      </c>
    </row>
    <row r="119" spans="1:31" ht="15" customHeight="1" thickBot="1">
      <c r="A119" t="s">
        <v>433</v>
      </c>
      <c r="B119" s="186" t="s">
        <v>775</v>
      </c>
      <c r="C119" s="697" t="s">
        <v>682</v>
      </c>
      <c r="H119" s="136">
        <f t="shared" si="5"/>
        <v>1</v>
      </c>
      <c r="R119" t="s">
        <v>501</v>
      </c>
      <c r="S119" s="678" t="s">
        <v>499</v>
      </c>
      <c r="T119" s="678" t="s">
        <v>712</v>
      </c>
      <c r="U119" s="682">
        <v>2</v>
      </c>
      <c r="V119" s="683" t="s">
        <v>606</v>
      </c>
      <c r="W119" s="672"/>
      <c r="AE119">
        <v>112</v>
      </c>
    </row>
    <row r="120" spans="1:31" ht="15" customHeight="1" thickBot="1">
      <c r="A120" t="s">
        <v>434</v>
      </c>
      <c r="B120" s="162"/>
      <c r="C120" s="42" t="s">
        <v>771</v>
      </c>
      <c r="H120" s="183">
        <f t="shared" si="5"/>
        <v>0</v>
      </c>
      <c r="S120" s="678" t="s">
        <v>503</v>
      </c>
      <c r="T120" s="766" t="s">
        <v>713</v>
      </c>
      <c r="U120" s="767"/>
      <c r="V120" s="768"/>
      <c r="W120" s="672"/>
      <c r="AE120">
        <v>113</v>
      </c>
    </row>
    <row r="121" spans="1:31" ht="15.75" thickBot="1">
      <c r="H121">
        <f t="shared" si="5"/>
        <v>0</v>
      </c>
      <c r="R121" t="s">
        <v>506</v>
      </c>
      <c r="S121" s="292"/>
      <c r="T121" s="292" t="s">
        <v>714</v>
      </c>
      <c r="U121" s="682">
        <v>1</v>
      </c>
      <c r="V121" s="683" t="s">
        <v>606</v>
      </c>
      <c r="W121" s="672"/>
      <c r="AE121">
        <v>114</v>
      </c>
    </row>
    <row r="122" spans="1:31" ht="15.75" thickBot="1">
      <c r="B122" s="120"/>
      <c r="C122" s="121" t="s">
        <v>437</v>
      </c>
      <c r="H122" s="110">
        <f t="shared" si="5"/>
        <v>0</v>
      </c>
      <c r="R122" t="s">
        <v>507</v>
      </c>
      <c r="S122" s="292"/>
      <c r="T122" s="292" t="s">
        <v>715</v>
      </c>
      <c r="U122" s="682">
        <v>1</v>
      </c>
      <c r="V122" s="683" t="s">
        <v>606</v>
      </c>
      <c r="W122" s="672"/>
      <c r="AE122">
        <v>115</v>
      </c>
    </row>
    <row r="123" spans="1:31">
      <c r="A123" s="109" t="s">
        <v>440</v>
      </c>
      <c r="B123" s="652" t="s">
        <v>440</v>
      </c>
      <c r="C123" s="653" t="s">
        <v>823</v>
      </c>
      <c r="H123" s="729">
        <f t="shared" si="5"/>
        <v>0</v>
      </c>
      <c r="S123" s="678" t="s">
        <v>716</v>
      </c>
      <c r="T123" s="681" t="s">
        <v>717</v>
      </c>
      <c r="U123" s="680"/>
      <c r="V123" s="781"/>
      <c r="W123" s="672"/>
      <c r="AE123">
        <v>116</v>
      </c>
    </row>
    <row r="124" spans="1:31">
      <c r="A124" s="109"/>
      <c r="B124" s="134" t="s">
        <v>775</v>
      </c>
      <c r="C124" s="717" t="s">
        <v>824</v>
      </c>
      <c r="H124" s="136">
        <f t="shared" si="5"/>
        <v>0</v>
      </c>
      <c r="R124" t="s">
        <v>510</v>
      </c>
      <c r="S124" s="292"/>
      <c r="T124" s="292" t="s">
        <v>718</v>
      </c>
      <c r="U124" s="682" t="s">
        <v>632</v>
      </c>
      <c r="V124" s="683" t="s">
        <v>606</v>
      </c>
      <c r="W124" s="672"/>
      <c r="AE124">
        <v>117</v>
      </c>
    </row>
    <row r="125" spans="1:31">
      <c r="A125" t="s">
        <v>443</v>
      </c>
      <c r="B125" s="134" t="s">
        <v>776</v>
      </c>
      <c r="C125" s="697" t="s">
        <v>685</v>
      </c>
      <c r="H125" s="136">
        <f t="shared" si="5"/>
        <v>3</v>
      </c>
      <c r="R125" t="s">
        <v>511</v>
      </c>
      <c r="S125" s="292"/>
      <c r="T125" s="292" t="s">
        <v>719</v>
      </c>
      <c r="U125" s="682" t="s">
        <v>632</v>
      </c>
      <c r="V125" s="683" t="s">
        <v>606</v>
      </c>
      <c r="W125" s="672"/>
      <c r="AE125">
        <v>118</v>
      </c>
    </row>
    <row r="126" spans="1:31">
      <c r="A126" t="s">
        <v>444</v>
      </c>
      <c r="B126" s="134" t="s">
        <v>777</v>
      </c>
      <c r="C126" s="697" t="s">
        <v>686</v>
      </c>
      <c r="H126" s="136">
        <f t="shared" si="5"/>
        <v>2</v>
      </c>
      <c r="S126" s="678" t="s">
        <v>512</v>
      </c>
      <c r="T126" s="766" t="s">
        <v>720</v>
      </c>
      <c r="U126" s="767"/>
      <c r="V126" s="768"/>
      <c r="W126" s="672"/>
      <c r="AE126">
        <v>119</v>
      </c>
    </row>
    <row r="127" spans="1:31">
      <c r="A127" s="109" t="s">
        <v>445</v>
      </c>
      <c r="B127" s="631" t="s">
        <v>445</v>
      </c>
      <c r="C127" s="629" t="s">
        <v>825</v>
      </c>
      <c r="H127" s="731">
        <f t="shared" si="5"/>
        <v>0</v>
      </c>
      <c r="R127" t="s">
        <v>515</v>
      </c>
      <c r="S127" s="292"/>
      <c r="T127" s="292" t="s">
        <v>721</v>
      </c>
      <c r="U127" s="682">
        <v>1</v>
      </c>
      <c r="V127" s="683" t="s">
        <v>606</v>
      </c>
      <c r="W127" s="672"/>
      <c r="AE127">
        <v>120</v>
      </c>
    </row>
    <row r="128" spans="1:31">
      <c r="A128" s="109"/>
      <c r="B128" s="134" t="s">
        <v>775</v>
      </c>
      <c r="C128" s="717" t="s">
        <v>826</v>
      </c>
      <c r="H128" s="136">
        <f t="shared" si="5"/>
        <v>0</v>
      </c>
      <c r="R128" t="s">
        <v>516</v>
      </c>
      <c r="S128" s="292"/>
      <c r="T128" s="292" t="s">
        <v>722</v>
      </c>
      <c r="U128" s="682">
        <v>3</v>
      </c>
      <c r="V128" s="683" t="s">
        <v>606</v>
      </c>
      <c r="W128" s="672"/>
      <c r="AE128">
        <v>121</v>
      </c>
    </row>
    <row r="129" spans="1:31">
      <c r="A129" t="s">
        <v>447</v>
      </c>
      <c r="B129" s="134" t="s">
        <v>776</v>
      </c>
      <c r="C129" s="697" t="s">
        <v>688</v>
      </c>
      <c r="H129" s="136">
        <f t="shared" si="5"/>
        <v>1</v>
      </c>
      <c r="S129" s="678" t="s">
        <v>517</v>
      </c>
      <c r="T129" s="766" t="s">
        <v>723</v>
      </c>
      <c r="U129" s="767"/>
      <c r="V129" s="768"/>
      <c r="W129" s="672"/>
      <c r="AE129">
        <v>122</v>
      </c>
    </row>
    <row r="130" spans="1:31">
      <c r="A130" t="s">
        <v>448</v>
      </c>
      <c r="B130" s="134" t="s">
        <v>777</v>
      </c>
      <c r="C130" s="697" t="s">
        <v>689</v>
      </c>
      <c r="H130" s="136">
        <f t="shared" si="5"/>
        <v>2</v>
      </c>
      <c r="R130" t="s">
        <v>520</v>
      </c>
      <c r="S130" s="292"/>
      <c r="T130" s="292" t="s">
        <v>724</v>
      </c>
      <c r="U130" s="682">
        <v>1</v>
      </c>
      <c r="V130" s="683" t="s">
        <v>606</v>
      </c>
      <c r="W130" s="672"/>
      <c r="AE130">
        <v>123</v>
      </c>
    </row>
    <row r="131" spans="1:31">
      <c r="A131" s="109" t="s">
        <v>449</v>
      </c>
      <c r="B131" s="631" t="s">
        <v>449</v>
      </c>
      <c r="C131" s="629" t="s">
        <v>827</v>
      </c>
      <c r="H131" s="731">
        <f t="shared" si="5"/>
        <v>0</v>
      </c>
      <c r="R131" t="s">
        <v>521</v>
      </c>
      <c r="S131" s="292"/>
      <c r="T131" s="292" t="s">
        <v>725</v>
      </c>
      <c r="U131" s="682">
        <v>1</v>
      </c>
      <c r="V131" s="683" t="s">
        <v>606</v>
      </c>
      <c r="W131" s="672"/>
      <c r="AE131">
        <v>124</v>
      </c>
    </row>
    <row r="132" spans="1:31">
      <c r="B132" s="134" t="s">
        <v>775</v>
      </c>
      <c r="C132" s="717" t="s">
        <v>828</v>
      </c>
      <c r="H132" s="136">
        <f t="shared" si="5"/>
        <v>0</v>
      </c>
      <c r="R132" t="s">
        <v>524</v>
      </c>
      <c r="S132" s="678" t="s">
        <v>522</v>
      </c>
      <c r="T132" s="678" t="s">
        <v>726</v>
      </c>
      <c r="U132" s="682">
        <v>1</v>
      </c>
      <c r="V132" s="683" t="s">
        <v>606</v>
      </c>
      <c r="W132" s="672"/>
      <c r="AE132">
        <v>125</v>
      </c>
    </row>
    <row r="133" spans="1:31">
      <c r="A133" t="s">
        <v>452</v>
      </c>
      <c r="B133" s="134" t="s">
        <v>776</v>
      </c>
      <c r="C133" s="697" t="s">
        <v>691</v>
      </c>
      <c r="H133" s="136">
        <f t="shared" si="5"/>
        <v>1</v>
      </c>
      <c r="R133" t="s">
        <v>528</v>
      </c>
      <c r="S133" s="680" t="s">
        <v>727</v>
      </c>
      <c r="T133" s="680" t="s">
        <v>728</v>
      </c>
      <c r="U133" s="682">
        <v>2</v>
      </c>
      <c r="V133" s="683" t="s">
        <v>606</v>
      </c>
      <c r="W133" s="672"/>
      <c r="AE133">
        <v>126</v>
      </c>
    </row>
    <row r="134" spans="1:31">
      <c r="A134" t="s">
        <v>453</v>
      </c>
      <c r="B134" s="134" t="s">
        <v>777</v>
      </c>
      <c r="C134" s="697" t="s">
        <v>692</v>
      </c>
      <c r="H134" s="136">
        <f t="shared" si="5"/>
        <v>2</v>
      </c>
      <c r="S134" s="680" t="s">
        <v>729</v>
      </c>
      <c r="T134" s="680" t="s">
        <v>730</v>
      </c>
      <c r="U134" s="680"/>
      <c r="V134" s="781"/>
      <c r="W134" s="672"/>
      <c r="AE134">
        <v>127</v>
      </c>
    </row>
    <row r="135" spans="1:31">
      <c r="A135" s="109" t="s">
        <v>454</v>
      </c>
      <c r="B135" s="631" t="s">
        <v>454</v>
      </c>
      <c r="C135" s="629" t="s">
        <v>829</v>
      </c>
      <c r="H135" s="731">
        <f t="shared" si="5"/>
        <v>0</v>
      </c>
      <c r="R135" t="s">
        <v>531</v>
      </c>
      <c r="S135" s="677"/>
      <c r="T135" s="292" t="s">
        <v>731</v>
      </c>
      <c r="U135" s="682">
        <v>1</v>
      </c>
      <c r="V135" s="683" t="s">
        <v>606</v>
      </c>
      <c r="W135" s="672"/>
      <c r="AE135">
        <v>128</v>
      </c>
    </row>
    <row r="136" spans="1:31">
      <c r="B136" s="134" t="s">
        <v>775</v>
      </c>
      <c r="C136" s="717" t="s">
        <v>830</v>
      </c>
      <c r="H136" s="136">
        <f t="shared" ref="H136:H198" si="8">SUMIF($R$7:$R$182,A136,$U$7:$U$182)</f>
        <v>0</v>
      </c>
      <c r="R136" t="s">
        <v>533</v>
      </c>
      <c r="S136" s="677"/>
      <c r="T136" s="292" t="s">
        <v>732</v>
      </c>
      <c r="U136" s="682">
        <v>1</v>
      </c>
      <c r="V136" s="683" t="s">
        <v>606</v>
      </c>
      <c r="W136" s="672"/>
      <c r="AE136">
        <v>129</v>
      </c>
    </row>
    <row r="137" spans="1:31">
      <c r="A137" t="s">
        <v>457</v>
      </c>
      <c r="B137" s="134" t="s">
        <v>776</v>
      </c>
      <c r="C137" s="697" t="s">
        <v>694</v>
      </c>
      <c r="H137" s="136">
        <f t="shared" si="8"/>
        <v>1</v>
      </c>
      <c r="S137" s="677"/>
      <c r="T137" s="677"/>
      <c r="U137" s="696"/>
      <c r="V137" s="685"/>
      <c r="W137" s="672"/>
      <c r="AE137">
        <v>130</v>
      </c>
    </row>
    <row r="138" spans="1:31">
      <c r="A138" t="s">
        <v>458</v>
      </c>
      <c r="B138" s="134" t="s">
        <v>777</v>
      </c>
      <c r="C138" s="697" t="s">
        <v>695</v>
      </c>
      <c r="H138" s="136">
        <f t="shared" si="8"/>
        <v>1</v>
      </c>
      <c r="S138" s="290" t="s">
        <v>733</v>
      </c>
      <c r="T138" s="289"/>
      <c r="U138" s="290"/>
      <c r="V138" s="685"/>
      <c r="W138" s="672"/>
      <c r="AE138">
        <v>131</v>
      </c>
    </row>
    <row r="139" spans="1:31">
      <c r="A139" t="s">
        <v>460</v>
      </c>
      <c r="B139" s="134" t="s">
        <v>778</v>
      </c>
      <c r="C139" s="753" t="s">
        <v>831</v>
      </c>
      <c r="H139" s="774">
        <f>IF(SUMIF($R$7:$R$182,A139,$U$7:$U$182)=2,1,SUMIF($R$7:$R$182,A139,$U$7:$U$182))</f>
        <v>1</v>
      </c>
      <c r="I139" t="s">
        <v>832</v>
      </c>
      <c r="R139" t="s">
        <v>544</v>
      </c>
      <c r="S139" s="678" t="s">
        <v>734</v>
      </c>
      <c r="T139" s="678" t="s">
        <v>735</v>
      </c>
      <c r="U139" s="682">
        <v>3</v>
      </c>
      <c r="V139" s="683" t="s">
        <v>606</v>
      </c>
      <c r="W139" s="672"/>
      <c r="AE139">
        <v>132</v>
      </c>
    </row>
    <row r="140" spans="1:31">
      <c r="A140" t="s">
        <v>462</v>
      </c>
      <c r="B140" s="134" t="s">
        <v>779</v>
      </c>
      <c r="C140" s="753" t="s">
        <v>833</v>
      </c>
      <c r="H140" s="774">
        <f>IF(SUMIF($R$7:$R$182,A139,$U$7:$U$182)=2,1,0)</f>
        <v>1</v>
      </c>
      <c r="I140" t="s">
        <v>832</v>
      </c>
      <c r="R140" t="s">
        <v>551</v>
      </c>
      <c r="S140" s="678" t="s">
        <v>736</v>
      </c>
      <c r="T140" s="678" t="s">
        <v>737</v>
      </c>
      <c r="U140" s="682">
        <v>2</v>
      </c>
      <c r="V140" s="683" t="s">
        <v>606</v>
      </c>
      <c r="W140" s="672"/>
      <c r="AE140">
        <v>133</v>
      </c>
    </row>
    <row r="141" spans="1:31">
      <c r="A141" s="109" t="s">
        <v>463</v>
      </c>
      <c r="B141" s="631" t="s">
        <v>463</v>
      </c>
      <c r="C141" s="629" t="s">
        <v>834</v>
      </c>
      <c r="H141" s="731">
        <f t="shared" si="8"/>
        <v>0</v>
      </c>
      <c r="R141" t="s">
        <v>555</v>
      </c>
      <c r="S141" s="678" t="s">
        <v>738</v>
      </c>
      <c r="T141" s="678" t="s">
        <v>739</v>
      </c>
      <c r="U141" s="682">
        <v>1</v>
      </c>
      <c r="V141" s="683" t="s">
        <v>606</v>
      </c>
      <c r="W141" s="672"/>
      <c r="AE141">
        <v>134</v>
      </c>
    </row>
    <row r="142" spans="1:31">
      <c r="A142" t="s">
        <v>465</v>
      </c>
      <c r="B142" s="134" t="s">
        <v>775</v>
      </c>
      <c r="C142" s="697" t="s">
        <v>698</v>
      </c>
      <c r="H142" s="136">
        <f t="shared" si="8"/>
        <v>1</v>
      </c>
      <c r="R142" t="s">
        <v>559</v>
      </c>
      <c r="S142" s="678" t="s">
        <v>740</v>
      </c>
      <c r="T142" s="678" t="s">
        <v>741</v>
      </c>
      <c r="U142" s="682">
        <v>1</v>
      </c>
      <c r="V142" s="683" t="s">
        <v>606</v>
      </c>
      <c r="W142" s="672"/>
      <c r="AE142">
        <v>135</v>
      </c>
    </row>
    <row r="143" spans="1:31">
      <c r="A143" t="s">
        <v>466</v>
      </c>
      <c r="B143" s="134" t="s">
        <v>776</v>
      </c>
      <c r="C143" s="697" t="s">
        <v>697</v>
      </c>
      <c r="H143" s="136">
        <f t="shared" si="8"/>
        <v>1</v>
      </c>
      <c r="S143" s="289"/>
      <c r="T143" s="289"/>
      <c r="U143" s="290"/>
      <c r="V143" s="685"/>
      <c r="W143" s="672"/>
      <c r="AE143">
        <v>136</v>
      </c>
    </row>
    <row r="144" spans="1:31">
      <c r="A144" t="s">
        <v>467</v>
      </c>
      <c r="B144" s="134" t="s">
        <v>777</v>
      </c>
      <c r="C144" s="697" t="s">
        <v>699</v>
      </c>
      <c r="H144" s="136">
        <f t="shared" si="8"/>
        <v>1</v>
      </c>
      <c r="S144" s="290" t="s">
        <v>742</v>
      </c>
      <c r="T144" s="289"/>
      <c r="U144" s="290"/>
      <c r="V144" s="685"/>
      <c r="W144" s="672"/>
      <c r="AE144">
        <v>137</v>
      </c>
    </row>
    <row r="145" spans="1:31">
      <c r="A145" s="109" t="s">
        <v>468</v>
      </c>
      <c r="B145" s="631" t="s">
        <v>468</v>
      </c>
      <c r="C145" s="629" t="s">
        <v>835</v>
      </c>
      <c r="H145" s="731">
        <f t="shared" si="8"/>
        <v>0</v>
      </c>
      <c r="R145" t="s">
        <v>567</v>
      </c>
      <c r="S145" s="292" t="s">
        <v>743</v>
      </c>
      <c r="T145" s="292" t="s">
        <v>744</v>
      </c>
      <c r="U145" s="682">
        <v>1</v>
      </c>
      <c r="V145" s="683" t="s">
        <v>606</v>
      </c>
      <c r="W145" s="672"/>
      <c r="AE145">
        <v>138</v>
      </c>
    </row>
    <row r="146" spans="1:31">
      <c r="A146" t="s">
        <v>469</v>
      </c>
      <c r="B146" s="134" t="s">
        <v>775</v>
      </c>
      <c r="C146" s="697" t="s">
        <v>701</v>
      </c>
      <c r="H146" s="136">
        <f t="shared" si="8"/>
        <v>1</v>
      </c>
      <c r="R146" t="s">
        <v>569</v>
      </c>
      <c r="S146" s="292" t="s">
        <v>745</v>
      </c>
      <c r="T146" s="292" t="s">
        <v>746</v>
      </c>
      <c r="U146" s="682"/>
      <c r="V146" s="683" t="s">
        <v>606</v>
      </c>
      <c r="W146" s="672"/>
      <c r="AE146">
        <v>139</v>
      </c>
    </row>
    <row r="147" spans="1:31">
      <c r="A147" t="s">
        <v>470</v>
      </c>
      <c r="B147" s="134" t="s">
        <v>776</v>
      </c>
      <c r="C147" s="697" t="s">
        <v>702</v>
      </c>
      <c r="H147" s="136">
        <f t="shared" si="8"/>
        <v>1</v>
      </c>
      <c r="R147" t="s">
        <v>572</v>
      </c>
      <c r="S147" s="292" t="s">
        <v>745</v>
      </c>
      <c r="T147" s="292" t="s">
        <v>747</v>
      </c>
      <c r="U147" s="682">
        <v>1</v>
      </c>
      <c r="V147" s="683" t="s">
        <v>606</v>
      </c>
      <c r="W147" s="672"/>
      <c r="AE147">
        <v>140</v>
      </c>
    </row>
    <row r="148" spans="1:31" ht="15.75" thickBot="1">
      <c r="A148" t="s">
        <v>471</v>
      </c>
      <c r="B148" s="156" t="s">
        <v>777</v>
      </c>
      <c r="C148" s="720" t="s">
        <v>836</v>
      </c>
      <c r="H148" s="136">
        <f t="shared" si="8"/>
        <v>1</v>
      </c>
      <c r="R148" t="s">
        <v>574</v>
      </c>
      <c r="S148" s="292" t="s">
        <v>748</v>
      </c>
      <c r="T148" s="292" t="s">
        <v>749</v>
      </c>
      <c r="U148" s="682">
        <v>1</v>
      </c>
      <c r="V148" s="683" t="s">
        <v>606</v>
      </c>
      <c r="W148" s="672"/>
      <c r="AE148">
        <v>141</v>
      </c>
    </row>
    <row r="149" spans="1:31" ht="15.75" thickBot="1">
      <c r="A149" t="s">
        <v>472</v>
      </c>
      <c r="B149" s="524"/>
      <c r="C149" s="523" t="s">
        <v>771</v>
      </c>
      <c r="H149" s="183">
        <f t="shared" si="8"/>
        <v>0</v>
      </c>
      <c r="R149" t="s">
        <v>576</v>
      </c>
      <c r="S149" s="292" t="s">
        <v>750</v>
      </c>
      <c r="T149" s="292" t="s">
        <v>751</v>
      </c>
      <c r="U149" s="682">
        <v>4</v>
      </c>
      <c r="V149" s="683" t="s">
        <v>606</v>
      </c>
      <c r="W149" s="672"/>
      <c r="AE149">
        <v>142</v>
      </c>
    </row>
    <row r="150" spans="1:31" ht="15.75" thickBot="1">
      <c r="H150">
        <f t="shared" si="8"/>
        <v>0</v>
      </c>
      <c r="R150" t="s">
        <v>579</v>
      </c>
      <c r="S150" s="292" t="s">
        <v>750</v>
      </c>
      <c r="T150" s="292" t="s">
        <v>752</v>
      </c>
      <c r="U150" s="682">
        <v>1</v>
      </c>
      <c r="V150" s="683" t="s">
        <v>606</v>
      </c>
      <c r="W150" s="672"/>
      <c r="AE150">
        <v>143</v>
      </c>
    </row>
    <row r="151" spans="1:31" ht="15.75" thickBot="1">
      <c r="B151" s="115"/>
      <c r="C151" s="39" t="s">
        <v>475</v>
      </c>
      <c r="H151" s="110">
        <f t="shared" si="8"/>
        <v>0</v>
      </c>
      <c r="R151" t="s">
        <v>581</v>
      </c>
      <c r="S151" s="292" t="s">
        <v>753</v>
      </c>
      <c r="T151" s="292" t="s">
        <v>754</v>
      </c>
      <c r="U151" s="682">
        <v>1</v>
      </c>
      <c r="V151" s="683" t="s">
        <v>606</v>
      </c>
      <c r="W151" s="672"/>
      <c r="AE151">
        <v>144</v>
      </c>
    </row>
    <row r="152" spans="1:31">
      <c r="A152" s="109" t="s">
        <v>478</v>
      </c>
      <c r="B152" s="630" t="s">
        <v>478</v>
      </c>
      <c r="C152" s="628" t="s">
        <v>479</v>
      </c>
      <c r="H152" s="729">
        <f t="shared" si="8"/>
        <v>0</v>
      </c>
      <c r="R152" t="s">
        <v>583</v>
      </c>
      <c r="S152" s="292" t="s">
        <v>186</v>
      </c>
      <c r="T152" s="292" t="s">
        <v>755</v>
      </c>
      <c r="U152" s="682">
        <v>1</v>
      </c>
      <c r="V152" s="683" t="s">
        <v>606</v>
      </c>
      <c r="W152" s="672"/>
      <c r="AE152">
        <v>145</v>
      </c>
    </row>
    <row r="153" spans="1:31">
      <c r="A153" t="s">
        <v>480</v>
      </c>
      <c r="B153" s="132" t="s">
        <v>775</v>
      </c>
      <c r="C153" s="697" t="s">
        <v>706</v>
      </c>
      <c r="H153" s="136">
        <f t="shared" si="8"/>
        <v>1</v>
      </c>
      <c r="R153" t="s">
        <v>585</v>
      </c>
      <c r="S153" s="292" t="s">
        <v>187</v>
      </c>
      <c r="T153" s="292" t="s">
        <v>756</v>
      </c>
      <c r="U153" s="682">
        <v>1</v>
      </c>
      <c r="V153" s="683" t="s">
        <v>606</v>
      </c>
      <c r="W153" s="672"/>
      <c r="AE153">
        <v>146</v>
      </c>
    </row>
    <row r="154" spans="1:31">
      <c r="A154" t="s">
        <v>482</v>
      </c>
      <c r="B154" s="132" t="s">
        <v>776</v>
      </c>
      <c r="C154" s="697" t="s">
        <v>707</v>
      </c>
      <c r="H154" s="136">
        <f t="shared" si="8"/>
        <v>2</v>
      </c>
      <c r="R154" t="s">
        <v>587</v>
      </c>
      <c r="S154" s="289" t="s">
        <v>189</v>
      </c>
      <c r="T154" s="292" t="s">
        <v>757</v>
      </c>
      <c r="U154" s="682">
        <v>1</v>
      </c>
      <c r="V154" s="683" t="s">
        <v>606</v>
      </c>
      <c r="W154" s="672"/>
      <c r="AE154">
        <v>147</v>
      </c>
    </row>
    <row r="155" spans="1:31">
      <c r="A155" t="s">
        <v>483</v>
      </c>
      <c r="B155" s="132" t="s">
        <v>777</v>
      </c>
      <c r="C155" s="697" t="s">
        <v>708</v>
      </c>
      <c r="H155" s="136">
        <f t="shared" si="8"/>
        <v>2</v>
      </c>
      <c r="R155" t="s">
        <v>588</v>
      </c>
      <c r="S155" s="289" t="s">
        <v>758</v>
      </c>
      <c r="T155" s="292" t="s">
        <v>759</v>
      </c>
      <c r="U155" s="682">
        <v>1</v>
      </c>
      <c r="V155" s="683" t="s">
        <v>606</v>
      </c>
      <c r="W155" s="672"/>
      <c r="AE155">
        <v>148</v>
      </c>
    </row>
    <row r="156" spans="1:31">
      <c r="B156" s="516" t="s">
        <v>806</v>
      </c>
      <c r="C156" s="517"/>
      <c r="H156" s="724">
        <f t="shared" si="8"/>
        <v>0</v>
      </c>
      <c r="R156" t="s">
        <v>589</v>
      </c>
      <c r="S156" s="289" t="s">
        <v>760</v>
      </c>
      <c r="T156" s="292" t="s">
        <v>761</v>
      </c>
      <c r="U156" s="682">
        <v>1</v>
      </c>
      <c r="V156" s="683" t="s">
        <v>606</v>
      </c>
      <c r="W156" s="672"/>
      <c r="AE156">
        <v>149</v>
      </c>
    </row>
    <row r="157" spans="1:31">
      <c r="A157" s="109" t="s">
        <v>485</v>
      </c>
      <c r="B157" s="631" t="s">
        <v>485</v>
      </c>
      <c r="C157" s="629" t="s">
        <v>837</v>
      </c>
      <c r="H157" s="136">
        <f t="shared" si="8"/>
        <v>0</v>
      </c>
      <c r="R157" t="s">
        <v>590</v>
      </c>
      <c r="S157" s="289" t="s">
        <v>762</v>
      </c>
      <c r="T157" s="292" t="s">
        <v>763</v>
      </c>
      <c r="U157" s="682">
        <v>1</v>
      </c>
      <c r="V157" s="683" t="s">
        <v>606</v>
      </c>
      <c r="W157" s="672"/>
      <c r="AE157">
        <v>150</v>
      </c>
    </row>
    <row r="158" spans="1:31">
      <c r="A158" t="s">
        <v>487</v>
      </c>
      <c r="B158" s="134" t="s">
        <v>775</v>
      </c>
      <c r="C158" s="697" t="s">
        <v>709</v>
      </c>
      <c r="H158" s="136">
        <f>SUMIF($R$7:$R$182,A158,$U$7:$U$182)</f>
        <v>1</v>
      </c>
      <c r="R158" t="s">
        <v>591</v>
      </c>
      <c r="S158" s="289" t="s">
        <v>729</v>
      </c>
      <c r="T158" s="292" t="s">
        <v>764</v>
      </c>
      <c r="U158" s="682">
        <v>1</v>
      </c>
      <c r="V158" s="683" t="s">
        <v>606</v>
      </c>
      <c r="W158" s="672"/>
      <c r="AE158">
        <v>151</v>
      </c>
    </row>
    <row r="159" spans="1:31">
      <c r="A159" s="109" t="s">
        <v>488</v>
      </c>
      <c r="B159" s="631" t="s">
        <v>488</v>
      </c>
      <c r="C159" s="629" t="s">
        <v>838</v>
      </c>
      <c r="H159" s="731">
        <f t="shared" si="8"/>
        <v>0</v>
      </c>
      <c r="V159" s="685"/>
      <c r="W159" s="672"/>
      <c r="Z159">
        <v>2</v>
      </c>
      <c r="AE159">
        <v>152</v>
      </c>
    </row>
    <row r="160" spans="1:31">
      <c r="A160" t="s">
        <v>489</v>
      </c>
      <c r="B160" s="134" t="s">
        <v>775</v>
      </c>
      <c r="C160" s="697" t="s">
        <v>839</v>
      </c>
      <c r="H160" s="136">
        <f t="shared" si="8"/>
        <v>0</v>
      </c>
      <c r="V160" s="685"/>
      <c r="W160" s="672"/>
      <c r="AE160">
        <v>153</v>
      </c>
    </row>
    <row r="161" spans="1:31">
      <c r="A161" s="109" t="s">
        <v>490</v>
      </c>
      <c r="B161" s="631" t="s">
        <v>490</v>
      </c>
      <c r="C161" s="629" t="s">
        <v>840</v>
      </c>
      <c r="H161" s="731">
        <f t="shared" si="8"/>
        <v>0</v>
      </c>
      <c r="V161" s="685"/>
      <c r="W161" s="672"/>
      <c r="AE161">
        <v>154</v>
      </c>
    </row>
    <row r="162" spans="1:31" ht="15.75" thickBot="1">
      <c r="A162" t="s">
        <v>492</v>
      </c>
      <c r="B162" s="186" t="s">
        <v>775</v>
      </c>
      <c r="C162" s="697" t="s">
        <v>841</v>
      </c>
      <c r="H162" s="136">
        <f t="shared" si="8"/>
        <v>0</v>
      </c>
      <c r="V162" s="685"/>
      <c r="W162" s="672"/>
      <c r="AE162">
        <v>155</v>
      </c>
    </row>
    <row r="163" spans="1:31" ht="15.75" thickBot="1">
      <c r="A163" t="s">
        <v>493</v>
      </c>
      <c r="B163" s="162"/>
      <c r="C163" s="42" t="s">
        <v>771</v>
      </c>
      <c r="H163" s="183">
        <f t="shared" si="8"/>
        <v>0</v>
      </c>
      <c r="V163" s="685"/>
      <c r="W163" s="672"/>
      <c r="AE163">
        <v>156</v>
      </c>
    </row>
    <row r="164" spans="1:31" ht="15.75" thickBot="1">
      <c r="H164">
        <f t="shared" si="8"/>
        <v>0</v>
      </c>
      <c r="V164" s="685"/>
      <c r="W164" s="672"/>
      <c r="AE164">
        <v>157</v>
      </c>
    </row>
    <row r="165" spans="1:31" ht="15.75" thickBot="1">
      <c r="B165" s="120"/>
      <c r="C165" s="121" t="s">
        <v>842</v>
      </c>
      <c r="H165" s="110">
        <f t="shared" si="8"/>
        <v>0</v>
      </c>
      <c r="V165" s="685"/>
      <c r="W165" s="672"/>
    </row>
    <row r="166" spans="1:31">
      <c r="A166" s="109" t="s">
        <v>499</v>
      </c>
      <c r="B166" s="652" t="s">
        <v>499</v>
      </c>
      <c r="C166" s="653" t="s">
        <v>500</v>
      </c>
      <c r="H166" s="729">
        <f t="shared" si="8"/>
        <v>0</v>
      </c>
      <c r="V166" s="685"/>
      <c r="W166" s="672"/>
    </row>
    <row r="167" spans="1:31">
      <c r="A167" t="s">
        <v>501</v>
      </c>
      <c r="B167" s="134" t="s">
        <v>775</v>
      </c>
      <c r="C167" s="697" t="s">
        <v>843</v>
      </c>
      <c r="H167" s="136">
        <f t="shared" si="8"/>
        <v>2</v>
      </c>
      <c r="V167" s="685"/>
      <c r="W167" s="672"/>
    </row>
    <row r="168" spans="1:31">
      <c r="A168" s="109" t="s">
        <v>503</v>
      </c>
      <c r="B168" s="631" t="s">
        <v>503</v>
      </c>
      <c r="C168" s="629" t="s">
        <v>844</v>
      </c>
      <c r="H168" s="731">
        <f t="shared" si="8"/>
        <v>0</v>
      </c>
      <c r="V168" s="685"/>
      <c r="W168" s="672"/>
    </row>
    <row r="169" spans="1:31">
      <c r="B169" s="134" t="s">
        <v>775</v>
      </c>
      <c r="C169" s="717" t="s">
        <v>845</v>
      </c>
      <c r="H169" s="136">
        <f t="shared" si="8"/>
        <v>0</v>
      </c>
      <c r="V169" s="685"/>
      <c r="W169" s="672"/>
    </row>
    <row r="170" spans="1:31">
      <c r="A170" t="s">
        <v>506</v>
      </c>
      <c r="B170" s="134" t="s">
        <v>776</v>
      </c>
      <c r="C170" s="697" t="s">
        <v>714</v>
      </c>
      <c r="H170" s="136">
        <f t="shared" si="8"/>
        <v>1</v>
      </c>
      <c r="V170" s="685"/>
      <c r="W170" s="672"/>
    </row>
    <row r="171" spans="1:31">
      <c r="A171" t="s">
        <v>507</v>
      </c>
      <c r="B171" s="134" t="s">
        <v>777</v>
      </c>
      <c r="C171" s="697" t="s">
        <v>715</v>
      </c>
      <c r="H171" s="136">
        <f t="shared" si="8"/>
        <v>1</v>
      </c>
      <c r="V171" s="685"/>
      <c r="W171" s="672"/>
    </row>
    <row r="172" spans="1:31">
      <c r="A172" s="109" t="s">
        <v>508</v>
      </c>
      <c r="B172" s="631" t="s">
        <v>508</v>
      </c>
      <c r="C172" s="629" t="s">
        <v>846</v>
      </c>
      <c r="H172" s="731">
        <f t="shared" si="8"/>
        <v>0</v>
      </c>
      <c r="V172" s="685"/>
      <c r="W172" s="672"/>
    </row>
    <row r="173" spans="1:31">
      <c r="B173" s="134" t="s">
        <v>775</v>
      </c>
      <c r="C173" s="717" t="s">
        <v>847</v>
      </c>
      <c r="H173" s="136">
        <f t="shared" si="8"/>
        <v>0</v>
      </c>
      <c r="V173" s="685"/>
      <c r="W173" s="672"/>
    </row>
    <row r="174" spans="1:31">
      <c r="A174" t="s">
        <v>510</v>
      </c>
      <c r="B174" s="134" t="s">
        <v>776</v>
      </c>
      <c r="C174" s="697" t="s">
        <v>718</v>
      </c>
      <c r="H174" s="136">
        <f t="shared" si="8"/>
        <v>0</v>
      </c>
      <c r="W174" s="672"/>
    </row>
    <row r="175" spans="1:31">
      <c r="A175" t="s">
        <v>511</v>
      </c>
      <c r="B175" s="134" t="s">
        <v>777</v>
      </c>
      <c r="C175" s="697" t="s">
        <v>719</v>
      </c>
      <c r="H175" s="136">
        <f t="shared" si="8"/>
        <v>0</v>
      </c>
      <c r="W175" s="672"/>
    </row>
    <row r="176" spans="1:31">
      <c r="A176" s="109" t="s">
        <v>512</v>
      </c>
      <c r="B176" s="631" t="s">
        <v>512</v>
      </c>
      <c r="C176" s="629" t="s">
        <v>848</v>
      </c>
      <c r="H176" s="731">
        <f t="shared" si="8"/>
        <v>0</v>
      </c>
      <c r="W176" s="672"/>
    </row>
    <row r="177" spans="1:23">
      <c r="B177" s="134" t="s">
        <v>775</v>
      </c>
      <c r="C177" s="717" t="s">
        <v>849</v>
      </c>
      <c r="H177" s="136">
        <f t="shared" si="8"/>
        <v>0</v>
      </c>
      <c r="W177" s="672"/>
    </row>
    <row r="178" spans="1:23">
      <c r="A178" t="s">
        <v>515</v>
      </c>
      <c r="B178" s="134" t="s">
        <v>776</v>
      </c>
      <c r="C178" s="697" t="s">
        <v>721</v>
      </c>
      <c r="H178" s="136">
        <f t="shared" si="8"/>
        <v>1</v>
      </c>
      <c r="W178" s="672"/>
    </row>
    <row r="179" spans="1:23">
      <c r="A179" t="s">
        <v>516</v>
      </c>
      <c r="B179" s="134" t="s">
        <v>777</v>
      </c>
      <c r="C179" s="697" t="s">
        <v>722</v>
      </c>
      <c r="H179" s="136">
        <f t="shared" si="8"/>
        <v>3</v>
      </c>
      <c r="W179" s="672"/>
    </row>
    <row r="180" spans="1:23">
      <c r="A180" s="109" t="s">
        <v>517</v>
      </c>
      <c r="B180" s="631" t="s">
        <v>517</v>
      </c>
      <c r="C180" s="629" t="s">
        <v>850</v>
      </c>
      <c r="H180" s="731">
        <f t="shared" si="8"/>
        <v>0</v>
      </c>
      <c r="W180" s="672"/>
    </row>
    <row r="181" spans="1:23">
      <c r="B181" s="134" t="s">
        <v>775</v>
      </c>
      <c r="C181" s="717" t="s">
        <v>851</v>
      </c>
      <c r="H181" s="136">
        <f t="shared" si="8"/>
        <v>0</v>
      </c>
      <c r="W181" s="672"/>
    </row>
    <row r="182" spans="1:23">
      <c r="A182" t="s">
        <v>520</v>
      </c>
      <c r="B182" s="134" t="s">
        <v>776</v>
      </c>
      <c r="C182" s="697" t="s">
        <v>724</v>
      </c>
      <c r="H182" s="136">
        <f t="shared" si="8"/>
        <v>1</v>
      </c>
      <c r="W182" s="672"/>
    </row>
    <row r="183" spans="1:23">
      <c r="A183" t="s">
        <v>521</v>
      </c>
      <c r="B183" s="134" t="s">
        <v>777</v>
      </c>
      <c r="C183" s="697" t="s">
        <v>725</v>
      </c>
      <c r="H183" s="136">
        <f t="shared" si="8"/>
        <v>1</v>
      </c>
      <c r="W183" s="672"/>
    </row>
    <row r="184" spans="1:23">
      <c r="A184" s="109" t="s">
        <v>522</v>
      </c>
      <c r="B184" s="631" t="s">
        <v>522</v>
      </c>
      <c r="C184" s="629" t="s">
        <v>852</v>
      </c>
      <c r="H184" s="731">
        <f t="shared" si="8"/>
        <v>0</v>
      </c>
      <c r="W184" s="672"/>
    </row>
    <row r="185" spans="1:23">
      <c r="A185" t="s">
        <v>524</v>
      </c>
      <c r="B185" s="134" t="s">
        <v>775</v>
      </c>
      <c r="C185" s="697" t="s">
        <v>853</v>
      </c>
      <c r="H185" s="136">
        <f t="shared" si="8"/>
        <v>1</v>
      </c>
      <c r="W185" s="672"/>
    </row>
    <row r="186" spans="1:23">
      <c r="A186" s="109" t="s">
        <v>526</v>
      </c>
      <c r="B186" s="631" t="s">
        <v>526</v>
      </c>
      <c r="C186" s="629" t="s">
        <v>854</v>
      </c>
      <c r="H186" s="731">
        <f t="shared" si="8"/>
        <v>0</v>
      </c>
      <c r="W186" s="672"/>
    </row>
    <row r="187" spans="1:23">
      <c r="B187" s="134" t="s">
        <v>775</v>
      </c>
      <c r="C187" s="717" t="s">
        <v>855</v>
      </c>
      <c r="H187" s="136">
        <f t="shared" si="8"/>
        <v>0</v>
      </c>
      <c r="W187" s="672"/>
    </row>
    <row r="188" spans="1:23">
      <c r="A188" t="s">
        <v>528</v>
      </c>
      <c r="B188" s="134" t="s">
        <v>776</v>
      </c>
      <c r="C188" s="697" t="s">
        <v>856</v>
      </c>
      <c r="H188" s="136">
        <f t="shared" si="8"/>
        <v>2</v>
      </c>
      <c r="W188" s="672"/>
    </row>
    <row r="189" spans="1:23">
      <c r="A189" s="109" t="s">
        <v>529</v>
      </c>
      <c r="B189" s="631" t="s">
        <v>529</v>
      </c>
      <c r="C189" s="629" t="s">
        <v>857</v>
      </c>
      <c r="H189" s="731">
        <f t="shared" si="8"/>
        <v>0</v>
      </c>
      <c r="W189" s="672"/>
    </row>
    <row r="190" spans="1:23">
      <c r="B190" s="134" t="s">
        <v>775</v>
      </c>
      <c r="C190" s="717" t="s">
        <v>858</v>
      </c>
      <c r="H190" s="136">
        <f t="shared" si="8"/>
        <v>0</v>
      </c>
      <c r="W190" s="672"/>
    </row>
    <row r="191" spans="1:23">
      <c r="A191" t="s">
        <v>531</v>
      </c>
      <c r="B191" s="134" t="s">
        <v>776</v>
      </c>
      <c r="C191" s="697" t="s">
        <v>859</v>
      </c>
      <c r="H191" s="136">
        <f t="shared" si="8"/>
        <v>1</v>
      </c>
      <c r="W191" s="672"/>
    </row>
    <row r="192" spans="1:23">
      <c r="A192" t="s">
        <v>533</v>
      </c>
      <c r="B192" s="155" t="s">
        <v>777</v>
      </c>
      <c r="C192" s="697" t="s">
        <v>731</v>
      </c>
      <c r="H192" s="136">
        <f t="shared" si="8"/>
        <v>1</v>
      </c>
      <c r="W192" s="672"/>
    </row>
    <row r="193" spans="1:23" ht="15.75" thickBot="1">
      <c r="A193" t="s">
        <v>534</v>
      </c>
      <c r="B193" s="156" t="s">
        <v>778</v>
      </c>
      <c r="C193" s="697" t="s">
        <v>732</v>
      </c>
      <c r="H193" s="136">
        <f t="shared" si="8"/>
        <v>0</v>
      </c>
      <c r="W193" s="672"/>
    </row>
    <row r="194" spans="1:23" ht="15.75" thickBot="1">
      <c r="A194" t="s">
        <v>535</v>
      </c>
      <c r="B194" s="524"/>
      <c r="C194" s="523" t="s">
        <v>771</v>
      </c>
      <c r="H194" s="183">
        <f t="shared" si="8"/>
        <v>0</v>
      </c>
      <c r="W194" s="672"/>
    </row>
    <row r="195" spans="1:23" ht="15.75" thickBot="1">
      <c r="H195">
        <f t="shared" si="8"/>
        <v>0</v>
      </c>
      <c r="W195" s="672"/>
    </row>
    <row r="196" spans="1:23" ht="15.75" thickBot="1">
      <c r="B196" s="120"/>
      <c r="C196" s="121" t="s">
        <v>538</v>
      </c>
      <c r="H196" s="110">
        <f t="shared" si="8"/>
        <v>0</v>
      </c>
      <c r="W196" s="672"/>
    </row>
    <row r="197" spans="1:23">
      <c r="A197" s="109" t="s">
        <v>541</v>
      </c>
      <c r="B197" s="652" t="s">
        <v>541</v>
      </c>
      <c r="C197" s="653" t="s">
        <v>542</v>
      </c>
      <c r="H197" s="729">
        <f t="shared" si="8"/>
        <v>0</v>
      </c>
      <c r="W197" s="672"/>
    </row>
    <row r="198" spans="1:23">
      <c r="A198" t="s">
        <v>544</v>
      </c>
      <c r="B198" s="134" t="s">
        <v>775</v>
      </c>
      <c r="C198" s="697" t="s">
        <v>860</v>
      </c>
      <c r="H198" s="777">
        <f t="shared" si="8"/>
        <v>3</v>
      </c>
      <c r="I198" t="s">
        <v>861</v>
      </c>
      <c r="W198" s="672"/>
    </row>
    <row r="199" spans="1:23">
      <c r="A199" t="s">
        <v>546</v>
      </c>
      <c r="B199" s="134" t="s">
        <v>777</v>
      </c>
      <c r="C199" s="697" t="s">
        <v>735</v>
      </c>
      <c r="H199" s="777">
        <f>IF(H198=3,2,0)</f>
        <v>2</v>
      </c>
      <c r="I199" t="s">
        <v>861</v>
      </c>
      <c r="W199" s="672"/>
    </row>
    <row r="200" spans="1:23">
      <c r="A200" t="s">
        <v>548</v>
      </c>
      <c r="B200" s="134" t="s">
        <v>778</v>
      </c>
      <c r="C200" s="697" t="s">
        <v>862</v>
      </c>
      <c r="H200" s="777">
        <f>IF(H198=3,1,0)</f>
        <v>1</v>
      </c>
      <c r="I200" t="s">
        <v>861</v>
      </c>
      <c r="W200" s="672"/>
    </row>
    <row r="201" spans="1:23">
      <c r="A201" s="109" t="s">
        <v>549</v>
      </c>
      <c r="B201" s="631" t="s">
        <v>549</v>
      </c>
      <c r="C201" s="629" t="s">
        <v>863</v>
      </c>
      <c r="H201" s="778">
        <f t="shared" ref="H201:H241" si="9">SUMIF($R$7:$R$182,A201,$U$7:$U$182)</f>
        <v>0</v>
      </c>
      <c r="I201" t="s">
        <v>861</v>
      </c>
      <c r="W201" s="672"/>
    </row>
    <row r="202" spans="1:23">
      <c r="A202" t="s">
        <v>551</v>
      </c>
      <c r="B202" s="134" t="s">
        <v>775</v>
      </c>
      <c r="C202" s="697" t="s">
        <v>864</v>
      </c>
      <c r="H202" s="777">
        <f t="shared" si="9"/>
        <v>2</v>
      </c>
      <c r="I202" t="s">
        <v>861</v>
      </c>
      <c r="W202" s="672"/>
    </row>
    <row r="203" spans="1:23">
      <c r="A203" t="s">
        <v>552</v>
      </c>
      <c r="B203" s="134" t="s">
        <v>776</v>
      </c>
      <c r="C203" s="697" t="s">
        <v>865</v>
      </c>
      <c r="H203" s="777">
        <f>H202</f>
        <v>2</v>
      </c>
      <c r="I203" t="s">
        <v>861</v>
      </c>
      <c r="W203" s="672"/>
    </row>
    <row r="204" spans="1:23">
      <c r="B204" s="516" t="s">
        <v>866</v>
      </c>
      <c r="C204" s="515"/>
      <c r="H204" s="779">
        <f t="shared" si="9"/>
        <v>0</v>
      </c>
      <c r="I204" t="s">
        <v>861</v>
      </c>
      <c r="W204" s="672"/>
    </row>
    <row r="205" spans="1:23">
      <c r="A205" s="109" t="s">
        <v>553</v>
      </c>
      <c r="B205" s="631" t="s">
        <v>553</v>
      </c>
      <c r="C205" s="629" t="s">
        <v>554</v>
      </c>
      <c r="H205" s="778">
        <f t="shared" si="9"/>
        <v>0</v>
      </c>
      <c r="I205" t="s">
        <v>861</v>
      </c>
      <c r="W205" s="672"/>
    </row>
    <row r="206" spans="1:23">
      <c r="A206" t="s">
        <v>555</v>
      </c>
      <c r="B206" s="134" t="s">
        <v>775</v>
      </c>
      <c r="C206" s="697" t="s">
        <v>867</v>
      </c>
      <c r="H206" s="777">
        <f t="shared" si="9"/>
        <v>1</v>
      </c>
      <c r="I206" t="s">
        <v>861</v>
      </c>
      <c r="W206" s="672"/>
    </row>
    <row r="207" spans="1:23">
      <c r="A207" t="s">
        <v>556</v>
      </c>
      <c r="B207" s="134" t="s">
        <v>776</v>
      </c>
      <c r="C207" s="697" t="s">
        <v>868</v>
      </c>
      <c r="H207" s="777">
        <f>H206</f>
        <v>1</v>
      </c>
      <c r="I207" t="s">
        <v>861</v>
      </c>
      <c r="W207" s="672"/>
    </row>
    <row r="208" spans="1:23">
      <c r="A208" s="109" t="s">
        <v>557</v>
      </c>
      <c r="B208" s="631" t="s">
        <v>557</v>
      </c>
      <c r="C208" s="629" t="s">
        <v>869</v>
      </c>
      <c r="H208" s="778">
        <f t="shared" si="9"/>
        <v>0</v>
      </c>
      <c r="I208" t="s">
        <v>861</v>
      </c>
      <c r="W208" s="672"/>
    </row>
    <row r="209" spans="1:23">
      <c r="A209" t="s">
        <v>559</v>
      </c>
      <c r="B209" s="134" t="s">
        <v>775</v>
      </c>
      <c r="C209" s="697" t="s">
        <v>870</v>
      </c>
      <c r="H209" s="777">
        <f t="shared" si="9"/>
        <v>1</v>
      </c>
      <c r="I209" t="s">
        <v>861</v>
      </c>
      <c r="W209" s="672"/>
    </row>
    <row r="210" spans="1:23" ht="15.75" thickBot="1">
      <c r="A210" t="s">
        <v>560</v>
      </c>
      <c r="B210" s="156" t="s">
        <v>776</v>
      </c>
      <c r="C210" s="697" t="s">
        <v>871</v>
      </c>
      <c r="H210" s="777">
        <f>H209</f>
        <v>1</v>
      </c>
      <c r="I210" t="s">
        <v>861</v>
      </c>
      <c r="W210" s="672"/>
    </row>
    <row r="211" spans="1:23" ht="15.75" thickBot="1">
      <c r="A211" t="s">
        <v>561</v>
      </c>
      <c r="B211" s="524"/>
      <c r="C211" s="523" t="s">
        <v>771</v>
      </c>
      <c r="H211" s="183">
        <f t="shared" si="9"/>
        <v>0</v>
      </c>
      <c r="W211" s="672"/>
    </row>
    <row r="212" spans="1:23" ht="15.75" thickBot="1">
      <c r="H212">
        <f t="shared" si="9"/>
        <v>0</v>
      </c>
      <c r="W212" s="672"/>
    </row>
    <row r="213" spans="1:23" ht="15.75" thickBot="1">
      <c r="B213" s="120"/>
      <c r="C213" s="121" t="s">
        <v>872</v>
      </c>
      <c r="H213" s="110">
        <f t="shared" si="9"/>
        <v>0</v>
      </c>
      <c r="W213" s="672"/>
    </row>
    <row r="214" spans="1:23">
      <c r="A214" t="s">
        <v>567</v>
      </c>
      <c r="B214" s="177" t="s">
        <v>567</v>
      </c>
      <c r="C214" s="144" t="s">
        <v>873</v>
      </c>
      <c r="H214" s="172">
        <f t="shared" si="9"/>
        <v>1</v>
      </c>
      <c r="W214" s="672"/>
    </row>
    <row r="215" spans="1:23">
      <c r="A215" t="s">
        <v>569</v>
      </c>
      <c r="B215" s="134" t="s">
        <v>569</v>
      </c>
      <c r="C215" s="35" t="s">
        <v>874</v>
      </c>
      <c r="H215" s="136">
        <f t="shared" si="9"/>
        <v>0</v>
      </c>
      <c r="W215" s="672"/>
    </row>
    <row r="216" spans="1:23">
      <c r="A216" t="s">
        <v>572</v>
      </c>
      <c r="B216" s="134" t="s">
        <v>572</v>
      </c>
      <c r="C216" s="35" t="s">
        <v>875</v>
      </c>
      <c r="H216" s="136">
        <f t="shared" si="9"/>
        <v>1</v>
      </c>
      <c r="W216" s="672"/>
    </row>
    <row r="217" spans="1:23">
      <c r="A217" t="s">
        <v>574</v>
      </c>
      <c r="B217" s="134" t="s">
        <v>574</v>
      </c>
      <c r="C217" s="35" t="s">
        <v>876</v>
      </c>
      <c r="H217" s="136">
        <f t="shared" si="9"/>
        <v>1</v>
      </c>
      <c r="W217" s="672"/>
    </row>
    <row r="218" spans="1:23">
      <c r="A218" t="s">
        <v>576</v>
      </c>
      <c r="B218" s="134" t="s">
        <v>576</v>
      </c>
      <c r="C218" s="35" t="s">
        <v>877</v>
      </c>
      <c r="H218" s="136">
        <f t="shared" si="9"/>
        <v>4</v>
      </c>
      <c r="W218" s="672"/>
    </row>
    <row r="219" spans="1:23">
      <c r="A219" t="s">
        <v>579</v>
      </c>
      <c r="B219" s="134" t="s">
        <v>579</v>
      </c>
      <c r="C219" s="35" t="s">
        <v>878</v>
      </c>
      <c r="H219" s="136">
        <f t="shared" si="9"/>
        <v>1</v>
      </c>
    </row>
    <row r="220" spans="1:23">
      <c r="A220" t="s">
        <v>581</v>
      </c>
      <c r="B220" s="134" t="s">
        <v>581</v>
      </c>
      <c r="C220" s="35" t="s">
        <v>879</v>
      </c>
      <c r="H220" s="136">
        <f t="shared" si="9"/>
        <v>1</v>
      </c>
    </row>
    <row r="221" spans="1:23">
      <c r="A221" t="s">
        <v>583</v>
      </c>
      <c r="B221" s="134" t="s">
        <v>583</v>
      </c>
      <c r="C221" s="35" t="s">
        <v>880</v>
      </c>
      <c r="H221" s="136">
        <f t="shared" si="9"/>
        <v>1</v>
      </c>
    </row>
    <row r="222" spans="1:23">
      <c r="A222" t="s">
        <v>585</v>
      </c>
      <c r="B222" s="134" t="s">
        <v>585</v>
      </c>
      <c r="C222" s="35" t="s">
        <v>881</v>
      </c>
      <c r="H222" s="136">
        <f t="shared" si="9"/>
        <v>1</v>
      </c>
    </row>
    <row r="223" spans="1:23">
      <c r="A223" t="s">
        <v>587</v>
      </c>
      <c r="B223" s="179" t="s">
        <v>587</v>
      </c>
      <c r="C223" s="35" t="s">
        <v>882</v>
      </c>
      <c r="H223" s="136">
        <f t="shared" si="9"/>
        <v>1</v>
      </c>
    </row>
    <row r="224" spans="1:23">
      <c r="A224" t="s">
        <v>588</v>
      </c>
      <c r="B224" s="179" t="s">
        <v>588</v>
      </c>
      <c r="C224" s="35" t="s">
        <v>883</v>
      </c>
      <c r="H224" s="136">
        <f t="shared" si="9"/>
        <v>1</v>
      </c>
    </row>
    <row r="225" spans="1:8">
      <c r="A225" t="s">
        <v>589</v>
      </c>
      <c r="B225" s="179" t="s">
        <v>589</v>
      </c>
      <c r="C225" s="35" t="s">
        <v>884</v>
      </c>
      <c r="H225" s="136">
        <f t="shared" si="9"/>
        <v>1</v>
      </c>
    </row>
    <row r="226" spans="1:8">
      <c r="A226" t="s">
        <v>590</v>
      </c>
      <c r="B226" s="179" t="s">
        <v>590</v>
      </c>
      <c r="C226" s="35" t="s">
        <v>885</v>
      </c>
      <c r="H226" s="136">
        <f t="shared" si="9"/>
        <v>1</v>
      </c>
    </row>
    <row r="227" spans="1:8" ht="15.75" thickBot="1">
      <c r="A227" t="s">
        <v>591</v>
      </c>
      <c r="B227" s="529" t="s">
        <v>591</v>
      </c>
      <c r="C227" s="158" t="s">
        <v>886</v>
      </c>
      <c r="H227" s="650">
        <f t="shared" si="9"/>
        <v>1</v>
      </c>
    </row>
    <row r="228" spans="1:8" ht="15.75" thickBot="1">
      <c r="A228" t="s">
        <v>592</v>
      </c>
      <c r="B228" s="524" t="s">
        <v>771</v>
      </c>
      <c r="C228" s="523"/>
      <c r="H228" s="183">
        <f t="shared" si="9"/>
        <v>0</v>
      </c>
    </row>
    <row r="229" spans="1:8" ht="15.75" thickBot="1">
      <c r="H229">
        <f t="shared" si="9"/>
        <v>0</v>
      </c>
    </row>
    <row r="230" spans="1:8" ht="15.75" thickBot="1">
      <c r="B230" s="120"/>
      <c r="C230" s="121" t="s">
        <v>887</v>
      </c>
      <c r="H230" s="110">
        <f t="shared" si="9"/>
        <v>0</v>
      </c>
    </row>
    <row r="231" spans="1:8">
      <c r="A231" t="s">
        <v>319</v>
      </c>
      <c r="B231" s="541" t="s">
        <v>319</v>
      </c>
      <c r="C231" s="738" t="s">
        <v>795</v>
      </c>
      <c r="H231" s="172">
        <f t="shared" si="9"/>
        <v>0</v>
      </c>
    </row>
    <row r="232" spans="1:8">
      <c r="A232" t="s">
        <v>335</v>
      </c>
      <c r="B232" s="179" t="s">
        <v>335</v>
      </c>
      <c r="C232" s="742" t="s">
        <v>802</v>
      </c>
      <c r="H232" s="136">
        <f t="shared" si="9"/>
        <v>0</v>
      </c>
    </row>
    <row r="233" spans="1:8">
      <c r="A233" t="s">
        <v>442</v>
      </c>
      <c r="B233" s="538" t="s">
        <v>442</v>
      </c>
      <c r="C233" s="736" t="s">
        <v>824</v>
      </c>
      <c r="H233" s="136">
        <f t="shared" si="9"/>
        <v>0</v>
      </c>
    </row>
    <row r="234" spans="1:8">
      <c r="A234" t="s">
        <v>446</v>
      </c>
      <c r="B234" s="538" t="s">
        <v>446</v>
      </c>
      <c r="C234" s="737" t="s">
        <v>826</v>
      </c>
      <c r="H234" s="136">
        <f t="shared" si="9"/>
        <v>0</v>
      </c>
    </row>
    <row r="235" spans="1:8">
      <c r="A235" t="s">
        <v>451</v>
      </c>
      <c r="B235" s="538" t="s">
        <v>451</v>
      </c>
      <c r="C235" s="737" t="s">
        <v>828</v>
      </c>
      <c r="H235" s="136">
        <f t="shared" si="9"/>
        <v>0</v>
      </c>
    </row>
    <row r="236" spans="1:8">
      <c r="A236" t="s">
        <v>456</v>
      </c>
      <c r="B236" s="538" t="s">
        <v>456</v>
      </c>
      <c r="C236" s="737" t="s">
        <v>830</v>
      </c>
      <c r="H236" s="136">
        <f t="shared" si="9"/>
        <v>0</v>
      </c>
    </row>
    <row r="237" spans="1:8">
      <c r="A237" t="s">
        <v>505</v>
      </c>
      <c r="B237" s="538" t="s">
        <v>505</v>
      </c>
      <c r="C237" s="737" t="s">
        <v>845</v>
      </c>
      <c r="H237" s="136">
        <f t="shared" si="9"/>
        <v>0</v>
      </c>
    </row>
    <row r="238" spans="1:8">
      <c r="A238" t="s">
        <v>509</v>
      </c>
      <c r="B238" s="538" t="s">
        <v>509</v>
      </c>
      <c r="C238" s="737" t="s">
        <v>847</v>
      </c>
      <c r="H238" s="136">
        <f t="shared" si="9"/>
        <v>0</v>
      </c>
    </row>
    <row r="239" spans="1:8">
      <c r="A239" t="s">
        <v>514</v>
      </c>
      <c r="B239" s="538" t="s">
        <v>514</v>
      </c>
      <c r="C239" s="737" t="s">
        <v>849</v>
      </c>
      <c r="H239" s="136">
        <f t="shared" si="9"/>
        <v>0</v>
      </c>
    </row>
    <row r="240" spans="1:8">
      <c r="A240" t="s">
        <v>519</v>
      </c>
      <c r="B240" s="538" t="s">
        <v>519</v>
      </c>
      <c r="C240" s="737" t="s">
        <v>851</v>
      </c>
      <c r="H240" s="136">
        <f t="shared" si="9"/>
        <v>0</v>
      </c>
    </row>
    <row r="241" spans="1:8">
      <c r="A241" t="s">
        <v>406</v>
      </c>
      <c r="B241" s="538" t="s">
        <v>406</v>
      </c>
      <c r="C241" s="737" t="s">
        <v>817</v>
      </c>
      <c r="H241" s="136">
        <f t="shared" si="9"/>
        <v>0</v>
      </c>
    </row>
    <row r="242" spans="1:8">
      <c r="A242" t="s">
        <v>527</v>
      </c>
      <c r="B242" s="155" t="s">
        <v>527</v>
      </c>
      <c r="C242" s="737" t="s">
        <v>855</v>
      </c>
      <c r="H242" s="136"/>
    </row>
    <row r="243" spans="1:8">
      <c r="A243" t="s">
        <v>530</v>
      </c>
      <c r="B243" s="155" t="s">
        <v>530</v>
      </c>
      <c r="C243" s="737" t="s">
        <v>858</v>
      </c>
      <c r="H243" s="136"/>
    </row>
    <row r="244" spans="1:8">
      <c r="A244" t="s">
        <v>888</v>
      </c>
      <c r="B244" s="155" t="s">
        <v>888</v>
      </c>
      <c r="C244" s="755" t="s">
        <v>889</v>
      </c>
      <c r="H244" s="136"/>
    </row>
    <row r="245" spans="1:8">
      <c r="B245" s="155"/>
      <c r="C245" s="737"/>
      <c r="H245" s="136"/>
    </row>
    <row r="246" spans="1:8" ht="15.75" thickBot="1">
      <c r="B246" s="156"/>
      <c r="C246" s="158"/>
      <c r="H246" s="136"/>
    </row>
  </sheetData>
  <sheetProtection algorithmName="SHA-512" hashValue="pUBeKC8sbGTzkzMAgquXgjmkUXfxEAKBofloSowOBTvPoUGsu/HgX7Lz3GrxJ/Eww44HvAtPoOvXOe/gNYcPng==" saltValue="4eMejl5TJYwBpYL7wztY/A==" spinCount="100000" sheet="1" objects="1" scenarios="1"/>
  <protectedRanges>
    <protectedRange sqref="I2" name="Sortering"/>
  </protectedRanges>
  <mergeCells count="16">
    <mergeCell ref="S6:S11"/>
    <mergeCell ref="S73:S75"/>
    <mergeCell ref="S61:S63"/>
    <mergeCell ref="S64:S66"/>
    <mergeCell ref="N5:O5"/>
    <mergeCell ref="S39:S42"/>
    <mergeCell ref="S44:S46"/>
    <mergeCell ref="S50:S55"/>
    <mergeCell ref="S56:S59"/>
    <mergeCell ref="S67:S69"/>
    <mergeCell ref="S35:S38"/>
    <mergeCell ref="S29:S34"/>
    <mergeCell ref="S12:S14"/>
    <mergeCell ref="S15:S19"/>
    <mergeCell ref="S20:S23"/>
    <mergeCell ref="S24:S27"/>
  </mergeCells>
  <phoneticPr fontId="49" type="noConversion"/>
  <conditionalFormatting sqref="I2">
    <cfRule type="expression" dxfId="37" priority="5">
      <formula>$Z2=2</formula>
    </cfRule>
    <cfRule type="expression" dxfId="36" priority="165">
      <formula>I2&gt;#REF!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Prosjektdetaljer!$O$51:$O$52</xm:f>
          </x14:formula1>
          <xm:sqref>I2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372"/>
  <sheetViews>
    <sheetView topLeftCell="A281" zoomScale="70" zoomScaleNormal="70" workbookViewId="0">
      <pane xSplit="5" topLeftCell="F1" activePane="topRight" state="frozen"/>
      <selection activeCell="A142" sqref="A142"/>
      <selection pane="topRight" activeCell="BE311" sqref="BE311"/>
    </sheetView>
  </sheetViews>
  <sheetFormatPr baseColWidth="10" defaultColWidth="9.28515625" defaultRowHeight="15"/>
  <cols>
    <col min="1" max="1" width="8.42578125" customWidth="1"/>
    <col min="2" max="3" width="10.7109375" customWidth="1"/>
    <col min="4" max="4" width="8.7109375" customWidth="1"/>
    <col min="5" max="5" width="60.7109375" customWidth="1"/>
    <col min="6" max="14" width="11.28515625" style="569" customWidth="1"/>
    <col min="15" max="15" width="11.5703125" style="569" customWidth="1"/>
    <col min="16" max="18" width="11.28515625" style="569" customWidth="1"/>
    <col min="19" max="19" width="11.5703125" customWidth="1"/>
    <col min="20" max="20" width="15.7109375" customWidth="1"/>
    <col min="21" max="21" width="7" customWidth="1"/>
    <col min="22" max="22" width="5.5703125" customWidth="1"/>
    <col min="23" max="23" width="6.5703125" customWidth="1"/>
    <col min="24" max="24" width="6.7109375" customWidth="1"/>
    <col min="25" max="25" width="9.42578125" customWidth="1"/>
    <col min="26" max="26" width="11.28515625" customWidth="1"/>
    <col min="27" max="27" width="5.7109375" customWidth="1"/>
    <col min="28" max="28" width="14" customWidth="1"/>
    <col min="29" max="29" width="6.7109375" customWidth="1"/>
    <col min="30" max="30" width="14.5703125" customWidth="1"/>
    <col min="31" max="33" width="17.5703125" customWidth="1"/>
    <col min="34" max="34" width="8.42578125" customWidth="1"/>
    <col min="35" max="35" width="14.42578125" customWidth="1"/>
    <col min="36" max="36" width="10.42578125" customWidth="1"/>
    <col min="37" max="37" width="9.5703125" customWidth="1"/>
    <col min="38" max="38" width="9.42578125" customWidth="1"/>
    <col min="39" max="43" width="4.28515625" customWidth="1"/>
    <col min="44" max="44" width="3.7109375" customWidth="1"/>
    <col min="45" max="49" width="4.28515625" customWidth="1"/>
    <col min="50" max="50" width="3.28515625" customWidth="1"/>
    <col min="51" max="54" width="4" customWidth="1"/>
    <col min="55" max="55" width="4.28515625" customWidth="1"/>
    <col min="56" max="56" width="10.7109375" customWidth="1"/>
    <col min="57" max="57" width="26.7109375" customWidth="1"/>
    <col min="58" max="58" width="3.7109375" customWidth="1"/>
    <col min="59" max="59" width="7.7109375" customWidth="1"/>
    <col min="60" max="60" width="26.7109375" customWidth="1"/>
    <col min="61" max="61" width="6.5703125" customWidth="1"/>
    <col min="62" max="62" width="7.7109375" customWidth="1"/>
    <col min="63" max="63" width="26.7109375" customWidth="1"/>
    <col min="64" max="64" width="5.7109375" customWidth="1"/>
    <col min="65" max="65" width="9.28515625" customWidth="1"/>
    <col min="66" max="66" width="4.42578125" customWidth="1"/>
    <col min="67" max="67" width="10.28515625" customWidth="1"/>
    <col min="68" max="68" width="13.28515625" customWidth="1"/>
    <col min="69" max="69" width="12.7109375" customWidth="1"/>
    <col min="70" max="70" width="10.28515625" customWidth="1"/>
    <col min="71" max="71" width="9" customWidth="1"/>
    <col min="72" max="72" width="15.28515625" customWidth="1"/>
    <col min="73" max="73" width="9.28515625" customWidth="1"/>
    <col min="74" max="74" width="10.28515625" customWidth="1"/>
    <col min="75" max="75" width="9.28515625" customWidth="1"/>
    <col min="76" max="76" width="30.7109375" customWidth="1"/>
    <col min="77" max="77" width="14.7109375" customWidth="1"/>
    <col min="78" max="79" width="9.28515625" customWidth="1"/>
    <col min="80" max="80" width="20.7109375" customWidth="1"/>
    <col min="81" max="81" width="11.28515625" customWidth="1"/>
    <col min="82" max="82" width="8.7109375" customWidth="1"/>
    <col min="83" max="83" width="12.7109375" customWidth="1"/>
    <col min="84" max="84" width="9.28515625" customWidth="1"/>
    <col min="85" max="85" width="14.28515625" customWidth="1"/>
    <col min="86" max="86" width="9.28515625" customWidth="1"/>
    <col min="87" max="87" width="12.28515625" customWidth="1"/>
    <col min="88" max="91" width="9.28515625" customWidth="1"/>
    <col min="96" max="96" width="86" customWidth="1"/>
  </cols>
  <sheetData>
    <row r="1" spans="1:97">
      <c r="B1" s="496">
        <v>1</v>
      </c>
      <c r="C1" s="496">
        <v>2</v>
      </c>
      <c r="D1" s="496">
        <v>3</v>
      </c>
      <c r="E1" s="496">
        <v>4</v>
      </c>
      <c r="F1" s="496">
        <v>5</v>
      </c>
      <c r="G1" s="496">
        <v>6</v>
      </c>
      <c r="H1" s="496">
        <v>7</v>
      </c>
      <c r="I1" s="496">
        <v>8</v>
      </c>
      <c r="J1" s="496">
        <v>9</v>
      </c>
      <c r="K1" s="496">
        <v>10</v>
      </c>
      <c r="L1" s="496">
        <v>11</v>
      </c>
      <c r="M1" s="496">
        <v>12</v>
      </c>
      <c r="N1" s="496">
        <v>13</v>
      </c>
      <c r="O1" s="496">
        <v>14</v>
      </c>
      <c r="P1" s="496">
        <v>15</v>
      </c>
      <c r="Q1" s="496">
        <v>16</v>
      </c>
      <c r="R1" s="496">
        <v>17</v>
      </c>
      <c r="S1" s="496">
        <v>18</v>
      </c>
      <c r="T1" s="496">
        <v>19</v>
      </c>
      <c r="U1" s="496">
        <v>20</v>
      </c>
      <c r="V1" s="496">
        <v>21</v>
      </c>
      <c r="W1" s="496">
        <v>22</v>
      </c>
      <c r="X1" s="496">
        <v>23</v>
      </c>
      <c r="Y1" s="496">
        <v>24</v>
      </c>
      <c r="Z1" s="496">
        <v>25</v>
      </c>
      <c r="AA1" s="496">
        <v>26</v>
      </c>
      <c r="AB1" s="496">
        <v>27</v>
      </c>
      <c r="AC1" s="496">
        <v>28</v>
      </c>
      <c r="AD1" s="496">
        <v>29</v>
      </c>
      <c r="AE1" s="496">
        <v>30</v>
      </c>
      <c r="AF1" s="496">
        <v>31</v>
      </c>
      <c r="AG1" s="496">
        <v>32</v>
      </c>
      <c r="AH1" s="496">
        <v>33</v>
      </c>
      <c r="AI1" s="496">
        <v>34</v>
      </c>
      <c r="AJ1" s="496">
        <v>35</v>
      </c>
      <c r="AK1" s="496">
        <v>36</v>
      </c>
      <c r="AL1" s="496">
        <v>37</v>
      </c>
      <c r="AM1" s="496">
        <v>38</v>
      </c>
      <c r="AN1" s="496">
        <v>39</v>
      </c>
      <c r="AO1" s="496">
        <v>40</v>
      </c>
      <c r="AP1" s="496">
        <v>41</v>
      </c>
      <c r="AQ1" s="496">
        <v>42</v>
      </c>
      <c r="AR1" s="496">
        <v>43</v>
      </c>
      <c r="AS1" s="496">
        <v>44</v>
      </c>
      <c r="AT1" s="496">
        <v>45</v>
      </c>
      <c r="AU1" s="496">
        <v>46</v>
      </c>
      <c r="AV1" s="496">
        <v>47</v>
      </c>
      <c r="AW1" s="496">
        <v>48</v>
      </c>
      <c r="AX1" s="496">
        <v>49</v>
      </c>
      <c r="AY1" s="496">
        <v>50</v>
      </c>
      <c r="AZ1" s="496">
        <v>51</v>
      </c>
      <c r="BA1" s="496">
        <v>52</v>
      </c>
      <c r="BB1" s="496">
        <v>53</v>
      </c>
      <c r="BC1" s="496">
        <v>54</v>
      </c>
      <c r="BD1" s="496">
        <v>55</v>
      </c>
      <c r="BE1" s="496">
        <v>56</v>
      </c>
      <c r="BF1" s="496">
        <v>57</v>
      </c>
      <c r="BG1" s="496">
        <v>58</v>
      </c>
      <c r="BH1" s="496">
        <v>59</v>
      </c>
      <c r="BI1" s="496">
        <v>60</v>
      </c>
      <c r="BJ1" s="496">
        <v>61</v>
      </c>
      <c r="BK1" s="496">
        <v>62</v>
      </c>
      <c r="BL1" s="496">
        <v>63</v>
      </c>
      <c r="BM1" s="496">
        <v>64</v>
      </c>
      <c r="BN1" s="496">
        <v>65</v>
      </c>
      <c r="BO1" s="496">
        <v>66</v>
      </c>
      <c r="BP1" s="496">
        <v>67</v>
      </c>
      <c r="BQ1" s="496">
        <v>68</v>
      </c>
      <c r="BR1" s="496">
        <v>69</v>
      </c>
      <c r="BS1" s="496">
        <v>70</v>
      </c>
      <c r="BT1" s="496">
        <v>71</v>
      </c>
    </row>
    <row r="2" spans="1:97">
      <c r="D2">
        <v>1</v>
      </c>
      <c r="E2">
        <v>2</v>
      </c>
      <c r="F2" s="569">
        <v>3</v>
      </c>
      <c r="G2" s="569">
        <v>4</v>
      </c>
      <c r="H2" s="569">
        <v>5</v>
      </c>
      <c r="I2" s="569">
        <v>6</v>
      </c>
      <c r="J2" s="569">
        <v>7</v>
      </c>
      <c r="K2" s="569">
        <v>8</v>
      </c>
      <c r="L2" s="569">
        <v>9</v>
      </c>
      <c r="M2" s="569">
        <v>10</v>
      </c>
      <c r="N2" s="569">
        <v>11</v>
      </c>
      <c r="O2" s="569">
        <v>12</v>
      </c>
      <c r="P2" s="569">
        <v>13</v>
      </c>
      <c r="Q2" s="569">
        <v>14</v>
      </c>
      <c r="R2" s="569">
        <v>15</v>
      </c>
      <c r="S2" s="569">
        <v>16</v>
      </c>
      <c r="T2" s="569">
        <v>17</v>
      </c>
      <c r="U2" s="569">
        <v>18</v>
      </c>
      <c r="V2" s="569">
        <v>19</v>
      </c>
      <c r="W2" s="569">
        <v>20</v>
      </c>
      <c r="X2" s="569">
        <v>21</v>
      </c>
      <c r="Y2" s="569">
        <v>22</v>
      </c>
      <c r="Z2" s="569">
        <v>23</v>
      </c>
      <c r="AA2" s="569">
        <v>24</v>
      </c>
      <c r="AB2" s="569">
        <v>25</v>
      </c>
      <c r="AC2" s="569">
        <v>26</v>
      </c>
      <c r="AD2" s="569">
        <v>27</v>
      </c>
      <c r="AE2" s="569">
        <v>28</v>
      </c>
      <c r="AF2" s="569">
        <v>29</v>
      </c>
      <c r="AG2" s="569">
        <v>30</v>
      </c>
      <c r="AH2" s="569">
        <v>31</v>
      </c>
      <c r="AI2" s="569">
        <v>32</v>
      </c>
      <c r="AJ2" s="569">
        <v>33</v>
      </c>
      <c r="AK2" s="569">
        <v>34</v>
      </c>
      <c r="AL2" s="569">
        <v>35</v>
      </c>
      <c r="AM2" s="569">
        <v>36</v>
      </c>
      <c r="AN2" s="569">
        <v>37</v>
      </c>
      <c r="AO2" s="569">
        <v>38</v>
      </c>
      <c r="AP2" s="569">
        <v>39</v>
      </c>
      <c r="AQ2" s="569">
        <v>40</v>
      </c>
      <c r="AR2" s="569">
        <v>41</v>
      </c>
      <c r="AS2" s="569">
        <v>42</v>
      </c>
      <c r="AT2" s="569">
        <v>43</v>
      </c>
      <c r="AU2" s="569">
        <v>44</v>
      </c>
      <c r="AV2" s="569">
        <v>45</v>
      </c>
      <c r="AW2" s="569">
        <v>46</v>
      </c>
      <c r="AX2" s="569">
        <v>47</v>
      </c>
      <c r="AY2" s="569">
        <v>48</v>
      </c>
      <c r="AZ2" s="569">
        <v>49</v>
      </c>
      <c r="BA2" s="569">
        <v>50</v>
      </c>
      <c r="BB2" s="569">
        <v>51</v>
      </c>
      <c r="BC2" s="569">
        <v>52</v>
      </c>
      <c r="BD2" s="569">
        <v>53</v>
      </c>
      <c r="BE2" s="569">
        <v>54</v>
      </c>
      <c r="BF2" s="569">
        <v>55</v>
      </c>
      <c r="BG2" s="569">
        <v>56</v>
      </c>
      <c r="BH2" s="569">
        <v>57</v>
      </c>
      <c r="BI2" s="569">
        <v>58</v>
      </c>
      <c r="BJ2" s="569">
        <v>59</v>
      </c>
      <c r="BK2" s="569">
        <v>60</v>
      </c>
      <c r="BL2" s="569">
        <v>61</v>
      </c>
    </row>
    <row r="3" spans="1:97" ht="15.75" thickBot="1">
      <c r="A3" s="109" t="s">
        <v>890</v>
      </c>
      <c r="B3" s="109"/>
      <c r="C3" s="109"/>
      <c r="D3" s="109"/>
      <c r="E3" s="109"/>
      <c r="F3" s="570"/>
      <c r="G3" s="570"/>
      <c r="H3" s="570"/>
      <c r="I3" s="570"/>
      <c r="J3" s="570"/>
      <c r="K3" s="570"/>
      <c r="L3" s="570"/>
      <c r="M3" s="570"/>
      <c r="N3" s="570"/>
      <c r="O3" s="570"/>
      <c r="P3" s="570"/>
      <c r="Q3" s="570"/>
      <c r="R3" s="570"/>
      <c r="Y3" t="s">
        <v>891</v>
      </c>
    </row>
    <row r="4" spans="1:97" ht="15.75" thickBot="1">
      <c r="G4" s="569" t="s">
        <v>892</v>
      </c>
      <c r="K4" s="916" t="s">
        <v>893</v>
      </c>
      <c r="Y4" s="109" t="str">
        <f>ADPT</f>
        <v>Nybygg (innredet)</v>
      </c>
      <c r="BX4" s="505" t="s">
        <v>894</v>
      </c>
      <c r="BY4" s="506" t="s">
        <v>226</v>
      </c>
      <c r="CA4" s="502" t="s">
        <v>895</v>
      </c>
      <c r="CB4">
        <v>0</v>
      </c>
      <c r="CC4" t="s">
        <v>123</v>
      </c>
    </row>
    <row r="5" spans="1:97" ht="15.75" thickBot="1">
      <c r="E5" s="110" t="s">
        <v>896</v>
      </c>
      <c r="G5" s="569" t="s">
        <v>897</v>
      </c>
      <c r="H5" s="571"/>
      <c r="K5" s="918" t="s">
        <v>898</v>
      </c>
      <c r="R5" s="572"/>
      <c r="Y5" t="str">
        <f>Prosjektdetaljer!Q12</f>
        <v>Nybygg (uinnredet)</v>
      </c>
      <c r="AB5" s="285" t="s">
        <v>23</v>
      </c>
      <c r="AC5" s="286" t="str">
        <f>'Manuell filtrering og justering'!I2</f>
        <v>No</v>
      </c>
      <c r="BX5" s="208" t="str">
        <f>'Pre-analyseverktøy'!AK4</f>
        <v>Nei</v>
      </c>
      <c r="BY5" s="194" t="str">
        <f>'Pre-analyseverktøy'!AK8</f>
        <v>Ja</v>
      </c>
      <c r="CA5" s="507" t="s">
        <v>899</v>
      </c>
      <c r="CB5">
        <v>1</v>
      </c>
    </row>
    <row r="6" spans="1:97" ht="15.75" thickBot="1">
      <c r="E6" s="112" t="str">
        <f>ADBT0</f>
        <v>Kontorbygg</v>
      </c>
      <c r="G6" s="569" t="s">
        <v>209</v>
      </c>
      <c r="K6" s="920" t="s">
        <v>900</v>
      </c>
      <c r="Y6" t="str">
        <f>ADPT02</f>
        <v>Nybygg (råbygg)</v>
      </c>
      <c r="BC6" s="113"/>
    </row>
    <row r="7" spans="1:97" ht="15.75" thickBot="1">
      <c r="F7" s="502" t="s">
        <v>901</v>
      </c>
      <c r="K7" s="922" t="s">
        <v>902</v>
      </c>
      <c r="AE7" s="1145" t="s">
        <v>903</v>
      </c>
      <c r="AF7" s="1145"/>
      <c r="AG7" s="1145"/>
      <c r="BC7" s="113"/>
      <c r="CO7" s="1141" t="s">
        <v>1397</v>
      </c>
      <c r="CP7" s="1141"/>
      <c r="CQ7" s="1141"/>
    </row>
    <row r="8" spans="1:97" ht="51" customHeight="1" thickBot="1">
      <c r="D8" s="44" t="s">
        <v>904</v>
      </c>
      <c r="E8" s="47" t="s">
        <v>768</v>
      </c>
      <c r="F8" s="1133" t="s">
        <v>905</v>
      </c>
      <c r="G8" s="1134"/>
      <c r="H8" s="1134"/>
      <c r="I8" s="1134"/>
      <c r="J8" s="1134"/>
      <c r="K8" s="1134"/>
      <c r="L8" s="1134"/>
      <c r="M8" s="1134"/>
      <c r="N8" s="1134"/>
      <c r="O8" s="1134"/>
      <c r="P8" s="1134"/>
      <c r="Q8" s="1134"/>
      <c r="R8" s="1134"/>
      <c r="T8" s="43" t="s">
        <v>906</v>
      </c>
      <c r="U8" s="1135" t="s">
        <v>907</v>
      </c>
      <c r="V8" s="1136"/>
      <c r="W8" s="1136"/>
      <c r="X8" s="1136"/>
      <c r="Y8" s="1136"/>
      <c r="Z8" s="1137"/>
      <c r="AA8" s="114" t="s">
        <v>771</v>
      </c>
      <c r="AB8" s="45" t="s">
        <v>908</v>
      </c>
      <c r="AD8" s="706" t="s">
        <v>909</v>
      </c>
      <c r="AE8" s="707" t="s">
        <v>910</v>
      </c>
      <c r="AF8" s="707" t="s">
        <v>911</v>
      </c>
      <c r="AG8" s="707" t="s">
        <v>912</v>
      </c>
      <c r="AI8" s="45" t="s">
        <v>910</v>
      </c>
      <c r="AJ8" s="45" t="s">
        <v>911</v>
      </c>
      <c r="AK8" s="45" t="s">
        <v>912</v>
      </c>
      <c r="AM8" s="1138" t="s">
        <v>913</v>
      </c>
      <c r="AN8" s="1139"/>
      <c r="AO8" s="1139"/>
      <c r="AP8" s="1139"/>
      <c r="AQ8" s="1140"/>
      <c r="AS8" s="1138" t="s">
        <v>914</v>
      </c>
      <c r="AT8" s="1139"/>
      <c r="AU8" s="1139"/>
      <c r="AV8" s="1139"/>
      <c r="AW8" s="1140"/>
      <c r="AY8" s="1138" t="str">
        <f>"Chosen "&amp;E6</f>
        <v>Chosen Kontorbygg</v>
      </c>
      <c r="AZ8" s="1139"/>
      <c r="BA8" s="1139"/>
      <c r="BB8" s="1139"/>
      <c r="BC8" s="1139"/>
      <c r="BD8" s="1155" t="s">
        <v>910</v>
      </c>
      <c r="BE8" s="1156"/>
      <c r="BF8" s="1156"/>
      <c r="BG8" s="1157" t="s">
        <v>911</v>
      </c>
      <c r="BH8" s="1153"/>
      <c r="BI8" s="1154"/>
      <c r="BJ8" s="1152" t="s">
        <v>912</v>
      </c>
      <c r="BK8" s="1153"/>
      <c r="BL8" s="1154"/>
      <c r="BO8" s="1149" t="s">
        <v>915</v>
      </c>
      <c r="BP8" s="1150"/>
      <c r="BQ8" s="1151"/>
      <c r="BR8" s="477"/>
      <c r="BS8" s="477"/>
      <c r="BT8" s="477"/>
      <c r="BW8" s="203" t="s">
        <v>220</v>
      </c>
      <c r="BX8" s="203"/>
      <c r="BY8" s="203"/>
      <c r="BZ8" s="203"/>
      <c r="CA8" s="203"/>
      <c r="CB8" s="203"/>
      <c r="CC8" s="508" t="s">
        <v>916</v>
      </c>
      <c r="CD8" s="508" t="s">
        <v>917</v>
      </c>
      <c r="CE8" s="203" t="s">
        <v>918</v>
      </c>
      <c r="CF8" s="203"/>
      <c r="CG8" s="203"/>
      <c r="CH8" s="203"/>
      <c r="CI8" s="512" t="s">
        <v>919</v>
      </c>
      <c r="CJ8" s="203"/>
      <c r="CK8" s="203"/>
      <c r="CL8" s="203"/>
      <c r="CO8" s="45" t="s">
        <v>910</v>
      </c>
      <c r="CP8" s="45" t="s">
        <v>911</v>
      </c>
      <c r="CQ8" s="45" t="s">
        <v>912</v>
      </c>
    </row>
    <row r="9" spans="1:97" ht="58.5" customHeight="1" thickBot="1">
      <c r="A9">
        <v>1</v>
      </c>
      <c r="D9" s="120"/>
      <c r="E9" s="121" t="s">
        <v>245</v>
      </c>
      <c r="F9" s="917" t="str">
        <f>ADBT2</f>
        <v>Kontorbygg</v>
      </c>
      <c r="G9" s="917" t="str">
        <f>ADBT3</f>
        <v>Handelsbygg</v>
      </c>
      <c r="H9" s="921" t="str">
        <f>ADBT12</f>
        <v>Boligbygg</v>
      </c>
      <c r="I9" s="917" t="str">
        <f>ADBT1</f>
        <v>Industribygg</v>
      </c>
      <c r="J9" s="919" t="str">
        <f>ADBT13</f>
        <v>Helseinstitusjoner</v>
      </c>
      <c r="K9" s="919" t="str">
        <f>ADBT14</f>
        <v>Fengsel</v>
      </c>
      <c r="L9" s="919" t="str">
        <f>ADBT15</f>
        <v>Tinghus</v>
      </c>
      <c r="M9" s="923" t="str">
        <f>ADBT16</f>
        <v>Døgninstitusjonsbygg (langtidsopphold)</v>
      </c>
      <c r="N9" s="698" t="str">
        <f>ADBT17</f>
        <v>Døgninstitusjonsbygg (korttidsopphold)</v>
      </c>
      <c r="O9" s="698" t="str">
        <f>ADBT18</f>
        <v>Institusjoner ikke til boligbruk</v>
      </c>
      <c r="P9" s="698" t="str">
        <f>ADBT19</f>
        <v>Møtesteder og fritid</v>
      </c>
      <c r="Q9" s="919" t="str">
        <f>ADBT8</f>
        <v>Undervisningsbygg</v>
      </c>
      <c r="R9" s="651" t="str">
        <f>ADBT20</f>
        <v>Annet</v>
      </c>
      <c r="T9" s="116" t="str">
        <f>$E$6</f>
        <v>Kontorbygg</v>
      </c>
      <c r="U9" s="117"/>
      <c r="V9" s="118"/>
      <c r="W9" s="118"/>
      <c r="X9" s="853"/>
      <c r="Y9" s="865" t="s">
        <v>920</v>
      </c>
      <c r="Z9" s="863" t="s">
        <v>23</v>
      </c>
      <c r="AA9" s="858" t="s">
        <v>771</v>
      </c>
      <c r="AB9" s="859"/>
      <c r="AI9" s="63"/>
      <c r="AJ9" s="46"/>
      <c r="AK9" s="46"/>
      <c r="AM9" s="120" t="s">
        <v>921</v>
      </c>
      <c r="AN9" s="121" t="s">
        <v>922</v>
      </c>
      <c r="AO9" s="121" t="s">
        <v>923</v>
      </c>
      <c r="AP9" s="121" t="s">
        <v>924</v>
      </c>
      <c r="AQ9" s="122" t="s">
        <v>925</v>
      </c>
      <c r="AS9" s="115" t="s">
        <v>921</v>
      </c>
      <c r="AT9" s="39" t="s">
        <v>922</v>
      </c>
      <c r="AU9" s="39" t="s">
        <v>923</v>
      </c>
      <c r="AV9" s="39" t="s">
        <v>924</v>
      </c>
      <c r="AW9" s="123" t="s">
        <v>925</v>
      </c>
      <c r="AY9" s="115" t="s">
        <v>921</v>
      </c>
      <c r="AZ9" s="39" t="s">
        <v>922</v>
      </c>
      <c r="BA9" s="39" t="s">
        <v>923</v>
      </c>
      <c r="BB9" s="39" t="s">
        <v>924</v>
      </c>
      <c r="BC9" s="124" t="s">
        <v>925</v>
      </c>
      <c r="BD9" s="125" t="s">
        <v>926</v>
      </c>
      <c r="BE9" s="126" t="s">
        <v>927</v>
      </c>
      <c r="BF9" s="126"/>
      <c r="BG9" s="127" t="s">
        <v>926</v>
      </c>
      <c r="BH9" s="128" t="s">
        <v>927</v>
      </c>
      <c r="BI9" s="129"/>
      <c r="BJ9" s="130" t="s">
        <v>926</v>
      </c>
      <c r="BK9" s="128" t="s">
        <v>927</v>
      </c>
      <c r="BL9" s="131"/>
      <c r="BO9" s="508" t="s">
        <v>928</v>
      </c>
      <c r="BP9" s="508" t="s">
        <v>929</v>
      </c>
      <c r="BQ9" s="838" t="s">
        <v>930</v>
      </c>
      <c r="BR9" s="477" t="s">
        <v>931</v>
      </c>
      <c r="BS9" s="477" t="s">
        <v>932</v>
      </c>
      <c r="BT9" s="477" t="s">
        <v>933</v>
      </c>
      <c r="BW9" s="39"/>
      <c r="BX9" s="39" t="str">
        <f>E9</f>
        <v>Management</v>
      </c>
      <c r="BY9" s="39" t="s">
        <v>244</v>
      </c>
      <c r="BZ9" s="39" t="s">
        <v>934</v>
      </c>
      <c r="CA9" s="39" t="s">
        <v>935</v>
      </c>
      <c r="CB9" s="39" t="s">
        <v>936</v>
      </c>
      <c r="CG9" t="s">
        <v>937</v>
      </c>
    </row>
    <row r="10" spans="1:97">
      <c r="A10">
        <v>2</v>
      </c>
      <c r="B10" s="109" t="str">
        <f>D10</f>
        <v>Man 01</v>
      </c>
      <c r="C10" s="109" t="str">
        <f>B10</f>
        <v>Man 01</v>
      </c>
      <c r="D10" s="629" t="s">
        <v>248</v>
      </c>
      <c r="E10" s="629" t="s">
        <v>938</v>
      </c>
      <c r="F10" s="711">
        <f>SUM(F11:F15)</f>
        <v>5</v>
      </c>
      <c r="G10" s="711">
        <f t="shared" ref="G10:R10" si="0">SUM(G11:G15)</f>
        <v>5</v>
      </c>
      <c r="H10" s="711">
        <f t="shared" si="0"/>
        <v>5</v>
      </c>
      <c r="I10" s="711">
        <f t="shared" si="0"/>
        <v>5</v>
      </c>
      <c r="J10" s="711">
        <f t="shared" si="0"/>
        <v>5</v>
      </c>
      <c r="K10" s="711">
        <f t="shared" si="0"/>
        <v>5</v>
      </c>
      <c r="L10" s="711">
        <f t="shared" si="0"/>
        <v>5</v>
      </c>
      <c r="M10" s="711">
        <f t="shared" si="0"/>
        <v>5</v>
      </c>
      <c r="N10" s="711">
        <f t="shared" si="0"/>
        <v>5</v>
      </c>
      <c r="O10" s="711">
        <f t="shared" si="0"/>
        <v>5</v>
      </c>
      <c r="P10" s="711">
        <f t="shared" si="0"/>
        <v>5</v>
      </c>
      <c r="Q10" s="711">
        <f>SUM(Q11:Q15)</f>
        <v>5</v>
      </c>
      <c r="R10" s="711">
        <f t="shared" si="0"/>
        <v>5</v>
      </c>
      <c r="S10" s="496"/>
      <c r="T10" s="699">
        <f t="shared" ref="T10:T36" si="1">HLOOKUP($E$6,$F$9:$R$231,$A10,FALSE)</f>
        <v>5</v>
      </c>
      <c r="U10" s="134"/>
      <c r="V10" s="35"/>
      <c r="W10" s="35"/>
      <c r="X10" s="135">
        <f>'Manuell filtrering og justering'!E7</f>
        <v>0</v>
      </c>
      <c r="Y10" s="136"/>
      <c r="Z10" s="864">
        <f>SUM(Z11:Z15)</f>
        <v>6</v>
      </c>
      <c r="AA10" s="856">
        <f>IF(SUM(U10:Y10)&gt;T10,T10,SUM(U10:Y10))</f>
        <v>0</v>
      </c>
      <c r="AB10" s="860">
        <f>SUM(AB11:AB15)</f>
        <v>5</v>
      </c>
      <c r="AC10" s="496">
        <v>10</v>
      </c>
      <c r="AD10" s="701">
        <f t="shared" ref="AD10:AD33" si="2">(Man_Weight/Man_Credits)*AB10</f>
        <v>3.0952380952380953E-2</v>
      </c>
      <c r="AE10" s="701">
        <f>SUM(AE11:AE15)</f>
        <v>0</v>
      </c>
      <c r="AF10" s="701">
        <f>SUM(AF11:AF15)</f>
        <v>0</v>
      </c>
      <c r="AG10" s="701">
        <f>SUM(AG11:AG15)</f>
        <v>0</v>
      </c>
      <c r="AI10" s="702">
        <f>SUM(AI11:AI15)</f>
        <v>0</v>
      </c>
      <c r="AJ10" s="702">
        <f>SUM(AJ11:AJ15)</f>
        <v>0</v>
      </c>
      <c r="AK10" s="702">
        <f>SUM(AK11:AK15)</f>
        <v>0</v>
      </c>
      <c r="AM10" s="140"/>
      <c r="AN10" s="234"/>
      <c r="AO10" s="234"/>
      <c r="AP10" s="147"/>
      <c r="AQ10" s="152"/>
      <c r="AS10" s="235"/>
      <c r="AT10" s="147"/>
      <c r="AU10" s="147"/>
      <c r="AV10" s="147"/>
      <c r="AW10" s="152"/>
      <c r="AX10" s="113"/>
      <c r="AY10" s="141"/>
      <c r="AZ10" s="142"/>
      <c r="BA10" s="142"/>
      <c r="BB10" s="142"/>
      <c r="BC10" s="143"/>
      <c r="BD10" s="141">
        <f>IF(BC10=0,9,IF(AI10&gt;=BC10,5,IF(AI10&gt;=BB10,4,IF(AI10&gt;=BA10,3,IF(AI10&gt;=AZ10,2,IF(AI10&lt;AY10,0,1))))))</f>
        <v>9</v>
      </c>
      <c r="BE10" s="35" t="str">
        <f>IF(BD10=$BO$290,$BT$290,IF(BD10=$BO$289,$BT$289,IF(BD10=$BO$288,$BT$288,IF(BD10=$BO$287,$BT$287,IF(BD10=$BO$286,$BT$286,IF(BD10=$BO$285,$BT$285,$BT$284))))))</f>
        <v>N/A</v>
      </c>
      <c r="BF10" s="145"/>
      <c r="BG10" s="141">
        <f t="shared" ref="BG10:BG21" si="3">IF(BC10=0,9,IF(AJ10&gt;=BC10,5,IF(AJ10&gt;=BB10,4,IF(AJ10&gt;=BA10,3,IF(AJ10&gt;=AZ10,2,IF(AJ10&lt;AY10,0,1))))))</f>
        <v>9</v>
      </c>
      <c r="BH10" s="35" t="str">
        <f>IF(BG10=$BO$290,$BT$290,IF(BG10=$BO$289,$BT$289,IF(BG10=$BO$288,$BT$288,IF(BG10=$BO$287,$BT$287,IF(BG10=$BO$286,$BT$286,IF(BG10=$BO$285,$BT$285,$BT$284))))))</f>
        <v>N/A</v>
      </c>
      <c r="BI10" s="145"/>
      <c r="BJ10" s="141">
        <f t="shared" ref="BJ10:BJ21" si="4">IF(BC10=0,9,IF(AK10&gt;=BC10,5,IF(AK10&gt;=BB10,4,IF(AK10&gt;=BA10,3,IF(AK10&gt;=AZ10,2,IF(AK10&lt;AY10,0,1))))))</f>
        <v>9</v>
      </c>
      <c r="BK10" s="35" t="str">
        <f>IF(BJ10=$BO$290,$BT$290,IF(BJ10=$BO$289,$BT$289,IF(BJ10=$BO$288,$BT$288,IF(BJ10=$BO$287,$BT$287,IF(BJ10=$BO$286,$BT$286,IF(BJ10=$BO$285,$BT$285,$BT$284))))))</f>
        <v>N/A</v>
      </c>
      <c r="BL10" s="145"/>
      <c r="BO10" s="35"/>
      <c r="BP10" s="35"/>
      <c r="BQ10" s="35" t="str">
        <f>IF(BO10&lt;&gt;"",BO10,IF(BP10&lt;&gt;"",BP10,""))</f>
        <v/>
      </c>
      <c r="BR10" s="35">
        <f>IF(BQ10="",9,(IF(AI10&gt;=BQ10,5,0)))</f>
        <v>9</v>
      </c>
      <c r="BS10" s="35">
        <f>IF(BQ10="",9,(IF(AJ10&gt;=BQ10,5,0)))</f>
        <v>9</v>
      </c>
      <c r="BT10" s="35">
        <f>IF(BQ10="",9,(IF(AK10&gt;=BQ10,5,0)))</f>
        <v>9</v>
      </c>
      <c r="BW10" s="37" t="str">
        <f>D10</f>
        <v>Man 01</v>
      </c>
      <c r="BX10" s="37" t="str">
        <f>IFERROR(VLOOKUP($E10,'Pre-analyseverktøy'!$F$11:$AC$226,'Pre-analyseverktøy'!AC$2,FALSE),"")</f>
        <v>No</v>
      </c>
      <c r="BY10" s="233">
        <f>IFERROR(VLOOKUP($E10,'Pre-analyseverktøy'!$F$11:$AJ$226,'Pre-analyseverktøy'!AJ$2,FALSE),"")</f>
        <v>0</v>
      </c>
      <c r="BZ10" s="233">
        <f>IFERROR(VLOOKUP($BX10,$E$293:$H$326,F$291,FALSE),"")</f>
        <v>1</v>
      </c>
      <c r="CA10" s="233">
        <f>IFERROR(VLOOKUP($BX10,$E$293:$H$326,G$291,FALSE),"")</f>
        <v>0</v>
      </c>
      <c r="CB10" s="233"/>
      <c r="CC10" t="str">
        <f>IFERROR(VLOOKUP($BX10,$E$293:$H$326,I$291,FALSE),"")</f>
        <v/>
      </c>
    </row>
    <row r="11" spans="1:97">
      <c r="A11">
        <v>3</v>
      </c>
      <c r="B11" t="str">
        <f>$D$10&amp;D11</f>
        <v>Man 01a</v>
      </c>
      <c r="C11" t="str">
        <f>C10</f>
        <v>Man 01</v>
      </c>
      <c r="D11" s="35" t="s">
        <v>775</v>
      </c>
      <c r="E11" s="813" t="s">
        <v>939</v>
      </c>
      <c r="F11" s="575">
        <v>1</v>
      </c>
      <c r="G11" s="575">
        <v>1</v>
      </c>
      <c r="H11" s="575">
        <v>1</v>
      </c>
      <c r="I11" s="575">
        <v>1</v>
      </c>
      <c r="J11" s="575">
        <v>1</v>
      </c>
      <c r="K11" s="575">
        <v>1</v>
      </c>
      <c r="L11" s="575">
        <v>1</v>
      </c>
      <c r="M11" s="575">
        <v>1</v>
      </c>
      <c r="N11" s="575">
        <v>1</v>
      </c>
      <c r="O11" s="575">
        <v>1</v>
      </c>
      <c r="P11" s="575">
        <v>1</v>
      </c>
      <c r="Q11" s="575">
        <v>1</v>
      </c>
      <c r="R11" s="575">
        <v>1</v>
      </c>
      <c r="S11" s="496"/>
      <c r="T11" s="133">
        <f>HLOOKUP($E$6,$F$9:$R$231,$A11,FALSE)</f>
        <v>1</v>
      </c>
      <c r="U11" s="134"/>
      <c r="V11" s="35"/>
      <c r="W11" s="35"/>
      <c r="X11" s="135"/>
      <c r="Y11" s="136"/>
      <c r="Z11" s="849">
        <f>VLOOKUP(B11,'Manuell filtrering og justering'!$A$7:$H$107,'Manuell filtrering og justering'!$H$1,FALSE)</f>
        <v>1</v>
      </c>
      <c r="AA11" s="856">
        <f t="shared" ref="AA11:AA35" si="5">IF(SUM(U11:Y11)&gt;T11,T11,SUM(U11:Y11))</f>
        <v>0</v>
      </c>
      <c r="AB11" s="151">
        <f>IF($AC$5='Manuell filtrering og justering'!$J$2,Z11,(T11-AA11))</f>
        <v>1</v>
      </c>
      <c r="AC11" s="496">
        <v>11</v>
      </c>
      <c r="AD11" s="138">
        <f t="shared" si="2"/>
        <v>6.1904761904761907E-3</v>
      </c>
      <c r="AE11" s="138">
        <f>IF(AB11=0,0,(AD11/AB11)*AI11)</f>
        <v>0</v>
      </c>
      <c r="AF11" s="138">
        <f>IF(AB11=0,0,(AD11/AB11)*AJ11)</f>
        <v>0</v>
      </c>
      <c r="AG11" s="138">
        <f>IF(AB11=0,0,(AD11/AB11)*AK11)</f>
        <v>0</v>
      </c>
      <c r="AI11" s="139">
        <f>IF(CO11&gt;$AB11,$AB11,CO11)</f>
        <v>0</v>
      </c>
      <c r="AJ11" s="139">
        <f>IF(CP11&gt;$AB11,$AB11,CP11)</f>
        <v>0</v>
      </c>
      <c r="AK11" s="139">
        <f>IF(CQ11&gt;$AB11,$AB11,CQ11)</f>
        <v>0</v>
      </c>
      <c r="AM11" s="623"/>
      <c r="AN11" s="624"/>
      <c r="AO11" s="624"/>
      <c r="AP11" s="147">
        <v>1</v>
      </c>
      <c r="AQ11" s="152">
        <v>1</v>
      </c>
      <c r="AS11" s="235"/>
      <c r="AT11" s="147"/>
      <c r="AU11" s="147"/>
      <c r="AV11" s="147">
        <v>1</v>
      </c>
      <c r="AW11" s="152">
        <v>1</v>
      </c>
      <c r="AX11" s="113"/>
      <c r="AY11" s="625"/>
      <c r="AZ11" s="626"/>
      <c r="BA11" s="626"/>
      <c r="BB11" s="149">
        <f>IF($E$6=$H$9,AV11,AP11)</f>
        <v>1</v>
      </c>
      <c r="BC11" s="149">
        <f>IF($E$6=$H$9,AW11,AQ11)</f>
        <v>1</v>
      </c>
      <c r="BD11" s="148">
        <f t="shared" ref="BD11:BD16" si="6">IF(BC11=0,9,IF(AI11&gt;=BC11,5,IF(AI11&gt;=BB11,4,IF(AI11&gt;=BA11,3,IF(AI11&gt;=AZ11,2,IF(AI11&lt;AY11,0,1))))))</f>
        <v>3</v>
      </c>
      <c r="BE11" s="35" t="str">
        <f t="shared" ref="BE11:BE35" si="7">IF(BD11=$BO$290,$BT$290,IF(BD11=$BO$289,$BT$289,IF(BD11=$BO$288,$BT$288,IF(BD11=$BO$287,$BT$287,IF(BD11=$BO$286,$BT$286,IF(BD11=$BO$285,$BT$285,$BT$284))))))</f>
        <v>Very Good</v>
      </c>
      <c r="BF11" s="151"/>
      <c r="BG11" s="148">
        <f t="shared" si="3"/>
        <v>3</v>
      </c>
      <c r="BH11" s="35" t="str">
        <f t="shared" ref="BH11:BH35" si="8">IF(BG11=$BO$290,$BT$290,IF(BG11=$BO$289,$BT$289,IF(BG11=$BO$288,$BT$288,IF(BG11=$BO$287,$BT$287,IF(BG11=$BO$286,$BT$286,IF(BG11=$BO$285,$BT$285,$BT$284))))))</f>
        <v>Very Good</v>
      </c>
      <c r="BI11" s="151"/>
      <c r="BJ11" s="148">
        <f t="shared" si="4"/>
        <v>3</v>
      </c>
      <c r="BK11" s="35" t="str">
        <f t="shared" ref="BK11:BK35" si="9">IF(BJ11=$BO$290,$BT$290,IF(BJ11=$BO$289,$BT$289,IF(BJ11=$BO$288,$BT$288,IF(BJ11=$BO$287,$BT$287,IF(BJ11=$BO$286,$BT$286,IF(BJ11=$BO$285,$BT$285,$BT$284))))))</f>
        <v>Very Good</v>
      </c>
      <c r="BL11" s="627"/>
      <c r="BO11" s="35"/>
      <c r="BP11" s="35"/>
      <c r="BQ11" s="35" t="str">
        <f t="shared" ref="BQ11:BQ74" si="10">IF(BO11&lt;&gt;"",BO11,IF(BP11&lt;&gt;"",BP11,""))</f>
        <v/>
      </c>
      <c r="BR11" s="35">
        <f>IF(BQ11="",9,(IF(AI11&gt;=BQ11,5,0)))</f>
        <v>9</v>
      </c>
      <c r="BS11" s="35">
        <f t="shared" ref="BS11:BS30" si="11">IF(BQ11="",9,(IF(AJ11&gt;=BQ11,5,0)))</f>
        <v>9</v>
      </c>
      <c r="BT11" s="35">
        <f t="shared" ref="BT11:BT30" si="12">IF(BQ11="",9,(IF(AK11&gt;=BQ11,5,0)))</f>
        <v>9</v>
      </c>
      <c r="BW11" s="37"/>
      <c r="BX11" s="37"/>
      <c r="BY11" s="233"/>
      <c r="BZ11" s="233"/>
      <c r="CA11" s="233"/>
      <c r="CB11" s="233"/>
      <c r="CO11" s="35">
        <f>'Pre-analyseverktøy'!H12</f>
        <v>0</v>
      </c>
      <c r="CP11" s="35">
        <f>'Pre-analyseverktøy'!O12</f>
        <v>0</v>
      </c>
      <c r="CQ11" s="35">
        <f>'Pre-analyseverktøy'!V12</f>
        <v>0</v>
      </c>
      <c r="CR11" s="35" t="str">
        <f>'Pre-analyseverktøy'!F12</f>
        <v>Planlegging av  prosjektering  og utførelse</v>
      </c>
      <c r="CS11" s="35" t="b">
        <f>CR11=E11</f>
        <v>1</v>
      </c>
    </row>
    <row r="12" spans="1:97">
      <c r="A12">
        <v>4</v>
      </c>
      <c r="B12" t="str">
        <f>$D$10&amp;D12</f>
        <v>Man 01b</v>
      </c>
      <c r="C12" t="str">
        <f t="shared" ref="C12:C74" si="13">C11</f>
        <v>Man 01</v>
      </c>
      <c r="D12" s="35" t="s">
        <v>776</v>
      </c>
      <c r="E12" s="924" t="s">
        <v>940</v>
      </c>
      <c r="F12" s="575">
        <v>1</v>
      </c>
      <c r="G12" s="575">
        <v>1</v>
      </c>
      <c r="H12" s="575">
        <v>1</v>
      </c>
      <c r="I12" s="575">
        <v>1</v>
      </c>
      <c r="J12" s="575">
        <v>1</v>
      </c>
      <c r="K12" s="575">
        <v>1</v>
      </c>
      <c r="L12" s="575">
        <v>1</v>
      </c>
      <c r="M12" s="575">
        <v>1</v>
      </c>
      <c r="N12" s="575">
        <v>1</v>
      </c>
      <c r="O12" s="575">
        <v>1</v>
      </c>
      <c r="P12" s="575">
        <v>1</v>
      </c>
      <c r="Q12" s="575">
        <v>1</v>
      </c>
      <c r="R12" s="575">
        <v>1</v>
      </c>
      <c r="S12" s="496"/>
      <c r="T12" s="133">
        <f t="shared" si="1"/>
        <v>1</v>
      </c>
      <c r="U12" s="134"/>
      <c r="V12" s="35"/>
      <c r="W12" s="35"/>
      <c r="X12" s="135"/>
      <c r="Y12" s="136"/>
      <c r="Z12" s="849">
        <f>VLOOKUP(B12,'Manuell filtrering og justering'!$A$7:$H$107,'Manuell filtrering og justering'!$H$1,FALSE)</f>
        <v>1</v>
      </c>
      <c r="AA12" s="856">
        <f t="shared" si="5"/>
        <v>0</v>
      </c>
      <c r="AB12" s="151">
        <f>IF($AC$5='Manuell filtrering og justering'!$J$2,Z12,(T12-AA12))</f>
        <v>1</v>
      </c>
      <c r="AC12" s="496">
        <v>12</v>
      </c>
      <c r="AD12" s="138">
        <f t="shared" si="2"/>
        <v>6.1904761904761907E-3</v>
      </c>
      <c r="AE12" s="138">
        <f>IF(AB12=0,0,(AD12/AB12)*AI12)</f>
        <v>0</v>
      </c>
      <c r="AF12" s="138">
        <f t="shared" ref="AF12:AF33" si="14">IF(AB12=0,0,(AD12/AB12)*AJ12)</f>
        <v>0</v>
      </c>
      <c r="AG12" s="138">
        <f t="shared" ref="AG12:AG33" si="15">IF(AB12=0,0,(AD12/AB12)*AK12)</f>
        <v>0</v>
      </c>
      <c r="AI12" s="139">
        <f t="shared" ref="AI12:AI15" si="16">IF(CO12&gt;$AB12,$AB12,CO12)</f>
        <v>0</v>
      </c>
      <c r="AJ12" s="139">
        <f t="shared" ref="AJ12:AJ15" si="17">IF(CP12&gt;$AB12,$AB12,CP12)</f>
        <v>0</v>
      </c>
      <c r="AK12" s="139">
        <f t="shared" ref="AK12:AK15" si="18">IF(CQ12&gt;$AB12,$AB12,CQ12)</f>
        <v>0</v>
      </c>
      <c r="AM12" s="623"/>
      <c r="AN12" s="624"/>
      <c r="AO12" s="624"/>
      <c r="AP12" s="147">
        <v>1</v>
      </c>
      <c r="AQ12" s="152">
        <v>1</v>
      </c>
      <c r="AS12" s="235"/>
      <c r="AT12" s="147"/>
      <c r="AU12" s="147"/>
      <c r="AV12" s="147">
        <v>1</v>
      </c>
      <c r="AW12" s="152">
        <v>1</v>
      </c>
      <c r="AX12" s="113"/>
      <c r="AY12" s="625"/>
      <c r="AZ12" s="626"/>
      <c r="BA12" s="626"/>
      <c r="BB12" s="149">
        <f>IF($E$6=$H$9,AV12,AP12)</f>
        <v>1</v>
      </c>
      <c r="BC12" s="149">
        <f>IF($E$6=$H$9,AW12,AQ12)</f>
        <v>1</v>
      </c>
      <c r="BD12" s="148">
        <f t="shared" si="6"/>
        <v>3</v>
      </c>
      <c r="BE12" s="35" t="str">
        <f t="shared" si="7"/>
        <v>Very Good</v>
      </c>
      <c r="BF12" s="151"/>
      <c r="BG12" s="148">
        <f t="shared" si="3"/>
        <v>3</v>
      </c>
      <c r="BH12" s="35" t="str">
        <f t="shared" si="8"/>
        <v>Very Good</v>
      </c>
      <c r="BI12" s="151"/>
      <c r="BJ12" s="148">
        <f t="shared" si="4"/>
        <v>3</v>
      </c>
      <c r="BK12" s="35" t="str">
        <f t="shared" si="9"/>
        <v>Very Good</v>
      </c>
      <c r="BL12" s="627"/>
      <c r="BO12" s="35">
        <v>1</v>
      </c>
      <c r="BP12" s="35"/>
      <c r="BQ12" s="35">
        <f t="shared" si="10"/>
        <v>1</v>
      </c>
      <c r="BR12" s="35">
        <f>IF(BQ12="",9,(IF(AI12&gt;=BQ12,5,0)))</f>
        <v>0</v>
      </c>
      <c r="BS12" s="35">
        <f t="shared" si="11"/>
        <v>0</v>
      </c>
      <c r="BT12" s="35">
        <f t="shared" si="12"/>
        <v>0</v>
      </c>
      <c r="BW12" s="37"/>
      <c r="BX12" s="37"/>
      <c r="BY12" s="233"/>
      <c r="BZ12" s="233"/>
      <c r="CA12" s="233"/>
      <c r="CB12" s="233"/>
      <c r="CO12" s="35">
        <f>'Pre-analyseverktøy'!H13</f>
        <v>0</v>
      </c>
      <c r="CP12" s="35">
        <f>'Pre-analyseverktøy'!O13</f>
        <v>0</v>
      </c>
      <c r="CQ12" s="35">
        <f>'Pre-analyseverktøy'!V13</f>
        <v>0</v>
      </c>
      <c r="CR12" s="35" t="str">
        <f>'Pre-analyseverktøy'!F13</f>
        <v>Samlet klimagassregnskap for byggets levetid (EU taksonomi: krit. 2-3)</v>
      </c>
      <c r="CS12" s="35" t="b">
        <f t="shared" ref="CS12:CS41" si="19">CR12=E12</f>
        <v>1</v>
      </c>
    </row>
    <row r="13" spans="1:97">
      <c r="A13">
        <v>5</v>
      </c>
      <c r="B13" t="str">
        <f>$D$10&amp;D13</f>
        <v>Man 01c</v>
      </c>
      <c r="C13" t="str">
        <f t="shared" si="13"/>
        <v>Man 01</v>
      </c>
      <c r="D13" s="35" t="s">
        <v>777</v>
      </c>
      <c r="E13" s="813" t="s">
        <v>941</v>
      </c>
      <c r="F13" s="575">
        <v>1</v>
      </c>
      <c r="G13" s="575">
        <v>1</v>
      </c>
      <c r="H13" s="575">
        <v>1</v>
      </c>
      <c r="I13" s="575">
        <v>1</v>
      </c>
      <c r="J13" s="575">
        <v>1</v>
      </c>
      <c r="K13" s="575">
        <v>1</v>
      </c>
      <c r="L13" s="575">
        <v>1</v>
      </c>
      <c r="M13" s="575">
        <v>1</v>
      </c>
      <c r="N13" s="575">
        <v>1</v>
      </c>
      <c r="O13" s="575">
        <v>1</v>
      </c>
      <c r="P13" s="575">
        <v>1</v>
      </c>
      <c r="Q13" s="575">
        <v>1</v>
      </c>
      <c r="R13" s="575">
        <v>1</v>
      </c>
      <c r="S13" s="496"/>
      <c r="T13" s="133">
        <f t="shared" si="1"/>
        <v>1</v>
      </c>
      <c r="U13" s="134"/>
      <c r="V13" s="35"/>
      <c r="W13" s="35"/>
      <c r="X13" s="135"/>
      <c r="Y13" s="136"/>
      <c r="Z13" s="849">
        <f>VLOOKUP(B13,'Manuell filtrering og justering'!$A$7:$H$107,'Manuell filtrering og justering'!$H$1,FALSE)</f>
        <v>1</v>
      </c>
      <c r="AA13" s="856">
        <f t="shared" si="5"/>
        <v>0</v>
      </c>
      <c r="AB13" s="151">
        <f>IF($AC$5='Manuell filtrering og justering'!$J$2,Z13,(T13-AA13))</f>
        <v>1</v>
      </c>
      <c r="AC13" s="496">
        <v>13</v>
      </c>
      <c r="AD13" s="138">
        <f t="shared" si="2"/>
        <v>6.1904761904761907E-3</v>
      </c>
      <c r="AE13" s="138">
        <f>IF(AB13=0,0,(AD13/AB13)*AI13)</f>
        <v>0</v>
      </c>
      <c r="AF13" s="138">
        <f t="shared" si="14"/>
        <v>0</v>
      </c>
      <c r="AG13" s="138">
        <f t="shared" si="15"/>
        <v>0</v>
      </c>
      <c r="AI13" s="139">
        <f t="shared" si="16"/>
        <v>0</v>
      </c>
      <c r="AJ13" s="139">
        <f t="shared" si="17"/>
        <v>0</v>
      </c>
      <c r="AK13" s="139">
        <f t="shared" si="18"/>
        <v>0</v>
      </c>
      <c r="AM13" s="623"/>
      <c r="AN13" s="624"/>
      <c r="AO13" s="624"/>
      <c r="AP13" s="147"/>
      <c r="AQ13" s="152"/>
      <c r="AS13" s="235"/>
      <c r="AT13" s="147"/>
      <c r="AU13" s="147"/>
      <c r="AV13" s="147"/>
      <c r="AW13" s="152"/>
      <c r="AX13" s="113"/>
      <c r="AY13" s="625"/>
      <c r="AZ13" s="626"/>
      <c r="BA13" s="626"/>
      <c r="BB13" s="626"/>
      <c r="BC13" s="143"/>
      <c r="BD13" s="148">
        <f t="shared" si="6"/>
        <v>9</v>
      </c>
      <c r="BE13" s="35" t="str">
        <f t="shared" si="7"/>
        <v>N/A</v>
      </c>
      <c r="BF13" s="151"/>
      <c r="BG13" s="148">
        <f t="shared" si="3"/>
        <v>9</v>
      </c>
      <c r="BH13" s="35" t="str">
        <f t="shared" si="8"/>
        <v>N/A</v>
      </c>
      <c r="BI13" s="151"/>
      <c r="BJ13" s="148">
        <f t="shared" si="4"/>
        <v>9</v>
      </c>
      <c r="BK13" s="35" t="str">
        <f t="shared" si="9"/>
        <v>N/A</v>
      </c>
      <c r="BL13" s="627"/>
      <c r="BO13" s="35"/>
      <c r="BP13" s="35"/>
      <c r="BQ13" s="35" t="str">
        <f t="shared" si="10"/>
        <v/>
      </c>
      <c r="BR13" s="35">
        <f t="shared" ref="BR13:BR30" si="20">IF(BQ13="",9,(IF(AI13&gt;=BQ13,5,0)))</f>
        <v>9</v>
      </c>
      <c r="BS13" s="35">
        <f t="shared" si="11"/>
        <v>9</v>
      </c>
      <c r="BT13" s="35">
        <f t="shared" si="12"/>
        <v>9</v>
      </c>
      <c r="BW13" s="37"/>
      <c r="BX13" s="37"/>
      <c r="BY13" s="233"/>
      <c r="BZ13" s="233"/>
      <c r="CA13" s="233"/>
      <c r="CB13" s="233"/>
      <c r="CO13" s="35">
        <f>'Pre-analyseverktøy'!H14</f>
        <v>0</v>
      </c>
      <c r="CP13" s="35">
        <f>'Pre-analyseverktøy'!O14</f>
        <v>0</v>
      </c>
      <c r="CQ13" s="35">
        <f>'Pre-analyseverktøy'!V14</f>
        <v>0</v>
      </c>
      <c r="CR13" s="35" t="str">
        <f>'Pre-analyseverktøy'!F14</f>
        <v>Involvering av eksterne interessenter</v>
      </c>
      <c r="CS13" s="35" t="b">
        <f t="shared" si="19"/>
        <v>1</v>
      </c>
    </row>
    <row r="14" spans="1:97">
      <c r="A14">
        <v>6</v>
      </c>
      <c r="B14" t="str">
        <f>$D$10&amp;D14</f>
        <v>Man 01d</v>
      </c>
      <c r="C14" t="str">
        <f t="shared" si="13"/>
        <v>Man 01</v>
      </c>
      <c r="D14" s="35" t="s">
        <v>778</v>
      </c>
      <c r="E14" s="813" t="s">
        <v>942</v>
      </c>
      <c r="F14" s="575">
        <v>1</v>
      </c>
      <c r="G14" s="575">
        <v>1</v>
      </c>
      <c r="H14" s="575">
        <v>1</v>
      </c>
      <c r="I14" s="575">
        <v>1</v>
      </c>
      <c r="J14" s="575">
        <v>1</v>
      </c>
      <c r="K14" s="575">
        <v>1</v>
      </c>
      <c r="L14" s="575">
        <v>1</v>
      </c>
      <c r="M14" s="575">
        <v>1</v>
      </c>
      <c r="N14" s="575">
        <v>1</v>
      </c>
      <c r="O14" s="575">
        <v>1</v>
      </c>
      <c r="P14" s="575">
        <v>1</v>
      </c>
      <c r="Q14" s="575">
        <v>1</v>
      </c>
      <c r="R14" s="575">
        <v>1</v>
      </c>
      <c r="S14" s="496"/>
      <c r="T14" s="133">
        <f t="shared" si="1"/>
        <v>1</v>
      </c>
      <c r="U14" s="134"/>
      <c r="V14" s="35"/>
      <c r="W14" s="35"/>
      <c r="X14" s="135"/>
      <c r="Y14" s="136"/>
      <c r="Z14" s="849">
        <f>VLOOKUP(B14,'Manuell filtrering og justering'!$A$7:$H$107,'Manuell filtrering og justering'!$H$1,FALSE)</f>
        <v>1</v>
      </c>
      <c r="AA14" s="856">
        <f t="shared" si="5"/>
        <v>0</v>
      </c>
      <c r="AB14" s="151">
        <f>IF($AC$5='Manuell filtrering og justering'!$J$2,Z14,(T14-AA14))</f>
        <v>1</v>
      </c>
      <c r="AC14" s="496">
        <v>14</v>
      </c>
      <c r="AD14" s="138">
        <f t="shared" si="2"/>
        <v>6.1904761904761907E-3</v>
      </c>
      <c r="AE14" s="138">
        <f>IF(AB14=0,0,(AD14/AB14)*AI14)</f>
        <v>0</v>
      </c>
      <c r="AF14" s="138">
        <f t="shared" si="14"/>
        <v>0</v>
      </c>
      <c r="AG14" s="138">
        <f t="shared" si="15"/>
        <v>0</v>
      </c>
      <c r="AI14" s="139">
        <f t="shared" si="16"/>
        <v>0</v>
      </c>
      <c r="AJ14" s="139">
        <f t="shared" si="17"/>
        <v>0</v>
      </c>
      <c r="AK14" s="139">
        <f t="shared" si="18"/>
        <v>0</v>
      </c>
      <c r="AM14" s="623"/>
      <c r="AN14" s="624"/>
      <c r="AO14" s="624"/>
      <c r="AP14" s="147"/>
      <c r="AQ14" s="152"/>
      <c r="AS14" s="235"/>
      <c r="AT14" s="147"/>
      <c r="AU14" s="147"/>
      <c r="AV14" s="147"/>
      <c r="AW14" s="152"/>
      <c r="AX14" s="113"/>
      <c r="AY14" s="625"/>
      <c r="AZ14" s="626"/>
      <c r="BA14" s="626"/>
      <c r="BB14" s="626"/>
      <c r="BC14" s="143"/>
      <c r="BD14" s="148">
        <f t="shared" si="6"/>
        <v>9</v>
      </c>
      <c r="BE14" s="35" t="str">
        <f t="shared" si="7"/>
        <v>N/A</v>
      </c>
      <c r="BF14" s="151"/>
      <c r="BG14" s="148">
        <f t="shared" si="3"/>
        <v>9</v>
      </c>
      <c r="BH14" s="35" t="str">
        <f t="shared" si="8"/>
        <v>N/A</v>
      </c>
      <c r="BI14" s="151"/>
      <c r="BJ14" s="148">
        <f t="shared" si="4"/>
        <v>9</v>
      </c>
      <c r="BK14" s="35" t="str">
        <f t="shared" si="9"/>
        <v>N/A</v>
      </c>
      <c r="BL14" s="627"/>
      <c r="BO14" s="35"/>
      <c r="BP14" s="35"/>
      <c r="BQ14" s="35" t="str">
        <f t="shared" si="10"/>
        <v/>
      </c>
      <c r="BR14" s="35">
        <f t="shared" si="20"/>
        <v>9</v>
      </c>
      <c r="BS14" s="35">
        <f t="shared" si="11"/>
        <v>9</v>
      </c>
      <c r="BT14" s="35">
        <f t="shared" si="12"/>
        <v>9</v>
      </c>
      <c r="BW14" s="37"/>
      <c r="BX14" s="37"/>
      <c r="BY14" s="233"/>
      <c r="BZ14" s="233"/>
      <c r="CA14" s="233"/>
      <c r="CB14" s="233"/>
      <c r="CO14" s="35">
        <f>'Pre-analyseverktøy'!H15</f>
        <v>0</v>
      </c>
      <c r="CP14" s="35">
        <f>'Pre-analyseverktøy'!O15</f>
        <v>0</v>
      </c>
      <c r="CQ14" s="35">
        <f>'Pre-analyseverktøy'!V15</f>
        <v>0</v>
      </c>
      <c r="CR14" s="35" t="str">
        <f>'Pre-analyseverktøy'!F15</f>
        <v>BREEAM-NOR AP (steg 2 og 3)</v>
      </c>
      <c r="CS14" s="35" t="b">
        <f t="shared" si="19"/>
        <v>1</v>
      </c>
    </row>
    <row r="15" spans="1:97">
      <c r="A15">
        <v>7</v>
      </c>
      <c r="B15" t="str">
        <f>$D$10&amp;D15</f>
        <v>Man 01e</v>
      </c>
      <c r="C15" t="str">
        <f t="shared" si="13"/>
        <v>Man 01</v>
      </c>
      <c r="D15" s="35" t="s">
        <v>779</v>
      </c>
      <c r="E15" s="813" t="s">
        <v>943</v>
      </c>
      <c r="F15" s="575">
        <v>1</v>
      </c>
      <c r="G15" s="575">
        <v>1</v>
      </c>
      <c r="H15" s="575">
        <v>1</v>
      </c>
      <c r="I15" s="575">
        <v>1</v>
      </c>
      <c r="J15" s="575">
        <v>1</v>
      </c>
      <c r="K15" s="575">
        <v>1</v>
      </c>
      <c r="L15" s="575">
        <v>1</v>
      </c>
      <c r="M15" s="575">
        <v>1</v>
      </c>
      <c r="N15" s="575">
        <v>1</v>
      </c>
      <c r="O15" s="575">
        <v>1</v>
      </c>
      <c r="P15" s="575">
        <v>1</v>
      </c>
      <c r="Q15" s="575">
        <v>1</v>
      </c>
      <c r="R15" s="575">
        <v>1</v>
      </c>
      <c r="S15" s="496"/>
      <c r="T15" s="133">
        <f t="shared" si="1"/>
        <v>1</v>
      </c>
      <c r="U15" s="134"/>
      <c r="V15" s="35"/>
      <c r="W15" s="35"/>
      <c r="X15" s="135"/>
      <c r="Y15" s="136"/>
      <c r="Z15" s="849">
        <f>VLOOKUP(B15,'Manuell filtrering og justering'!$A$7:$H$107,'Manuell filtrering og justering'!$H$1,FALSE)</f>
        <v>2</v>
      </c>
      <c r="AA15" s="856">
        <f t="shared" si="5"/>
        <v>0</v>
      </c>
      <c r="AB15" s="151">
        <f>IF($AC$5='Manuell filtrering og justering'!$J$2,Z15,(T15-AA15))</f>
        <v>1</v>
      </c>
      <c r="AC15" s="496">
        <v>15</v>
      </c>
      <c r="AD15" s="138">
        <f t="shared" si="2"/>
        <v>6.1904761904761907E-3</v>
      </c>
      <c r="AE15" s="138">
        <f>IF(AB15=0,0,(AD15/AB15)*AI15)</f>
        <v>0</v>
      </c>
      <c r="AF15" s="138">
        <f t="shared" si="14"/>
        <v>0</v>
      </c>
      <c r="AG15" s="138">
        <f t="shared" si="15"/>
        <v>0</v>
      </c>
      <c r="AI15" s="139">
        <f t="shared" si="16"/>
        <v>0</v>
      </c>
      <c r="AJ15" s="139">
        <f t="shared" si="17"/>
        <v>0</v>
      </c>
      <c r="AK15" s="139">
        <f t="shared" si="18"/>
        <v>0</v>
      </c>
      <c r="AM15" s="751"/>
      <c r="AN15" s="752"/>
      <c r="AO15" s="752"/>
      <c r="AP15" s="749"/>
      <c r="AQ15" s="747"/>
      <c r="AR15" s="109"/>
      <c r="AS15" s="748"/>
      <c r="AT15" s="749"/>
      <c r="AU15" s="749"/>
      <c r="AV15" s="749"/>
      <c r="AW15" s="747"/>
      <c r="AX15" s="113"/>
      <c r="AY15" s="625"/>
      <c r="AZ15" s="626"/>
      <c r="BA15" s="626"/>
      <c r="BB15" s="149"/>
      <c r="BC15" s="149"/>
      <c r="BD15" s="148">
        <f t="shared" si="6"/>
        <v>9</v>
      </c>
      <c r="BE15" s="35" t="str">
        <f t="shared" si="7"/>
        <v>N/A</v>
      </c>
      <c r="BF15" s="151"/>
      <c r="BG15" s="148">
        <f t="shared" si="3"/>
        <v>9</v>
      </c>
      <c r="BH15" s="35" t="str">
        <f t="shared" si="8"/>
        <v>N/A</v>
      </c>
      <c r="BI15" s="151"/>
      <c r="BJ15" s="148">
        <f t="shared" si="4"/>
        <v>9</v>
      </c>
      <c r="BK15" s="35" t="str">
        <f t="shared" si="9"/>
        <v>N/A</v>
      </c>
      <c r="BL15" s="627"/>
      <c r="BO15" s="35"/>
      <c r="BP15" s="35"/>
      <c r="BQ15" s="35" t="str">
        <f t="shared" si="10"/>
        <v/>
      </c>
      <c r="BR15" s="35">
        <f t="shared" si="20"/>
        <v>9</v>
      </c>
      <c r="BS15" s="35">
        <f t="shared" si="11"/>
        <v>9</v>
      </c>
      <c r="BT15" s="35">
        <f t="shared" si="12"/>
        <v>9</v>
      </c>
      <c r="BW15" s="37"/>
      <c r="BX15" s="37"/>
      <c r="BY15" s="233"/>
      <c r="BZ15" s="233"/>
      <c r="CA15" s="233"/>
      <c r="CB15" s="233"/>
      <c r="CO15" s="35">
        <f>'Pre-analyseverktøy'!H16</f>
        <v>0</v>
      </c>
      <c r="CP15" s="35">
        <f>'Pre-analyseverktøy'!O16</f>
        <v>0</v>
      </c>
      <c r="CQ15" s="35">
        <f>'Pre-analyseverktøy'!V16</f>
        <v>0</v>
      </c>
      <c r="CR15" s="35" t="str">
        <f>'Pre-analyseverktøy'!F16</f>
        <v>BREEAM-NOR AP (steg 4)</v>
      </c>
      <c r="CS15" s="35" t="b">
        <f t="shared" si="19"/>
        <v>1</v>
      </c>
    </row>
    <row r="16" spans="1:97">
      <c r="A16">
        <v>8</v>
      </c>
      <c r="B16" s="109" t="str">
        <f>D16</f>
        <v>Man 02</v>
      </c>
      <c r="C16" s="109" t="str">
        <f>B16</f>
        <v>Man 02</v>
      </c>
      <c r="D16" s="629" t="s">
        <v>259</v>
      </c>
      <c r="E16" s="629" t="s">
        <v>944</v>
      </c>
      <c r="F16" s="711">
        <f>SUM(F17:F18)</f>
        <v>3</v>
      </c>
      <c r="G16" s="711">
        <f t="shared" ref="G16:R16" si="21">SUM(G17:G18)</f>
        <v>3</v>
      </c>
      <c r="H16" s="711">
        <f t="shared" si="21"/>
        <v>3</v>
      </c>
      <c r="I16" s="711">
        <f t="shared" si="21"/>
        <v>3</v>
      </c>
      <c r="J16" s="711">
        <f t="shared" si="21"/>
        <v>3</v>
      </c>
      <c r="K16" s="711">
        <f t="shared" si="21"/>
        <v>3</v>
      </c>
      <c r="L16" s="711">
        <f t="shared" si="21"/>
        <v>3</v>
      </c>
      <c r="M16" s="711">
        <f t="shared" si="21"/>
        <v>3</v>
      </c>
      <c r="N16" s="711">
        <f t="shared" si="21"/>
        <v>3</v>
      </c>
      <c r="O16" s="711">
        <f t="shared" si="21"/>
        <v>3</v>
      </c>
      <c r="P16" s="711">
        <f t="shared" si="21"/>
        <v>3</v>
      </c>
      <c r="Q16" s="711">
        <f>SUM(Q17:Q18)</f>
        <v>3</v>
      </c>
      <c r="R16" s="711">
        <f t="shared" si="21"/>
        <v>3</v>
      </c>
      <c r="S16" s="496"/>
      <c r="T16" s="699">
        <f t="shared" si="1"/>
        <v>3</v>
      </c>
      <c r="U16" s="134"/>
      <c r="V16" s="35"/>
      <c r="W16" s="35"/>
      <c r="X16" s="135">
        <f>'Manuell filtrering og justering'!E8</f>
        <v>0</v>
      </c>
      <c r="Y16" s="136"/>
      <c r="Z16" s="864">
        <f>SUM(Z17:Z18)</f>
        <v>3</v>
      </c>
      <c r="AA16" s="856">
        <f t="shared" si="5"/>
        <v>0</v>
      </c>
      <c r="AB16" s="860">
        <f>SUM(AB17:AB18)</f>
        <v>3</v>
      </c>
      <c r="AC16" s="496">
        <v>16</v>
      </c>
      <c r="AD16" s="701">
        <f t="shared" si="2"/>
        <v>1.8571428571428572E-2</v>
      </c>
      <c r="AE16" s="701">
        <f>SUM(AE17:AE18)</f>
        <v>0</v>
      </c>
      <c r="AF16" s="701">
        <f>SUM(AF17:AF18)</f>
        <v>0</v>
      </c>
      <c r="AG16" s="701">
        <f>SUM(AG17:AG18)</f>
        <v>0</v>
      </c>
      <c r="AI16" s="702">
        <f>SUM(AI17:AI18)</f>
        <v>0</v>
      </c>
      <c r="AJ16" s="702">
        <f>SUM(AJ17:AJ18)</f>
        <v>0</v>
      </c>
      <c r="AK16" s="702">
        <f>SUM(AK17:AK18)</f>
        <v>0</v>
      </c>
      <c r="AM16" s="748"/>
      <c r="AN16" s="749"/>
      <c r="AO16" s="749"/>
      <c r="AP16" s="749"/>
      <c r="AQ16" s="747"/>
      <c r="AR16" s="109"/>
      <c r="AS16" s="748"/>
      <c r="AT16" s="749"/>
      <c r="AU16" s="749"/>
      <c r="AV16" s="749"/>
      <c r="AW16" s="747"/>
      <c r="AX16" s="113"/>
      <c r="AY16" s="148"/>
      <c r="AZ16" s="149"/>
      <c r="BA16" s="149"/>
      <c r="BB16" s="149"/>
      <c r="BC16" s="150"/>
      <c r="BD16" s="148">
        <f t="shared" si="6"/>
        <v>9</v>
      </c>
      <c r="BE16" s="35" t="str">
        <f t="shared" si="7"/>
        <v>N/A</v>
      </c>
      <c r="BF16" s="151"/>
      <c r="BG16" s="148">
        <f t="shared" si="3"/>
        <v>9</v>
      </c>
      <c r="BH16" s="35" t="str">
        <f t="shared" si="8"/>
        <v>N/A</v>
      </c>
      <c r="BI16" s="151"/>
      <c r="BJ16" s="148">
        <f t="shared" si="4"/>
        <v>9</v>
      </c>
      <c r="BK16" s="35" t="str">
        <f t="shared" si="9"/>
        <v>N/A</v>
      </c>
      <c r="BL16" s="151"/>
      <c r="BO16" s="35"/>
      <c r="BP16" s="35"/>
      <c r="BQ16" s="35" t="str">
        <f t="shared" si="10"/>
        <v/>
      </c>
      <c r="BR16" s="35">
        <f t="shared" si="20"/>
        <v>9</v>
      </c>
      <c r="BS16" s="35">
        <f t="shared" si="11"/>
        <v>9</v>
      </c>
      <c r="BT16" s="35">
        <f t="shared" si="12"/>
        <v>9</v>
      </c>
      <c r="BW16" s="35" t="str">
        <f>D16</f>
        <v>Man 02</v>
      </c>
      <c r="BX16" s="35" t="str">
        <f>IFERROR(VLOOKUP($E16,'Pre-analyseverktøy'!$F$11:$AC$226,'Pre-analyseverktøy'!AC$2,FALSE),"")</f>
        <v>No</v>
      </c>
      <c r="BY16" s="232">
        <f>IFERROR(VLOOKUP($E16,'Pre-analyseverktøy'!$F$11:$AJ$226,'Pre-analyseverktøy'!AJ$2,FALSE),"")</f>
        <v>0</v>
      </c>
      <c r="BZ16" s="232">
        <f>IFERROR(VLOOKUP($BX16,$E$293:$H$326,F$291,FALSE),"")</f>
        <v>1</v>
      </c>
      <c r="CA16" s="232">
        <f>IFERROR(VLOOKUP($BX16,$E$293:$H$326,G$291,FALSE),"")</f>
        <v>0</v>
      </c>
      <c r="CB16" s="232"/>
      <c r="CC16" t="str">
        <f>IFERROR(VLOOKUP($BX16,$E$293:$H$326,I$291,FALSE),"")</f>
        <v/>
      </c>
    </row>
    <row r="17" spans="1:97">
      <c r="A17">
        <v>9</v>
      </c>
      <c r="B17" t="str">
        <f>$D$16&amp;D17</f>
        <v>Man 02a</v>
      </c>
      <c r="C17" t="str">
        <f t="shared" si="13"/>
        <v>Man 02</v>
      </c>
      <c r="D17" s="35" t="s">
        <v>775</v>
      </c>
      <c r="E17" s="813" t="s">
        <v>945</v>
      </c>
      <c r="F17" s="575">
        <v>2</v>
      </c>
      <c r="G17" s="575">
        <v>2</v>
      </c>
      <c r="H17" s="575">
        <v>2</v>
      </c>
      <c r="I17" s="575">
        <v>2</v>
      </c>
      <c r="J17" s="575">
        <v>2</v>
      </c>
      <c r="K17" s="575">
        <v>2</v>
      </c>
      <c r="L17" s="575">
        <v>2</v>
      </c>
      <c r="M17" s="575">
        <v>2</v>
      </c>
      <c r="N17" s="575">
        <v>2</v>
      </c>
      <c r="O17" s="575">
        <v>2</v>
      </c>
      <c r="P17" s="575">
        <v>2</v>
      </c>
      <c r="Q17" s="575">
        <v>2</v>
      </c>
      <c r="R17" s="575">
        <v>2</v>
      </c>
      <c r="S17" s="496"/>
      <c r="T17" s="133">
        <f t="shared" si="1"/>
        <v>2</v>
      </c>
      <c r="U17" s="134"/>
      <c r="V17" s="35"/>
      <c r="W17" s="35"/>
      <c r="X17" s="135"/>
      <c r="Y17" s="136"/>
      <c r="Z17" s="849">
        <f>VLOOKUP(B17,'Manuell filtrering og justering'!$A$7:$H$107,'Manuell filtrering og justering'!$H$1,FALSE)</f>
        <v>2</v>
      </c>
      <c r="AA17" s="856">
        <f t="shared" si="5"/>
        <v>0</v>
      </c>
      <c r="AB17" s="151">
        <f>IF($AC$5='Manuell filtrering og justering'!$J$2,Z17,(T17-AA17))</f>
        <v>2</v>
      </c>
      <c r="AC17" s="496">
        <v>17</v>
      </c>
      <c r="AD17" s="138">
        <f t="shared" si="2"/>
        <v>1.2380952380952381E-2</v>
      </c>
      <c r="AE17" s="138">
        <f>IF(AB17=0,0,(AD17/AB17)*AI17)</f>
        <v>0</v>
      </c>
      <c r="AF17" s="138">
        <f t="shared" si="14"/>
        <v>0</v>
      </c>
      <c r="AG17" s="138">
        <f t="shared" si="15"/>
        <v>0</v>
      </c>
      <c r="AI17" s="139">
        <f t="shared" ref="AI17:AI18" si="22">IF(CO17&gt;$AB17,$AB17,CO17)</f>
        <v>0</v>
      </c>
      <c r="AJ17" s="139">
        <f t="shared" ref="AJ17:AJ18" si="23">IF(CP17&gt;$AB17,$AB17,CP17)</f>
        <v>0</v>
      </c>
      <c r="AK17" s="139">
        <f t="shared" ref="AK17:AK18" si="24">IF(CQ17&gt;$AB17,$AB17,CQ17)</f>
        <v>0</v>
      </c>
      <c r="AM17" s="748"/>
      <c r="AN17" s="749"/>
      <c r="AO17" s="749"/>
      <c r="AP17" s="749"/>
      <c r="AQ17" s="747"/>
      <c r="AR17" s="109"/>
      <c r="AS17" s="748"/>
      <c r="AT17" s="749"/>
      <c r="AU17" s="749"/>
      <c r="AV17" s="749"/>
      <c r="AW17" s="747"/>
      <c r="AX17" s="113"/>
      <c r="AY17" s="148"/>
      <c r="AZ17" s="149"/>
      <c r="BA17" s="149"/>
      <c r="BB17" s="149"/>
      <c r="BC17" s="150"/>
      <c r="BD17" s="148">
        <f t="shared" ref="BD17:BD34" si="25">IF(BC17=0,9,IF(AI17&gt;=BC17,5,IF(AI17&gt;=BB17,4,IF(AI17&gt;=BA17,3,IF(AI17&gt;=AZ17,2,IF(AI17&lt;AY17,0,1))))))</f>
        <v>9</v>
      </c>
      <c r="BE17" s="35" t="str">
        <f t="shared" si="7"/>
        <v>N/A</v>
      </c>
      <c r="BF17" s="151"/>
      <c r="BG17" s="148">
        <f t="shared" si="3"/>
        <v>9</v>
      </c>
      <c r="BH17" s="35" t="str">
        <f t="shared" si="8"/>
        <v>N/A</v>
      </c>
      <c r="BI17" s="151"/>
      <c r="BJ17" s="148">
        <f t="shared" si="4"/>
        <v>9</v>
      </c>
      <c r="BK17" s="35" t="str">
        <f t="shared" si="9"/>
        <v>N/A</v>
      </c>
      <c r="BL17" s="151"/>
      <c r="BO17" s="35"/>
      <c r="BP17" s="35"/>
      <c r="BQ17" s="35" t="str">
        <f t="shared" si="10"/>
        <v/>
      </c>
      <c r="BR17" s="35">
        <f t="shared" si="20"/>
        <v>9</v>
      </c>
      <c r="BS17" s="35">
        <f t="shared" si="11"/>
        <v>9</v>
      </c>
      <c r="BT17" s="35">
        <f t="shared" si="12"/>
        <v>9</v>
      </c>
      <c r="BW17" s="35"/>
      <c r="BX17" s="35"/>
      <c r="BY17" s="232"/>
      <c r="BZ17" s="232"/>
      <c r="CA17" s="232"/>
      <c r="CB17" s="232"/>
      <c r="CO17" s="35">
        <f>'Pre-analyseverktøy'!H18</f>
        <v>0</v>
      </c>
      <c r="CP17" s="35">
        <f>'Pre-analyseverktøy'!O18</f>
        <v>0</v>
      </c>
      <c r="CQ17" s="35">
        <f>'Pre-analyseverktøy'!V18</f>
        <v>0</v>
      </c>
      <c r="CR17" s="35" t="str">
        <f>'Pre-analyseverktøy'!F18</f>
        <v>Vurdering av et byggs livsløpskostnader (LCC) og rapportering av investeringskostnader</v>
      </c>
      <c r="CS17" s="35" t="b">
        <f t="shared" si="19"/>
        <v>1</v>
      </c>
    </row>
    <row r="18" spans="1:97">
      <c r="A18">
        <v>10</v>
      </c>
      <c r="B18" t="str">
        <f>$D$16&amp;D18</f>
        <v>Man 02b</v>
      </c>
      <c r="C18" t="str">
        <f t="shared" si="13"/>
        <v>Man 02</v>
      </c>
      <c r="D18" s="35" t="s">
        <v>776</v>
      </c>
      <c r="E18" s="813" t="s">
        <v>946</v>
      </c>
      <c r="F18" s="575">
        <v>1</v>
      </c>
      <c r="G18" s="575">
        <v>1</v>
      </c>
      <c r="H18" s="575">
        <v>1</v>
      </c>
      <c r="I18" s="575">
        <v>1</v>
      </c>
      <c r="J18" s="575">
        <v>1</v>
      </c>
      <c r="K18" s="575">
        <v>1</v>
      </c>
      <c r="L18" s="575">
        <v>1</v>
      </c>
      <c r="M18" s="575">
        <v>1</v>
      </c>
      <c r="N18" s="575">
        <v>1</v>
      </c>
      <c r="O18" s="575">
        <v>1</v>
      </c>
      <c r="P18" s="575">
        <v>1</v>
      </c>
      <c r="Q18" s="575">
        <v>1</v>
      </c>
      <c r="R18" s="575">
        <v>1</v>
      </c>
      <c r="S18" s="496"/>
      <c r="T18" s="133">
        <f t="shared" si="1"/>
        <v>1</v>
      </c>
      <c r="U18" s="134"/>
      <c r="V18" s="35"/>
      <c r="W18" s="35"/>
      <c r="X18" s="135"/>
      <c r="Y18" s="136"/>
      <c r="Z18" s="849">
        <f>VLOOKUP(B18,'Manuell filtrering og justering'!$A$7:$H$107,'Manuell filtrering og justering'!$H$1,FALSE)</f>
        <v>1</v>
      </c>
      <c r="AA18" s="856">
        <f t="shared" si="5"/>
        <v>0</v>
      </c>
      <c r="AB18" s="151">
        <f>IF($AC$5='Manuell filtrering og justering'!$J$2,Z18,(T18-AA18))</f>
        <v>1</v>
      </c>
      <c r="AC18" s="496">
        <v>18</v>
      </c>
      <c r="AD18" s="138">
        <f t="shared" si="2"/>
        <v>6.1904761904761907E-3</v>
      </c>
      <c r="AE18" s="138">
        <f>IF(AB18=0,0,(AD18/AB18)*AI18)</f>
        <v>0</v>
      </c>
      <c r="AF18" s="138">
        <f t="shared" si="14"/>
        <v>0</v>
      </c>
      <c r="AG18" s="138">
        <f t="shared" si="15"/>
        <v>0</v>
      </c>
      <c r="AI18" s="139">
        <f t="shared" si="22"/>
        <v>0</v>
      </c>
      <c r="AJ18" s="139">
        <f t="shared" si="23"/>
        <v>0</v>
      </c>
      <c r="AK18" s="139">
        <f t="shared" si="24"/>
        <v>0</v>
      </c>
      <c r="AM18" s="748"/>
      <c r="AN18" s="749"/>
      <c r="AO18" s="749"/>
      <c r="AP18" s="749"/>
      <c r="AQ18" s="747"/>
      <c r="AR18" s="109"/>
      <c r="AS18" s="748"/>
      <c r="AT18" s="749"/>
      <c r="AU18" s="749"/>
      <c r="AV18" s="749"/>
      <c r="AW18" s="747"/>
      <c r="AX18" s="113"/>
      <c r="AY18" s="148"/>
      <c r="AZ18" s="149"/>
      <c r="BA18" s="149"/>
      <c r="BB18" s="149"/>
      <c r="BC18" s="150"/>
      <c r="BD18" s="148">
        <f t="shared" si="25"/>
        <v>9</v>
      </c>
      <c r="BE18" s="35" t="str">
        <f t="shared" si="7"/>
        <v>N/A</v>
      </c>
      <c r="BF18" s="151"/>
      <c r="BG18" s="148">
        <f t="shared" si="3"/>
        <v>9</v>
      </c>
      <c r="BH18" s="35" t="str">
        <f t="shared" si="8"/>
        <v>N/A</v>
      </c>
      <c r="BI18" s="151"/>
      <c r="BJ18" s="148">
        <f t="shared" si="4"/>
        <v>9</v>
      </c>
      <c r="BK18" s="35" t="str">
        <f t="shared" si="9"/>
        <v>N/A</v>
      </c>
      <c r="BL18" s="151"/>
      <c r="BO18" s="35"/>
      <c r="BP18" s="35"/>
      <c r="BQ18" s="35" t="str">
        <f t="shared" si="10"/>
        <v/>
      </c>
      <c r="BR18" s="35">
        <f t="shared" si="20"/>
        <v>9</v>
      </c>
      <c r="BS18" s="35">
        <f t="shared" si="11"/>
        <v>9</v>
      </c>
      <c r="BT18" s="35">
        <f t="shared" si="12"/>
        <v>9</v>
      </c>
      <c r="BW18" s="35"/>
      <c r="BX18" s="35"/>
      <c r="BY18" s="232"/>
      <c r="BZ18" s="232"/>
      <c r="CA18" s="232"/>
      <c r="CB18" s="232"/>
      <c r="CO18" s="35">
        <f>'Pre-analyseverktøy'!H19</f>
        <v>0</v>
      </c>
      <c r="CP18" s="35">
        <f>'Pre-analyseverktøy'!O19</f>
        <v>0</v>
      </c>
      <c r="CQ18" s="35">
        <f>'Pre-analyseverktøy'!V19</f>
        <v>0</v>
      </c>
      <c r="CR18" s="35" t="str">
        <f>'Pre-analyseverktøy'!F19</f>
        <v>Vurdering av bygningsdelers livssykluskostnader</v>
      </c>
      <c r="CS18" s="35" t="b">
        <f t="shared" si="19"/>
        <v>1</v>
      </c>
    </row>
    <row r="19" spans="1:97">
      <c r="A19">
        <v>11</v>
      </c>
      <c r="B19" s="109" t="str">
        <f>D19</f>
        <v>Man 03</v>
      </c>
      <c r="C19" s="109" t="str">
        <f>B19</f>
        <v>Man 03</v>
      </c>
      <c r="D19" s="629" t="s">
        <v>183</v>
      </c>
      <c r="E19" s="629" t="s">
        <v>947</v>
      </c>
      <c r="F19" s="711">
        <f>SUM(F20:F25)</f>
        <v>7</v>
      </c>
      <c r="G19" s="711">
        <f t="shared" ref="G19:R19" si="26">SUM(G20:G25)</f>
        <v>7</v>
      </c>
      <c r="H19" s="711">
        <f t="shared" si="26"/>
        <v>7</v>
      </c>
      <c r="I19" s="711">
        <f t="shared" si="26"/>
        <v>7</v>
      </c>
      <c r="J19" s="711">
        <f t="shared" si="26"/>
        <v>7</v>
      </c>
      <c r="K19" s="711">
        <f t="shared" si="26"/>
        <v>7</v>
      </c>
      <c r="L19" s="711">
        <f t="shared" si="26"/>
        <v>7</v>
      </c>
      <c r="M19" s="711">
        <f t="shared" si="26"/>
        <v>7</v>
      </c>
      <c r="N19" s="711">
        <f t="shared" si="26"/>
        <v>7</v>
      </c>
      <c r="O19" s="711">
        <f t="shared" si="26"/>
        <v>7</v>
      </c>
      <c r="P19" s="711">
        <f t="shared" si="26"/>
        <v>7</v>
      </c>
      <c r="Q19" s="711">
        <f>SUM(Q20:Q25)</f>
        <v>7</v>
      </c>
      <c r="R19" s="711">
        <f t="shared" si="26"/>
        <v>7</v>
      </c>
      <c r="T19" s="699">
        <f t="shared" si="1"/>
        <v>7</v>
      </c>
      <c r="U19" s="134"/>
      <c r="V19" s="35"/>
      <c r="W19" s="35"/>
      <c r="X19" s="135">
        <f>'Manuell filtrering og justering'!E9</f>
        <v>0</v>
      </c>
      <c r="Y19" s="136"/>
      <c r="Z19" s="864">
        <f>SUM(Z20:Z25)</f>
        <v>7</v>
      </c>
      <c r="AA19" s="856">
        <f t="shared" si="5"/>
        <v>0</v>
      </c>
      <c r="AB19" s="860">
        <f>SUM(AB20:AB25)</f>
        <v>7</v>
      </c>
      <c r="AC19" s="496">
        <v>19</v>
      </c>
      <c r="AD19" s="701">
        <f t="shared" si="2"/>
        <v>4.3333333333333335E-2</v>
      </c>
      <c r="AE19" s="701">
        <f>SUM(AE20:AE25)</f>
        <v>0</v>
      </c>
      <c r="AF19" s="701">
        <f>SUM(AF20:AF25)</f>
        <v>0</v>
      </c>
      <c r="AG19" s="701">
        <f>SUM(AG20:AG25)</f>
        <v>0</v>
      </c>
      <c r="AI19" s="702">
        <f>SUM(AI20:AI25)</f>
        <v>0</v>
      </c>
      <c r="AJ19" s="702">
        <f>SUM(AJ20:AJ25)</f>
        <v>0</v>
      </c>
      <c r="AK19" s="702">
        <f>SUM(AK20:AK25)</f>
        <v>0</v>
      </c>
      <c r="AM19" s="748"/>
      <c r="AN19" s="749"/>
      <c r="AO19" s="749"/>
      <c r="AP19" s="749"/>
      <c r="AQ19" s="747"/>
      <c r="AR19" s="109"/>
      <c r="AS19" s="748"/>
      <c r="AT19" s="749"/>
      <c r="AU19" s="749"/>
      <c r="AV19" s="749"/>
      <c r="AW19" s="747"/>
      <c r="AX19" s="113"/>
      <c r="AY19" s="148"/>
      <c r="AZ19" s="149"/>
      <c r="BA19" s="149"/>
      <c r="BB19" s="149"/>
      <c r="BC19" s="150"/>
      <c r="BD19" s="148">
        <f t="shared" si="25"/>
        <v>9</v>
      </c>
      <c r="BE19" s="35" t="str">
        <f t="shared" si="7"/>
        <v>N/A</v>
      </c>
      <c r="BF19" s="151"/>
      <c r="BG19" s="148">
        <f t="shared" si="3"/>
        <v>9</v>
      </c>
      <c r="BH19" s="35" t="str">
        <f t="shared" si="8"/>
        <v>N/A</v>
      </c>
      <c r="BI19" s="151"/>
      <c r="BJ19" s="148">
        <f t="shared" si="4"/>
        <v>9</v>
      </c>
      <c r="BK19" s="35" t="str">
        <f t="shared" si="9"/>
        <v>N/A</v>
      </c>
      <c r="BL19" s="151"/>
      <c r="BO19" s="35"/>
      <c r="BP19" s="35"/>
      <c r="BQ19" s="35" t="str">
        <f t="shared" si="10"/>
        <v/>
      </c>
      <c r="BR19" s="35">
        <f t="shared" si="20"/>
        <v>9</v>
      </c>
      <c r="BS19" s="35">
        <f t="shared" si="11"/>
        <v>9</v>
      </c>
      <c r="BT19" s="35">
        <f t="shared" si="12"/>
        <v>9</v>
      </c>
      <c r="BW19" s="35" t="str">
        <f>D19</f>
        <v>Man 03</v>
      </c>
      <c r="BX19" s="35" t="str">
        <f>IFERROR(VLOOKUP($E19,'Pre-analyseverktøy'!$F$11:$AC$226,'Pre-analyseverktøy'!AC$2,FALSE),"")</f>
        <v>N/A</v>
      </c>
      <c r="BY19" s="232">
        <f>IFERROR(VLOOKUP($E19,'Pre-analyseverktøy'!$F$11:$AJ$226,'Pre-analyseverktøy'!AJ$2,FALSE),"")</f>
        <v>0</v>
      </c>
      <c r="BZ19" s="232">
        <f>IFERROR(VLOOKUP($BX19,$E$293:$H$326,F$291,FALSE),"")</f>
        <v>1</v>
      </c>
      <c r="CA19" s="232">
        <f>IFERROR(VLOOKUP($BX19,$E$293:$H$326,G$291,FALSE),"")</f>
        <v>0</v>
      </c>
      <c r="CB19" s="232"/>
      <c r="CC19" t="str">
        <f>IFERROR(VLOOKUP($BX19,$E$293:$H$326,I$291,FALSE),"")</f>
        <v/>
      </c>
    </row>
    <row r="20" spans="1:97">
      <c r="A20">
        <v>12</v>
      </c>
      <c r="B20" t="str">
        <f t="shared" ref="B20:B25" si="27">$D$19&amp;D20</f>
        <v>Man 03a</v>
      </c>
      <c r="C20" t="str">
        <f t="shared" si="13"/>
        <v>Man 03</v>
      </c>
      <c r="D20" s="35" t="s">
        <v>775</v>
      </c>
      <c r="E20" s="813" t="s">
        <v>948</v>
      </c>
      <c r="F20" s="575">
        <v>1</v>
      </c>
      <c r="G20" s="575">
        <v>1</v>
      </c>
      <c r="H20" s="575">
        <v>1</v>
      </c>
      <c r="I20" s="575">
        <v>1</v>
      </c>
      <c r="J20" s="575">
        <v>1</v>
      </c>
      <c r="K20" s="575">
        <v>1</v>
      </c>
      <c r="L20" s="575">
        <v>1</v>
      </c>
      <c r="M20" s="575">
        <v>1</v>
      </c>
      <c r="N20" s="575">
        <v>1</v>
      </c>
      <c r="O20" s="575">
        <v>1</v>
      </c>
      <c r="P20" s="575">
        <v>1</v>
      </c>
      <c r="Q20" s="575">
        <v>1</v>
      </c>
      <c r="R20" s="575">
        <v>1</v>
      </c>
      <c r="T20" s="133">
        <f t="shared" si="1"/>
        <v>1</v>
      </c>
      <c r="U20" s="134"/>
      <c r="V20" s="35"/>
      <c r="W20" s="35"/>
      <c r="X20" s="135"/>
      <c r="Y20" s="136"/>
      <c r="Z20" s="849">
        <f>VLOOKUP(B20,'Manuell filtrering og justering'!$A$7:$H$107,'Manuell filtrering og justering'!$H$1,FALSE)</f>
        <v>1</v>
      </c>
      <c r="AA20" s="856">
        <f t="shared" si="5"/>
        <v>0</v>
      </c>
      <c r="AB20" s="151">
        <f>IF($AC$5='Manuell filtrering og justering'!$J$2,Z20,(T20-AA20))</f>
        <v>1</v>
      </c>
      <c r="AC20" s="496">
        <v>20</v>
      </c>
      <c r="AD20" s="138">
        <f t="shared" si="2"/>
        <v>6.1904761904761907E-3</v>
      </c>
      <c r="AE20" s="138">
        <f t="shared" ref="AE20:AE25" si="28">IF(AB20=0,0,(AD20/AB20)*AI20)</f>
        <v>0</v>
      </c>
      <c r="AF20" s="138">
        <f t="shared" si="14"/>
        <v>0</v>
      </c>
      <c r="AG20" s="138">
        <f t="shared" si="15"/>
        <v>0</v>
      </c>
      <c r="AI20" s="139">
        <f t="shared" ref="AI20:AI25" si="29">IF(CO20&gt;$AB20,$AB20,CO20)</f>
        <v>0</v>
      </c>
      <c r="AJ20" s="139">
        <f t="shared" ref="AJ20:AJ25" si="30">IF(CP20&gt;$AB20,$AB20,CP20)</f>
        <v>0</v>
      </c>
      <c r="AK20" s="139">
        <f t="shared" ref="AK20:AK25" si="31">IF(CQ20&gt;$AB20,$AB20,CQ20)</f>
        <v>0</v>
      </c>
      <c r="AM20" s="748"/>
      <c r="AN20" s="749"/>
      <c r="AO20" s="749"/>
      <c r="AP20" s="749"/>
      <c r="AQ20" s="747"/>
      <c r="AR20" s="109"/>
      <c r="AS20" s="748"/>
      <c r="AT20" s="749"/>
      <c r="AU20" s="749"/>
      <c r="AV20" s="749"/>
      <c r="AW20" s="747"/>
      <c r="AX20" s="113"/>
      <c r="AY20" s="148"/>
      <c r="AZ20" s="149"/>
      <c r="BA20" s="149"/>
      <c r="BB20" s="149"/>
      <c r="BC20" s="150"/>
      <c r="BD20" s="148">
        <f t="shared" si="25"/>
        <v>9</v>
      </c>
      <c r="BE20" s="35" t="str">
        <f t="shared" si="7"/>
        <v>N/A</v>
      </c>
      <c r="BF20" s="151"/>
      <c r="BG20" s="148">
        <f t="shared" si="3"/>
        <v>9</v>
      </c>
      <c r="BH20" s="35" t="str">
        <f t="shared" si="8"/>
        <v>N/A</v>
      </c>
      <c r="BI20" s="151"/>
      <c r="BJ20" s="148">
        <f t="shared" si="4"/>
        <v>9</v>
      </c>
      <c r="BK20" s="35" t="str">
        <f t="shared" si="9"/>
        <v>N/A</v>
      </c>
      <c r="BL20" s="151"/>
      <c r="BO20" s="35"/>
      <c r="BP20" s="35"/>
      <c r="BQ20" s="35" t="str">
        <f t="shared" si="10"/>
        <v/>
      </c>
      <c r="BR20" s="35">
        <f t="shared" si="20"/>
        <v>9</v>
      </c>
      <c r="BS20" s="35">
        <f t="shared" si="11"/>
        <v>9</v>
      </c>
      <c r="BT20" s="35">
        <f t="shared" si="12"/>
        <v>9</v>
      </c>
      <c r="BW20" s="35"/>
      <c r="BX20" s="35"/>
      <c r="BY20" s="232"/>
      <c r="BZ20" s="232"/>
      <c r="CA20" s="232"/>
      <c r="CB20" s="232"/>
      <c r="CO20" s="35">
        <f>'Pre-analyseverktøy'!H21</f>
        <v>0</v>
      </c>
      <c r="CP20" s="35">
        <f>'Pre-analyseverktøy'!O21</f>
        <v>0</v>
      </c>
      <c r="CQ20" s="35">
        <f>'Pre-analyseverktøy'!V21</f>
        <v>0</v>
      </c>
      <c r="CR20" s="35" t="str">
        <f>'Pre-analyseverktøy'!F21</f>
        <v>Miljøledelse</v>
      </c>
      <c r="CS20" s="35" t="b">
        <f t="shared" si="19"/>
        <v>1</v>
      </c>
    </row>
    <row r="21" spans="1:97">
      <c r="A21">
        <v>13</v>
      </c>
      <c r="B21" t="str">
        <f t="shared" si="27"/>
        <v>Man 03b</v>
      </c>
      <c r="C21" t="str">
        <f t="shared" si="13"/>
        <v>Man 03</v>
      </c>
      <c r="D21" s="35" t="s">
        <v>776</v>
      </c>
      <c r="E21" s="813" t="s">
        <v>949</v>
      </c>
      <c r="F21" s="575">
        <v>1</v>
      </c>
      <c r="G21" s="575">
        <v>1</v>
      </c>
      <c r="H21" s="575">
        <v>1</v>
      </c>
      <c r="I21" s="575">
        <v>1</v>
      </c>
      <c r="J21" s="575">
        <v>1</v>
      </c>
      <c r="K21" s="575">
        <v>1</v>
      </c>
      <c r="L21" s="575">
        <v>1</v>
      </c>
      <c r="M21" s="575">
        <v>1</v>
      </c>
      <c r="N21" s="575">
        <v>1</v>
      </c>
      <c r="O21" s="575">
        <v>1</v>
      </c>
      <c r="P21" s="575">
        <v>1</v>
      </c>
      <c r="Q21" s="575">
        <v>1</v>
      </c>
      <c r="R21" s="575">
        <v>1</v>
      </c>
      <c r="T21" s="133">
        <f t="shared" si="1"/>
        <v>1</v>
      </c>
      <c r="U21" s="134"/>
      <c r="V21" s="35"/>
      <c r="W21" s="35"/>
      <c r="X21" s="135"/>
      <c r="Y21" s="136"/>
      <c r="Z21" s="849">
        <f>VLOOKUP(B21,'Manuell filtrering og justering'!$A$7:$H$107,'Manuell filtrering og justering'!$H$1,FALSE)</f>
        <v>1</v>
      </c>
      <c r="AA21" s="856">
        <f t="shared" si="5"/>
        <v>0</v>
      </c>
      <c r="AB21" s="151">
        <f>IF($AC$5='Manuell filtrering og justering'!$J$2,Z21,(T21-AA21))</f>
        <v>1</v>
      </c>
      <c r="AC21" s="496">
        <v>21</v>
      </c>
      <c r="AD21" s="138">
        <f t="shared" si="2"/>
        <v>6.1904761904761907E-3</v>
      </c>
      <c r="AE21" s="138">
        <f t="shared" si="28"/>
        <v>0</v>
      </c>
      <c r="AF21" s="138">
        <f t="shared" si="14"/>
        <v>0</v>
      </c>
      <c r="AG21" s="138">
        <f t="shared" si="15"/>
        <v>0</v>
      </c>
      <c r="AI21" s="139">
        <f t="shared" si="29"/>
        <v>0</v>
      </c>
      <c r="AJ21" s="139">
        <f t="shared" si="30"/>
        <v>0</v>
      </c>
      <c r="AK21" s="139">
        <f t="shared" si="31"/>
        <v>0</v>
      </c>
      <c r="AM21" s="748"/>
      <c r="AN21" s="749"/>
      <c r="AO21" s="749"/>
      <c r="AP21" s="749"/>
      <c r="AQ21" s="747"/>
      <c r="AR21" s="109"/>
      <c r="AS21" s="748"/>
      <c r="AT21" s="749"/>
      <c r="AU21" s="749"/>
      <c r="AV21" s="749"/>
      <c r="AW21" s="747"/>
      <c r="AX21" s="113"/>
      <c r="AY21" s="148"/>
      <c r="AZ21" s="149"/>
      <c r="BA21" s="149"/>
      <c r="BB21" s="149"/>
      <c r="BC21" s="150"/>
      <c r="BD21" s="148">
        <f t="shared" si="25"/>
        <v>9</v>
      </c>
      <c r="BE21" s="35" t="str">
        <f t="shared" si="7"/>
        <v>N/A</v>
      </c>
      <c r="BF21" s="151"/>
      <c r="BG21" s="148">
        <f t="shared" si="3"/>
        <v>9</v>
      </c>
      <c r="BH21" s="35" t="str">
        <f t="shared" si="8"/>
        <v>N/A</v>
      </c>
      <c r="BI21" s="151"/>
      <c r="BJ21" s="148">
        <f t="shared" si="4"/>
        <v>9</v>
      </c>
      <c r="BK21" s="35" t="str">
        <f t="shared" si="9"/>
        <v>N/A</v>
      </c>
      <c r="BL21" s="151"/>
      <c r="BO21" s="35"/>
      <c r="BP21" s="35"/>
      <c r="BQ21" s="35" t="str">
        <f t="shared" si="10"/>
        <v/>
      </c>
      <c r="BR21" s="35">
        <f t="shared" si="20"/>
        <v>9</v>
      </c>
      <c r="BS21" s="35">
        <f t="shared" si="11"/>
        <v>9</v>
      </c>
      <c r="BT21" s="35">
        <f t="shared" si="12"/>
        <v>9</v>
      </c>
      <c r="BW21" s="35"/>
      <c r="BX21" s="35"/>
      <c r="BY21" s="232"/>
      <c r="BZ21" s="232"/>
      <c r="CA21" s="232"/>
      <c r="CB21" s="232"/>
      <c r="CO21" s="35">
        <f>'Pre-analyseverktøy'!H22</f>
        <v>0</v>
      </c>
      <c r="CP21" s="35">
        <f>'Pre-analyseverktøy'!O22</f>
        <v>0</v>
      </c>
      <c r="CQ21" s="35">
        <f>'Pre-analyseverktøy'!V22</f>
        <v>0</v>
      </c>
      <c r="CR21" s="35" t="str">
        <f>'Pre-analyseverktøy'!F22</f>
        <v>BREEAM-NOR AP og ytelsesnivå (steg 5 og 6)</v>
      </c>
      <c r="CS21" s="35" t="b">
        <f t="shared" si="19"/>
        <v>1</v>
      </c>
    </row>
    <row r="22" spans="1:97">
      <c r="A22">
        <v>14</v>
      </c>
      <c r="B22" t="str">
        <f t="shared" si="27"/>
        <v>Man 03c</v>
      </c>
      <c r="C22" t="str">
        <f t="shared" si="13"/>
        <v>Man 03</v>
      </c>
      <c r="D22" s="35" t="s">
        <v>777</v>
      </c>
      <c r="E22" s="924" t="s">
        <v>1380</v>
      </c>
      <c r="F22" s="575">
        <v>1</v>
      </c>
      <c r="G22" s="575">
        <v>1</v>
      </c>
      <c r="H22" s="575">
        <v>1</v>
      </c>
      <c r="I22" s="575">
        <v>1</v>
      </c>
      <c r="J22" s="575">
        <v>1</v>
      </c>
      <c r="K22" s="575">
        <v>1</v>
      </c>
      <c r="L22" s="575">
        <v>1</v>
      </c>
      <c r="M22" s="575">
        <v>1</v>
      </c>
      <c r="N22" s="575">
        <v>1</v>
      </c>
      <c r="O22" s="575">
        <v>1</v>
      </c>
      <c r="P22" s="575">
        <v>1</v>
      </c>
      <c r="Q22" s="575">
        <v>1</v>
      </c>
      <c r="R22" s="575">
        <v>1</v>
      </c>
      <c r="T22" s="133">
        <f t="shared" si="1"/>
        <v>1</v>
      </c>
      <c r="U22" s="134"/>
      <c r="V22" s="35"/>
      <c r="W22" s="35"/>
      <c r="X22" s="135"/>
      <c r="Y22" s="136"/>
      <c r="Z22" s="849">
        <f>VLOOKUP(B22,'Manuell filtrering og justering'!$A$7:$H$107,'Manuell filtrering og justering'!$H$1,FALSE)</f>
        <v>1</v>
      </c>
      <c r="AA22" s="856">
        <f t="shared" si="5"/>
        <v>0</v>
      </c>
      <c r="AB22" s="151">
        <f>IF($AC$5='Manuell filtrering og justering'!$J$2,Z22,(T22-AA22))</f>
        <v>1</v>
      </c>
      <c r="AC22" s="496">
        <v>22</v>
      </c>
      <c r="AD22" s="138">
        <f t="shared" si="2"/>
        <v>6.1904761904761907E-3</v>
      </c>
      <c r="AE22" s="138">
        <f t="shared" si="28"/>
        <v>0</v>
      </c>
      <c r="AF22" s="138">
        <f t="shared" si="14"/>
        <v>0</v>
      </c>
      <c r="AG22" s="138">
        <f t="shared" si="15"/>
        <v>0</v>
      </c>
      <c r="AI22" s="139">
        <f t="shared" si="29"/>
        <v>0</v>
      </c>
      <c r="AJ22" s="139">
        <f t="shared" si="30"/>
        <v>0</v>
      </c>
      <c r="AK22" s="139">
        <f t="shared" si="31"/>
        <v>0</v>
      </c>
      <c r="AM22" s="748">
        <v>1</v>
      </c>
      <c r="AN22" s="749">
        <v>1</v>
      </c>
      <c r="AO22" s="749">
        <v>1</v>
      </c>
      <c r="AP22" s="749">
        <v>1</v>
      </c>
      <c r="AQ22" s="747">
        <v>1</v>
      </c>
      <c r="AR22" s="109"/>
      <c r="AS22" s="748">
        <v>1</v>
      </c>
      <c r="AT22" s="749">
        <v>1</v>
      </c>
      <c r="AU22" s="749">
        <v>1</v>
      </c>
      <c r="AV22" s="749">
        <v>1</v>
      </c>
      <c r="AW22" s="747">
        <v>1</v>
      </c>
      <c r="AX22" s="113"/>
      <c r="AY22" s="149">
        <f>IF($E$6=$H$9,AS22,AM22)</f>
        <v>1</v>
      </c>
      <c r="AZ22" s="149">
        <f>IF($E$6=$H$9,AT22,AN22)</f>
        <v>1</v>
      </c>
      <c r="BA22" s="149">
        <f>IF($E$6=$H$9,AU22,AO22)</f>
        <v>1</v>
      </c>
      <c r="BB22" s="149">
        <f>IF($E$6=$H$9,AV22,AP22)</f>
        <v>1</v>
      </c>
      <c r="BC22" s="149">
        <f>IF($E$6=$H$9,AW22,AQ22)</f>
        <v>1</v>
      </c>
      <c r="BD22" s="148">
        <f t="shared" si="25"/>
        <v>0</v>
      </c>
      <c r="BE22" s="35" t="str">
        <f t="shared" si="7"/>
        <v>Unclassified</v>
      </c>
      <c r="BF22" s="151"/>
      <c r="BG22" s="148">
        <f t="shared" ref="BG22:BG34" si="32">IF(BC22=0,9,IF(AJ22&gt;=BC22,5,IF(AJ22&gt;=BB22,4,IF(AJ22&gt;=BA22,3,IF(AJ22&gt;=AZ22,2,IF(AJ22&lt;AY22,0,1))))))</f>
        <v>0</v>
      </c>
      <c r="BH22" s="35" t="str">
        <f t="shared" si="8"/>
        <v>Unclassified</v>
      </c>
      <c r="BI22" s="151"/>
      <c r="BJ22" s="148">
        <f t="shared" ref="BJ22:BJ34" si="33">IF(BC22=0,9,IF(AK22&gt;=BC22,5,IF(AK22&gt;=BB22,4,IF(AK22&gt;=BA22,3,IF(AK22&gt;=AZ22,2,IF(AK22&lt;AY22,0,1))))))</f>
        <v>0</v>
      </c>
      <c r="BK22" s="35" t="str">
        <f t="shared" si="9"/>
        <v>Unclassified</v>
      </c>
      <c r="BL22" s="151"/>
      <c r="BO22" s="35"/>
      <c r="BP22" s="35">
        <v>1</v>
      </c>
      <c r="BQ22" s="35">
        <f t="shared" si="10"/>
        <v>1</v>
      </c>
      <c r="BR22" s="35">
        <f t="shared" si="20"/>
        <v>0</v>
      </c>
      <c r="BS22" s="35">
        <f t="shared" si="11"/>
        <v>0</v>
      </c>
      <c r="BT22" s="35">
        <f t="shared" si="12"/>
        <v>0</v>
      </c>
      <c r="BW22" s="35"/>
      <c r="BX22" s="35"/>
      <c r="BY22" s="232"/>
      <c r="BZ22" s="232"/>
      <c r="CA22" s="232"/>
      <c r="CB22" s="232"/>
      <c r="CO22" s="35">
        <f>'Pre-analyseverktøy'!H23</f>
        <v>0</v>
      </c>
      <c r="CP22" s="35">
        <f>'Pre-analyseverktøy'!O23</f>
        <v>0</v>
      </c>
      <c r="CQ22" s="35">
        <f>'Pre-analyseverktøy'!V23</f>
        <v>0</v>
      </c>
      <c r="CR22" s="35" t="str">
        <f>'Pre-analyseverktøy'!F23</f>
        <v>Ansvarlig byggeledelse: rent tørt bygg og sjekkliste A1 (EU taksonomi: krit. 5-6)</v>
      </c>
      <c r="CS22" s="35" t="b">
        <f t="shared" si="19"/>
        <v>1</v>
      </c>
    </row>
    <row r="23" spans="1:97">
      <c r="A23">
        <v>15</v>
      </c>
      <c r="B23" t="str">
        <f t="shared" si="27"/>
        <v>Man 03d</v>
      </c>
      <c r="C23" t="str">
        <f t="shared" si="13"/>
        <v>Man 03</v>
      </c>
      <c r="D23" s="35" t="s">
        <v>778</v>
      </c>
      <c r="E23" s="924" t="s">
        <v>950</v>
      </c>
      <c r="F23" s="575">
        <v>1</v>
      </c>
      <c r="G23" s="575">
        <v>1</v>
      </c>
      <c r="H23" s="575">
        <v>1</v>
      </c>
      <c r="I23" s="575">
        <v>1</v>
      </c>
      <c r="J23" s="575">
        <v>1</v>
      </c>
      <c r="K23" s="575">
        <v>1</v>
      </c>
      <c r="L23" s="575">
        <v>1</v>
      </c>
      <c r="M23" s="575">
        <v>1</v>
      </c>
      <c r="N23" s="575">
        <v>1</v>
      </c>
      <c r="O23" s="575">
        <v>1</v>
      </c>
      <c r="P23" s="575">
        <v>1</v>
      </c>
      <c r="Q23" s="575">
        <v>1</v>
      </c>
      <c r="R23" s="575">
        <v>1</v>
      </c>
      <c r="T23" s="133">
        <f t="shared" si="1"/>
        <v>1</v>
      </c>
      <c r="U23" s="134"/>
      <c r="V23" s="35"/>
      <c r="W23" s="35"/>
      <c r="X23" s="135"/>
      <c r="Y23" s="136"/>
      <c r="Z23" s="849">
        <f>VLOOKUP(B23,'Manuell filtrering og justering'!$A$7:$H$107,'Manuell filtrering og justering'!$H$1,FALSE)</f>
        <v>1</v>
      </c>
      <c r="AA23" s="856">
        <f t="shared" si="5"/>
        <v>0</v>
      </c>
      <c r="AB23" s="151">
        <f>IF($AC$5='Manuell filtrering og justering'!$J$2,Z23,(T23-AA23))</f>
        <v>1</v>
      </c>
      <c r="AC23" s="496">
        <v>23</v>
      </c>
      <c r="AD23" s="138">
        <f>(Man_Weight/Man_Credits)*AB23</f>
        <v>6.1904761904761907E-3</v>
      </c>
      <c r="AE23" s="138">
        <f t="shared" si="28"/>
        <v>0</v>
      </c>
      <c r="AF23" s="138">
        <f>IF(AB23=0,0,(AD23/AB23)*AJ23)</f>
        <v>0</v>
      </c>
      <c r="AG23" s="138">
        <f>IF(AB23=0,0,(AD23/AB23)*AK23)</f>
        <v>0</v>
      </c>
      <c r="AI23" s="139">
        <f t="shared" si="29"/>
        <v>0</v>
      </c>
      <c r="AJ23" s="139">
        <f t="shared" si="30"/>
        <v>0</v>
      </c>
      <c r="AK23" s="139">
        <f t="shared" si="31"/>
        <v>0</v>
      </c>
      <c r="AM23" s="748"/>
      <c r="AN23" s="749"/>
      <c r="AO23" s="749">
        <v>1</v>
      </c>
      <c r="AP23" s="749">
        <v>1</v>
      </c>
      <c r="AQ23" s="747">
        <v>1</v>
      </c>
      <c r="AR23" s="109"/>
      <c r="AS23" s="748"/>
      <c r="AT23" s="749"/>
      <c r="AU23" s="749">
        <v>1</v>
      </c>
      <c r="AV23" s="749">
        <v>1</v>
      </c>
      <c r="AW23" s="747">
        <v>1</v>
      </c>
      <c r="AX23" s="113"/>
      <c r="AY23" s="760"/>
      <c r="AZ23" s="149"/>
      <c r="BA23" s="149">
        <f>IF($E$6=$H$9,AU23,AO23)</f>
        <v>1</v>
      </c>
      <c r="BB23" s="149">
        <f>IF($E$6=$H$9,AV23,AP23)</f>
        <v>1</v>
      </c>
      <c r="BC23" s="149">
        <f>IF($E$6=$H$9,AW23,AQ23)</f>
        <v>1</v>
      </c>
      <c r="BD23" s="148">
        <f>IF(BC23=0,9,IF(AI23&gt;=BC23,5,IF(AI23&gt;=BB23,4,IF(AI23&gt;=BA23,3,IF(AI23&gt;=AZ23,2,IF(AI23&lt;AY23,0,1))))))</f>
        <v>2</v>
      </c>
      <c r="BE23" s="35" t="str">
        <f t="shared" si="7"/>
        <v>Good</v>
      </c>
      <c r="BF23" s="151"/>
      <c r="BG23" s="148">
        <f>IF(BC23=0,9,IF(AJ23&gt;=BC23,5,IF(AJ23&gt;=BB23,4,IF(AJ23&gt;=BA23,3,IF(AJ23&gt;=AZ23,2,IF(AJ23&lt;AY23,0,1))))))</f>
        <v>2</v>
      </c>
      <c r="BH23" s="35" t="str">
        <f t="shared" si="8"/>
        <v>Good</v>
      </c>
      <c r="BI23" s="151"/>
      <c r="BJ23" s="148">
        <f>IF(BC23=0,9,IF(AK23&gt;=BC23,5,IF(AK23&gt;=BB23,4,IF(AK23&gt;=BA23,3,IF(AK23&gt;=AZ23,2,IF(AK23&lt;AY23,0,1))))))</f>
        <v>2</v>
      </c>
      <c r="BK23" s="35" t="str">
        <f t="shared" si="9"/>
        <v>Good</v>
      </c>
      <c r="BL23" s="151"/>
      <c r="BO23" s="35"/>
      <c r="BP23" s="35">
        <v>1</v>
      </c>
      <c r="BQ23" s="35">
        <f t="shared" si="10"/>
        <v>1</v>
      </c>
      <c r="BR23" s="35">
        <f t="shared" si="20"/>
        <v>0</v>
      </c>
      <c r="BS23" s="35">
        <f t="shared" si="11"/>
        <v>0</v>
      </c>
      <c r="BT23" s="35">
        <f t="shared" si="12"/>
        <v>0</v>
      </c>
      <c r="BW23" s="35"/>
      <c r="BX23" s="35"/>
      <c r="BY23" s="232"/>
      <c r="BZ23" s="232"/>
      <c r="CA23" s="232"/>
      <c r="CB23" s="232"/>
      <c r="CO23" s="35">
        <f>'Pre-analyseverktøy'!H24</f>
        <v>0</v>
      </c>
      <c r="CP23" s="35">
        <f>'Pre-analyseverktøy'!O24</f>
        <v>0</v>
      </c>
      <c r="CQ23" s="35">
        <f>'Pre-analyseverktøy'!V24</f>
        <v>0</v>
      </c>
      <c r="CR23" s="35" t="str">
        <f>'Pre-analyseverktøy'!F24</f>
        <v>Ansvarlig byggeledelse: INSTA 800 og sjekkliste A1 (EU taksonomi: krit. 7-9)</v>
      </c>
      <c r="CS23" s="35" t="b">
        <f t="shared" si="19"/>
        <v>1</v>
      </c>
    </row>
    <row r="24" spans="1:97">
      <c r="A24">
        <v>16</v>
      </c>
      <c r="B24" t="str">
        <f t="shared" si="27"/>
        <v>Man 03e</v>
      </c>
      <c r="C24" t="str">
        <f t="shared" si="13"/>
        <v>Man 03</v>
      </c>
      <c r="D24" s="35" t="s">
        <v>779</v>
      </c>
      <c r="E24" s="813" t="s">
        <v>951</v>
      </c>
      <c r="F24" s="575">
        <v>1</v>
      </c>
      <c r="G24" s="575">
        <v>1</v>
      </c>
      <c r="H24" s="575">
        <v>1</v>
      </c>
      <c r="I24" s="575">
        <v>1</v>
      </c>
      <c r="J24" s="575">
        <v>1</v>
      </c>
      <c r="K24" s="575">
        <v>1</v>
      </c>
      <c r="L24" s="575">
        <v>1</v>
      </c>
      <c r="M24" s="575">
        <v>1</v>
      </c>
      <c r="N24" s="575">
        <v>1</v>
      </c>
      <c r="O24" s="575">
        <v>1</v>
      </c>
      <c r="P24" s="575">
        <v>1</v>
      </c>
      <c r="Q24" s="575">
        <v>1</v>
      </c>
      <c r="R24" s="575">
        <v>1</v>
      </c>
      <c r="T24" s="133">
        <f t="shared" si="1"/>
        <v>1</v>
      </c>
      <c r="U24" s="134"/>
      <c r="V24" s="35"/>
      <c r="W24" s="35"/>
      <c r="X24" s="135"/>
      <c r="Y24" s="136"/>
      <c r="Z24" s="849">
        <f>VLOOKUP(B24,'Manuell filtrering og justering'!$A$7:$H$107,'Manuell filtrering og justering'!$H$1,FALSE)</f>
        <v>1</v>
      </c>
      <c r="AA24" s="856">
        <f t="shared" si="5"/>
        <v>0</v>
      </c>
      <c r="AB24" s="151">
        <f>IF($AC$5='Manuell filtrering og justering'!$J$2,Z24,(T24-AA24))</f>
        <v>1</v>
      </c>
      <c r="AC24" s="496">
        <v>24</v>
      </c>
      <c r="AD24" s="138">
        <f>(Man_Weight/Man_Credits)*AB24</f>
        <v>6.1904761904761907E-3</v>
      </c>
      <c r="AE24" s="138">
        <f t="shared" si="28"/>
        <v>0</v>
      </c>
      <c r="AF24" s="138">
        <f>IF(AB24=0,0,(AD24/AB24)*AJ24)</f>
        <v>0</v>
      </c>
      <c r="AG24" s="138">
        <f>IF(AB24=0,0,(AD24/AB24)*AK24)</f>
        <v>0</v>
      </c>
      <c r="AI24" s="139">
        <f t="shared" si="29"/>
        <v>0</v>
      </c>
      <c r="AJ24" s="139">
        <f t="shared" si="30"/>
        <v>0</v>
      </c>
      <c r="AK24" s="139">
        <f t="shared" si="31"/>
        <v>0</v>
      </c>
      <c r="AM24" s="748"/>
      <c r="AN24" s="749"/>
      <c r="AO24" s="749"/>
      <c r="AP24" s="749"/>
      <c r="AQ24" s="747"/>
      <c r="AR24" s="109"/>
      <c r="AS24" s="748"/>
      <c r="AT24" s="749"/>
      <c r="AU24" s="749"/>
      <c r="AV24" s="749"/>
      <c r="AW24" s="747"/>
      <c r="AX24" s="113"/>
      <c r="AY24" s="760"/>
      <c r="AZ24" s="149"/>
      <c r="BA24" s="149"/>
      <c r="BB24" s="149"/>
      <c r="BC24" s="149"/>
      <c r="BD24" s="750">
        <f>BD25</f>
        <v>3</v>
      </c>
      <c r="BE24" s="35" t="str">
        <f t="shared" si="7"/>
        <v>Very Good</v>
      </c>
      <c r="BF24" s="151"/>
      <c r="BG24" s="750">
        <f>BG25</f>
        <v>3</v>
      </c>
      <c r="BH24" s="35" t="str">
        <f t="shared" si="8"/>
        <v>Very Good</v>
      </c>
      <c r="BI24" s="151"/>
      <c r="BJ24" s="750">
        <f>BJ25</f>
        <v>3</v>
      </c>
      <c r="BK24" s="35" t="str">
        <f t="shared" si="9"/>
        <v>Very Good</v>
      </c>
      <c r="BL24" s="151"/>
      <c r="BO24" s="35"/>
      <c r="BP24" s="35"/>
      <c r="BQ24" s="35" t="str">
        <f t="shared" si="10"/>
        <v/>
      </c>
      <c r="BR24" s="35">
        <f t="shared" si="20"/>
        <v>9</v>
      </c>
      <c r="BS24" s="35">
        <f t="shared" si="11"/>
        <v>9</v>
      </c>
      <c r="BT24" s="35">
        <f t="shared" si="12"/>
        <v>9</v>
      </c>
      <c r="BW24" s="35"/>
      <c r="BX24" s="35"/>
      <c r="BY24" s="232"/>
      <c r="BZ24" s="232"/>
      <c r="CA24" s="232"/>
      <c r="CB24" s="232"/>
      <c r="CO24" s="35">
        <f>'Pre-analyseverktøy'!H25</f>
        <v>0</v>
      </c>
      <c r="CP24" s="35">
        <f>'Pre-analyseverktøy'!O25</f>
        <v>0</v>
      </c>
      <c r="CQ24" s="35">
        <f>'Pre-analyseverktøy'!V25</f>
        <v>0</v>
      </c>
      <c r="CR24" s="35" t="str">
        <f>'Pre-analyseverktøy'!F25</f>
        <v>Reduksjon av klimagassutslipp fra aktiviteter: energibruk fra aktiviteter på utbyggingsområdet (steg 2-4)</v>
      </c>
      <c r="CS24" s="35" t="b">
        <f t="shared" si="19"/>
        <v>1</v>
      </c>
    </row>
    <row r="25" spans="1:97">
      <c r="A25">
        <v>17</v>
      </c>
      <c r="B25" t="str">
        <f t="shared" si="27"/>
        <v>Man 03f</v>
      </c>
      <c r="C25" t="str">
        <f t="shared" si="13"/>
        <v>Man 03</v>
      </c>
      <c r="D25" s="35" t="s">
        <v>785</v>
      </c>
      <c r="E25" s="813" t="s">
        <v>952</v>
      </c>
      <c r="F25" s="575">
        <v>2</v>
      </c>
      <c r="G25" s="575">
        <v>2</v>
      </c>
      <c r="H25" s="575">
        <v>2</v>
      </c>
      <c r="I25" s="575">
        <v>2</v>
      </c>
      <c r="J25" s="575">
        <v>2</v>
      </c>
      <c r="K25" s="575">
        <v>2</v>
      </c>
      <c r="L25" s="575">
        <v>2</v>
      </c>
      <c r="M25" s="575">
        <v>2</v>
      </c>
      <c r="N25" s="575">
        <v>2</v>
      </c>
      <c r="O25" s="575">
        <v>2</v>
      </c>
      <c r="P25" s="575">
        <v>2</v>
      </c>
      <c r="Q25" s="575">
        <v>2</v>
      </c>
      <c r="R25" s="575">
        <v>2</v>
      </c>
      <c r="T25" s="133">
        <f t="shared" si="1"/>
        <v>2</v>
      </c>
      <c r="U25" s="134"/>
      <c r="V25" s="35"/>
      <c r="W25" s="35"/>
      <c r="X25" s="135"/>
      <c r="Y25" s="136"/>
      <c r="Z25" s="849">
        <f>VLOOKUP(B25,'Manuell filtrering og justering'!$A$7:$H$107,'Manuell filtrering og justering'!$H$1,FALSE)</f>
        <v>2</v>
      </c>
      <c r="AA25" s="856">
        <f t="shared" si="5"/>
        <v>0</v>
      </c>
      <c r="AB25" s="151">
        <f>IF($AC$5='Manuell filtrering og justering'!$J$2,Z25,(T25-AA25))</f>
        <v>2</v>
      </c>
      <c r="AC25" s="496">
        <v>25</v>
      </c>
      <c r="AD25" s="138">
        <f t="shared" si="2"/>
        <v>1.2380952380952381E-2</v>
      </c>
      <c r="AE25" s="138">
        <f t="shared" si="28"/>
        <v>0</v>
      </c>
      <c r="AF25" s="138">
        <f t="shared" si="14"/>
        <v>0</v>
      </c>
      <c r="AG25" s="138">
        <f t="shared" si="15"/>
        <v>0</v>
      </c>
      <c r="AI25" s="139">
        <f t="shared" si="29"/>
        <v>0</v>
      </c>
      <c r="AJ25" s="139">
        <f t="shared" si="30"/>
        <v>0</v>
      </c>
      <c r="AK25" s="139">
        <f t="shared" si="31"/>
        <v>0</v>
      </c>
      <c r="AM25" s="748"/>
      <c r="AN25" s="749"/>
      <c r="AO25" s="749"/>
      <c r="AP25" s="761">
        <v>3</v>
      </c>
      <c r="AQ25" s="762">
        <v>3</v>
      </c>
      <c r="AR25" s="109"/>
      <c r="AS25" s="748"/>
      <c r="AT25" s="749"/>
      <c r="AU25" s="749"/>
      <c r="AV25" s="761">
        <v>3</v>
      </c>
      <c r="AW25" s="762">
        <v>3</v>
      </c>
      <c r="AX25" s="113"/>
      <c r="AY25" s="148"/>
      <c r="AZ25" s="149"/>
      <c r="BA25" s="149"/>
      <c r="BB25" s="149">
        <f>IF($E$6=$H$9,AV25,AP25)</f>
        <v>3</v>
      </c>
      <c r="BC25" s="149">
        <f>IF($E$6=$H$9,AW25,AQ25)</f>
        <v>3</v>
      </c>
      <c r="BD25" s="750">
        <f>IF(BC25=0,9,IF((AI25+AI24)&gt;=BC25,5,IF((AI25+AI24)&gt;=BB25,4,IF((AI25+AI24)&gt;=BA25,3,IF((AI25+AI24)&gt;=AZ25,2,IF((AI25+AI24)&lt;AY25,0,1))))))</f>
        <v>3</v>
      </c>
      <c r="BE25" s="35" t="str">
        <f t="shared" si="7"/>
        <v>Very Good</v>
      </c>
      <c r="BF25" s="151"/>
      <c r="BG25" s="750">
        <f>IF(BC25=0,9,IF((AJ25+AJ24)&gt;=BC25,5,IF((AJ25+AJ24)&gt;=BB25,4,IF((AJ25+AJ24)&gt;=BA25,3,IF((AJ25+AJ24)&gt;=AZ25,2,IF((AJ25+AJ24)&lt;AY25,0,1))))))</f>
        <v>3</v>
      </c>
      <c r="BH25" s="35" t="str">
        <f t="shared" si="8"/>
        <v>Very Good</v>
      </c>
      <c r="BI25" s="151"/>
      <c r="BJ25" s="750">
        <f>IF(BC25=0,9,IF((AK25+AK24)&gt;=BC25,5,IF((AK25+AK24)&gt;=BB25,4,IF((AK25+AK24)&gt;=BA25,3,IF((AK25+AK24)&gt;=AZ25,2,IF((AK25+AK24)&lt;AY25,0,1))))))</f>
        <v>3</v>
      </c>
      <c r="BK25" s="35" t="str">
        <f t="shared" si="9"/>
        <v>Very Good</v>
      </c>
      <c r="BL25" s="151"/>
      <c r="BO25" s="35"/>
      <c r="BP25" s="35"/>
      <c r="BQ25" s="35" t="str">
        <f t="shared" si="10"/>
        <v/>
      </c>
      <c r="BR25" s="35">
        <f t="shared" si="20"/>
        <v>9</v>
      </c>
      <c r="BS25" s="35">
        <f t="shared" si="11"/>
        <v>9</v>
      </c>
      <c r="BT25" s="35">
        <f t="shared" si="12"/>
        <v>9</v>
      </c>
      <c r="BW25" s="35"/>
      <c r="BX25" s="35"/>
      <c r="BY25" s="232"/>
      <c r="BZ25" s="232"/>
      <c r="CA25" s="232"/>
      <c r="CB25" s="232"/>
      <c r="CO25" s="35">
        <f>'Pre-analyseverktøy'!H26</f>
        <v>0</v>
      </c>
      <c r="CP25" s="35">
        <f>'Pre-analyseverktøy'!O26</f>
        <v>0</v>
      </c>
      <c r="CQ25" s="35">
        <f>'Pre-analyseverktøy'!V26</f>
        <v>0</v>
      </c>
      <c r="CR25" s="35" t="str">
        <f>'Pre-analyseverktøy'!F26</f>
        <v>Reduksjon av klimagassutslipp fra aktiviteter: Energiforbruk fra transport av masser og avfall  (steg 2-4)</v>
      </c>
      <c r="CS25" s="35" t="b">
        <f t="shared" si="19"/>
        <v>1</v>
      </c>
    </row>
    <row r="26" spans="1:97">
      <c r="A26">
        <v>18</v>
      </c>
      <c r="B26" s="109" t="str">
        <f>D26</f>
        <v>Man 04</v>
      </c>
      <c r="C26" s="109" t="str">
        <f>B26</f>
        <v>Man 04</v>
      </c>
      <c r="D26" s="629" t="s">
        <v>275</v>
      </c>
      <c r="E26" s="629" t="s">
        <v>953</v>
      </c>
      <c r="F26" s="711">
        <f>SUM(F27:F29)</f>
        <v>3</v>
      </c>
      <c r="G26" s="711">
        <f t="shared" ref="G26:R26" si="34">SUM(G27:G29)</f>
        <v>3</v>
      </c>
      <c r="H26" s="711">
        <f t="shared" si="34"/>
        <v>3</v>
      </c>
      <c r="I26" s="711">
        <f t="shared" si="34"/>
        <v>3</v>
      </c>
      <c r="J26" s="711">
        <f t="shared" si="34"/>
        <v>3</v>
      </c>
      <c r="K26" s="711">
        <f t="shared" si="34"/>
        <v>3</v>
      </c>
      <c r="L26" s="711">
        <f t="shared" si="34"/>
        <v>3</v>
      </c>
      <c r="M26" s="711">
        <f t="shared" si="34"/>
        <v>3</v>
      </c>
      <c r="N26" s="711">
        <f t="shared" si="34"/>
        <v>3</v>
      </c>
      <c r="O26" s="711">
        <f t="shared" si="34"/>
        <v>3</v>
      </c>
      <c r="P26" s="711">
        <f t="shared" si="34"/>
        <v>3</v>
      </c>
      <c r="Q26" s="711">
        <f>SUM(Q27:Q29)</f>
        <v>3</v>
      </c>
      <c r="R26" s="711">
        <f t="shared" si="34"/>
        <v>3</v>
      </c>
      <c r="T26" s="699">
        <f t="shared" si="1"/>
        <v>3</v>
      </c>
      <c r="U26" s="134"/>
      <c r="V26" s="35"/>
      <c r="W26" s="35"/>
      <c r="X26" s="135">
        <f>'Manuell filtrering og justering'!E10</f>
        <v>0</v>
      </c>
      <c r="Y26" s="136"/>
      <c r="Z26" s="864">
        <f>SUM(Z27:Z29)</f>
        <v>3</v>
      </c>
      <c r="AA26" s="856">
        <f t="shared" si="5"/>
        <v>0</v>
      </c>
      <c r="AB26" s="860">
        <f>SUM(AB27:AB29)</f>
        <v>3</v>
      </c>
      <c r="AC26" s="496">
        <v>26</v>
      </c>
      <c r="AD26" s="701">
        <f t="shared" si="2"/>
        <v>1.8571428571428572E-2</v>
      </c>
      <c r="AE26" s="701">
        <f>SUM(AE27:AE29)</f>
        <v>0</v>
      </c>
      <c r="AF26" s="701">
        <f>SUM(AF27:AF29)</f>
        <v>0</v>
      </c>
      <c r="AG26" s="701">
        <f>SUM(AG27:AG29)</f>
        <v>0</v>
      </c>
      <c r="AI26" s="702">
        <f>SUM(AI27:AI29)</f>
        <v>0</v>
      </c>
      <c r="AJ26" s="702">
        <f>SUM(AJ27:AJ29)</f>
        <v>0</v>
      </c>
      <c r="AK26" s="702">
        <f>SUM(AK27:AK29)</f>
        <v>0</v>
      </c>
      <c r="AM26" s="235"/>
      <c r="AN26" s="147"/>
      <c r="AO26" s="147"/>
      <c r="AP26" s="147"/>
      <c r="AQ26" s="152"/>
      <c r="AS26" s="235"/>
      <c r="AT26" s="147"/>
      <c r="AU26" s="147"/>
      <c r="AV26" s="147"/>
      <c r="AW26" s="152"/>
      <c r="AX26" s="113"/>
      <c r="AY26" s="148"/>
      <c r="AZ26" s="149"/>
      <c r="BA26" s="149"/>
      <c r="BB26" s="149"/>
      <c r="BC26" s="153"/>
      <c r="BD26" s="148">
        <f t="shared" si="25"/>
        <v>9</v>
      </c>
      <c r="BE26" s="35" t="str">
        <f t="shared" si="7"/>
        <v>N/A</v>
      </c>
      <c r="BF26" s="151"/>
      <c r="BG26" s="148">
        <f t="shared" si="32"/>
        <v>9</v>
      </c>
      <c r="BH26" s="35" t="str">
        <f t="shared" si="8"/>
        <v>N/A</v>
      </c>
      <c r="BI26" s="151"/>
      <c r="BJ26" s="148">
        <f t="shared" si="33"/>
        <v>9</v>
      </c>
      <c r="BK26" s="35" t="str">
        <f t="shared" si="9"/>
        <v>N/A</v>
      </c>
      <c r="BL26" s="151"/>
      <c r="BO26" s="35"/>
      <c r="BP26" s="35"/>
      <c r="BQ26" s="35" t="str">
        <f t="shared" si="10"/>
        <v/>
      </c>
      <c r="BR26" s="35">
        <f t="shared" si="20"/>
        <v>9</v>
      </c>
      <c r="BS26" s="35">
        <f t="shared" si="11"/>
        <v>9</v>
      </c>
      <c r="BT26" s="35">
        <f t="shared" si="12"/>
        <v>9</v>
      </c>
      <c r="BW26" s="35" t="str">
        <f>D26</f>
        <v>Man 04</v>
      </c>
      <c r="BX26" s="35" t="str">
        <f>IFERROR(VLOOKUP($E26,'Pre-analyseverktøy'!$F$11:$AC$226,'Pre-analyseverktøy'!AC$2,FALSE),"")</f>
        <v>No</v>
      </c>
      <c r="BY26" s="232">
        <f>IFERROR(VLOOKUP($E26,'Pre-analyseverktøy'!$F$11:$AJ$226,'Pre-analyseverktøy'!AJ$2,FALSE),"")</f>
        <v>0</v>
      </c>
      <c r="BZ26" s="232">
        <f>IFERROR(VLOOKUP($BX26,$E$293:$H$326,F$291,FALSE),"")</f>
        <v>1</v>
      </c>
      <c r="CA26" s="232">
        <f>IFERROR(VLOOKUP($BX26,$E$293:$H$326,G$291,FALSE),"")</f>
        <v>0</v>
      </c>
      <c r="CB26" s="232"/>
      <c r="CC26" t="str">
        <f>IFERROR(VLOOKUP($BX26,$E$293:$H$326,I$291,FALSE),"")</f>
        <v/>
      </c>
    </row>
    <row r="27" spans="1:97">
      <c r="A27">
        <v>19</v>
      </c>
      <c r="B27" t="str">
        <f>$D$26&amp;D27</f>
        <v>Man 04a</v>
      </c>
      <c r="C27" t="str">
        <f t="shared" si="13"/>
        <v>Man 04</v>
      </c>
      <c r="D27" s="35" t="s">
        <v>775</v>
      </c>
      <c r="E27" s="813" t="s">
        <v>954</v>
      </c>
      <c r="F27" s="575">
        <v>1</v>
      </c>
      <c r="G27" s="575">
        <v>1</v>
      </c>
      <c r="H27" s="575">
        <v>1</v>
      </c>
      <c r="I27" s="575">
        <v>1</v>
      </c>
      <c r="J27" s="575">
        <v>1</v>
      </c>
      <c r="K27" s="575">
        <v>1</v>
      </c>
      <c r="L27" s="575">
        <v>1</v>
      </c>
      <c r="M27" s="575">
        <v>1</v>
      </c>
      <c r="N27" s="575">
        <v>1</v>
      </c>
      <c r="O27" s="575">
        <v>1</v>
      </c>
      <c r="P27" s="575">
        <v>1</v>
      </c>
      <c r="Q27" s="575">
        <v>1</v>
      </c>
      <c r="R27" s="575">
        <v>1</v>
      </c>
      <c r="T27" s="133">
        <f t="shared" si="1"/>
        <v>1</v>
      </c>
      <c r="U27" s="134"/>
      <c r="V27" s="35"/>
      <c r="W27" s="35"/>
      <c r="X27" s="135"/>
      <c r="Y27" s="136"/>
      <c r="Z27" s="849">
        <f>VLOOKUP(B27,'Manuell filtrering og justering'!$A$7:$H$107,'Manuell filtrering og justering'!$H$1,FALSE)</f>
        <v>1</v>
      </c>
      <c r="AA27" s="856">
        <f t="shared" si="5"/>
        <v>0</v>
      </c>
      <c r="AB27" s="151">
        <f>IF($AC$5='Manuell filtrering og justering'!$J$2,Z27,(T27-AA27))</f>
        <v>1</v>
      </c>
      <c r="AC27" s="496">
        <v>27</v>
      </c>
      <c r="AD27" s="138">
        <f t="shared" si="2"/>
        <v>6.1904761904761907E-3</v>
      </c>
      <c r="AE27" s="138">
        <f>IF(AB27=0,0,(AD27/AB27)*AI27)</f>
        <v>0</v>
      </c>
      <c r="AF27" s="138">
        <f t="shared" si="14"/>
        <v>0</v>
      </c>
      <c r="AG27" s="138">
        <f t="shared" si="15"/>
        <v>0</v>
      </c>
      <c r="AI27" s="139">
        <f t="shared" ref="AI27:AI29" si="35">IF(CO27&gt;$AB27,$AB27,CO27)</f>
        <v>0</v>
      </c>
      <c r="AJ27" s="139">
        <f t="shared" ref="AJ27:AJ29" si="36">IF(CP27&gt;$AB27,$AB27,CP27)</f>
        <v>0</v>
      </c>
      <c r="AK27" s="139">
        <f t="shared" ref="AK27:AK29" si="37">IF(CQ27&gt;$AB27,$AB27,CQ27)</f>
        <v>0</v>
      </c>
      <c r="AM27" s="235">
        <v>1</v>
      </c>
      <c r="AN27" s="147">
        <v>1</v>
      </c>
      <c r="AO27" s="147">
        <v>1</v>
      </c>
      <c r="AP27" s="147">
        <v>1</v>
      </c>
      <c r="AQ27" s="152">
        <v>1</v>
      </c>
      <c r="AS27" s="235">
        <v>1</v>
      </c>
      <c r="AT27" s="147">
        <v>1</v>
      </c>
      <c r="AU27" s="147">
        <v>1</v>
      </c>
      <c r="AV27" s="147">
        <v>1</v>
      </c>
      <c r="AW27" s="152">
        <v>1</v>
      </c>
      <c r="AX27" s="113"/>
      <c r="AY27" s="149">
        <f>IF($E$6=$H$9,AS27,AM27)</f>
        <v>1</v>
      </c>
      <c r="AZ27" s="149">
        <f>IF($E$6=$H$9,AT27,AN27)</f>
        <v>1</v>
      </c>
      <c r="BA27" s="149">
        <f>IF($E$6=$H$9,AU27,AO27)</f>
        <v>1</v>
      </c>
      <c r="BB27" s="149">
        <f>IF($E$6=$H$9,AV27,AP27)</f>
        <v>1</v>
      </c>
      <c r="BC27" s="149">
        <f>IF($E$6=$H$9,AW27,AQ27)</f>
        <v>1</v>
      </c>
      <c r="BD27" s="148">
        <f t="shared" si="25"/>
        <v>0</v>
      </c>
      <c r="BE27" s="35" t="str">
        <f t="shared" si="7"/>
        <v>Unclassified</v>
      </c>
      <c r="BF27" s="151"/>
      <c r="BG27" s="148">
        <f t="shared" si="32"/>
        <v>0</v>
      </c>
      <c r="BH27" s="35" t="str">
        <f t="shared" si="8"/>
        <v>Unclassified</v>
      </c>
      <c r="BI27" s="151"/>
      <c r="BJ27" s="148">
        <f t="shared" si="33"/>
        <v>0</v>
      </c>
      <c r="BK27" s="35" t="str">
        <f t="shared" si="9"/>
        <v>Unclassified</v>
      </c>
      <c r="BL27" s="151"/>
      <c r="BO27" s="35"/>
      <c r="BP27" s="35"/>
      <c r="BQ27" s="35" t="str">
        <f t="shared" si="10"/>
        <v/>
      </c>
      <c r="BR27" s="35">
        <f t="shared" si="20"/>
        <v>9</v>
      </c>
      <c r="BS27" s="35">
        <f t="shared" si="11"/>
        <v>9</v>
      </c>
      <c r="BT27" s="35">
        <f t="shared" si="12"/>
        <v>9</v>
      </c>
      <c r="BW27" s="35"/>
      <c r="BX27" s="35"/>
      <c r="BY27" s="232"/>
      <c r="BZ27" s="232"/>
      <c r="CA27" s="232"/>
      <c r="CB27" s="232"/>
      <c r="CO27" s="35">
        <f>'Pre-analyseverktøy'!H28</f>
        <v>0</v>
      </c>
      <c r="CP27" s="35">
        <f>'Pre-analyseverktøy'!O28</f>
        <v>0</v>
      </c>
      <c r="CQ27" s="35">
        <f>'Pre-analyseverktøy'!V28</f>
        <v>0</v>
      </c>
      <c r="CR27" s="35" t="str">
        <f>'Pre-analyseverktøy'!F28</f>
        <v>Plan for idriftsetting, testing og ansvar</v>
      </c>
      <c r="CS27" s="35" t="b">
        <f t="shared" si="19"/>
        <v>1</v>
      </c>
    </row>
    <row r="28" spans="1:97">
      <c r="A28">
        <v>20</v>
      </c>
      <c r="B28" t="str">
        <f>$D$26&amp;D28</f>
        <v>Man 04b</v>
      </c>
      <c r="C28" t="str">
        <f t="shared" si="13"/>
        <v>Man 04</v>
      </c>
      <c r="D28" s="35" t="s">
        <v>776</v>
      </c>
      <c r="E28" s="813" t="s">
        <v>955</v>
      </c>
      <c r="F28" s="575">
        <v>1</v>
      </c>
      <c r="G28" s="575">
        <v>1</v>
      </c>
      <c r="H28" s="575">
        <v>1</v>
      </c>
      <c r="I28" s="575">
        <v>1</v>
      </c>
      <c r="J28" s="575">
        <v>1</v>
      </c>
      <c r="K28" s="575">
        <v>1</v>
      </c>
      <c r="L28" s="575">
        <v>1</v>
      </c>
      <c r="M28" s="575">
        <v>1</v>
      </c>
      <c r="N28" s="575">
        <v>1</v>
      </c>
      <c r="O28" s="575">
        <v>1</v>
      </c>
      <c r="P28" s="575">
        <v>1</v>
      </c>
      <c r="Q28" s="575">
        <v>1</v>
      </c>
      <c r="R28" s="575">
        <v>1</v>
      </c>
      <c r="T28" s="133">
        <f t="shared" si="1"/>
        <v>1</v>
      </c>
      <c r="U28" s="134"/>
      <c r="V28" s="35"/>
      <c r="W28" s="35"/>
      <c r="X28" s="135"/>
      <c r="Y28" s="136">
        <f>IF($Y$4=$Y$6,T28,0)</f>
        <v>0</v>
      </c>
      <c r="Z28" s="849">
        <f>VLOOKUP(B28,'Manuell filtrering og justering'!$A$7:$H$107,'Manuell filtrering og justering'!$H$1,FALSE)</f>
        <v>1</v>
      </c>
      <c r="AA28" s="856">
        <f t="shared" si="5"/>
        <v>0</v>
      </c>
      <c r="AB28" s="151">
        <f>IF($AC$5='Manuell filtrering og justering'!$J$2,Z28,(T28-AA28))</f>
        <v>1</v>
      </c>
      <c r="AC28" s="496">
        <v>28</v>
      </c>
      <c r="AD28" s="138">
        <f t="shared" si="2"/>
        <v>6.1904761904761907E-3</v>
      </c>
      <c r="AE28" s="138">
        <f>IF(AB28=0,0,(AD28/AB28)*AI28)</f>
        <v>0</v>
      </c>
      <c r="AF28" s="138">
        <f t="shared" si="14"/>
        <v>0</v>
      </c>
      <c r="AG28" s="138">
        <f t="shared" si="15"/>
        <v>0</v>
      </c>
      <c r="AI28" s="139">
        <f t="shared" si="35"/>
        <v>0</v>
      </c>
      <c r="AJ28" s="139">
        <f t="shared" si="36"/>
        <v>0</v>
      </c>
      <c r="AK28" s="139">
        <f t="shared" si="37"/>
        <v>0</v>
      </c>
      <c r="AM28" s="235"/>
      <c r="AN28" s="147"/>
      <c r="AO28" s="147"/>
      <c r="AP28" s="147"/>
      <c r="AQ28" s="152"/>
      <c r="AS28" s="235"/>
      <c r="AT28" s="147"/>
      <c r="AU28" s="147"/>
      <c r="AV28" s="147"/>
      <c r="AW28" s="152"/>
      <c r="AX28" s="113"/>
      <c r="AY28" s="148"/>
      <c r="AZ28" s="149"/>
      <c r="BA28" s="149"/>
      <c r="BB28" s="149"/>
      <c r="BC28" s="153"/>
      <c r="BD28" s="148">
        <f t="shared" si="25"/>
        <v>9</v>
      </c>
      <c r="BE28" s="35" t="str">
        <f t="shared" si="7"/>
        <v>N/A</v>
      </c>
      <c r="BF28" s="151"/>
      <c r="BG28" s="148">
        <f t="shared" si="32"/>
        <v>9</v>
      </c>
      <c r="BH28" s="35" t="str">
        <f t="shared" si="8"/>
        <v>N/A</v>
      </c>
      <c r="BI28" s="151"/>
      <c r="BJ28" s="148">
        <f t="shared" si="33"/>
        <v>9</v>
      </c>
      <c r="BK28" s="35" t="str">
        <f t="shared" si="9"/>
        <v>N/A</v>
      </c>
      <c r="BL28" s="151"/>
      <c r="BO28" s="35"/>
      <c r="BP28" s="35"/>
      <c r="BQ28" s="35" t="str">
        <f t="shared" si="10"/>
        <v/>
      </c>
      <c r="BR28" s="35">
        <f t="shared" si="20"/>
        <v>9</v>
      </c>
      <c r="BS28" s="35">
        <f t="shared" si="11"/>
        <v>9</v>
      </c>
      <c r="BT28" s="35">
        <f t="shared" si="12"/>
        <v>9</v>
      </c>
      <c r="BW28" s="35"/>
      <c r="BX28" s="35"/>
      <c r="BY28" s="232"/>
      <c r="BZ28" s="232"/>
      <c r="CA28" s="232"/>
      <c r="CB28" s="232"/>
      <c r="CO28" s="35">
        <f>'Pre-analyseverktøy'!H29</f>
        <v>0</v>
      </c>
      <c r="CP28" s="35">
        <f>'Pre-analyseverktøy'!O29</f>
        <v>0</v>
      </c>
      <c r="CQ28" s="35">
        <f>'Pre-analyseverktøy'!V29</f>
        <v>0</v>
      </c>
      <c r="CR28" s="35" t="str">
        <f>'Pre-analyseverktøy'!F29</f>
        <v>Utarbeidelse, klargjøring og gjennomføring av idriftsetting</v>
      </c>
      <c r="CS28" s="35" t="b">
        <f t="shared" si="19"/>
        <v>1</v>
      </c>
    </row>
    <row r="29" spans="1:97">
      <c r="A29">
        <v>21</v>
      </c>
      <c r="B29" t="str">
        <f>$D$26&amp;D29</f>
        <v>Man 04c</v>
      </c>
      <c r="C29" t="str">
        <f t="shared" si="13"/>
        <v>Man 04</v>
      </c>
      <c r="D29" s="35" t="s">
        <v>777</v>
      </c>
      <c r="E29" s="813" t="s">
        <v>956</v>
      </c>
      <c r="F29" s="575">
        <v>1</v>
      </c>
      <c r="G29" s="575">
        <v>1</v>
      </c>
      <c r="H29" s="575">
        <v>1</v>
      </c>
      <c r="I29" s="575">
        <v>1</v>
      </c>
      <c r="J29" s="575">
        <v>1</v>
      </c>
      <c r="K29" s="575">
        <v>1</v>
      </c>
      <c r="L29" s="575">
        <v>1</v>
      </c>
      <c r="M29" s="575">
        <v>1</v>
      </c>
      <c r="N29" s="575">
        <v>1</v>
      </c>
      <c r="O29" s="575">
        <v>1</v>
      </c>
      <c r="P29" s="575">
        <v>1</v>
      </c>
      <c r="Q29" s="575">
        <v>1</v>
      </c>
      <c r="R29" s="575">
        <v>1</v>
      </c>
      <c r="T29" s="133">
        <f t="shared" si="1"/>
        <v>1</v>
      </c>
      <c r="U29" s="134"/>
      <c r="V29" s="35"/>
      <c r="W29" s="35"/>
      <c r="X29" s="135"/>
      <c r="Y29" s="136"/>
      <c r="Z29" s="849">
        <f>VLOOKUP(B29,'Manuell filtrering og justering'!$A$7:$H$107,'Manuell filtrering og justering'!$H$1,FALSE)</f>
        <v>1</v>
      </c>
      <c r="AA29" s="856">
        <f t="shared" si="5"/>
        <v>0</v>
      </c>
      <c r="AB29" s="151">
        <f>IF($AC$5='Manuell filtrering og justering'!$J$2,Z29,(T29-AA29))</f>
        <v>1</v>
      </c>
      <c r="AC29" s="496">
        <v>29</v>
      </c>
      <c r="AD29" s="138">
        <f t="shared" si="2"/>
        <v>6.1904761904761907E-3</v>
      </c>
      <c r="AE29" s="138">
        <f>IF(AB29=0,0,(AD29/AB29)*AI29)</f>
        <v>0</v>
      </c>
      <c r="AF29" s="138">
        <f t="shared" si="14"/>
        <v>0</v>
      </c>
      <c r="AG29" s="138">
        <f t="shared" si="15"/>
        <v>0</v>
      </c>
      <c r="AI29" s="139">
        <f t="shared" si="35"/>
        <v>0</v>
      </c>
      <c r="AJ29" s="139">
        <f t="shared" si="36"/>
        <v>0</v>
      </c>
      <c r="AK29" s="139">
        <f t="shared" si="37"/>
        <v>0</v>
      </c>
      <c r="AM29" s="235"/>
      <c r="AN29" s="147"/>
      <c r="AO29" s="147">
        <v>1</v>
      </c>
      <c r="AP29" s="147">
        <v>1</v>
      </c>
      <c r="AQ29" s="152">
        <v>1</v>
      </c>
      <c r="AS29" s="235"/>
      <c r="AT29" s="147"/>
      <c r="AU29" s="147">
        <v>1</v>
      </c>
      <c r="AV29" s="147">
        <v>1</v>
      </c>
      <c r="AW29" s="152">
        <v>1</v>
      </c>
      <c r="AX29" s="113"/>
      <c r="AY29" s="148"/>
      <c r="AZ29" s="149"/>
      <c r="BA29" s="149">
        <f>IF($E$6=$H$9,AU29,AO29)</f>
        <v>1</v>
      </c>
      <c r="BB29" s="149">
        <f>IF($E$6=$H$9,AV29,AP29)</f>
        <v>1</v>
      </c>
      <c r="BC29" s="149">
        <f>IF($E$6=$H$9,AW29,AQ29)</f>
        <v>1</v>
      </c>
      <c r="BD29" s="148">
        <f t="shared" si="25"/>
        <v>2</v>
      </c>
      <c r="BE29" s="35" t="str">
        <f t="shared" si="7"/>
        <v>Good</v>
      </c>
      <c r="BF29" s="151"/>
      <c r="BG29" s="148">
        <f t="shared" si="32"/>
        <v>2</v>
      </c>
      <c r="BH29" s="35" t="str">
        <f t="shared" si="8"/>
        <v>Good</v>
      </c>
      <c r="BI29" s="151"/>
      <c r="BJ29" s="148">
        <f t="shared" si="33"/>
        <v>2</v>
      </c>
      <c r="BK29" s="35" t="str">
        <f t="shared" si="9"/>
        <v>Good</v>
      </c>
      <c r="BL29" s="151"/>
      <c r="BO29" s="35"/>
      <c r="BP29" s="35"/>
      <c r="BQ29" s="35" t="str">
        <f t="shared" si="10"/>
        <v/>
      </c>
      <c r="BR29" s="35">
        <f t="shared" si="20"/>
        <v>9</v>
      </c>
      <c r="BS29" s="35">
        <f t="shared" si="11"/>
        <v>9</v>
      </c>
      <c r="BT29" s="35">
        <f t="shared" si="12"/>
        <v>9</v>
      </c>
      <c r="BW29" s="35"/>
      <c r="BX29" s="35"/>
      <c r="BY29" s="232"/>
      <c r="BZ29" s="232"/>
      <c r="CA29" s="232"/>
      <c r="CB29" s="232"/>
      <c r="CO29" s="35">
        <f>'Pre-analyseverktøy'!H30</f>
        <v>0</v>
      </c>
      <c r="CP29" s="35">
        <f>'Pre-analyseverktøy'!O30</f>
        <v>0</v>
      </c>
      <c r="CQ29" s="35">
        <f>'Pre-analyseverktøy'!V30</f>
        <v>0</v>
      </c>
      <c r="CR29" s="35" t="str">
        <f>'Pre-analyseverktøy'!F30</f>
        <v>Planlegging for god overlevering</v>
      </c>
      <c r="CS29" s="35" t="b">
        <f t="shared" si="19"/>
        <v>1</v>
      </c>
    </row>
    <row r="30" spans="1:97">
      <c r="A30">
        <v>22</v>
      </c>
      <c r="B30" s="109" t="str">
        <f>D30</f>
        <v>Man 05</v>
      </c>
      <c r="C30" s="109" t="str">
        <f>B30</f>
        <v>Man 05</v>
      </c>
      <c r="D30" s="629" t="s">
        <v>285</v>
      </c>
      <c r="E30" s="629" t="s">
        <v>957</v>
      </c>
      <c r="F30" s="711">
        <f>SUM(F31:F33)</f>
        <v>3</v>
      </c>
      <c r="G30" s="711">
        <f t="shared" ref="G30:R30" si="38">SUM(G31:G33)</f>
        <v>3</v>
      </c>
      <c r="H30" s="711">
        <f t="shared" si="38"/>
        <v>3</v>
      </c>
      <c r="I30" s="711">
        <f t="shared" si="38"/>
        <v>3</v>
      </c>
      <c r="J30" s="711">
        <f t="shared" si="38"/>
        <v>3</v>
      </c>
      <c r="K30" s="711">
        <f t="shared" si="38"/>
        <v>3</v>
      </c>
      <c r="L30" s="711">
        <f t="shared" si="38"/>
        <v>3</v>
      </c>
      <c r="M30" s="711">
        <f t="shared" si="38"/>
        <v>3</v>
      </c>
      <c r="N30" s="711">
        <f t="shared" si="38"/>
        <v>3</v>
      </c>
      <c r="O30" s="711">
        <f t="shared" si="38"/>
        <v>3</v>
      </c>
      <c r="P30" s="711">
        <f t="shared" si="38"/>
        <v>3</v>
      </c>
      <c r="Q30" s="711">
        <f>SUM(Q31:Q33)</f>
        <v>3</v>
      </c>
      <c r="R30" s="711">
        <f t="shared" si="38"/>
        <v>3</v>
      </c>
      <c r="T30" s="699">
        <f t="shared" si="1"/>
        <v>3</v>
      </c>
      <c r="U30" s="134"/>
      <c r="V30" s="35"/>
      <c r="W30" s="35"/>
      <c r="X30" s="135">
        <f>'Manuell filtrering og justering'!E11</f>
        <v>0</v>
      </c>
      <c r="Y30" s="136"/>
      <c r="Z30" s="864">
        <f>SUM(Z31:Z33)</f>
        <v>3</v>
      </c>
      <c r="AA30" s="856">
        <f t="shared" si="5"/>
        <v>0</v>
      </c>
      <c r="AB30" s="860">
        <f>SUM(AB31:AB33)</f>
        <v>3</v>
      </c>
      <c r="AC30" s="496">
        <v>30</v>
      </c>
      <c r="AD30" s="701">
        <f t="shared" si="2"/>
        <v>1.8571428571428572E-2</v>
      </c>
      <c r="AE30" s="701">
        <f>SUM(AE31:AE33)</f>
        <v>0</v>
      </c>
      <c r="AF30" s="701">
        <f>SUM(AF31:AF33)</f>
        <v>0</v>
      </c>
      <c r="AG30" s="701">
        <f>SUM(AG31:AG33)</f>
        <v>0</v>
      </c>
      <c r="AI30" s="702">
        <f>SUM(AI31:AI33)</f>
        <v>0</v>
      </c>
      <c r="AJ30" s="702">
        <f>SUM(AJ31:AJ33)</f>
        <v>0</v>
      </c>
      <c r="AK30" s="702">
        <f>SUM(AK31:AK33)</f>
        <v>0</v>
      </c>
      <c r="AM30" s="249"/>
      <c r="AN30" s="250"/>
      <c r="AO30" s="250"/>
      <c r="AP30" s="250"/>
      <c r="AQ30" s="251"/>
      <c r="AS30" s="249"/>
      <c r="AT30" s="250"/>
      <c r="AU30" s="250"/>
      <c r="AV30" s="250"/>
      <c r="AW30" s="251"/>
      <c r="AY30" s="134"/>
      <c r="AZ30" s="35"/>
      <c r="BA30" s="35"/>
      <c r="BB30" s="35"/>
      <c r="BC30" s="135"/>
      <c r="BD30" s="148">
        <f t="shared" si="25"/>
        <v>9</v>
      </c>
      <c r="BE30" s="35" t="str">
        <f t="shared" si="7"/>
        <v>N/A</v>
      </c>
      <c r="BF30" s="151"/>
      <c r="BG30" s="148">
        <f t="shared" si="32"/>
        <v>9</v>
      </c>
      <c r="BH30" s="35" t="str">
        <f t="shared" si="8"/>
        <v>N/A</v>
      </c>
      <c r="BI30" s="151"/>
      <c r="BJ30" s="148">
        <f t="shared" si="33"/>
        <v>9</v>
      </c>
      <c r="BK30" s="35" t="str">
        <f t="shared" si="9"/>
        <v>N/A</v>
      </c>
      <c r="BL30" s="151"/>
      <c r="BO30" s="35"/>
      <c r="BP30" s="35"/>
      <c r="BQ30" s="35" t="str">
        <f t="shared" si="10"/>
        <v/>
      </c>
      <c r="BR30" s="35">
        <f t="shared" si="20"/>
        <v>9</v>
      </c>
      <c r="BS30" s="35">
        <f t="shared" si="11"/>
        <v>9</v>
      </c>
      <c r="BT30" s="35">
        <f t="shared" si="12"/>
        <v>9</v>
      </c>
      <c r="BW30" s="35" t="str">
        <f>D30</f>
        <v>Man 05</v>
      </c>
      <c r="BX30" s="35" t="str">
        <f>IFERROR(VLOOKUP($E30,'Pre-analyseverktøy'!$F$11:$AC$226,'Pre-analyseverktøy'!AC$2,FALSE),"")</f>
        <v>No</v>
      </c>
      <c r="BY30" s="232">
        <f>IFERROR(VLOOKUP($E30,'Pre-analyseverktøy'!$F$11:$AJ$226,'Pre-analyseverktøy'!AJ$2,FALSE),"")</f>
        <v>0</v>
      </c>
      <c r="BZ30" s="232">
        <f>IFERROR(VLOOKUP($BX30,$E$293:$H$326,F$291,FALSE),"")</f>
        <v>1</v>
      </c>
      <c r="CA30" s="232">
        <f>IFERROR(VLOOKUP($BX30,$E$293:$H$326,G$291,FALSE),"")</f>
        <v>0</v>
      </c>
      <c r="CB30" s="232"/>
      <c r="CC30" t="s">
        <v>958</v>
      </c>
    </row>
    <row r="31" spans="1:97">
      <c r="A31">
        <v>23</v>
      </c>
      <c r="B31" t="str">
        <f>$D$30&amp;D31</f>
        <v>Man 05a</v>
      </c>
      <c r="C31" t="str">
        <f t="shared" si="13"/>
        <v>Man 05</v>
      </c>
      <c r="D31" s="35" t="s">
        <v>775</v>
      </c>
      <c r="E31" s="813" t="s">
        <v>959</v>
      </c>
      <c r="F31" s="575">
        <v>1</v>
      </c>
      <c r="G31" s="575">
        <v>1</v>
      </c>
      <c r="H31" s="575">
        <v>1</v>
      </c>
      <c r="I31" s="575">
        <v>1</v>
      </c>
      <c r="J31" s="575">
        <v>1</v>
      </c>
      <c r="K31" s="575">
        <v>1</v>
      </c>
      <c r="L31" s="575">
        <v>1</v>
      </c>
      <c r="M31" s="575">
        <v>1</v>
      </c>
      <c r="N31" s="575">
        <v>1</v>
      </c>
      <c r="O31" s="575">
        <v>1</v>
      </c>
      <c r="P31" s="575">
        <v>1</v>
      </c>
      <c r="Q31" s="575">
        <v>1</v>
      </c>
      <c r="R31" s="575">
        <v>1</v>
      </c>
      <c r="T31" s="133">
        <f t="shared" si="1"/>
        <v>1</v>
      </c>
      <c r="U31" s="134"/>
      <c r="V31" s="35"/>
      <c r="W31" s="35"/>
      <c r="X31" s="135"/>
      <c r="Y31" s="136">
        <f>IF(OR($Y$4=$Y$5,$Y$4=$Y$6),T31,0)</f>
        <v>0</v>
      </c>
      <c r="Z31" s="849">
        <f>VLOOKUP(B31,'Manuell filtrering og justering'!$A$7:$H$107,'Manuell filtrering og justering'!$H$1,FALSE)</f>
        <v>1</v>
      </c>
      <c r="AA31" s="856">
        <f t="shared" si="5"/>
        <v>0</v>
      </c>
      <c r="AB31" s="151">
        <f>IF($AC$5='Manuell filtrering og justering'!$J$2,Z31,(T31-AA31))</f>
        <v>1</v>
      </c>
      <c r="AC31" s="496">
        <v>31</v>
      </c>
      <c r="AD31" s="138">
        <f t="shared" si="2"/>
        <v>6.1904761904761907E-3</v>
      </c>
      <c r="AE31" s="138">
        <f>IF(AB31=0,0,(AD31/AB31)*AI31)</f>
        <v>0</v>
      </c>
      <c r="AF31" s="138">
        <f t="shared" si="14"/>
        <v>0</v>
      </c>
      <c r="AG31" s="138">
        <f t="shared" si="15"/>
        <v>0</v>
      </c>
      <c r="AI31" s="139">
        <f t="shared" ref="AI31:AI33" si="39">IF(CO31&gt;$AB31,$AB31,CO31)</f>
        <v>0</v>
      </c>
      <c r="AJ31" s="139">
        <f t="shared" ref="AJ31:AJ33" si="40">IF(CP31&gt;$AB31,$AB31,CP31)</f>
        <v>0</v>
      </c>
      <c r="AK31" s="139">
        <f t="shared" ref="AK31:AK33" si="41">IF(CQ31&gt;$AB31,$AB31,CQ31)</f>
        <v>0</v>
      </c>
      <c r="AM31" s="249"/>
      <c r="AN31" s="250"/>
      <c r="AO31" s="250"/>
      <c r="AP31" s="250"/>
      <c r="AQ31" s="251"/>
      <c r="AS31" s="249"/>
      <c r="AT31" s="250"/>
      <c r="AU31" s="250"/>
      <c r="AV31" s="250"/>
      <c r="AW31" s="251"/>
      <c r="AY31" s="134"/>
      <c r="AZ31" s="35"/>
      <c r="BA31" s="35"/>
      <c r="BB31" s="35"/>
      <c r="BC31" s="135"/>
      <c r="BD31" s="148">
        <f t="shared" si="25"/>
        <v>9</v>
      </c>
      <c r="BE31" s="35" t="str">
        <f t="shared" si="7"/>
        <v>N/A</v>
      </c>
      <c r="BF31" s="151"/>
      <c r="BG31" s="148">
        <f t="shared" si="32"/>
        <v>9</v>
      </c>
      <c r="BH31" s="35" t="str">
        <f t="shared" si="8"/>
        <v>N/A</v>
      </c>
      <c r="BI31" s="151"/>
      <c r="BJ31" s="148">
        <f t="shared" si="33"/>
        <v>9</v>
      </c>
      <c r="BK31" s="35" t="str">
        <f t="shared" si="9"/>
        <v>N/A</v>
      </c>
      <c r="BL31" s="151"/>
      <c r="BO31" s="35"/>
      <c r="BP31" s="35"/>
      <c r="BQ31" s="35" t="str">
        <f t="shared" si="10"/>
        <v/>
      </c>
      <c r="BR31" s="35">
        <f t="shared" ref="BR31:BR94" si="42">IF(BQ31="",9,(IF(AI31&gt;=BQ31,5,0)))</f>
        <v>9</v>
      </c>
      <c r="BS31" s="35">
        <f t="shared" ref="BS31:BS94" si="43">IF(BQ31="",9,(IF(AJ31&gt;=BQ31,5,0)))</f>
        <v>9</v>
      </c>
      <c r="BT31" s="35">
        <f t="shared" ref="BT31:BT94" si="44">IF(BQ31="",9,(IF(AK31&gt;=BQ31,5,0)))</f>
        <v>9</v>
      </c>
      <c r="BW31" s="35"/>
      <c r="BX31" s="35"/>
      <c r="BY31" s="232"/>
      <c r="BZ31" s="232"/>
      <c r="CA31" s="232"/>
      <c r="CB31" s="232"/>
      <c r="CO31" s="35">
        <f>'Pre-analyseverktøy'!H32</f>
        <v>0</v>
      </c>
      <c r="CP31" s="35">
        <f>'Pre-analyseverktøy'!O32</f>
        <v>0</v>
      </c>
      <c r="CQ31" s="35">
        <f>'Pre-analyseverktøy'!V32</f>
        <v>0</v>
      </c>
      <c r="CR31" s="35" t="str">
        <f>'Pre-analyseverktøy'!F32</f>
        <v>Oppfølging etter innflytting</v>
      </c>
      <c r="CS31" s="35" t="b">
        <f t="shared" si="19"/>
        <v>1</v>
      </c>
    </row>
    <row r="32" spans="1:97">
      <c r="A32">
        <v>24</v>
      </c>
      <c r="B32" t="str">
        <f>$D$30&amp;D32</f>
        <v>Man 05b</v>
      </c>
      <c r="C32" t="str">
        <f t="shared" si="13"/>
        <v>Man 05</v>
      </c>
      <c r="D32" s="35" t="s">
        <v>776</v>
      </c>
      <c r="E32" s="813" t="s">
        <v>960</v>
      </c>
      <c r="F32" s="575">
        <v>1</v>
      </c>
      <c r="G32" s="575">
        <v>1</v>
      </c>
      <c r="H32" s="575">
        <v>1</v>
      </c>
      <c r="I32" s="575">
        <v>1</v>
      </c>
      <c r="J32" s="575">
        <v>1</v>
      </c>
      <c r="K32" s="575">
        <v>1</v>
      </c>
      <c r="L32" s="575">
        <v>1</v>
      </c>
      <c r="M32" s="575">
        <v>1</v>
      </c>
      <c r="N32" s="575">
        <v>1</v>
      </c>
      <c r="O32" s="575">
        <v>1</v>
      </c>
      <c r="P32" s="575">
        <v>1</v>
      </c>
      <c r="Q32" s="575">
        <v>1</v>
      </c>
      <c r="R32" s="575">
        <v>1</v>
      </c>
      <c r="T32" s="133">
        <f t="shared" si="1"/>
        <v>1</v>
      </c>
      <c r="U32" s="134"/>
      <c r="V32" s="35"/>
      <c r="W32" s="35"/>
      <c r="X32" s="135"/>
      <c r="Y32" s="136">
        <f>IF(OR($Y$4=$Y$5,$Y$4=$Y$6),T32,0)</f>
        <v>0</v>
      </c>
      <c r="Z32" s="849">
        <f>VLOOKUP(B32,'Manuell filtrering og justering'!$A$7:$H$107,'Manuell filtrering og justering'!$H$1,FALSE)</f>
        <v>1</v>
      </c>
      <c r="AA32" s="856">
        <f t="shared" si="5"/>
        <v>0</v>
      </c>
      <c r="AB32" s="151">
        <f>IF($AC$5='Manuell filtrering og justering'!$J$2,Z32,(T32-AA32))</f>
        <v>1</v>
      </c>
      <c r="AC32" s="496">
        <v>32</v>
      </c>
      <c r="AD32" s="138">
        <f t="shared" si="2"/>
        <v>6.1904761904761907E-3</v>
      </c>
      <c r="AE32" s="138">
        <f>IF(AB32=0,0,(AD32/AB32)*AI32)</f>
        <v>0</v>
      </c>
      <c r="AF32" s="138">
        <f t="shared" si="14"/>
        <v>0</v>
      </c>
      <c r="AG32" s="138">
        <f t="shared" si="15"/>
        <v>0</v>
      </c>
      <c r="AI32" s="139">
        <f t="shared" si="39"/>
        <v>0</v>
      </c>
      <c r="AJ32" s="139">
        <f t="shared" si="40"/>
        <v>0</v>
      </c>
      <c r="AK32" s="139">
        <f t="shared" si="41"/>
        <v>0</v>
      </c>
      <c r="AM32" s="249"/>
      <c r="AN32" s="250"/>
      <c r="AO32" s="250"/>
      <c r="AP32" s="876">
        <f>IF(AND($Y$4&lt;&gt;$Y$3,Y32&gt;0),0,1)</f>
        <v>1</v>
      </c>
      <c r="AQ32" s="877">
        <f>IF(AND($Y$4&lt;&gt;$Y$3,Y32&gt;0),0,1)</f>
        <v>1</v>
      </c>
      <c r="AS32" s="236"/>
      <c r="AT32" s="237"/>
      <c r="AU32" s="237"/>
      <c r="AV32" s="237"/>
      <c r="AW32" s="238"/>
      <c r="AY32" s="134"/>
      <c r="AZ32" s="35"/>
      <c r="BA32" s="35"/>
      <c r="BB32" s="149">
        <f>IF($E$6=$H$9,AV32,AP32)</f>
        <v>1</v>
      </c>
      <c r="BC32" s="149">
        <f>IF($E$6=$H$9,AW32,AQ32)</f>
        <v>1</v>
      </c>
      <c r="BD32" s="148">
        <f t="shared" si="25"/>
        <v>3</v>
      </c>
      <c r="BE32" s="35" t="str">
        <f t="shared" si="7"/>
        <v>Very Good</v>
      </c>
      <c r="BF32" s="151"/>
      <c r="BG32" s="148">
        <f t="shared" si="32"/>
        <v>3</v>
      </c>
      <c r="BH32" s="35" t="str">
        <f t="shared" si="8"/>
        <v>Very Good</v>
      </c>
      <c r="BI32" s="151"/>
      <c r="BJ32" s="148">
        <f t="shared" si="33"/>
        <v>3</v>
      </c>
      <c r="BK32" s="35" t="str">
        <f t="shared" si="9"/>
        <v>Very Good</v>
      </c>
      <c r="BL32" s="151"/>
      <c r="BO32" s="35"/>
      <c r="BP32" s="35"/>
      <c r="BQ32" s="35" t="str">
        <f t="shared" si="10"/>
        <v/>
      </c>
      <c r="BR32" s="35">
        <f t="shared" si="42"/>
        <v>9</v>
      </c>
      <c r="BS32" s="35">
        <f t="shared" si="43"/>
        <v>9</v>
      </c>
      <c r="BT32" s="35">
        <f t="shared" si="44"/>
        <v>9</v>
      </c>
      <c r="BW32" s="35"/>
      <c r="BX32" s="35"/>
      <c r="BY32" s="232"/>
      <c r="BZ32" s="232"/>
      <c r="CA32" s="232"/>
      <c r="CB32" s="232"/>
      <c r="CO32" s="35">
        <f>'Pre-analyseverktøy'!H33</f>
        <v>0</v>
      </c>
      <c r="CP32" s="35">
        <f>'Pre-analyseverktøy'!O33</f>
        <v>0</v>
      </c>
      <c r="CQ32" s="35">
        <f>'Pre-analyseverktøy'!V33</f>
        <v>0</v>
      </c>
      <c r="CR32" s="35" t="str">
        <f>'Pre-analyseverktøy'!F33</f>
        <v>Sesongmessig prøvedrift eller kartlegging og utbedring</v>
      </c>
      <c r="CS32" s="35" t="b">
        <f t="shared" si="19"/>
        <v>1</v>
      </c>
    </row>
    <row r="33" spans="1:97">
      <c r="A33">
        <v>25</v>
      </c>
      <c r="B33" t="str">
        <f>$D$30&amp;D33</f>
        <v>Man 05c</v>
      </c>
      <c r="C33" t="str">
        <f t="shared" si="13"/>
        <v>Man 05</v>
      </c>
      <c r="D33" s="35" t="s">
        <v>777</v>
      </c>
      <c r="E33" s="813" t="s">
        <v>961</v>
      </c>
      <c r="F33" s="575">
        <v>1</v>
      </c>
      <c r="G33" s="575">
        <v>1</v>
      </c>
      <c r="H33" s="575">
        <v>1</v>
      </c>
      <c r="I33" s="575">
        <v>1</v>
      </c>
      <c r="J33" s="575">
        <v>1</v>
      </c>
      <c r="K33" s="575">
        <v>1</v>
      </c>
      <c r="L33" s="575">
        <v>1</v>
      </c>
      <c r="M33" s="575">
        <v>1</v>
      </c>
      <c r="N33" s="575">
        <v>1</v>
      </c>
      <c r="O33" s="575">
        <v>1</v>
      </c>
      <c r="P33" s="575">
        <v>1</v>
      </c>
      <c r="Q33" s="575">
        <v>1</v>
      </c>
      <c r="R33" s="575">
        <v>1</v>
      </c>
      <c r="T33" s="133">
        <f t="shared" si="1"/>
        <v>1</v>
      </c>
      <c r="U33" s="134"/>
      <c r="V33" s="35"/>
      <c r="W33" s="35"/>
      <c r="X33" s="135"/>
      <c r="Y33" s="136">
        <f>IF(OR($Y$4=$Y$5,$Y$4=$Y$6),T33,0)</f>
        <v>0</v>
      </c>
      <c r="Z33" s="849">
        <f>VLOOKUP(B33,'Manuell filtrering og justering'!$A$7:$H$107,'Manuell filtrering og justering'!$H$1,FALSE)</f>
        <v>1</v>
      </c>
      <c r="AA33" s="856">
        <f t="shared" si="5"/>
        <v>0</v>
      </c>
      <c r="AB33" s="151">
        <f>IF($AC$5='Manuell filtrering og justering'!$J$2,Z33,(T33-AA33))</f>
        <v>1</v>
      </c>
      <c r="AC33" s="496">
        <v>33</v>
      </c>
      <c r="AD33" s="138">
        <f t="shared" si="2"/>
        <v>6.1904761904761907E-3</v>
      </c>
      <c r="AE33" s="138">
        <f>IF(AB33=0,0,(AD33/AB33)*AI33)</f>
        <v>0</v>
      </c>
      <c r="AF33" s="138">
        <f t="shared" si="14"/>
        <v>0</v>
      </c>
      <c r="AG33" s="138">
        <f t="shared" si="15"/>
        <v>0</v>
      </c>
      <c r="AI33" s="139">
        <f t="shared" si="39"/>
        <v>0</v>
      </c>
      <c r="AJ33" s="139">
        <f t="shared" si="40"/>
        <v>0</v>
      </c>
      <c r="AK33" s="139">
        <f t="shared" si="41"/>
        <v>0</v>
      </c>
      <c r="AM33" s="249"/>
      <c r="AN33" s="250"/>
      <c r="AO33" s="250"/>
      <c r="AP33" s="250"/>
      <c r="AQ33" s="251"/>
      <c r="AS33" s="249"/>
      <c r="AT33" s="250"/>
      <c r="AU33" s="250"/>
      <c r="AV33" s="250"/>
      <c r="AW33" s="251"/>
      <c r="AY33" s="134"/>
      <c r="AZ33" s="35"/>
      <c r="BA33" s="35"/>
      <c r="BB33" s="35"/>
      <c r="BC33" s="135"/>
      <c r="BD33" s="148">
        <f t="shared" si="25"/>
        <v>9</v>
      </c>
      <c r="BE33" s="35" t="str">
        <f t="shared" si="7"/>
        <v>N/A</v>
      </c>
      <c r="BF33" s="151"/>
      <c r="BG33" s="148">
        <f t="shared" si="32"/>
        <v>9</v>
      </c>
      <c r="BH33" s="35" t="str">
        <f t="shared" si="8"/>
        <v>N/A</v>
      </c>
      <c r="BI33" s="151"/>
      <c r="BJ33" s="148">
        <f t="shared" si="33"/>
        <v>9</v>
      </c>
      <c r="BK33" s="35" t="str">
        <f t="shared" si="9"/>
        <v>N/A</v>
      </c>
      <c r="BL33" s="151"/>
      <c r="BO33" s="35"/>
      <c r="BP33" s="35"/>
      <c r="BQ33" s="35" t="str">
        <f t="shared" si="10"/>
        <v/>
      </c>
      <c r="BR33" s="35">
        <f t="shared" si="42"/>
        <v>9</v>
      </c>
      <c r="BS33" s="35">
        <f t="shared" si="43"/>
        <v>9</v>
      </c>
      <c r="BT33" s="35">
        <f t="shared" si="44"/>
        <v>9</v>
      </c>
      <c r="BW33" s="35"/>
      <c r="BX33" s="35"/>
      <c r="BY33" s="232"/>
      <c r="BZ33" s="232"/>
      <c r="CA33" s="232"/>
      <c r="CB33" s="232"/>
      <c r="CO33" s="35">
        <f>'Pre-analyseverktøy'!H34</f>
        <v>0</v>
      </c>
      <c r="CP33" s="35">
        <f>'Pre-analyseverktøy'!O34</f>
        <v>0</v>
      </c>
      <c r="CQ33" s="35">
        <f>'Pre-analyseverktøy'!V34</f>
        <v>0</v>
      </c>
      <c r="CR33" s="35" t="str">
        <f>'Pre-analyseverktøy'!F34</f>
        <v>Evaluering etter at bygget er tatt i bruk</v>
      </c>
      <c r="CS33" s="35" t="b">
        <f t="shared" si="19"/>
        <v>1</v>
      </c>
    </row>
    <row r="34" spans="1:97">
      <c r="A34">
        <v>26</v>
      </c>
      <c r="D34" s="515" t="s">
        <v>789</v>
      </c>
      <c r="E34" s="515"/>
      <c r="F34" s="712"/>
      <c r="G34" s="712"/>
      <c r="H34" s="712"/>
      <c r="I34" s="712"/>
      <c r="J34" s="712"/>
      <c r="K34" s="712"/>
      <c r="L34" s="712"/>
      <c r="M34" s="712"/>
      <c r="N34" s="712"/>
      <c r="O34" s="712"/>
      <c r="P34" s="712"/>
      <c r="Q34" s="712"/>
      <c r="R34" s="712"/>
      <c r="T34" s="722">
        <f t="shared" si="1"/>
        <v>0</v>
      </c>
      <c r="U34" s="516"/>
      <c r="V34" s="515"/>
      <c r="W34" s="515"/>
      <c r="X34" s="723">
        <f>'Manuell filtrering og justering'!E12</f>
        <v>0</v>
      </c>
      <c r="Y34" s="724"/>
      <c r="Z34" s="851"/>
      <c r="AA34" s="856">
        <f t="shared" si="5"/>
        <v>0</v>
      </c>
      <c r="AB34" s="861">
        <f>IF($AC$5='Manuell filtrering og justering'!$J$2,Z34,(T34-AA34))</f>
        <v>0</v>
      </c>
      <c r="AC34" s="496">
        <v>34</v>
      </c>
      <c r="AD34" s="728"/>
      <c r="AE34" s="728"/>
      <c r="AF34" s="728"/>
      <c r="AG34" s="728"/>
      <c r="AI34" s="530"/>
      <c r="AJ34" s="530"/>
      <c r="AK34" s="530"/>
      <c r="AM34" s="236"/>
      <c r="AN34" s="237"/>
      <c r="AO34" s="237"/>
      <c r="AP34" s="237"/>
      <c r="AQ34" s="238"/>
      <c r="AS34" s="236"/>
      <c r="AT34" s="237"/>
      <c r="AU34" s="237"/>
      <c r="AV34" s="237"/>
      <c r="AW34" s="238"/>
      <c r="AY34" s="134"/>
      <c r="AZ34" s="154"/>
      <c r="BA34" s="35"/>
      <c r="BB34" s="35"/>
      <c r="BC34" s="150"/>
      <c r="BD34" s="148">
        <f t="shared" si="25"/>
        <v>9</v>
      </c>
      <c r="BE34" s="35" t="str">
        <f t="shared" si="7"/>
        <v>N/A</v>
      </c>
      <c r="BF34" s="151"/>
      <c r="BG34" s="148">
        <f t="shared" si="32"/>
        <v>9</v>
      </c>
      <c r="BH34" s="35" t="str">
        <f t="shared" si="8"/>
        <v>N/A</v>
      </c>
      <c r="BI34" s="151"/>
      <c r="BJ34" s="148">
        <f t="shared" si="33"/>
        <v>9</v>
      </c>
      <c r="BK34" s="35" t="str">
        <f t="shared" si="9"/>
        <v>N/A</v>
      </c>
      <c r="BL34" s="151"/>
      <c r="BO34" s="35"/>
      <c r="BP34" s="35"/>
      <c r="BQ34" s="35" t="str">
        <f t="shared" si="10"/>
        <v/>
      </c>
      <c r="BR34" s="35">
        <f t="shared" si="42"/>
        <v>9</v>
      </c>
      <c r="BS34" s="35">
        <f t="shared" si="43"/>
        <v>9</v>
      </c>
      <c r="BT34" s="35">
        <f t="shared" si="44"/>
        <v>9</v>
      </c>
      <c r="BW34" s="35"/>
      <c r="BX34" s="35" t="str">
        <f>IFERROR(VLOOKUP($E34,'Pre-analyseverktøy'!$F$11:$AC$226,'Pre-analyseverktøy'!AC$2,FALSE),"")</f>
        <v/>
      </c>
      <c r="BY34" s="35" t="str">
        <f>IFERROR(VLOOKUP($E34,'Pre-analyseverktøy'!$F$11:$AJ$226,'Pre-analyseverktøy'!AJ$2,FALSE),"")</f>
        <v/>
      </c>
      <c r="BZ34" s="35" t="str">
        <f t="shared" ref="BZ34:CA38" si="45">IFERROR(VLOOKUP($BX34,$E$293:$H$326,F$291,FALSE),"")</f>
        <v/>
      </c>
      <c r="CA34" s="35" t="str">
        <f t="shared" si="45"/>
        <v/>
      </c>
      <c r="CB34" s="35"/>
      <c r="CC34" t="str">
        <f t="shared" ref="CC34:CC39" si="46">IFERROR(VLOOKUP($BX34,$E$293:$H$326,I$291,FALSE),"")</f>
        <v/>
      </c>
    </row>
    <row r="35" spans="1:97" ht="15.75" thickBot="1">
      <c r="A35">
        <v>27</v>
      </c>
      <c r="D35" s="515" t="s">
        <v>790</v>
      </c>
      <c r="E35" s="515"/>
      <c r="F35" s="712"/>
      <c r="G35" s="712"/>
      <c r="H35" s="712"/>
      <c r="I35" s="712"/>
      <c r="J35" s="712"/>
      <c r="K35" s="712"/>
      <c r="L35" s="712"/>
      <c r="M35" s="712"/>
      <c r="N35" s="712"/>
      <c r="O35" s="712"/>
      <c r="P35" s="712"/>
      <c r="Q35" s="712"/>
      <c r="R35" s="712"/>
      <c r="T35" s="722">
        <f t="shared" si="1"/>
        <v>0</v>
      </c>
      <c r="U35" s="516"/>
      <c r="V35" s="515"/>
      <c r="W35" s="515"/>
      <c r="X35" s="723">
        <f>'Manuell filtrering og justering'!E13</f>
        <v>0</v>
      </c>
      <c r="Y35" s="724"/>
      <c r="Z35" s="851"/>
      <c r="AA35" s="856">
        <f t="shared" si="5"/>
        <v>0</v>
      </c>
      <c r="AB35" s="861">
        <f>IF($AC$5='Manuell filtrering og justering'!$J$2,Z35,(T35-AA35))</f>
        <v>0</v>
      </c>
      <c r="AC35" s="496">
        <v>35</v>
      </c>
      <c r="AD35" s="728"/>
      <c r="AE35" s="728"/>
      <c r="AF35" s="728"/>
      <c r="AG35" s="728"/>
      <c r="AI35" s="530"/>
      <c r="AJ35" s="530"/>
      <c r="AK35" s="530"/>
      <c r="AM35" s="239"/>
      <c r="AN35" s="240"/>
      <c r="AO35" s="240"/>
      <c r="AP35" s="240"/>
      <c r="AQ35" s="241"/>
      <c r="AS35" s="239"/>
      <c r="AT35" s="240"/>
      <c r="AU35" s="240"/>
      <c r="AV35" s="240"/>
      <c r="AW35" s="241"/>
      <c r="AY35" s="156"/>
      <c r="AZ35" s="157"/>
      <c r="BA35" s="158"/>
      <c r="BB35" s="158"/>
      <c r="BC35" s="159"/>
      <c r="BD35" s="160">
        <f>IF(BC35=0,9,IF(AI35&gt;=BC35,5,IF(AI35&gt;=BB35,4,IF(AI35&gt;=BA35,3,IF(AI35&gt;=AZ35,2,IF(AI35&lt;AY35,0,1))))))</f>
        <v>9</v>
      </c>
      <c r="BE35" s="35" t="str">
        <f t="shared" si="7"/>
        <v>N/A</v>
      </c>
      <c r="BF35" s="161"/>
      <c r="BG35" s="160">
        <f>IF(BC35=0,9,IF(AJ35&gt;=BC35,5,IF(AJ35&gt;=BB35,4,IF(AJ35&gt;=BA35,3,IF(AJ35&gt;=AZ35,2,IF(AJ35&lt;AY35,0,1))))))</f>
        <v>9</v>
      </c>
      <c r="BH35" s="35" t="str">
        <f t="shared" si="8"/>
        <v>N/A</v>
      </c>
      <c r="BI35" s="161"/>
      <c r="BJ35" s="160">
        <f>IF(BC35=0,9,IF(AK35&gt;=BC35,5,IF(AK35&gt;=BB35,4,IF(AK35&gt;=BA35,3,IF(AK35&gt;=AZ35,2,IF(AK35&lt;AY35,0,1))))))</f>
        <v>9</v>
      </c>
      <c r="BK35" s="35" t="str">
        <f t="shared" si="9"/>
        <v>N/A</v>
      </c>
      <c r="BL35" s="161"/>
      <c r="BO35" s="35"/>
      <c r="BP35" s="35"/>
      <c r="BQ35" s="35" t="str">
        <f t="shared" si="10"/>
        <v/>
      </c>
      <c r="BR35" s="35">
        <f t="shared" si="42"/>
        <v>9</v>
      </c>
      <c r="BS35" s="35">
        <f t="shared" si="43"/>
        <v>9</v>
      </c>
      <c r="BT35" s="35">
        <f t="shared" si="44"/>
        <v>9</v>
      </c>
      <c r="BW35" s="40"/>
      <c r="BX35" s="40" t="str">
        <f>IFERROR(VLOOKUP($E35,'Pre-analyseverktøy'!$F$11:$AC$226,'Pre-analyseverktøy'!AC$2,FALSE),"")</f>
        <v/>
      </c>
      <c r="BY35" s="40" t="str">
        <f>IFERROR(VLOOKUP($E35,'Pre-analyseverktøy'!$F$11:$AJ$226,'Pre-analyseverktøy'!AJ$2,FALSE),"")</f>
        <v/>
      </c>
      <c r="BZ35" s="40" t="str">
        <f t="shared" si="45"/>
        <v/>
      </c>
      <c r="CA35" s="40" t="str">
        <f t="shared" si="45"/>
        <v/>
      </c>
      <c r="CB35" s="40"/>
      <c r="CC35" t="str">
        <f t="shared" si="46"/>
        <v/>
      </c>
    </row>
    <row r="36" spans="1:97" ht="15.75" thickBot="1">
      <c r="A36">
        <v>28</v>
      </c>
      <c r="B36" t="s">
        <v>791</v>
      </c>
      <c r="D36" s="524"/>
      <c r="E36" s="523" t="s">
        <v>771</v>
      </c>
      <c r="F36" s="580">
        <f t="shared" ref="F36:R36" si="47">F10+F16+F19+F26+F30</f>
        <v>21</v>
      </c>
      <c r="G36" s="580">
        <f t="shared" si="47"/>
        <v>21</v>
      </c>
      <c r="H36" s="580">
        <f t="shared" si="47"/>
        <v>21</v>
      </c>
      <c r="I36" s="580">
        <f t="shared" si="47"/>
        <v>21</v>
      </c>
      <c r="J36" s="580">
        <f t="shared" si="47"/>
        <v>21</v>
      </c>
      <c r="K36" s="580">
        <f t="shared" si="47"/>
        <v>21</v>
      </c>
      <c r="L36" s="580">
        <f t="shared" si="47"/>
        <v>21</v>
      </c>
      <c r="M36" s="580">
        <f t="shared" si="47"/>
        <v>21</v>
      </c>
      <c r="N36" s="580">
        <f t="shared" si="47"/>
        <v>21</v>
      </c>
      <c r="O36" s="580">
        <f t="shared" si="47"/>
        <v>21</v>
      </c>
      <c r="P36" s="580">
        <f t="shared" si="47"/>
        <v>21</v>
      </c>
      <c r="Q36" s="580">
        <f>Q10+Q16+Q19+Q26+Q30</f>
        <v>21</v>
      </c>
      <c r="R36" s="580">
        <f t="shared" si="47"/>
        <v>21</v>
      </c>
      <c r="T36" s="163">
        <f t="shared" si="1"/>
        <v>21</v>
      </c>
      <c r="U36" s="164"/>
      <c r="V36" s="165"/>
      <c r="W36" s="165"/>
      <c r="X36" s="166"/>
      <c r="Y36" s="167"/>
      <c r="Z36" s="852"/>
      <c r="AA36" s="857">
        <f>AA10+AA16+AA19+AA26+AA30</f>
        <v>0</v>
      </c>
      <c r="AB36" s="862">
        <f>AB10+AB16+AB19+AB26+AB30</f>
        <v>21</v>
      </c>
      <c r="AC36" s="496">
        <v>36</v>
      </c>
      <c r="AD36" s="168">
        <f>AD10+AD16+AD19+AD26+AD30</f>
        <v>0.13</v>
      </c>
      <c r="AE36" s="168">
        <f>AE10+AE16+AE19+AE26+AE30</f>
        <v>0</v>
      </c>
      <c r="AF36" s="168">
        <f>AF10+AF16+AF19+AF26+AF30</f>
        <v>0</v>
      </c>
      <c r="AG36" s="168">
        <f>AG10+AG16+AG19+AG26+AG30</f>
        <v>0</v>
      </c>
      <c r="AI36" s="64">
        <f>AI10+AI16+AI19+AI26+AI30</f>
        <v>0</v>
      </c>
      <c r="AJ36" s="64">
        <f>AJ10+AJ16+AJ19+AJ26+AJ30</f>
        <v>0</v>
      </c>
      <c r="AK36" s="64">
        <f>AK10+AK16+AK19+AK26+AK30</f>
        <v>0</v>
      </c>
      <c r="AM36" s="111"/>
      <c r="AN36" s="111"/>
      <c r="AO36" s="111"/>
      <c r="AP36" s="111"/>
      <c r="AQ36" s="111"/>
      <c r="AS36" s="111"/>
      <c r="AT36" s="111"/>
      <c r="AU36" s="111"/>
      <c r="AV36" s="111"/>
      <c r="AW36" s="111"/>
      <c r="AZ36" s="169"/>
      <c r="BW36" s="42"/>
      <c r="BX36" s="42" t="str">
        <f>IFERROR(VLOOKUP($E36,'Pre-analyseverktøy'!$F$11:$AC$226,'Pre-analyseverktøy'!AC$2,FALSE),"")</f>
        <v/>
      </c>
      <c r="BY36" s="42" t="str">
        <f>IFERROR(VLOOKUP($E36,'Pre-analyseverktøy'!$F$11:$AJ$226,'Pre-analyseverktøy'!AJ$2,FALSE),"")</f>
        <v/>
      </c>
      <c r="BZ36" s="42" t="str">
        <f t="shared" si="45"/>
        <v/>
      </c>
      <c r="CA36" s="42" t="str">
        <f t="shared" si="45"/>
        <v/>
      </c>
      <c r="CB36" s="42"/>
      <c r="CC36" t="str">
        <f t="shared" si="46"/>
        <v/>
      </c>
    </row>
    <row r="37" spans="1:97" ht="15.75" thickBot="1">
      <c r="A37">
        <v>29</v>
      </c>
      <c r="AC37" s="496">
        <v>37</v>
      </c>
      <c r="AI37" s="1"/>
      <c r="AJ37" s="1"/>
      <c r="AK37" s="1"/>
      <c r="AM37" s="111"/>
      <c r="AN37" s="111"/>
      <c r="AO37" s="111"/>
      <c r="AP37" s="111"/>
      <c r="AQ37" s="111"/>
      <c r="AS37" s="111"/>
      <c r="AT37" s="111"/>
      <c r="AU37" s="111"/>
      <c r="AV37" s="111"/>
      <c r="AW37" s="111"/>
      <c r="AZ37" s="169"/>
      <c r="BX37" t="str">
        <f>IFERROR(VLOOKUP($E37,'Pre-analyseverktøy'!$F$11:$AC$226,'Pre-analyseverktøy'!AC$2,FALSE),"")</f>
        <v/>
      </c>
      <c r="BY37" t="str">
        <f>IFERROR(VLOOKUP($E37,'Pre-analyseverktøy'!$F$11:$AJ$226,'Pre-analyseverktøy'!AJ$2,FALSE),"")</f>
        <v/>
      </c>
      <c r="BZ37" t="str">
        <f t="shared" si="45"/>
        <v/>
      </c>
      <c r="CA37" t="str">
        <f t="shared" si="45"/>
        <v/>
      </c>
      <c r="CC37" t="str">
        <f t="shared" si="46"/>
        <v/>
      </c>
    </row>
    <row r="38" spans="1:97" ht="60.75" thickBot="1">
      <c r="A38">
        <v>30</v>
      </c>
      <c r="D38" s="115"/>
      <c r="E38" s="39" t="s">
        <v>962</v>
      </c>
      <c r="F38" s="917" t="str">
        <f>$F$9</f>
        <v>Kontorbygg</v>
      </c>
      <c r="G38" s="917" t="str">
        <f>$G$9</f>
        <v>Handelsbygg</v>
      </c>
      <c r="H38" s="921" t="str">
        <f>$H$9</f>
        <v>Boligbygg</v>
      </c>
      <c r="I38" s="917" t="str">
        <f>$I$9</f>
        <v>Industribygg</v>
      </c>
      <c r="J38" s="919" t="str">
        <f>$J$9</f>
        <v>Helseinstitusjoner</v>
      </c>
      <c r="K38" s="919" t="str">
        <f>$K$9</f>
        <v>Fengsel</v>
      </c>
      <c r="L38" s="919" t="str">
        <f>$L$9</f>
        <v>Tinghus</v>
      </c>
      <c r="M38" s="923" t="str">
        <f>$M$9</f>
        <v>Døgninstitusjonsbygg (langtidsopphold)</v>
      </c>
      <c r="N38" s="698" t="str">
        <f>$N$9</f>
        <v>Døgninstitusjonsbygg (korttidsopphold)</v>
      </c>
      <c r="O38" s="698" t="str">
        <f>$O$9</f>
        <v>Institusjoner ikke til boligbruk</v>
      </c>
      <c r="P38" s="698" t="str">
        <f>$P$9</f>
        <v>Møtesteder og fritid</v>
      </c>
      <c r="Q38" s="919" t="str">
        <f>$Q$9</f>
        <v>Undervisningsbygg</v>
      </c>
      <c r="R38" s="651" t="str">
        <f>$R$9</f>
        <v>Annet</v>
      </c>
      <c r="T38" s="110" t="str">
        <f>$E$6</f>
        <v>Kontorbygg</v>
      </c>
      <c r="U38" s="170"/>
      <c r="V38" s="171"/>
      <c r="W38" s="495"/>
      <c r="X38" s="854"/>
      <c r="Y38" s="865" t="s">
        <v>920</v>
      </c>
      <c r="Z38" s="863" t="s">
        <v>23</v>
      </c>
      <c r="AA38" s="119" t="s">
        <v>771</v>
      </c>
      <c r="AB38" s="45" t="s">
        <v>908</v>
      </c>
      <c r="AC38" s="496">
        <v>38</v>
      </c>
      <c r="AI38" s="28"/>
      <c r="AJ38" s="46"/>
      <c r="AK38" s="46"/>
      <c r="AM38" s="111"/>
      <c r="AN38" s="111"/>
      <c r="AO38" s="111"/>
      <c r="AP38" s="111"/>
      <c r="AQ38" s="111"/>
      <c r="AS38" s="111"/>
      <c r="AT38" s="111"/>
      <c r="AU38" s="111"/>
      <c r="AV38" s="111"/>
      <c r="AW38" s="111"/>
      <c r="AZ38" s="169"/>
      <c r="BO38" s="46"/>
      <c r="BP38" s="46"/>
      <c r="BQ38" s="46"/>
      <c r="BR38" s="46"/>
      <c r="BS38" s="46"/>
      <c r="BT38" s="46"/>
      <c r="BW38" s="39"/>
      <c r="BX38" s="39" t="str">
        <f>E38</f>
        <v>Helse og velvære</v>
      </c>
      <c r="BY38" s="39" t="str">
        <f>IFERROR(VLOOKUP($E38,'Pre-analyseverktøy'!$F$11:$AJ$226,'Pre-analyseverktøy'!AJ$2,FALSE),"")</f>
        <v/>
      </c>
      <c r="BZ38" s="39" t="str">
        <f t="shared" si="45"/>
        <v/>
      </c>
      <c r="CA38" s="39" t="str">
        <f t="shared" si="45"/>
        <v/>
      </c>
      <c r="CB38" s="39"/>
      <c r="CC38" t="str">
        <f t="shared" si="46"/>
        <v/>
      </c>
    </row>
    <row r="39" spans="1:97">
      <c r="A39">
        <v>31</v>
      </c>
      <c r="B39" s="109" t="str">
        <f>D39</f>
        <v>Hea 01</v>
      </c>
      <c r="C39" s="109" t="str">
        <f>B39</f>
        <v>Hea 01</v>
      </c>
      <c r="D39" s="630" t="s">
        <v>298</v>
      </c>
      <c r="E39" s="628" t="s">
        <v>963</v>
      </c>
      <c r="F39" s="711">
        <f t="shared" ref="F39:K39" si="48">SUM(F41:F45)</f>
        <v>7</v>
      </c>
      <c r="G39" s="711">
        <f t="shared" si="48"/>
        <v>7</v>
      </c>
      <c r="H39" s="711">
        <f t="shared" si="48"/>
        <v>5</v>
      </c>
      <c r="I39" s="711">
        <f t="shared" si="48"/>
        <v>7</v>
      </c>
      <c r="J39" s="711">
        <f t="shared" si="48"/>
        <v>7</v>
      </c>
      <c r="K39" s="711">
        <f t="shared" si="48"/>
        <v>7</v>
      </c>
      <c r="L39" s="711">
        <f t="shared" ref="L39:R39" si="49">SUM(L41:L45)</f>
        <v>7</v>
      </c>
      <c r="M39" s="711">
        <f t="shared" si="49"/>
        <v>7</v>
      </c>
      <c r="N39" s="711">
        <f t="shared" si="49"/>
        <v>7</v>
      </c>
      <c r="O39" s="711">
        <f t="shared" si="49"/>
        <v>7</v>
      </c>
      <c r="P39" s="711">
        <f t="shared" si="49"/>
        <v>7</v>
      </c>
      <c r="Q39" s="711">
        <f>SUM(Q41:Q45)</f>
        <v>7</v>
      </c>
      <c r="R39" s="711">
        <f t="shared" si="49"/>
        <v>7</v>
      </c>
      <c r="T39" s="729">
        <f t="shared" ref="T39:T54" si="50">HLOOKUP($E$6,$F$9:$R$231,$A39,FALSE)</f>
        <v>7</v>
      </c>
      <c r="U39" s="179"/>
      <c r="V39" s="53"/>
      <c r="W39" s="53"/>
      <c r="X39" s="805">
        <f>'Manuell filtrering og justering'!E17</f>
        <v>0</v>
      </c>
      <c r="Y39" s="731"/>
      <c r="Z39" s="866">
        <f>SUM(Z41:Z45)</f>
        <v>7</v>
      </c>
      <c r="AA39" s="731">
        <f t="shared" ref="AA39:AA54" si="51">IF(SUM(U39:Y39)&gt;T39,T39,SUM(U39:Y39))</f>
        <v>0</v>
      </c>
      <c r="AB39" s="782">
        <f>SUM(AB41:AB45)</f>
        <v>7</v>
      </c>
      <c r="AC39" s="496">
        <v>39</v>
      </c>
      <c r="AD39" s="138">
        <f t="shared" ref="AD39:AD65" si="52">(Hea_Weight/Hea_Credits)*AB39</f>
        <v>5.894736842105263E-2</v>
      </c>
      <c r="AE39" s="701">
        <f>SUM(AE41:AE45)</f>
        <v>0</v>
      </c>
      <c r="AF39" s="701">
        <f>SUM(AF41:AF45)</f>
        <v>0</v>
      </c>
      <c r="AG39" s="701">
        <f>SUM(AG41:AG45)</f>
        <v>0</v>
      </c>
      <c r="AI39" s="726">
        <f>SUM(AI41:AI45)</f>
        <v>0</v>
      </c>
      <c r="AJ39" s="726">
        <f>SUM(AJ41:AJ45)</f>
        <v>0</v>
      </c>
      <c r="AK39" s="726">
        <f>SUM(AK41:AK45)</f>
        <v>0</v>
      </c>
      <c r="AL39" t="s">
        <v>216</v>
      </c>
      <c r="AM39" s="242"/>
      <c r="AN39" s="243"/>
      <c r="AO39" s="243"/>
      <c r="AP39" s="243"/>
      <c r="AQ39" s="244"/>
      <c r="AS39" s="242"/>
      <c r="AT39" s="243"/>
      <c r="AU39" s="243"/>
      <c r="AV39" s="243"/>
      <c r="AW39" s="244"/>
      <c r="AY39" s="177"/>
      <c r="AZ39" s="144"/>
      <c r="BA39" s="144"/>
      <c r="BB39" s="144"/>
      <c r="BC39" s="178"/>
      <c r="BD39" s="141">
        <f>IF(BC39=0,9,IF(AI39&gt;=BC39,5,IF(AI39&gt;=BB39,4,IF(AI39&gt;=BA39,3,IF(AI39&gt;=AZ39,2,IF(AI39&lt;AY39,0,1))))))</f>
        <v>9</v>
      </c>
      <c r="BE39" s="35" t="str">
        <f t="shared" ref="BE39:BE65" si="53">IF(BD39=$BO$290,$BT$290,IF(BD39=$BO$289,$BT$289,IF(BD39=$BO$288,$BT$288,IF(BD39=$BO$287,$BT$287,IF(BD39=$BO$286,$BT$286,IF(BD39=$BO$285,$BT$285,$BT$284))))))</f>
        <v>N/A</v>
      </c>
      <c r="BF39" s="145"/>
      <c r="BG39" s="141">
        <f>IF(BC39=0,9,IF(AJ39&gt;=BC39,5,IF(AJ39&gt;=BB39,4,IF(AJ39&gt;=BA39,3,IF(AJ39&gt;=AZ39,2,IF(AJ39&lt;AY39,0,1))))))</f>
        <v>9</v>
      </c>
      <c r="BH39" s="35" t="str">
        <f t="shared" ref="BH39:BH65" si="54">IF(BG39=$BO$290,$BT$290,IF(BG39=$BO$289,$BT$289,IF(BG39=$BO$288,$BT$288,IF(BG39=$BO$287,$BT$287,IF(BG39=$BO$286,$BT$286,IF(BG39=$BO$285,$BT$285,$BT$284))))))</f>
        <v>N/A</v>
      </c>
      <c r="BI39" s="145"/>
      <c r="BJ39" s="141">
        <f>IF(BC39=0,9,IF(AK39&gt;=BC39,5,IF(AK39&gt;=BB39,4,IF(AK39&gt;=BA39,3,IF(AK39&gt;=AZ39,2,IF(AK39&lt;AY39,0,1))))))</f>
        <v>9</v>
      </c>
      <c r="BK39" s="35" t="str">
        <f t="shared" ref="BK39:BK65" si="55">IF(BJ39=$BO$290,$BT$290,IF(BJ39=$BO$289,$BT$289,IF(BJ39=$BO$288,$BT$288,IF(BJ39=$BO$287,$BT$287,IF(BJ39=$BO$286,$BT$286,IF(BJ39=$BO$285,$BT$285,$BT$284))))))</f>
        <v>N/A</v>
      </c>
      <c r="BL39" s="145"/>
      <c r="BO39" s="35"/>
      <c r="BP39" s="35"/>
      <c r="BQ39" s="35" t="str">
        <f t="shared" si="10"/>
        <v/>
      </c>
      <c r="BR39" s="35">
        <f t="shared" si="42"/>
        <v>9</v>
      </c>
      <c r="BS39" s="35">
        <f t="shared" si="43"/>
        <v>9</v>
      </c>
      <c r="BT39" s="35">
        <f t="shared" si="44"/>
        <v>9</v>
      </c>
      <c r="BW39" s="503" t="str">
        <f>D39</f>
        <v>Hea 01</v>
      </c>
      <c r="BX39" s="37" t="str">
        <f>IFERROR(VLOOKUP($E39,'Pre-analyseverktøy'!$F$11:$AC$226,'Pre-analyseverktøy'!AC$2,FALSE),"")</f>
        <v>No</v>
      </c>
      <c r="BY39" s="503" t="str">
        <f>IFERROR(VLOOKUP($E39,'Pre-analyseverktøy'!$F$11:$AJ$226,'Pre-analyseverktøy'!AJ$2,FALSE),"")</f>
        <v>Ja</v>
      </c>
      <c r="BZ39" s="37">
        <f>IFERROR(VLOOKUP($BX39,$E$293:$H$326,F$291,FALSE),"")</f>
        <v>1</v>
      </c>
      <c r="CA39" s="501" t="s">
        <v>895</v>
      </c>
      <c r="CB39" s="37">
        <f>H298</f>
        <v>2</v>
      </c>
      <c r="CC39" t="str">
        <f t="shared" si="46"/>
        <v/>
      </c>
      <c r="CD39" s="54" t="s">
        <v>892</v>
      </c>
      <c r="CE39" s="35">
        <f>VLOOKUP(CA39,$CA$4:$CB$5,2,FALSE)</f>
        <v>0</v>
      </c>
      <c r="CG39" s="54">
        <f>IF($BX$5=ais_nei,CE39,IF(CD39=$BY$5,IF(AND(CA39=$CA$4,BX39=$CC$4),0,BZ39),CE39))</f>
        <v>0</v>
      </c>
    </row>
    <row r="40" spans="1:97">
      <c r="A40">
        <v>32</v>
      </c>
      <c r="B40" s="109"/>
      <c r="C40" t="str">
        <f t="shared" si="13"/>
        <v>Hea 01</v>
      </c>
      <c r="D40" s="630" t="s">
        <v>775</v>
      </c>
      <c r="E40" s="717" t="s">
        <v>964</v>
      </c>
      <c r="F40" s="573"/>
      <c r="G40" s="573"/>
      <c r="H40" s="573"/>
      <c r="I40" s="573"/>
      <c r="J40" s="573"/>
      <c r="K40" s="573"/>
      <c r="L40" s="573"/>
      <c r="M40" s="573"/>
      <c r="N40" s="573"/>
      <c r="O40" s="573"/>
      <c r="P40" s="573"/>
      <c r="Q40" s="573"/>
      <c r="R40" s="573"/>
      <c r="T40" s="172">
        <f t="shared" si="50"/>
        <v>0</v>
      </c>
      <c r="U40" s="134"/>
      <c r="V40" s="35"/>
      <c r="W40" s="35"/>
      <c r="X40" s="135"/>
      <c r="Y40" s="136"/>
      <c r="Z40" s="849"/>
      <c r="AA40" s="136">
        <f t="shared" si="51"/>
        <v>0</v>
      </c>
      <c r="AB40" s="137">
        <f>IF($AC$5='Manuell filtrering og justering'!$J$2,Z40,(T40-AA40))</f>
        <v>0</v>
      </c>
      <c r="AC40" s="496">
        <v>40</v>
      </c>
      <c r="AD40" s="138">
        <f>(Hea_Weight/Hea_Credits)*AB40</f>
        <v>0</v>
      </c>
      <c r="AE40" s="138">
        <f>IF(AB40=0,0,(AD40/AB40)*AI40)</f>
        <v>0</v>
      </c>
      <c r="AF40" s="138">
        <f>IF(AB40=0,0,(AD40/AB40)*AJ40)</f>
        <v>0</v>
      </c>
      <c r="AG40" s="138">
        <f>IF(AB40=0,0,(AD40/AB40)*AK40)</f>
        <v>0</v>
      </c>
      <c r="AI40" s="139"/>
      <c r="AJ40" s="139"/>
      <c r="AK40" s="139"/>
      <c r="AM40" s="235"/>
      <c r="AN40" s="147"/>
      <c r="AO40" s="248"/>
      <c r="AP40" s="237"/>
      <c r="AQ40" s="238"/>
      <c r="AS40" s="236"/>
      <c r="AT40" s="237"/>
      <c r="AU40" s="237"/>
      <c r="AV40" s="237"/>
      <c r="AW40" s="238"/>
      <c r="AY40" s="148"/>
      <c r="AZ40" s="149"/>
      <c r="BA40" s="149"/>
      <c r="BB40" s="149"/>
      <c r="BC40" s="143"/>
      <c r="BD40" s="513">
        <f t="shared" ref="BD40:BD46" si="56">IF(BC40=0,9,IF((AI40-CG40)&gt;=BC40,5,IF((AI40-CG40)&gt;=BB40,4,IF((AI40-CG40)&gt;=BA40,3,IF((AI40-CG40)&gt;=AZ40,2,IF((AI40-CG40)&lt;AY40,0,1))))))</f>
        <v>9</v>
      </c>
      <c r="BE40" s="35" t="str">
        <f t="shared" si="53"/>
        <v>N/A</v>
      </c>
      <c r="BF40" s="151"/>
      <c r="BG40" s="148">
        <f t="shared" ref="BG40:BG46" si="57">IF(BC40=0,9,IF((AJ40-CG40)&gt;=BC40,5,IF((AJ40-CG40)&gt;=BB40,4,IF((AJ40-CG40)&gt;=BA40,3,IF((AJ40-CG40)&gt;=AZ40,2,IF((AJ40-CG40)&lt;AY40,0,1))))))</f>
        <v>9</v>
      </c>
      <c r="BH40" s="35" t="str">
        <f t="shared" si="54"/>
        <v>N/A</v>
      </c>
      <c r="BI40" s="151"/>
      <c r="BJ40" s="148">
        <f t="shared" ref="BJ40:BJ46" si="58">IF(BC40=0,9,IF((AK40-CG40)&gt;=BC40,5,IF((AK40-CG40)&gt;=BB40,4,IF((AK40-CG40)&gt;=BA40,3,IF((AK40-CG40)&gt;=AZ40,2,IF((AK40-CG40)&lt;AY40,0,1))))))</f>
        <v>9</v>
      </c>
      <c r="BK40" s="35" t="str">
        <f t="shared" si="55"/>
        <v>N/A</v>
      </c>
      <c r="BL40" s="151"/>
      <c r="BO40" s="35"/>
      <c r="BP40" s="35"/>
      <c r="BQ40" s="35" t="str">
        <f t="shared" si="10"/>
        <v/>
      </c>
      <c r="BR40" s="35">
        <f t="shared" si="42"/>
        <v>9</v>
      </c>
      <c r="BS40" s="35">
        <f t="shared" si="43"/>
        <v>9</v>
      </c>
      <c r="BT40" s="35">
        <f t="shared" si="44"/>
        <v>9</v>
      </c>
      <c r="BW40" s="503"/>
      <c r="BX40" s="37"/>
      <c r="BY40" s="503"/>
      <c r="BZ40" s="37"/>
      <c r="CA40" s="501"/>
      <c r="CB40" s="37"/>
      <c r="CD40" s="54"/>
      <c r="CE40" s="35"/>
      <c r="CG40" s="54"/>
    </row>
    <row r="41" spans="1:97">
      <c r="A41">
        <v>33</v>
      </c>
      <c r="B41" t="str">
        <f>$D$39&amp;D41</f>
        <v>Hea 01b</v>
      </c>
      <c r="C41" t="str">
        <f t="shared" si="13"/>
        <v>Hea 01</v>
      </c>
      <c r="D41" s="132" t="s">
        <v>776</v>
      </c>
      <c r="E41" s="813" t="s">
        <v>965</v>
      </c>
      <c r="F41" s="716">
        <v>3</v>
      </c>
      <c r="G41" s="716">
        <v>3</v>
      </c>
      <c r="H41" s="716">
        <v>3</v>
      </c>
      <c r="I41" s="716">
        <v>3</v>
      </c>
      <c r="J41" s="716">
        <v>3</v>
      </c>
      <c r="K41" s="716">
        <v>3</v>
      </c>
      <c r="L41" s="716">
        <v>3</v>
      </c>
      <c r="M41" s="716">
        <v>3</v>
      </c>
      <c r="N41" s="716">
        <v>3</v>
      </c>
      <c r="O41" s="716">
        <v>3</v>
      </c>
      <c r="P41" s="716">
        <v>3</v>
      </c>
      <c r="Q41" s="716">
        <v>3</v>
      </c>
      <c r="R41" s="716">
        <v>3</v>
      </c>
      <c r="T41" s="172">
        <f t="shared" si="50"/>
        <v>3</v>
      </c>
      <c r="U41" s="134"/>
      <c r="V41" s="35"/>
      <c r="W41" s="35"/>
      <c r="X41" s="135"/>
      <c r="Y41" s="136"/>
      <c r="Z41" s="849">
        <f>VLOOKUP(B41,'Manuell filtrering og justering'!$A$7:$H$107,'Manuell filtrering og justering'!$H$1,FALSE)</f>
        <v>3</v>
      </c>
      <c r="AA41" s="136">
        <f t="shared" si="51"/>
        <v>0</v>
      </c>
      <c r="AB41" s="137">
        <f>IF($AC$5='Manuell filtrering og justering'!$J$2,Z41,(T41-AA41))</f>
        <v>3</v>
      </c>
      <c r="AC41" s="496">
        <v>41</v>
      </c>
      <c r="AD41" s="138">
        <f t="shared" si="52"/>
        <v>2.5263157894736842E-2</v>
      </c>
      <c r="AE41" s="138">
        <f>IF(AB41=0,0,(AD41/AB41)*AI41)</f>
        <v>0</v>
      </c>
      <c r="AF41" s="138">
        <f>IF(AB41=0,0,(AD41/AB41)*AJ41)</f>
        <v>0</v>
      </c>
      <c r="AG41" s="138">
        <f>IF(AB41=0,0,(AD41/AB41)*AK41)</f>
        <v>0</v>
      </c>
      <c r="AI41" s="783">
        <f>IF(AI$234=AD_no,0,IF(VLOOKUP(E41,'Pre-analyseverktøy'!$F$11:$AA$226,'Pre-analyseverktøy'!$H$2,FALSE)&gt;AB41,AB41,VLOOKUP(E41,'Pre-analyseverktøy'!$F$11:$AA$226,'Pre-analyseverktøy'!$H$2,FALSE)))</f>
        <v>0</v>
      </c>
      <c r="AJ41" s="783">
        <f>IF($AJ$234=AD_no,0,IF(VLOOKUP(E41,'Pre-analyseverktøy'!$F$11:$AA$226,'Pre-analyseverktøy'!$O$2,FALSE)&gt;AB41,AB41,VLOOKUP(E41,'Pre-analyseverktøy'!$F$11:$AA$226,'Pre-analyseverktøy'!$O$2,FALSE)))</f>
        <v>0</v>
      </c>
      <c r="AK41" s="783">
        <f>IF($AK$234=AD_no,0,IF(VLOOKUP(E41,'Pre-analyseverktøy'!$F$11:$AA$226,'Pre-analyseverktøy'!$V$2,FALSE)&gt;AB41,AB41,VLOOKUP(E41,'Pre-analyseverktøy'!$F$11:$AA$226,'Pre-analyseverktøy'!$V$2,FALSE)))</f>
        <v>0</v>
      </c>
      <c r="AM41" s="632"/>
      <c r="AN41" s="633"/>
      <c r="AO41" s="633"/>
      <c r="AP41" s="633"/>
      <c r="AQ41" s="634"/>
      <c r="AS41" s="632"/>
      <c r="AT41" s="633"/>
      <c r="AU41" s="633"/>
      <c r="AV41" s="633"/>
      <c r="AW41" s="634"/>
      <c r="AY41" s="132"/>
      <c r="AZ41" s="37"/>
      <c r="BA41" s="37"/>
      <c r="BB41" s="37"/>
      <c r="BC41" s="635"/>
      <c r="BD41" s="513">
        <f t="shared" si="56"/>
        <v>9</v>
      </c>
      <c r="BE41" s="35" t="str">
        <f t="shared" si="53"/>
        <v>N/A</v>
      </c>
      <c r="BF41" s="151"/>
      <c r="BG41" s="148">
        <f t="shared" si="57"/>
        <v>9</v>
      </c>
      <c r="BH41" s="35" t="str">
        <f t="shared" si="54"/>
        <v>N/A</v>
      </c>
      <c r="BI41" s="151"/>
      <c r="BJ41" s="148">
        <f t="shared" si="58"/>
        <v>9</v>
      </c>
      <c r="BK41" s="35" t="str">
        <f t="shared" si="55"/>
        <v>N/A</v>
      </c>
      <c r="BL41" s="627"/>
      <c r="BO41" s="35"/>
      <c r="BP41" s="35"/>
      <c r="BQ41" s="35" t="str">
        <f t="shared" si="10"/>
        <v/>
      </c>
      <c r="BR41" s="35">
        <f t="shared" si="42"/>
        <v>9</v>
      </c>
      <c r="BS41" s="35">
        <f t="shared" si="43"/>
        <v>9</v>
      </c>
      <c r="BT41" s="35">
        <f t="shared" si="44"/>
        <v>9</v>
      </c>
      <c r="BW41" s="503"/>
      <c r="BX41" s="37"/>
      <c r="BY41" s="503"/>
      <c r="BZ41" s="37"/>
      <c r="CA41" s="501"/>
      <c r="CB41" s="37"/>
      <c r="CD41" s="54"/>
      <c r="CE41" s="35"/>
      <c r="CG41" s="54"/>
      <c r="CO41" s="35">
        <f>'Pre-analyseverktøy'!H41</f>
        <v>0</v>
      </c>
      <c r="CP41" s="35">
        <f>'Pre-analyseverktøy'!O41</f>
        <v>0</v>
      </c>
      <c r="CQ41" s="35">
        <f>'Pre-analyseverktøy'!V41</f>
        <v>0</v>
      </c>
      <c r="CR41" s="35" t="str">
        <f>'Pre-analyseverktøy'!F41</f>
        <v>Dagslys</v>
      </c>
      <c r="CS41" s="35" t="b">
        <f t="shared" si="19"/>
        <v>1</v>
      </c>
    </row>
    <row r="42" spans="1:97">
      <c r="A42">
        <v>34</v>
      </c>
      <c r="B42" t="str">
        <f>$D$39&amp;D42</f>
        <v>Hea 01c</v>
      </c>
      <c r="C42" t="str">
        <f t="shared" si="13"/>
        <v>Hea 01</v>
      </c>
      <c r="D42" s="132" t="s">
        <v>777</v>
      </c>
      <c r="E42" s="813" t="s">
        <v>966</v>
      </c>
      <c r="F42" s="716">
        <v>1</v>
      </c>
      <c r="G42" s="716">
        <v>1</v>
      </c>
      <c r="H42" s="763">
        <v>0</v>
      </c>
      <c r="I42" s="716">
        <v>1</v>
      </c>
      <c r="J42" s="716">
        <v>1</v>
      </c>
      <c r="K42" s="716">
        <v>1</v>
      </c>
      <c r="L42" s="716">
        <v>1</v>
      </c>
      <c r="M42" s="716">
        <v>1</v>
      </c>
      <c r="N42" s="716">
        <v>1</v>
      </c>
      <c r="O42" s="716">
        <v>1</v>
      </c>
      <c r="P42" s="716">
        <v>1</v>
      </c>
      <c r="Q42" s="716">
        <v>1</v>
      </c>
      <c r="R42" s="716">
        <v>1</v>
      </c>
      <c r="T42" s="172">
        <f t="shared" si="50"/>
        <v>1</v>
      </c>
      <c r="U42" s="134"/>
      <c r="V42" s="35"/>
      <c r="W42" s="35"/>
      <c r="X42" s="135"/>
      <c r="Y42" s="136">
        <f>IF(OR($Y$4=$Y$5,$Y$4=$Y$6),T42,0)</f>
        <v>0</v>
      </c>
      <c r="Z42" s="849">
        <f>VLOOKUP(B42,'Manuell filtrering og justering'!$A$7:$H$107,'Manuell filtrering og justering'!$H$1,FALSE)</f>
        <v>1</v>
      </c>
      <c r="AA42" s="136">
        <f t="shared" si="51"/>
        <v>0</v>
      </c>
      <c r="AB42" s="137">
        <f>IF($AC$5='Manuell filtrering og justering'!$J$2,Z42,(T42-AA42))</f>
        <v>1</v>
      </c>
      <c r="AC42" s="496">
        <v>42</v>
      </c>
      <c r="AD42" s="138">
        <f t="shared" si="52"/>
        <v>8.4210526315789472E-3</v>
      </c>
      <c r="AE42" s="138">
        <f t="shared" ref="AE42:AE64" si="59">IF(AB42=0,0,(AD42/AB42)*AI42)</f>
        <v>0</v>
      </c>
      <c r="AF42" s="138">
        <f t="shared" ref="AF42:AF64" si="60">IF(AB42=0,0,(AD42/AB42)*AJ42)</f>
        <v>0</v>
      </c>
      <c r="AG42" s="138">
        <f t="shared" ref="AG42:AG64" si="61">IF(AB42=0,0,(AD42/AB42)*AK42)</f>
        <v>0</v>
      </c>
      <c r="AI42" s="783">
        <f>IF(AI$234=AD_no,0,IF(VLOOKUP(E42,'Pre-analyseverktøy'!$F$11:$AA$226,'Pre-analyseverktøy'!$H$2,FALSE)&gt;AB42,AB42,VLOOKUP(E42,'Pre-analyseverktøy'!$F$11:$AA$226,'Pre-analyseverktøy'!$H$2,FALSE)))</f>
        <v>0</v>
      </c>
      <c r="AJ42" s="783">
        <f>IF($AJ$234=AD_no,0,IF(VLOOKUP(E42,'Pre-analyseverktøy'!$F$11:$AA$226,'Pre-analyseverktøy'!$O$2,FALSE)&gt;AB42,AB42,VLOOKUP(E42,'Pre-analyseverktøy'!$F$11:$AA$226,'Pre-analyseverktøy'!$O$2,FALSE)))</f>
        <v>0</v>
      </c>
      <c r="AK42" s="783">
        <f>IF($AK$234=AD_no,0,IF(VLOOKUP(E42,'Pre-analyseverktøy'!$F$11:$AA$226,'Pre-analyseverktøy'!$V$2,FALSE)&gt;AB42,AB42,VLOOKUP(E42,'Pre-analyseverktøy'!$F$11:$AA$226,'Pre-analyseverktøy'!$V$2,FALSE)))</f>
        <v>0</v>
      </c>
      <c r="AM42" s="632"/>
      <c r="AN42" s="633"/>
      <c r="AO42" s="633"/>
      <c r="AP42" s="633"/>
      <c r="AQ42" s="634"/>
      <c r="AS42" s="632"/>
      <c r="AT42" s="633"/>
      <c r="AU42" s="633"/>
      <c r="AV42" s="633"/>
      <c r="AW42" s="634"/>
      <c r="AY42" s="132"/>
      <c r="AZ42" s="37"/>
      <c r="BA42" s="37"/>
      <c r="BB42" s="37"/>
      <c r="BC42" s="635"/>
      <c r="BD42" s="513">
        <f t="shared" si="56"/>
        <v>9</v>
      </c>
      <c r="BE42" s="35" t="str">
        <f t="shared" si="53"/>
        <v>N/A</v>
      </c>
      <c r="BF42" s="151"/>
      <c r="BG42" s="148">
        <f t="shared" si="57"/>
        <v>9</v>
      </c>
      <c r="BH42" s="35" t="str">
        <f t="shared" si="54"/>
        <v>N/A</v>
      </c>
      <c r="BI42" s="151"/>
      <c r="BJ42" s="148">
        <f t="shared" si="58"/>
        <v>9</v>
      </c>
      <c r="BK42" s="35" t="str">
        <f t="shared" si="55"/>
        <v>N/A</v>
      </c>
      <c r="BL42" s="627"/>
      <c r="BO42" s="35"/>
      <c r="BP42" s="35"/>
      <c r="BQ42" s="35" t="str">
        <f t="shared" si="10"/>
        <v/>
      </c>
      <c r="BR42" s="35">
        <f t="shared" si="42"/>
        <v>9</v>
      </c>
      <c r="BS42" s="35">
        <f t="shared" si="43"/>
        <v>9</v>
      </c>
      <c r="BT42" s="35">
        <f t="shared" si="44"/>
        <v>9</v>
      </c>
      <c r="BW42" s="503"/>
      <c r="BX42" s="37"/>
      <c r="BY42" s="503"/>
      <c r="BZ42" s="37"/>
      <c r="CA42" s="501"/>
      <c r="CB42" s="37"/>
      <c r="CD42" s="54"/>
      <c r="CE42" s="35"/>
      <c r="CG42" s="54"/>
      <c r="CO42" s="35">
        <f>'Pre-analyseverktøy'!H42</f>
        <v>0</v>
      </c>
      <c r="CP42" s="35">
        <f>'Pre-analyseverktøy'!O42</f>
        <v>0</v>
      </c>
      <c r="CQ42" s="35">
        <f>'Pre-analyseverktøy'!V42</f>
        <v>0</v>
      </c>
      <c r="CR42" s="35" t="str">
        <f>'Pre-analyseverktøy'!F42</f>
        <v>Kontroll av blending fra dagslys</v>
      </c>
      <c r="CS42" s="35" t="b">
        <f t="shared" ref="CS42:CS58" si="62">CR42=E42</f>
        <v>1</v>
      </c>
    </row>
    <row r="43" spans="1:97">
      <c r="A43">
        <v>35</v>
      </c>
      <c r="B43" t="str">
        <f>$D$39&amp;D43</f>
        <v>Hea 01d</v>
      </c>
      <c r="C43" t="str">
        <f t="shared" si="13"/>
        <v>Hea 01</v>
      </c>
      <c r="D43" s="132" t="s">
        <v>778</v>
      </c>
      <c r="E43" s="813" t="s">
        <v>967</v>
      </c>
      <c r="F43" s="716">
        <v>1</v>
      </c>
      <c r="G43" s="716">
        <v>1</v>
      </c>
      <c r="H43" s="716">
        <v>1</v>
      </c>
      <c r="I43" s="716">
        <v>1</v>
      </c>
      <c r="J43" s="716">
        <v>1</v>
      </c>
      <c r="K43" s="716">
        <v>1</v>
      </c>
      <c r="L43" s="716">
        <v>1</v>
      </c>
      <c r="M43" s="716">
        <v>1</v>
      </c>
      <c r="N43" s="716">
        <v>1</v>
      </c>
      <c r="O43" s="716">
        <v>1</v>
      </c>
      <c r="P43" s="716">
        <v>1</v>
      </c>
      <c r="Q43" s="716">
        <v>1</v>
      </c>
      <c r="R43" s="716">
        <v>1</v>
      </c>
      <c r="T43" s="172">
        <f t="shared" si="50"/>
        <v>1</v>
      </c>
      <c r="U43" s="134"/>
      <c r="V43" s="35"/>
      <c r="W43" s="35"/>
      <c r="X43" s="135"/>
      <c r="Y43" s="136"/>
      <c r="Z43" s="849">
        <f>VLOOKUP(B43,'Manuell filtrering og justering'!$A$7:$H$107,'Manuell filtrering og justering'!$H$1,FALSE)</f>
        <v>1</v>
      </c>
      <c r="AA43" s="136">
        <f t="shared" si="51"/>
        <v>0</v>
      </c>
      <c r="AB43" s="137">
        <f>IF($AC$5='Manuell filtrering og justering'!$J$2,Z43,(T43-AA43))</f>
        <v>1</v>
      </c>
      <c r="AC43" s="496">
        <v>43</v>
      </c>
      <c r="AD43" s="138">
        <f t="shared" si="52"/>
        <v>8.4210526315789472E-3</v>
      </c>
      <c r="AE43" s="138">
        <f t="shared" si="59"/>
        <v>0</v>
      </c>
      <c r="AF43" s="138">
        <f t="shared" si="60"/>
        <v>0</v>
      </c>
      <c r="AG43" s="138">
        <f t="shared" si="61"/>
        <v>0</v>
      </c>
      <c r="AI43" s="783">
        <f>IF(AI$234=AD_no,0,IF(VLOOKUP(E43,'Pre-analyseverktøy'!$F$11:$AA$226,'Pre-analyseverktøy'!$H$2,FALSE)&gt;AB43,AB43,VLOOKUP(E43,'Pre-analyseverktøy'!$F$11:$AA$226,'Pre-analyseverktøy'!$H$2,FALSE)))</f>
        <v>0</v>
      </c>
      <c r="AJ43" s="783">
        <f>IF($AJ$234=AD_no,0,IF(VLOOKUP(E43,'Pre-analyseverktøy'!$F$11:$AA$226,'Pre-analyseverktøy'!$O$2,FALSE)&gt;AB43,AB43,VLOOKUP(E43,'Pre-analyseverktøy'!$F$11:$AA$226,'Pre-analyseverktøy'!$O$2,FALSE)))</f>
        <v>0</v>
      </c>
      <c r="AK43" s="783">
        <f>IF($AK$234=AD_no,0,IF(VLOOKUP(E43,'Pre-analyseverktøy'!$F$11:$AA$226,'Pre-analyseverktøy'!$V$2,FALSE)&gt;AB43,AB43,VLOOKUP(E43,'Pre-analyseverktøy'!$F$11:$AA$226,'Pre-analyseverktøy'!$V$2,FALSE)))</f>
        <v>0</v>
      </c>
      <c r="AM43" s="632"/>
      <c r="AN43" s="633"/>
      <c r="AO43" s="633"/>
      <c r="AP43" s="633"/>
      <c r="AQ43" s="634"/>
      <c r="AS43" s="632"/>
      <c r="AT43" s="633"/>
      <c r="AU43" s="633"/>
      <c r="AV43" s="633"/>
      <c r="AW43" s="634"/>
      <c r="AY43" s="132"/>
      <c r="AZ43" s="37"/>
      <c r="BA43" s="37"/>
      <c r="BB43" s="37"/>
      <c r="BC43" s="635"/>
      <c r="BD43" s="513">
        <f t="shared" si="56"/>
        <v>9</v>
      </c>
      <c r="BE43" s="35" t="str">
        <f t="shared" si="53"/>
        <v>N/A</v>
      </c>
      <c r="BF43" s="151"/>
      <c r="BG43" s="148">
        <f t="shared" si="57"/>
        <v>9</v>
      </c>
      <c r="BH43" s="35" t="str">
        <f t="shared" si="54"/>
        <v>N/A</v>
      </c>
      <c r="BI43" s="151"/>
      <c r="BJ43" s="148">
        <f t="shared" si="58"/>
        <v>9</v>
      </c>
      <c r="BK43" s="35" t="str">
        <f t="shared" si="55"/>
        <v>N/A</v>
      </c>
      <c r="BL43" s="627"/>
      <c r="BO43" s="35"/>
      <c r="BP43" s="35"/>
      <c r="BQ43" s="35" t="str">
        <f t="shared" si="10"/>
        <v/>
      </c>
      <c r="BR43" s="35">
        <f t="shared" si="42"/>
        <v>9</v>
      </c>
      <c r="BS43" s="35">
        <f t="shared" si="43"/>
        <v>9</v>
      </c>
      <c r="BT43" s="35">
        <f t="shared" si="44"/>
        <v>9</v>
      </c>
      <c r="BW43" s="503"/>
      <c r="BX43" s="37"/>
      <c r="BY43" s="503"/>
      <c r="BZ43" s="37"/>
      <c r="CA43" s="501"/>
      <c r="CB43" s="37"/>
      <c r="CD43" s="54"/>
      <c r="CE43" s="35"/>
      <c r="CG43" s="54"/>
      <c r="CO43" s="35">
        <f>'Pre-analyseverktøy'!H43</f>
        <v>0</v>
      </c>
      <c r="CP43" s="35">
        <f>'Pre-analyseverktøy'!O43</f>
        <v>0</v>
      </c>
      <c r="CQ43" s="35">
        <f>'Pre-analyseverktøy'!V43</f>
        <v>0</v>
      </c>
      <c r="CR43" s="35" t="str">
        <f>'Pre-analyseverktøy'!F43</f>
        <v>Utsyn</v>
      </c>
      <c r="CS43" s="35" t="b">
        <f t="shared" si="62"/>
        <v>1</v>
      </c>
    </row>
    <row r="44" spans="1:97">
      <c r="A44">
        <v>36</v>
      </c>
      <c r="B44" t="str">
        <f>$D$39&amp;D44</f>
        <v>Hea 01e</v>
      </c>
      <c r="C44" t="str">
        <f t="shared" si="13"/>
        <v>Hea 01</v>
      </c>
      <c r="D44" s="132" t="s">
        <v>779</v>
      </c>
      <c r="E44" s="813" t="s">
        <v>968</v>
      </c>
      <c r="F44" s="716">
        <v>1</v>
      </c>
      <c r="G44" s="716">
        <v>1</v>
      </c>
      <c r="H44" s="716">
        <v>1</v>
      </c>
      <c r="I44" s="716">
        <v>1</v>
      </c>
      <c r="J44" s="716">
        <v>1</v>
      </c>
      <c r="K44" s="716">
        <v>1</v>
      </c>
      <c r="L44" s="716">
        <v>1</v>
      </c>
      <c r="M44" s="716">
        <v>1</v>
      </c>
      <c r="N44" s="716">
        <v>1</v>
      </c>
      <c r="O44" s="716">
        <v>1</v>
      </c>
      <c r="P44" s="716">
        <v>1</v>
      </c>
      <c r="Q44" s="716">
        <v>1</v>
      </c>
      <c r="R44" s="716">
        <v>1</v>
      </c>
      <c r="T44" s="172">
        <f t="shared" si="50"/>
        <v>1</v>
      </c>
      <c r="U44" s="134"/>
      <c r="V44" s="35"/>
      <c r="W44" s="35"/>
      <c r="X44" s="135"/>
      <c r="Y44" s="136"/>
      <c r="Z44" s="849">
        <f>VLOOKUP(B44,'Manuell filtrering og justering'!$A$7:$H$107,'Manuell filtrering og justering'!$H$1,FALSE)</f>
        <v>1</v>
      </c>
      <c r="AA44" s="136">
        <f t="shared" si="51"/>
        <v>0</v>
      </c>
      <c r="AB44" s="137">
        <f>IF($AC$5='Manuell filtrering og justering'!$J$2,Z44,(T44-AA44))</f>
        <v>1</v>
      </c>
      <c r="AC44" s="496">
        <v>44</v>
      </c>
      <c r="AD44" s="138">
        <f t="shared" si="52"/>
        <v>8.4210526315789472E-3</v>
      </c>
      <c r="AE44" s="138">
        <f t="shared" si="59"/>
        <v>0</v>
      </c>
      <c r="AF44" s="138">
        <f t="shared" si="60"/>
        <v>0</v>
      </c>
      <c r="AG44" s="138">
        <f t="shared" si="61"/>
        <v>0</v>
      </c>
      <c r="AI44" s="783">
        <f>IF(AI$234=AD_no,0,IF(VLOOKUP(E44,'Pre-analyseverktøy'!$F$11:$AA$226,'Pre-analyseverktøy'!$H$2,FALSE)&gt;AB44,AB44,VLOOKUP(E44,'Pre-analyseverktøy'!$F$11:$AA$226,'Pre-analyseverktøy'!$H$2,FALSE)))</f>
        <v>0</v>
      </c>
      <c r="AJ44" s="783">
        <f>IF($AJ$234=AD_no,0,IF(VLOOKUP(E44,'Pre-analyseverktøy'!$F$11:$AA$226,'Pre-analyseverktøy'!$O$2,FALSE)&gt;AB44,AB44,VLOOKUP(E44,'Pre-analyseverktøy'!$F$11:$AA$226,'Pre-analyseverktøy'!$O$2,FALSE)))</f>
        <v>0</v>
      </c>
      <c r="AK44" s="783">
        <f>IF($AK$234=AD_no,0,IF(VLOOKUP(E44,'Pre-analyseverktøy'!$F$11:$AA$226,'Pre-analyseverktøy'!$V$2,FALSE)&gt;AB44,AB44,VLOOKUP(E44,'Pre-analyseverktøy'!$F$11:$AA$226,'Pre-analyseverktøy'!$V$2,FALSE)))</f>
        <v>0</v>
      </c>
      <c r="AM44" s="632"/>
      <c r="AN44" s="633"/>
      <c r="AO44" s="633"/>
      <c r="AP44" s="633"/>
      <c r="AQ44" s="634"/>
      <c r="AS44" s="632"/>
      <c r="AT44" s="633"/>
      <c r="AU44" s="633"/>
      <c r="AV44" s="633"/>
      <c r="AW44" s="634"/>
      <c r="AY44" s="132"/>
      <c r="AZ44" s="37"/>
      <c r="BA44" s="37"/>
      <c r="BB44" s="37"/>
      <c r="BC44" s="635"/>
      <c r="BD44" s="513">
        <f t="shared" si="56"/>
        <v>9</v>
      </c>
      <c r="BE44" s="35" t="str">
        <f t="shared" si="53"/>
        <v>N/A</v>
      </c>
      <c r="BF44" s="151"/>
      <c r="BG44" s="148">
        <f t="shared" si="57"/>
        <v>9</v>
      </c>
      <c r="BH44" s="35" t="str">
        <f t="shared" si="54"/>
        <v>N/A</v>
      </c>
      <c r="BI44" s="151"/>
      <c r="BJ44" s="148">
        <f t="shared" si="58"/>
        <v>9</v>
      </c>
      <c r="BK44" s="35" t="str">
        <f t="shared" si="55"/>
        <v>N/A</v>
      </c>
      <c r="BL44" s="627"/>
      <c r="BO44" s="35"/>
      <c r="BP44" s="35"/>
      <c r="BQ44" s="35" t="str">
        <f t="shared" si="10"/>
        <v/>
      </c>
      <c r="BR44" s="35">
        <f t="shared" si="42"/>
        <v>9</v>
      </c>
      <c r="BS44" s="35">
        <f t="shared" si="43"/>
        <v>9</v>
      </c>
      <c r="BT44" s="35">
        <f t="shared" si="44"/>
        <v>9</v>
      </c>
      <c r="BW44" s="503"/>
      <c r="BX44" s="37"/>
      <c r="BY44" s="503"/>
      <c r="BZ44" s="37"/>
      <c r="CA44" s="501"/>
      <c r="CB44" s="37"/>
      <c r="CD44" s="54"/>
      <c r="CE44" s="35"/>
      <c r="CG44" s="54"/>
      <c r="CO44" s="35">
        <f>'Pre-analyseverktøy'!H44</f>
        <v>0</v>
      </c>
      <c r="CP44" s="35">
        <f>'Pre-analyseverktøy'!O44</f>
        <v>0</v>
      </c>
      <c r="CQ44" s="35">
        <f>'Pre-analyseverktøy'!V44</f>
        <v>0</v>
      </c>
      <c r="CR44" s="35" t="str">
        <f>'Pre-analyseverktøy'!F44</f>
        <v>Sollys</v>
      </c>
      <c r="CS44" s="35" t="b">
        <f t="shared" si="62"/>
        <v>1</v>
      </c>
    </row>
    <row r="45" spans="1:97">
      <c r="A45">
        <v>37</v>
      </c>
      <c r="B45" t="str">
        <f>$D$39&amp;D45</f>
        <v>Hea 01f</v>
      </c>
      <c r="C45" t="str">
        <f t="shared" si="13"/>
        <v>Hea 01</v>
      </c>
      <c r="D45" s="132" t="s">
        <v>785</v>
      </c>
      <c r="E45" s="813" t="s">
        <v>969</v>
      </c>
      <c r="F45" s="716">
        <v>1</v>
      </c>
      <c r="G45" s="716">
        <v>1</v>
      </c>
      <c r="H45" s="763">
        <v>0</v>
      </c>
      <c r="I45" s="716">
        <v>1</v>
      </c>
      <c r="J45" s="716">
        <v>1</v>
      </c>
      <c r="K45" s="716">
        <v>1</v>
      </c>
      <c r="L45" s="716">
        <v>1</v>
      </c>
      <c r="M45" s="716">
        <v>1</v>
      </c>
      <c r="N45" s="716">
        <v>1</v>
      </c>
      <c r="O45" s="716">
        <v>1</v>
      </c>
      <c r="P45" s="716">
        <v>1</v>
      </c>
      <c r="Q45" s="716">
        <v>1</v>
      </c>
      <c r="R45" s="716">
        <v>1</v>
      </c>
      <c r="T45" s="172">
        <f t="shared" si="50"/>
        <v>1</v>
      </c>
      <c r="U45" s="134"/>
      <c r="V45" s="35"/>
      <c r="W45" s="35"/>
      <c r="X45" s="135"/>
      <c r="Y45" s="136"/>
      <c r="Z45" s="849">
        <f>VLOOKUP(B45,'Manuell filtrering og justering'!$A$7:$H$107,'Manuell filtrering og justering'!$H$1,FALSE)</f>
        <v>1</v>
      </c>
      <c r="AA45" s="136">
        <f t="shared" si="51"/>
        <v>0</v>
      </c>
      <c r="AB45" s="137">
        <f>IF($AC$5='Manuell filtrering og justering'!$J$2,Z45,(T45-AA45))</f>
        <v>1</v>
      </c>
      <c r="AC45" s="496">
        <v>45</v>
      </c>
      <c r="AD45" s="138">
        <f t="shared" si="52"/>
        <v>8.4210526315789472E-3</v>
      </c>
      <c r="AE45" s="138">
        <f t="shared" si="59"/>
        <v>0</v>
      </c>
      <c r="AF45" s="138">
        <f t="shared" si="60"/>
        <v>0</v>
      </c>
      <c r="AG45" s="138">
        <f t="shared" si="61"/>
        <v>0</v>
      </c>
      <c r="AI45" s="783">
        <f>IF(AI$234=AD_no,0,IF(VLOOKUP(E45,'Pre-analyseverktøy'!$F$11:$AA$226,'Pre-analyseverktøy'!$H$2,FALSE)&gt;AB45,AB45,VLOOKUP(E45,'Pre-analyseverktøy'!$F$11:$AA$226,'Pre-analyseverktøy'!$H$2,FALSE)))</f>
        <v>0</v>
      </c>
      <c r="AJ45" s="783">
        <f>IF($AJ$234=AD_no,0,IF(VLOOKUP(E45,'Pre-analyseverktøy'!$F$11:$AA$226,'Pre-analyseverktøy'!$O$2,FALSE)&gt;AB45,AB45,VLOOKUP(E45,'Pre-analyseverktøy'!$F$11:$AA$226,'Pre-analyseverktøy'!$O$2,FALSE)))</f>
        <v>0</v>
      </c>
      <c r="AK45" s="783">
        <f>IF($AK$234=AD_no,0,IF(VLOOKUP(E45,'Pre-analyseverktøy'!$F$11:$AA$226,'Pre-analyseverktøy'!$V$2,FALSE)&gt;AB45,AB45,VLOOKUP(E45,'Pre-analyseverktøy'!$F$11:$AA$226,'Pre-analyseverktøy'!$V$2,FALSE)))</f>
        <v>0</v>
      </c>
      <c r="AM45" s="632"/>
      <c r="AN45" s="633"/>
      <c r="AO45" s="633"/>
      <c r="AP45" s="633"/>
      <c r="AQ45" s="634"/>
      <c r="AS45" s="632"/>
      <c r="AT45" s="633"/>
      <c r="AU45" s="633"/>
      <c r="AV45" s="633"/>
      <c r="AW45" s="634"/>
      <c r="AY45" s="132"/>
      <c r="AZ45" s="37"/>
      <c r="BA45" s="37"/>
      <c r="BB45" s="37"/>
      <c r="BC45" s="635"/>
      <c r="BD45" s="513">
        <f t="shared" si="56"/>
        <v>9</v>
      </c>
      <c r="BE45" s="35" t="str">
        <f t="shared" si="53"/>
        <v>N/A</v>
      </c>
      <c r="BF45" s="151"/>
      <c r="BG45" s="148">
        <f t="shared" si="57"/>
        <v>9</v>
      </c>
      <c r="BH45" s="35" t="str">
        <f t="shared" si="54"/>
        <v>N/A</v>
      </c>
      <c r="BI45" s="151"/>
      <c r="BJ45" s="148">
        <f t="shared" si="58"/>
        <v>9</v>
      </c>
      <c r="BK45" s="35" t="str">
        <f t="shared" si="55"/>
        <v>N/A</v>
      </c>
      <c r="BL45" s="627"/>
      <c r="BO45" s="35"/>
      <c r="BP45" s="35"/>
      <c r="BQ45" s="35" t="str">
        <f t="shared" si="10"/>
        <v/>
      </c>
      <c r="BR45" s="35">
        <f t="shared" si="42"/>
        <v>9</v>
      </c>
      <c r="BS45" s="35">
        <f t="shared" si="43"/>
        <v>9</v>
      </c>
      <c r="BT45" s="35">
        <f t="shared" si="44"/>
        <v>9</v>
      </c>
      <c r="BW45" s="503"/>
      <c r="BX45" s="37"/>
      <c r="BY45" s="503"/>
      <c r="BZ45" s="37"/>
      <c r="CA45" s="501"/>
      <c r="CB45" s="37"/>
      <c r="CD45" s="54"/>
      <c r="CE45" s="35"/>
      <c r="CG45" s="54"/>
      <c r="CO45" s="35">
        <f>'Pre-analyseverktøy'!H45</f>
        <v>0</v>
      </c>
      <c r="CP45" s="35">
        <f>'Pre-analyseverktøy'!O45</f>
        <v>0</v>
      </c>
      <c r="CQ45" s="35">
        <f>'Pre-analyseverktøy'!V45</f>
        <v>0</v>
      </c>
      <c r="CR45" s="35" t="str">
        <f>'Pre-analyseverktøy'!F45</f>
        <v>Innendørs og utendørs belysningsnivåer og soneinndeling</v>
      </c>
      <c r="CS45" s="35" t="b">
        <f t="shared" si="62"/>
        <v>1</v>
      </c>
    </row>
    <row r="46" spans="1:97">
      <c r="A46">
        <v>38</v>
      </c>
      <c r="B46" s="109" t="str">
        <f>D46</f>
        <v>Hea 02</v>
      </c>
      <c r="C46" s="109" t="str">
        <f>B46</f>
        <v>Hea 02</v>
      </c>
      <c r="D46" s="631" t="s">
        <v>182</v>
      </c>
      <c r="E46" s="629" t="s">
        <v>970</v>
      </c>
      <c r="F46" s="711">
        <f t="shared" ref="F46:R46" si="63">SUM(F47:F50)</f>
        <v>4</v>
      </c>
      <c r="G46" s="711">
        <f t="shared" si="63"/>
        <v>4</v>
      </c>
      <c r="H46" s="711">
        <f t="shared" si="63"/>
        <v>4</v>
      </c>
      <c r="I46" s="711">
        <f t="shared" si="63"/>
        <v>4</v>
      </c>
      <c r="J46" s="711">
        <f t="shared" si="63"/>
        <v>4</v>
      </c>
      <c r="K46" s="711">
        <f t="shared" si="63"/>
        <v>4</v>
      </c>
      <c r="L46" s="711">
        <f t="shared" si="63"/>
        <v>4</v>
      </c>
      <c r="M46" s="711">
        <f t="shared" si="63"/>
        <v>4</v>
      </c>
      <c r="N46" s="711">
        <f t="shared" si="63"/>
        <v>4</v>
      </c>
      <c r="O46" s="711">
        <f t="shared" si="63"/>
        <v>4</v>
      </c>
      <c r="P46" s="711">
        <f t="shared" si="63"/>
        <v>4</v>
      </c>
      <c r="Q46" s="711">
        <f>SUM(Q47:Q50)</f>
        <v>4</v>
      </c>
      <c r="R46" s="711">
        <f t="shared" si="63"/>
        <v>4</v>
      </c>
      <c r="T46" s="729">
        <f t="shared" si="50"/>
        <v>4</v>
      </c>
      <c r="U46" s="179">
        <f>U48+U49+U50</f>
        <v>0</v>
      </c>
      <c r="V46" s="53"/>
      <c r="W46" s="53"/>
      <c r="X46" s="805">
        <f>'Manuell filtrering og justering'!E18</f>
        <v>0</v>
      </c>
      <c r="Y46" s="731"/>
      <c r="Z46" s="866">
        <f>SUM(Z47:Z50)</f>
        <v>4</v>
      </c>
      <c r="AA46" s="731">
        <f t="shared" si="51"/>
        <v>0</v>
      </c>
      <c r="AB46" s="782">
        <f>SUM(AB47:AB50)</f>
        <v>4</v>
      </c>
      <c r="AC46" s="496">
        <v>46</v>
      </c>
      <c r="AD46" s="138">
        <f t="shared" si="52"/>
        <v>3.3684210526315789E-2</v>
      </c>
      <c r="AE46" s="701">
        <f>SUM(AE47:AE50)</f>
        <v>0</v>
      </c>
      <c r="AF46" s="701">
        <f>SUM(AF47:AF50)</f>
        <v>0</v>
      </c>
      <c r="AG46" s="701">
        <f>SUM(AG47:AG50)</f>
        <v>0</v>
      </c>
      <c r="AI46" s="726">
        <f>SUM(AI47:AI50)</f>
        <v>0</v>
      </c>
      <c r="AJ46" s="726">
        <f>SUM(AJ47:AJ50)</f>
        <v>0</v>
      </c>
      <c r="AK46" s="726">
        <f>SUM(AK47:AK50)</f>
        <v>0</v>
      </c>
      <c r="AL46" t="s">
        <v>216</v>
      </c>
      <c r="AM46" s="235"/>
      <c r="AN46" s="147"/>
      <c r="AO46" s="248"/>
      <c r="AP46" s="237"/>
      <c r="AQ46" s="238"/>
      <c r="AS46" s="236"/>
      <c r="AT46" s="237"/>
      <c r="AU46" s="237"/>
      <c r="AV46" s="237"/>
      <c r="AW46" s="238"/>
      <c r="AY46" s="148"/>
      <c r="AZ46" s="149"/>
      <c r="BA46" s="149"/>
      <c r="BB46" s="149"/>
      <c r="BC46" s="143"/>
      <c r="BD46" s="513">
        <f t="shared" si="56"/>
        <v>9</v>
      </c>
      <c r="BE46" s="35" t="str">
        <f t="shared" si="53"/>
        <v>N/A</v>
      </c>
      <c r="BF46" s="151"/>
      <c r="BG46" s="148">
        <f t="shared" si="57"/>
        <v>9</v>
      </c>
      <c r="BH46" s="35" t="str">
        <f t="shared" si="54"/>
        <v>N/A</v>
      </c>
      <c r="BI46" s="151"/>
      <c r="BJ46" s="148">
        <f t="shared" si="58"/>
        <v>9</v>
      </c>
      <c r="BK46" s="35" t="str">
        <f t="shared" si="55"/>
        <v>N/A</v>
      </c>
      <c r="BL46" s="151"/>
      <c r="BM46" t="s">
        <v>971</v>
      </c>
      <c r="BO46" s="35"/>
      <c r="BP46" s="35"/>
      <c r="BQ46" s="35" t="str">
        <f t="shared" si="10"/>
        <v/>
      </c>
      <c r="BR46" s="35">
        <f t="shared" si="42"/>
        <v>9</v>
      </c>
      <c r="BS46" s="35">
        <f t="shared" si="43"/>
        <v>9</v>
      </c>
      <c r="BT46" s="35">
        <f t="shared" si="44"/>
        <v>9</v>
      </c>
      <c r="BW46" s="35" t="str">
        <f>D46</f>
        <v>Hea 02</v>
      </c>
      <c r="BX46" s="35" t="str">
        <f>IFERROR(VLOOKUP($E46,'Pre-analyseverktøy'!$F$11:$AC$226,'Pre-analyseverktøy'!AC$2,FALSE),"")</f>
        <v>O2: VOC (AC 8-9: -1,0 c)</v>
      </c>
      <c r="BY46" s="53" t="str">
        <f>IFERROR(VLOOKUP($E46,'Pre-analyseverktøy'!$F$11:$AJ$226,'Pre-analyseverktøy'!AJ$2,FALSE),"")</f>
        <v>Ja</v>
      </c>
      <c r="BZ46" s="35">
        <f>IFERROR(VLOOKUP($BX46,$E$293:$H$326,F$291,FALSE),"")</f>
        <v>-1</v>
      </c>
      <c r="CA46" s="501" t="s">
        <v>895</v>
      </c>
      <c r="CB46" s="35">
        <f>H303</f>
        <v>5</v>
      </c>
      <c r="CC46" t="s">
        <v>958</v>
      </c>
      <c r="CD46" t="s">
        <v>972</v>
      </c>
      <c r="CE46" s="35">
        <f>VLOOKUP(CA46,$CA$4:$CB$5,2,FALSE)</f>
        <v>0</v>
      </c>
      <c r="CG46" s="54">
        <f>IF($BX$5=ais_nei,CE46,IF(AND(CA46=$CA$4,BX46=$CC$4),0,BZ46))</f>
        <v>0</v>
      </c>
      <c r="CI46" t="s">
        <v>892</v>
      </c>
    </row>
    <row r="47" spans="1:97">
      <c r="A47">
        <v>39</v>
      </c>
      <c r="C47" t="str">
        <f t="shared" si="13"/>
        <v>Hea 02</v>
      </c>
      <c r="D47" s="132" t="s">
        <v>775</v>
      </c>
      <c r="E47" s="717" t="s">
        <v>973</v>
      </c>
      <c r="F47" s="573"/>
      <c r="G47" s="573"/>
      <c r="H47" s="573"/>
      <c r="I47" s="573"/>
      <c r="J47" s="573"/>
      <c r="K47" s="573"/>
      <c r="L47" s="573"/>
      <c r="M47" s="573"/>
      <c r="N47" s="573"/>
      <c r="O47" s="573"/>
      <c r="P47" s="573"/>
      <c r="Q47" s="573"/>
      <c r="R47" s="573"/>
      <c r="T47" s="172">
        <f t="shared" si="50"/>
        <v>0</v>
      </c>
      <c r="U47" s="134"/>
      <c r="V47" s="35"/>
      <c r="W47" s="35"/>
      <c r="X47" s="135"/>
      <c r="Y47" s="136"/>
      <c r="Z47" s="849"/>
      <c r="AA47" s="136">
        <f t="shared" si="51"/>
        <v>0</v>
      </c>
      <c r="AB47" s="137">
        <f>IF($AC$5='Manuell filtrering og justering'!$J$2,Z47,(T47-AA47))</f>
        <v>0</v>
      </c>
      <c r="AC47" s="496">
        <v>47</v>
      </c>
      <c r="AD47" s="138">
        <f t="shared" si="52"/>
        <v>0</v>
      </c>
      <c r="AE47" s="138">
        <f t="shared" si="59"/>
        <v>0</v>
      </c>
      <c r="AF47" s="138">
        <f t="shared" si="60"/>
        <v>0</v>
      </c>
      <c r="AG47" s="138">
        <f t="shared" si="61"/>
        <v>0</v>
      </c>
      <c r="AI47" s="139">
        <f t="shared" ref="AI47" si="64">IF(CO47&gt;$AB47,$AB47,CO47)</f>
        <v>0</v>
      </c>
      <c r="AJ47" s="139">
        <f t="shared" ref="AJ47" si="65">IF(CP47&gt;$AB47,$AB47,CP47)</f>
        <v>0</v>
      </c>
      <c r="AK47" s="139">
        <f t="shared" ref="AK47" si="66">IF(CQ47&gt;$AB47,$AB47,CQ47)</f>
        <v>0</v>
      </c>
      <c r="AM47" s="235"/>
      <c r="AN47" s="147"/>
      <c r="AO47" s="248"/>
      <c r="AP47" s="237"/>
      <c r="AQ47" s="238"/>
      <c r="AS47" s="236"/>
      <c r="AT47" s="237"/>
      <c r="AU47" s="237"/>
      <c r="AV47" s="237"/>
      <c r="AW47" s="238"/>
      <c r="AY47" s="148"/>
      <c r="AZ47" s="149"/>
      <c r="BA47" s="149"/>
      <c r="BB47" s="149"/>
      <c r="BC47" s="143"/>
      <c r="BD47" s="513">
        <f t="shared" ref="BD47:BD64" si="67">IF(BC47=0,9,IF((AI47-CG47)&gt;=BC47,5,IF((AI47-CG47)&gt;=BB47,4,IF((AI47-CG47)&gt;=BA47,3,IF((AI47-CG47)&gt;=AZ47,2,IF((AI47-CG47)&lt;AY47,0,1))))))</f>
        <v>9</v>
      </c>
      <c r="BE47" s="35" t="str">
        <f t="shared" si="53"/>
        <v>N/A</v>
      </c>
      <c r="BF47" s="151"/>
      <c r="BG47" s="148">
        <f t="shared" ref="BG47:BG64" si="68">IF(BC47=0,9,IF((AJ47-CG47)&gt;=BC47,5,IF((AJ47-CG47)&gt;=BB47,4,IF((AJ47-CG47)&gt;=BA47,3,IF((AJ47-CG47)&gt;=AZ47,2,IF((AJ47-CG47)&lt;AY47,0,1))))))</f>
        <v>9</v>
      </c>
      <c r="BH47" s="35" t="str">
        <f t="shared" si="54"/>
        <v>N/A</v>
      </c>
      <c r="BI47" s="151"/>
      <c r="BJ47" s="148">
        <f t="shared" ref="BJ47:BJ64" si="69">IF(BC47=0,9,IF((AK47-CG47)&gt;=BC47,5,IF((AK47-CG47)&gt;=BB47,4,IF((AK47-CG47)&gt;=BA47,3,IF((AK47-CG47)&gt;=AZ47,2,IF((AK47-CG47)&lt;AY47,0,1))))))</f>
        <v>9</v>
      </c>
      <c r="BK47" s="35" t="str">
        <f t="shared" si="55"/>
        <v>N/A</v>
      </c>
      <c r="BL47" s="151"/>
      <c r="BO47" s="35"/>
      <c r="BP47" s="35"/>
      <c r="BQ47" s="35" t="str">
        <f t="shared" si="10"/>
        <v/>
      </c>
      <c r="BR47" s="35">
        <f t="shared" si="42"/>
        <v>9</v>
      </c>
      <c r="BS47" s="35">
        <f t="shared" si="43"/>
        <v>9</v>
      </c>
      <c r="BT47" s="35">
        <f t="shared" si="44"/>
        <v>9</v>
      </c>
      <c r="BW47" s="35"/>
      <c r="BX47" s="35"/>
      <c r="BY47" s="53"/>
      <c r="BZ47" s="35"/>
      <c r="CA47" s="502"/>
      <c r="CB47" s="35"/>
      <c r="CE47" s="35"/>
      <c r="CG47" s="54"/>
      <c r="CO47" s="35">
        <f>'Pre-analyseverktøy'!H47</f>
        <v>0</v>
      </c>
      <c r="CP47" s="35">
        <f>'Pre-analyseverktøy'!O47</f>
        <v>0</v>
      </c>
      <c r="CQ47" s="35">
        <f>'Pre-analyseverktøy'!V47</f>
        <v>0</v>
      </c>
      <c r="CR47" s="35" t="str">
        <f>'Pre-analyseverktøy'!F47</f>
        <v>Forkrav: plan for inneluftkvalitet</v>
      </c>
      <c r="CS47" s="35" t="b">
        <f t="shared" si="62"/>
        <v>1</v>
      </c>
    </row>
    <row r="48" spans="1:97">
      <c r="A48">
        <v>40</v>
      </c>
      <c r="B48" t="str">
        <f>$D$46&amp;D48</f>
        <v>Hea 02b</v>
      </c>
      <c r="C48" t="str">
        <f t="shared" si="13"/>
        <v>Hea 02</v>
      </c>
      <c r="D48" s="132" t="s">
        <v>776</v>
      </c>
      <c r="E48" s="813" t="s">
        <v>974</v>
      </c>
      <c r="F48" s="575">
        <v>1</v>
      </c>
      <c r="G48" s="575">
        <v>1</v>
      </c>
      <c r="H48" s="575">
        <v>1</v>
      </c>
      <c r="I48" s="575">
        <v>1</v>
      </c>
      <c r="J48" s="575">
        <v>1</v>
      </c>
      <c r="K48" s="575">
        <v>1</v>
      </c>
      <c r="L48" s="575">
        <v>1</v>
      </c>
      <c r="M48" s="575">
        <v>1</v>
      </c>
      <c r="N48" s="575">
        <v>1</v>
      </c>
      <c r="O48" s="575">
        <v>1</v>
      </c>
      <c r="P48" s="575">
        <v>1</v>
      </c>
      <c r="Q48" s="575">
        <v>1</v>
      </c>
      <c r="R48" s="575">
        <v>1</v>
      </c>
      <c r="T48" s="172">
        <f t="shared" si="50"/>
        <v>1</v>
      </c>
      <c r="U48" s="179">
        <f>IF(AND(ADBT0=ADBT1,ADIND_option03=AD_no),Poeng!T48,0)</f>
        <v>0</v>
      </c>
      <c r="V48" s="35"/>
      <c r="W48" s="35"/>
      <c r="X48" s="135"/>
      <c r="Y48" s="136"/>
      <c r="Z48" s="849">
        <f>VLOOKUP(B48,'Manuell filtrering og justering'!$A$7:$H$107,'Manuell filtrering og justering'!$H$1,FALSE)</f>
        <v>1</v>
      </c>
      <c r="AA48" s="136">
        <f t="shared" si="51"/>
        <v>0</v>
      </c>
      <c r="AB48" s="137">
        <f>IF($AC$5='Manuell filtrering og justering'!$J$2,Z48,(T48-AA48))</f>
        <v>1</v>
      </c>
      <c r="AC48" s="496">
        <v>48</v>
      </c>
      <c r="AD48" s="138">
        <f t="shared" si="52"/>
        <v>8.4210526315789472E-3</v>
      </c>
      <c r="AE48" s="138">
        <f t="shared" si="59"/>
        <v>0</v>
      </c>
      <c r="AF48" s="138">
        <f t="shared" si="60"/>
        <v>0</v>
      </c>
      <c r="AG48" s="138">
        <f t="shared" si="61"/>
        <v>0</v>
      </c>
      <c r="AI48" s="783">
        <f>IF(OR(AI236=AD_no,AI236=0,AI281=0),0,IF(VLOOKUP(E48,'Pre-analyseverktøy'!$F$11:$AA$226,'Pre-analyseverktøy'!$H$2,FALSE)&gt;AB48,AB48,VLOOKUP(E48,'Pre-analyseverktøy'!$F$11:$AA$226,'Pre-analyseverktøy'!$H$2,FALSE)))</f>
        <v>0</v>
      </c>
      <c r="AJ48" s="783">
        <f>IF(OR(AJ236=AD_no,AJ236=0,AJ281=0),0,IF(VLOOKUP(E48,'Pre-analyseverktøy'!$F$11:$AA$226,'Pre-analyseverktøy'!$O$2,FALSE)&gt;AB48,AB48,VLOOKUP(E48,'Pre-analyseverktøy'!$F$11:$AA$226,'Pre-analyseverktøy'!$O$2,FALSE)))</f>
        <v>0</v>
      </c>
      <c r="AK48" s="783">
        <f>IF(OR(AK236=AD_no,AK236=0,AK281=0),0,IF(VLOOKUP(E48,'Pre-analyseverktøy'!$F$11:$AA$226,'Pre-analyseverktøy'!$V$2,FALSE)&gt;AB48,AB48,VLOOKUP(E48,'Pre-analyseverktøy'!$F$11:$AA$226,'Pre-analyseverktøy'!$V$2,FALSE)))</f>
        <v>0</v>
      </c>
      <c r="AM48" s="235"/>
      <c r="AN48" s="147"/>
      <c r="AO48" s="248"/>
      <c r="AP48" s="237"/>
      <c r="AQ48" s="238"/>
      <c r="AS48" s="236"/>
      <c r="AT48" s="237"/>
      <c r="AU48" s="237"/>
      <c r="AV48" s="237"/>
      <c r="AW48" s="238"/>
      <c r="AY48" s="148"/>
      <c r="AZ48" s="149"/>
      <c r="BA48" s="149"/>
      <c r="BB48" s="149"/>
      <c r="BC48" s="143"/>
      <c r="BD48" s="513">
        <f t="shared" si="67"/>
        <v>9</v>
      </c>
      <c r="BE48" s="35" t="str">
        <f t="shared" si="53"/>
        <v>N/A</v>
      </c>
      <c r="BF48" s="151"/>
      <c r="BG48" s="148">
        <f t="shared" si="68"/>
        <v>9</v>
      </c>
      <c r="BH48" s="35" t="str">
        <f t="shared" si="54"/>
        <v>N/A</v>
      </c>
      <c r="BI48" s="151"/>
      <c r="BJ48" s="148">
        <f t="shared" si="69"/>
        <v>9</v>
      </c>
      <c r="BK48" s="35" t="str">
        <f t="shared" si="55"/>
        <v>N/A</v>
      </c>
      <c r="BL48" s="151"/>
      <c r="BO48" s="35"/>
      <c r="BP48" s="35"/>
      <c r="BQ48" s="35" t="str">
        <f t="shared" si="10"/>
        <v/>
      </c>
      <c r="BR48" s="35">
        <f t="shared" si="42"/>
        <v>9</v>
      </c>
      <c r="BS48" s="35">
        <f t="shared" si="43"/>
        <v>9</v>
      </c>
      <c r="BT48" s="35">
        <f t="shared" si="44"/>
        <v>9</v>
      </c>
      <c r="BW48" s="35"/>
      <c r="BX48" s="35"/>
      <c r="BY48" s="53"/>
      <c r="BZ48" s="35"/>
      <c r="CA48" s="502"/>
      <c r="CB48" s="35"/>
      <c r="CE48" s="35"/>
      <c r="CG48" s="54"/>
      <c r="CO48" s="35">
        <f>'Pre-analyseverktøy'!H48</f>
        <v>0</v>
      </c>
      <c r="CP48" s="35">
        <f>'Pre-analyseverktøy'!O48</f>
        <v>0</v>
      </c>
      <c r="CQ48" s="35">
        <f>'Pre-analyseverktøy'!V48</f>
        <v>0</v>
      </c>
      <c r="CR48" s="35" t="str">
        <f>'Pre-analyseverktøy'!F48</f>
        <v>Ventilasjon</v>
      </c>
      <c r="CS48" s="35" t="b">
        <f t="shared" si="62"/>
        <v>1</v>
      </c>
    </row>
    <row r="49" spans="1:97">
      <c r="A49">
        <v>41</v>
      </c>
      <c r="B49" t="str">
        <f>$D$46&amp;D49</f>
        <v>Hea 02c</v>
      </c>
      <c r="C49" t="str">
        <f t="shared" si="13"/>
        <v>Hea 02</v>
      </c>
      <c r="D49" s="134" t="s">
        <v>777</v>
      </c>
      <c r="E49" s="924" t="s">
        <v>975</v>
      </c>
      <c r="F49" s="575">
        <v>2</v>
      </c>
      <c r="G49" s="575">
        <v>2</v>
      </c>
      <c r="H49" s="575">
        <v>2</v>
      </c>
      <c r="I49" s="575">
        <v>2</v>
      </c>
      <c r="J49" s="575">
        <v>2</v>
      </c>
      <c r="K49" s="575">
        <v>2</v>
      </c>
      <c r="L49" s="575">
        <v>2</v>
      </c>
      <c r="M49" s="575">
        <v>2</v>
      </c>
      <c r="N49" s="575">
        <v>2</v>
      </c>
      <c r="O49" s="575">
        <v>2</v>
      </c>
      <c r="P49" s="575">
        <v>2</v>
      </c>
      <c r="Q49" s="575">
        <v>2</v>
      </c>
      <c r="R49" s="575">
        <v>2</v>
      </c>
      <c r="T49" s="172">
        <f t="shared" si="50"/>
        <v>2</v>
      </c>
      <c r="U49" s="179">
        <f>IF(AND(ADBT0=ADBT1,ADIND_option03=AD_no),Poeng!T49,0)</f>
        <v>0</v>
      </c>
      <c r="V49" s="35"/>
      <c r="W49" s="35"/>
      <c r="X49" s="135"/>
      <c r="Y49" s="136">
        <f>IF($Y$4=$Y$6,1,0)</f>
        <v>0</v>
      </c>
      <c r="Z49" s="849">
        <f>VLOOKUP(B49,'Manuell filtrering og justering'!$A$7:$H$107,'Manuell filtrering og justering'!$H$1,FALSE)</f>
        <v>2</v>
      </c>
      <c r="AA49" s="136">
        <f t="shared" si="51"/>
        <v>0</v>
      </c>
      <c r="AB49" s="137">
        <f>IF($AC$5='Manuell filtrering og justering'!$J$2,Z49,(T49-AA49))</f>
        <v>2</v>
      </c>
      <c r="AC49" s="496">
        <v>49</v>
      </c>
      <c r="AD49" s="138">
        <f t="shared" si="52"/>
        <v>1.6842105263157894E-2</v>
      </c>
      <c r="AE49" s="138">
        <f t="shared" si="59"/>
        <v>0</v>
      </c>
      <c r="AF49" s="138">
        <f t="shared" si="60"/>
        <v>0</v>
      </c>
      <c r="AG49" s="138">
        <f t="shared" si="61"/>
        <v>0</v>
      </c>
      <c r="AI49" s="783">
        <f>IF(OR(AI236=AD_no,AI236=0,AI281=0),0,IF(VLOOKUP(E49,'Pre-analyseverktøy'!$F$11:$AA$226,'Pre-analyseverktøy'!$H$2,FALSE)&gt;AB49,AB49,VLOOKUP(E49,'Pre-analyseverktøy'!$F$11:$AA$226,'Pre-analyseverktøy'!$H$2,FALSE)))</f>
        <v>0</v>
      </c>
      <c r="AJ49" s="783">
        <f>IF(OR(AJ236=AD_no,AJ236=0,AJ281=0),0,IF(VLOOKUP(E49,'Pre-analyseverktøy'!$F$11:$AA$226,'Pre-analyseverktøy'!$O$2,FALSE)&gt;AB49,AB49,VLOOKUP(E49,'Pre-analyseverktøy'!$F$11:$AA$226,'Pre-analyseverktøy'!$O$2,FALSE)))</f>
        <v>0</v>
      </c>
      <c r="AK49" s="783">
        <f>IF(OR(AK236=AD_no,AK236=0,AK281=0),0,IF(VLOOKUP(E49,'Pre-analyseverktøy'!$F$11:$AA$226,'Pre-analyseverktøy'!$V$2,FALSE)&gt;AB49,AB49,VLOOKUP(E49,'Pre-analyseverktøy'!$F$11:$AA$226,'Pre-analyseverktøy'!$V$2,FALSE)))</f>
        <v>0</v>
      </c>
      <c r="AM49" s="235"/>
      <c r="AN49" s="147"/>
      <c r="AO49" s="876">
        <f>IF(AND(Y4=Y3,AB49=0),0,IF(AND($Y$4&lt;&gt;$Y$3,Y49&gt;0),0,1))</f>
        <v>1</v>
      </c>
      <c r="AP49" s="876">
        <f>IF(AND(Y4=Y3,AB49=0),0,IF(AND($Y$4&lt;&gt;$Y$3,Y49&gt;0),0,2))</f>
        <v>2</v>
      </c>
      <c r="AQ49" s="878">
        <f>IF(AND(Y4=Y3,AB49=0),0,IF(AND($Y$4&lt;&gt;$Y$3,Y49&gt;0),0,2))</f>
        <v>2</v>
      </c>
      <c r="AR49" s="109"/>
      <c r="AS49" s="741"/>
      <c r="AT49" s="739"/>
      <c r="AU49" s="739">
        <v>1</v>
      </c>
      <c r="AV49" s="739">
        <v>2</v>
      </c>
      <c r="AW49" s="740">
        <v>2</v>
      </c>
      <c r="AY49" s="148"/>
      <c r="AZ49" s="149"/>
      <c r="BA49" s="149">
        <f>IF($E$6=$H$9,AU49,AO49)</f>
        <v>1</v>
      </c>
      <c r="BB49" s="149">
        <f>IF($E$6=$H$9,AV49,AP49)</f>
        <v>2</v>
      </c>
      <c r="BC49" s="143">
        <f>IF($E$6=$H$9,AW49,AQ49)</f>
        <v>2</v>
      </c>
      <c r="BD49" s="513">
        <f t="shared" si="67"/>
        <v>2</v>
      </c>
      <c r="BE49" s="35" t="str">
        <f t="shared" si="53"/>
        <v>Good</v>
      </c>
      <c r="BF49" s="151"/>
      <c r="BG49" s="148">
        <f t="shared" si="68"/>
        <v>2</v>
      </c>
      <c r="BH49" s="35" t="str">
        <f t="shared" si="54"/>
        <v>Good</v>
      </c>
      <c r="BI49" s="151"/>
      <c r="BJ49" s="148">
        <f t="shared" si="69"/>
        <v>2</v>
      </c>
      <c r="BK49" s="35" t="str">
        <f t="shared" si="55"/>
        <v>Good</v>
      </c>
      <c r="BL49" s="151"/>
      <c r="BO49" s="35"/>
      <c r="BP49" s="35">
        <v>2</v>
      </c>
      <c r="BQ49" s="35">
        <f t="shared" si="10"/>
        <v>2</v>
      </c>
      <c r="BR49" s="870">
        <f>IF(AB49=0,9,IF(BQ49="",9,(IF(AI49&gt;=BQ49,5,0))))</f>
        <v>0</v>
      </c>
      <c r="BS49" s="870">
        <f>IF(AB49=0,9,IF(BQ49="",9,(IF(AJ49&gt;=BQ49,5,0))))</f>
        <v>0</v>
      </c>
      <c r="BT49" s="870">
        <f>IF(AB49=0,9,IF(BQ49="",9,(IF(AK49&gt;=BQ49,5,0))))</f>
        <v>0</v>
      </c>
      <c r="BW49" s="35"/>
      <c r="BX49" s="35"/>
      <c r="BY49" s="53"/>
      <c r="BZ49" s="35"/>
      <c r="CA49" s="502"/>
      <c r="CB49" s="35"/>
      <c r="CE49" s="35"/>
      <c r="CG49" s="54"/>
      <c r="CO49" s="35">
        <f>'Pre-analyseverktøy'!H49</f>
        <v>0</v>
      </c>
      <c r="CP49" s="35">
        <f>'Pre-analyseverktøy'!O49</f>
        <v>0</v>
      </c>
      <c r="CQ49" s="35">
        <f>'Pre-analyseverktøy'!V49</f>
        <v>0</v>
      </c>
      <c r="CR49" s="35" t="str">
        <f>'Pre-analyseverktøy'!F49</f>
        <v>Emisjoner fra bygningsprodukter (EU taksonomi: krit. 5)</v>
      </c>
      <c r="CS49" s="35" t="b">
        <f t="shared" si="62"/>
        <v>1</v>
      </c>
    </row>
    <row r="50" spans="1:97">
      <c r="A50">
        <v>42</v>
      </c>
      <c r="B50" t="str">
        <f>$D$46&amp;D50</f>
        <v>Hea 02d</v>
      </c>
      <c r="C50" t="str">
        <f t="shared" si="13"/>
        <v>Hea 02</v>
      </c>
      <c r="D50" s="134" t="s">
        <v>778</v>
      </c>
      <c r="E50" s="813" t="s">
        <v>976</v>
      </c>
      <c r="F50" s="575">
        <v>1</v>
      </c>
      <c r="G50" s="575">
        <v>1</v>
      </c>
      <c r="H50" s="575">
        <v>1</v>
      </c>
      <c r="I50" s="575">
        <v>1</v>
      </c>
      <c r="J50" s="575">
        <v>1</v>
      </c>
      <c r="K50" s="575">
        <v>1</v>
      </c>
      <c r="L50" s="575">
        <v>1</v>
      </c>
      <c r="M50" s="575">
        <v>1</v>
      </c>
      <c r="N50" s="575">
        <v>1</v>
      </c>
      <c r="O50" s="575">
        <v>1</v>
      </c>
      <c r="P50" s="575">
        <v>1</v>
      </c>
      <c r="Q50" s="575">
        <v>1</v>
      </c>
      <c r="R50" s="575">
        <v>1</v>
      </c>
      <c r="T50" s="172">
        <f t="shared" si="50"/>
        <v>1</v>
      </c>
      <c r="U50" s="179">
        <f>IF(AND(ADBT0=ADBT1,ADIND_option03=AD_no),Poeng!T50,0)</f>
        <v>0</v>
      </c>
      <c r="V50" s="35"/>
      <c r="W50" s="35"/>
      <c r="X50" s="135"/>
      <c r="Y50" s="136">
        <f>IF(OR($Y$4=$Y$5,$Y$4=$Y$6),T50,0)</f>
        <v>0</v>
      </c>
      <c r="Z50" s="849">
        <f>VLOOKUP(B50,'Manuell filtrering og justering'!$A$7:$H$107,'Manuell filtrering og justering'!$H$1,FALSE)</f>
        <v>1</v>
      </c>
      <c r="AA50" s="136">
        <f t="shared" si="51"/>
        <v>0</v>
      </c>
      <c r="AB50" s="137">
        <f>IF($AC$5='Manuell filtrering og justering'!$J$2,Z50,(T50-AA50))</f>
        <v>1</v>
      </c>
      <c r="AC50" s="496">
        <v>50</v>
      </c>
      <c r="AD50" s="138">
        <f t="shared" si="52"/>
        <v>8.4210526315789472E-3</v>
      </c>
      <c r="AE50" s="138">
        <f t="shared" si="59"/>
        <v>0</v>
      </c>
      <c r="AF50" s="138">
        <f t="shared" si="60"/>
        <v>0</v>
      </c>
      <c r="AG50" s="138">
        <f t="shared" si="61"/>
        <v>0</v>
      </c>
      <c r="AI50" s="783">
        <f>IF(OR(AI236=AD_no,AI236=0,AI281=0),0,IF(VLOOKUP(E50,'Pre-analyseverktøy'!$F$11:$AA$226,'Pre-analyseverktøy'!$H$2,FALSE)&gt;AB50,AB50,VLOOKUP(E50,'Pre-analyseverktøy'!$F$11:$AA$226,'Pre-analyseverktøy'!$H$2,FALSE)))</f>
        <v>0</v>
      </c>
      <c r="AJ50" s="783">
        <f>IF(OR(AJ236=AD_no,AJ236=0,AJ281=0),0,IF(VLOOKUP(E50,'Pre-analyseverktøy'!$F$11:$AA$226,'Pre-analyseverktøy'!$O$2,FALSE)&gt;AB50,AB50,VLOOKUP(E50,'Pre-analyseverktøy'!$F$11:$AA$226,'Pre-analyseverktøy'!$O$2,FALSE)))</f>
        <v>0</v>
      </c>
      <c r="AK50" s="783">
        <f>IF(OR(AK236=AD_no,AK236=0,AK281=0),0,IF(VLOOKUP(E50,'Pre-analyseverktøy'!$F$11:$AA$226,'Pre-analyseverktøy'!$V$2,FALSE)&gt;AB50,AB50,VLOOKUP(E50,'Pre-analyseverktøy'!$F$11:$AA$226,'Pre-analyseverktøy'!$V$2,FALSE)))</f>
        <v>0</v>
      </c>
      <c r="AM50" s="235"/>
      <c r="AN50" s="147"/>
      <c r="AO50" s="248"/>
      <c r="AP50" s="237"/>
      <c r="AQ50" s="238"/>
      <c r="AS50" s="236"/>
      <c r="AT50" s="237"/>
      <c r="AU50" s="237"/>
      <c r="AV50" s="237"/>
      <c r="AW50" s="238"/>
      <c r="AY50" s="148"/>
      <c r="AZ50" s="149"/>
      <c r="BA50" s="149"/>
      <c r="BB50" s="149"/>
      <c r="BC50" s="143"/>
      <c r="BD50" s="513">
        <f t="shared" si="67"/>
        <v>9</v>
      </c>
      <c r="BE50" s="35" t="str">
        <f t="shared" si="53"/>
        <v>N/A</v>
      </c>
      <c r="BF50" s="151"/>
      <c r="BG50" s="148">
        <f t="shared" si="68"/>
        <v>9</v>
      </c>
      <c r="BH50" s="35" t="str">
        <f t="shared" si="54"/>
        <v>N/A</v>
      </c>
      <c r="BI50" s="151"/>
      <c r="BJ50" s="148">
        <f t="shared" si="69"/>
        <v>9</v>
      </c>
      <c r="BK50" s="35" t="str">
        <f t="shared" si="55"/>
        <v>N/A</v>
      </c>
      <c r="BL50" s="151"/>
      <c r="BO50" s="35"/>
      <c r="BP50" s="35"/>
      <c r="BQ50" s="35" t="str">
        <f t="shared" si="10"/>
        <v/>
      </c>
      <c r="BR50" s="35">
        <f t="shared" si="42"/>
        <v>9</v>
      </c>
      <c r="BS50" s="35">
        <f t="shared" si="43"/>
        <v>9</v>
      </c>
      <c r="BT50" s="35">
        <f t="shared" si="44"/>
        <v>9</v>
      </c>
      <c r="BW50" s="35"/>
      <c r="BX50" s="35"/>
      <c r="BY50" s="53"/>
      <c r="BZ50" s="35"/>
      <c r="CA50" s="502"/>
      <c r="CB50" s="35"/>
      <c r="CE50" s="35"/>
      <c r="CG50" s="54"/>
      <c r="CO50" s="35">
        <f>'Pre-analyseverktøy'!H50</f>
        <v>0</v>
      </c>
      <c r="CP50" s="35">
        <f>'Pre-analyseverktøy'!O50</f>
        <v>0</v>
      </c>
      <c r="CQ50" s="35">
        <f>'Pre-analyseverktøy'!V50</f>
        <v>0</v>
      </c>
      <c r="CR50" s="35" t="str">
        <f>'Pre-analyseverktøy'!F50</f>
        <v>Måling av inneluftkvalitet</v>
      </c>
      <c r="CS50" s="35" t="b">
        <f t="shared" si="62"/>
        <v>1</v>
      </c>
    </row>
    <row r="51" spans="1:97">
      <c r="A51">
        <v>43</v>
      </c>
      <c r="B51" s="109" t="str">
        <f>D51</f>
        <v>Hea 03</v>
      </c>
      <c r="C51" s="109" t="str">
        <f>B51</f>
        <v>Hea 03</v>
      </c>
      <c r="D51" s="631" t="s">
        <v>325</v>
      </c>
      <c r="E51" s="629" t="s">
        <v>977</v>
      </c>
      <c r="F51" s="711">
        <f t="shared" ref="F51:R51" si="70">SUM(F52:F54)</f>
        <v>3</v>
      </c>
      <c r="G51" s="711">
        <f t="shared" si="70"/>
        <v>3</v>
      </c>
      <c r="H51" s="711">
        <f t="shared" si="70"/>
        <v>3</v>
      </c>
      <c r="I51" s="711">
        <f t="shared" si="70"/>
        <v>3</v>
      </c>
      <c r="J51" s="711">
        <f t="shared" si="70"/>
        <v>3</v>
      </c>
      <c r="K51" s="711">
        <f t="shared" si="70"/>
        <v>3</v>
      </c>
      <c r="L51" s="711">
        <f t="shared" si="70"/>
        <v>3</v>
      </c>
      <c r="M51" s="711">
        <f t="shared" si="70"/>
        <v>3</v>
      </c>
      <c r="N51" s="711">
        <f t="shared" si="70"/>
        <v>3</v>
      </c>
      <c r="O51" s="711">
        <f t="shared" si="70"/>
        <v>3</v>
      </c>
      <c r="P51" s="711">
        <f t="shared" si="70"/>
        <v>3</v>
      </c>
      <c r="Q51" s="711">
        <f>SUM(Q52:Q54)</f>
        <v>3</v>
      </c>
      <c r="R51" s="711">
        <f t="shared" si="70"/>
        <v>3</v>
      </c>
      <c r="T51" s="729">
        <f t="shared" si="50"/>
        <v>3</v>
      </c>
      <c r="U51" s="179">
        <f>U52+U53+U54</f>
        <v>0</v>
      </c>
      <c r="V51" s="53"/>
      <c r="W51" s="53"/>
      <c r="X51" s="805">
        <f>'Manuell filtrering og justering'!E19</f>
        <v>0</v>
      </c>
      <c r="Y51" s="731"/>
      <c r="Z51" s="866">
        <f>SUM(Z52:Z54)</f>
        <v>3</v>
      </c>
      <c r="AA51" s="731">
        <f t="shared" si="51"/>
        <v>0</v>
      </c>
      <c r="AB51" s="782">
        <f>SUM(AB52:AB54)</f>
        <v>3</v>
      </c>
      <c r="AC51" s="496">
        <v>51</v>
      </c>
      <c r="AD51" s="138">
        <f t="shared" si="52"/>
        <v>2.5263157894736842E-2</v>
      </c>
      <c r="AE51" s="701">
        <f>SUM(AE52:AE54)</f>
        <v>0</v>
      </c>
      <c r="AF51" s="701">
        <f>SUM(AF52:AF54)</f>
        <v>0</v>
      </c>
      <c r="AG51" s="701">
        <f>SUM(AG52:AG54)</f>
        <v>0</v>
      </c>
      <c r="AI51" s="726">
        <f>SUM(AI52:AI54)</f>
        <v>0</v>
      </c>
      <c r="AJ51" s="726">
        <f>SUM(AJ52:AJ54)</f>
        <v>0</v>
      </c>
      <c r="AK51" s="726">
        <f>SUM(AK52:AK54)</f>
        <v>0</v>
      </c>
      <c r="AL51" t="s">
        <v>216</v>
      </c>
      <c r="AM51" s="236"/>
      <c r="AN51" s="237"/>
      <c r="AO51" s="237"/>
      <c r="AP51" s="237"/>
      <c r="AQ51" s="238"/>
      <c r="AS51" s="236"/>
      <c r="AT51" s="237"/>
      <c r="AU51" s="237"/>
      <c r="AV51" s="237"/>
      <c r="AW51" s="238"/>
      <c r="AY51" s="134"/>
      <c r="AZ51" s="35"/>
      <c r="BA51" s="35"/>
      <c r="BB51" s="35"/>
      <c r="BC51" s="135"/>
      <c r="BD51" s="513">
        <f t="shared" si="67"/>
        <v>9</v>
      </c>
      <c r="BE51" s="35" t="str">
        <f t="shared" si="53"/>
        <v>N/A</v>
      </c>
      <c r="BF51" s="151"/>
      <c r="BG51" s="148">
        <f t="shared" si="68"/>
        <v>9</v>
      </c>
      <c r="BH51" s="35" t="str">
        <f t="shared" si="54"/>
        <v>N/A</v>
      </c>
      <c r="BI51" s="151"/>
      <c r="BJ51" s="148">
        <f t="shared" si="69"/>
        <v>9</v>
      </c>
      <c r="BK51" s="35" t="str">
        <f t="shared" si="55"/>
        <v>N/A</v>
      </c>
      <c r="BL51" s="151"/>
      <c r="BO51" s="35"/>
      <c r="BP51" s="35"/>
      <c r="BQ51" s="35" t="str">
        <f t="shared" si="10"/>
        <v/>
      </c>
      <c r="BR51" s="35">
        <f t="shared" si="42"/>
        <v>9</v>
      </c>
      <c r="BS51" s="35">
        <f t="shared" si="43"/>
        <v>9</v>
      </c>
      <c r="BT51" s="35">
        <f t="shared" si="44"/>
        <v>9</v>
      </c>
      <c r="BW51" s="35" t="str">
        <f>D51</f>
        <v>Hea 03</v>
      </c>
      <c r="BX51" s="35" t="str">
        <f>IFERROR(VLOOKUP($E51,'Pre-analyseverktøy'!$F$11:$AC$226,'Pre-analyseverktøy'!AC$2,FALSE),"")</f>
        <v>No</v>
      </c>
      <c r="BY51" s="53" t="str">
        <f>IFERROR(VLOOKUP($E51,'Pre-analyseverktøy'!$F$11:$AJ$226,'Pre-analyseverktøy'!AJ$2,FALSE),"")</f>
        <v>Ja</v>
      </c>
      <c r="BZ51" s="35">
        <f>IFERROR(VLOOKUP($BX51,$E$293:$H$326,F$291,FALSE),"")</f>
        <v>1</v>
      </c>
      <c r="CA51" s="507" t="s">
        <v>899</v>
      </c>
      <c r="CB51" s="35"/>
      <c r="CC51" t="str">
        <f>IFERROR(VLOOKUP($BX51,$E$293:$H$326,I$291,FALSE),"")</f>
        <v/>
      </c>
      <c r="CD51" t="s">
        <v>972</v>
      </c>
      <c r="CE51" s="35">
        <f>VLOOKUP(CA51,$CA$4:$CB$5,2,FALSE)</f>
        <v>1</v>
      </c>
      <c r="CG51" s="54">
        <f>IF($BX$5=ais_nei,CE51,IF(AND(CA51=$CA$4,BX51=$CC$4),0,BZ51))</f>
        <v>1</v>
      </c>
    </row>
    <row r="52" spans="1:97">
      <c r="A52">
        <v>44</v>
      </c>
      <c r="B52" t="str">
        <f>$D$51&amp;D52</f>
        <v>Hea 03a</v>
      </c>
      <c r="C52" t="str">
        <f t="shared" si="13"/>
        <v>Hea 03</v>
      </c>
      <c r="D52" s="132" t="s">
        <v>775</v>
      </c>
      <c r="E52" s="813" t="s">
        <v>978</v>
      </c>
      <c r="F52" s="575">
        <v>1</v>
      </c>
      <c r="G52" s="575">
        <v>1</v>
      </c>
      <c r="H52" s="575">
        <v>1</v>
      </c>
      <c r="I52" s="575">
        <v>1</v>
      </c>
      <c r="J52" s="575">
        <v>1</v>
      </c>
      <c r="K52" s="575">
        <v>1</v>
      </c>
      <c r="L52" s="575">
        <v>1</v>
      </c>
      <c r="M52" s="575">
        <v>1</v>
      </c>
      <c r="N52" s="575">
        <v>1</v>
      </c>
      <c r="O52" s="575">
        <v>1</v>
      </c>
      <c r="P52" s="575">
        <v>1</v>
      </c>
      <c r="Q52" s="575">
        <v>1</v>
      </c>
      <c r="R52" s="575">
        <v>1</v>
      </c>
      <c r="T52" s="172">
        <f t="shared" si="50"/>
        <v>1</v>
      </c>
      <c r="U52" s="179">
        <f>IF(AND(ADBT0=ADBT1,ADIND_option03=AD_no),Poeng!T52,0)</f>
        <v>0</v>
      </c>
      <c r="V52" s="35"/>
      <c r="W52" s="35"/>
      <c r="X52" s="135"/>
      <c r="Y52" s="136">
        <f>IF($Y$4=$Y$6,T52,0)</f>
        <v>0</v>
      </c>
      <c r="Z52" s="849">
        <f>VLOOKUP(B52,'Manuell filtrering og justering'!$A$7:$H$107,'Manuell filtrering og justering'!$H$1,FALSE)</f>
        <v>1</v>
      </c>
      <c r="AA52" s="136">
        <f t="shared" si="51"/>
        <v>0</v>
      </c>
      <c r="AB52" s="137">
        <f>IF($AC$5='Manuell filtrering og justering'!$J$2,Z52,(T52-AA52))</f>
        <v>1</v>
      </c>
      <c r="AC52" s="496">
        <v>52</v>
      </c>
      <c r="AD52" s="138">
        <f t="shared" si="52"/>
        <v>8.4210526315789472E-3</v>
      </c>
      <c r="AE52" s="138">
        <f t="shared" si="59"/>
        <v>0</v>
      </c>
      <c r="AF52" s="138">
        <f t="shared" si="60"/>
        <v>0</v>
      </c>
      <c r="AG52" s="138">
        <f t="shared" si="61"/>
        <v>0</v>
      </c>
      <c r="AI52" s="139">
        <f t="shared" ref="AI52:AI54" si="71">IF(CO52&gt;$AB52,$AB52,CO52)</f>
        <v>0</v>
      </c>
      <c r="AJ52" s="139">
        <f t="shared" ref="AJ52:AJ54" si="72">IF(CP52&gt;$AB52,$AB52,CP52)</f>
        <v>0</v>
      </c>
      <c r="AK52" s="139">
        <f t="shared" ref="AK52:AK54" si="73">IF(CQ52&gt;$AB52,$AB52,CQ52)</f>
        <v>0</v>
      </c>
      <c r="AM52" s="236"/>
      <c r="AN52" s="237"/>
      <c r="AO52" s="237"/>
      <c r="AP52" s="237"/>
      <c r="AQ52" s="238"/>
      <c r="AS52" s="236"/>
      <c r="AT52" s="237"/>
      <c r="AU52" s="237"/>
      <c r="AV52" s="237"/>
      <c r="AW52" s="238"/>
      <c r="AY52" s="134"/>
      <c r="AZ52" s="35"/>
      <c r="BA52" s="35"/>
      <c r="BB52" s="35"/>
      <c r="BC52" s="135"/>
      <c r="BD52" s="513">
        <f t="shared" si="67"/>
        <v>9</v>
      </c>
      <c r="BE52" s="35" t="str">
        <f t="shared" si="53"/>
        <v>N/A</v>
      </c>
      <c r="BF52" s="151"/>
      <c r="BG52" s="148">
        <f t="shared" si="68"/>
        <v>9</v>
      </c>
      <c r="BH52" s="35" t="str">
        <f t="shared" si="54"/>
        <v>N/A</v>
      </c>
      <c r="BI52" s="151"/>
      <c r="BJ52" s="148">
        <f t="shared" si="69"/>
        <v>9</v>
      </c>
      <c r="BK52" s="35" t="str">
        <f t="shared" si="55"/>
        <v>N/A</v>
      </c>
      <c r="BL52" s="151"/>
      <c r="BO52" s="35"/>
      <c r="BP52" s="35"/>
      <c r="BQ52" s="35" t="str">
        <f t="shared" si="10"/>
        <v/>
      </c>
      <c r="BR52" s="35">
        <f t="shared" si="42"/>
        <v>9</v>
      </c>
      <c r="BS52" s="35">
        <f t="shared" si="43"/>
        <v>9</v>
      </c>
      <c r="BT52" s="35">
        <f t="shared" si="44"/>
        <v>9</v>
      </c>
      <c r="BW52" s="35"/>
      <c r="BX52" s="35"/>
      <c r="BY52" s="53"/>
      <c r="BZ52" s="35"/>
      <c r="CA52" s="507"/>
      <c r="CB52" s="35"/>
      <c r="CE52" s="35"/>
      <c r="CG52" s="54"/>
      <c r="CO52" s="35">
        <f>'Pre-analyseverktøy'!H52</f>
        <v>0</v>
      </c>
      <c r="CP52" s="35">
        <f>'Pre-analyseverktøy'!O52</f>
        <v>0</v>
      </c>
      <c r="CQ52" s="35">
        <f>'Pre-analyseverktøy'!V52</f>
        <v>0</v>
      </c>
      <c r="CR52" s="35" t="str">
        <f>'Pre-analyseverktøy'!F52</f>
        <v>Termisk modellering</v>
      </c>
      <c r="CS52" s="35" t="b">
        <f t="shared" si="62"/>
        <v>1</v>
      </c>
    </row>
    <row r="53" spans="1:97">
      <c r="A53">
        <v>45</v>
      </c>
      <c r="B53" t="str">
        <f>$D$51&amp;D53</f>
        <v>Hea 03b</v>
      </c>
      <c r="C53" t="str">
        <f t="shared" si="13"/>
        <v>Hea 03</v>
      </c>
      <c r="D53" s="132" t="s">
        <v>776</v>
      </c>
      <c r="E53" s="813" t="s">
        <v>979</v>
      </c>
      <c r="F53" s="575">
        <v>1</v>
      </c>
      <c r="G53" s="575">
        <v>1</v>
      </c>
      <c r="H53" s="575">
        <v>1</v>
      </c>
      <c r="I53" s="575">
        <v>1</v>
      </c>
      <c r="J53" s="575">
        <v>1</v>
      </c>
      <c r="K53" s="575">
        <v>1</v>
      </c>
      <c r="L53" s="575">
        <v>1</v>
      </c>
      <c r="M53" s="575">
        <v>1</v>
      </c>
      <c r="N53" s="575">
        <v>1</v>
      </c>
      <c r="O53" s="575">
        <v>1</v>
      </c>
      <c r="P53" s="575">
        <v>1</v>
      </c>
      <c r="Q53" s="575">
        <v>1</v>
      </c>
      <c r="R53" s="575">
        <v>1</v>
      </c>
      <c r="T53" s="172">
        <f t="shared" si="50"/>
        <v>1</v>
      </c>
      <c r="U53" s="179">
        <f>IF(AND(ADBT0=ADBT1,ADIND_option03=AD_no),Poeng!T53,0)</f>
        <v>0</v>
      </c>
      <c r="V53" s="35"/>
      <c r="W53" s="35"/>
      <c r="X53" s="135"/>
      <c r="Y53" s="136">
        <f>IF($Y$4=$Y$6,T53,0)</f>
        <v>0</v>
      </c>
      <c r="Z53" s="849">
        <f>VLOOKUP(B53,'Manuell filtrering og justering'!$A$7:$H$107,'Manuell filtrering og justering'!$H$1,FALSE)</f>
        <v>1</v>
      </c>
      <c r="AA53" s="136">
        <f t="shared" si="51"/>
        <v>0</v>
      </c>
      <c r="AB53" s="137">
        <f>IF($AC$5='Manuell filtrering og justering'!$J$2,Z53,(T53-AA53))</f>
        <v>1</v>
      </c>
      <c r="AC53" s="496">
        <v>53</v>
      </c>
      <c r="AD53" s="138">
        <f t="shared" si="52"/>
        <v>8.4210526315789472E-3</v>
      </c>
      <c r="AE53" s="138">
        <f t="shared" si="59"/>
        <v>0</v>
      </c>
      <c r="AF53" s="138">
        <f t="shared" si="60"/>
        <v>0</v>
      </c>
      <c r="AG53" s="138">
        <f t="shared" si="61"/>
        <v>0</v>
      </c>
      <c r="AI53" s="139">
        <f t="shared" si="71"/>
        <v>0</v>
      </c>
      <c r="AJ53" s="139">
        <f t="shared" si="72"/>
        <v>0</v>
      </c>
      <c r="AK53" s="139">
        <f t="shared" si="73"/>
        <v>0</v>
      </c>
      <c r="AM53" s="236"/>
      <c r="AN53" s="237"/>
      <c r="AO53" s="237"/>
      <c r="AP53" s="237"/>
      <c r="AQ53" s="238"/>
      <c r="AS53" s="236"/>
      <c r="AT53" s="237"/>
      <c r="AU53" s="237"/>
      <c r="AV53" s="237"/>
      <c r="AW53" s="238"/>
      <c r="AY53" s="134"/>
      <c r="AZ53" s="35"/>
      <c r="BA53" s="35"/>
      <c r="BB53" s="35"/>
      <c r="BC53" s="135"/>
      <c r="BD53" s="513">
        <f t="shared" si="67"/>
        <v>9</v>
      </c>
      <c r="BE53" s="35" t="str">
        <f t="shared" si="53"/>
        <v>N/A</v>
      </c>
      <c r="BF53" s="151"/>
      <c r="BG53" s="148">
        <f t="shared" si="68"/>
        <v>9</v>
      </c>
      <c r="BH53" s="35" t="str">
        <f t="shared" si="54"/>
        <v>N/A</v>
      </c>
      <c r="BI53" s="151"/>
      <c r="BJ53" s="148">
        <f t="shared" si="69"/>
        <v>9</v>
      </c>
      <c r="BK53" s="35" t="str">
        <f t="shared" si="55"/>
        <v>N/A</v>
      </c>
      <c r="BL53" s="151"/>
      <c r="BO53" s="35"/>
      <c r="BP53" s="35"/>
      <c r="BQ53" s="35" t="str">
        <f t="shared" si="10"/>
        <v/>
      </c>
      <c r="BR53" s="35">
        <f t="shared" si="42"/>
        <v>9</v>
      </c>
      <c r="BS53" s="35">
        <f t="shared" si="43"/>
        <v>9</v>
      </c>
      <c r="BT53" s="35">
        <f t="shared" si="44"/>
        <v>9</v>
      </c>
      <c r="BW53" s="35"/>
      <c r="BX53" s="35"/>
      <c r="BY53" s="53"/>
      <c r="BZ53" s="35"/>
      <c r="CA53" s="507"/>
      <c r="CB53" s="35"/>
      <c r="CE53" s="35"/>
      <c r="CG53" s="54"/>
      <c r="CO53" s="35">
        <f>'Pre-analyseverktøy'!H53</f>
        <v>0</v>
      </c>
      <c r="CP53" s="35">
        <f>'Pre-analyseverktøy'!O53</f>
        <v>0</v>
      </c>
      <c r="CQ53" s="35">
        <f>'Pre-analyseverktøy'!V53</f>
        <v>0</v>
      </c>
      <c r="CR53" s="35" t="str">
        <f>'Pre-analyseverktøy'!F53</f>
        <v>Prosjektering for fremtidig termisk komfort</v>
      </c>
      <c r="CS53" s="35" t="b">
        <f t="shared" si="62"/>
        <v>1</v>
      </c>
    </row>
    <row r="54" spans="1:97">
      <c r="A54">
        <v>46</v>
      </c>
      <c r="B54" t="str">
        <f>$D$51&amp;D54</f>
        <v>Hea 03c</v>
      </c>
      <c r="C54" t="str">
        <f t="shared" si="13"/>
        <v>Hea 03</v>
      </c>
      <c r="D54" s="134" t="s">
        <v>777</v>
      </c>
      <c r="E54" s="813" t="s">
        <v>980</v>
      </c>
      <c r="F54" s="575">
        <v>1</v>
      </c>
      <c r="G54" s="575">
        <v>1</v>
      </c>
      <c r="H54" s="575">
        <v>1</v>
      </c>
      <c r="I54" s="575">
        <v>1</v>
      </c>
      <c r="J54" s="575">
        <v>1</v>
      </c>
      <c r="K54" s="575">
        <v>1</v>
      </c>
      <c r="L54" s="575">
        <v>1</v>
      </c>
      <c r="M54" s="575">
        <v>1</v>
      </c>
      <c r="N54" s="575">
        <v>1</v>
      </c>
      <c r="O54" s="575">
        <v>1</v>
      </c>
      <c r="P54" s="575">
        <v>1</v>
      </c>
      <c r="Q54" s="575">
        <v>1</v>
      </c>
      <c r="R54" s="575">
        <v>1</v>
      </c>
      <c r="T54" s="172">
        <f t="shared" si="50"/>
        <v>1</v>
      </c>
      <c r="U54" s="179">
        <f>IF(AND(ADBT0=ADBT1,ADIND_option03=AD_no),Poeng!T54,0)</f>
        <v>0</v>
      </c>
      <c r="V54" s="35"/>
      <c r="W54" s="35"/>
      <c r="X54" s="135"/>
      <c r="Y54" s="136">
        <f>IF(OR($Y$4=$Y$5,$Y$4=$Y$6),T54,0)</f>
        <v>0</v>
      </c>
      <c r="Z54" s="849">
        <f>VLOOKUP(B54,'Manuell filtrering og justering'!$A$7:$H$107,'Manuell filtrering og justering'!$H$1,FALSE)</f>
        <v>1</v>
      </c>
      <c r="AA54" s="136">
        <f t="shared" si="51"/>
        <v>0</v>
      </c>
      <c r="AB54" s="137">
        <f>IF($AC$5='Manuell filtrering og justering'!$J$2,Z54,(T54-AA54))</f>
        <v>1</v>
      </c>
      <c r="AC54" s="496">
        <v>54</v>
      </c>
      <c r="AD54" s="138">
        <f t="shared" si="52"/>
        <v>8.4210526315789472E-3</v>
      </c>
      <c r="AE54" s="138">
        <f t="shared" si="59"/>
        <v>0</v>
      </c>
      <c r="AF54" s="138">
        <f t="shared" si="60"/>
        <v>0</v>
      </c>
      <c r="AG54" s="138">
        <f t="shared" si="61"/>
        <v>0</v>
      </c>
      <c r="AI54" s="139">
        <f t="shared" si="71"/>
        <v>0</v>
      </c>
      <c r="AJ54" s="139">
        <f t="shared" si="72"/>
        <v>0</v>
      </c>
      <c r="AK54" s="139">
        <f t="shared" si="73"/>
        <v>0</v>
      </c>
      <c r="AM54" s="236"/>
      <c r="AN54" s="237"/>
      <c r="AO54" s="237"/>
      <c r="AP54" s="237"/>
      <c r="AQ54" s="238"/>
      <c r="AS54" s="236"/>
      <c r="AT54" s="237"/>
      <c r="AU54" s="237"/>
      <c r="AV54" s="237"/>
      <c r="AW54" s="238"/>
      <c r="AY54" s="134"/>
      <c r="AZ54" s="35"/>
      <c r="BA54" s="35"/>
      <c r="BB54" s="35"/>
      <c r="BC54" s="135"/>
      <c r="BD54" s="513">
        <f t="shared" si="67"/>
        <v>9</v>
      </c>
      <c r="BE54" s="35" t="str">
        <f t="shared" si="53"/>
        <v>N/A</v>
      </c>
      <c r="BF54" s="151"/>
      <c r="BG54" s="148">
        <f t="shared" si="68"/>
        <v>9</v>
      </c>
      <c r="BH54" s="35" t="str">
        <f t="shared" si="54"/>
        <v>N/A</v>
      </c>
      <c r="BI54" s="151"/>
      <c r="BJ54" s="148">
        <f t="shared" si="69"/>
        <v>9</v>
      </c>
      <c r="BK54" s="35" t="str">
        <f t="shared" si="55"/>
        <v>N/A</v>
      </c>
      <c r="BL54" s="151"/>
      <c r="BO54" s="35"/>
      <c r="BP54" s="35"/>
      <c r="BQ54" s="35" t="str">
        <f t="shared" si="10"/>
        <v/>
      </c>
      <c r="BR54" s="35">
        <f t="shared" si="42"/>
        <v>9</v>
      </c>
      <c r="BS54" s="35">
        <f t="shared" si="43"/>
        <v>9</v>
      </c>
      <c r="BT54" s="35">
        <f t="shared" si="44"/>
        <v>9</v>
      </c>
      <c r="BW54" s="35"/>
      <c r="BX54" s="35"/>
      <c r="BY54" s="53"/>
      <c r="BZ54" s="35"/>
      <c r="CA54" s="507"/>
      <c r="CB54" s="35"/>
      <c r="CE54" s="35"/>
      <c r="CG54" s="54"/>
      <c r="CO54" s="35">
        <f>'Pre-analyseverktøy'!H54</f>
        <v>0</v>
      </c>
      <c r="CP54" s="35">
        <f>'Pre-analyseverktøy'!O54</f>
        <v>0</v>
      </c>
      <c r="CQ54" s="35">
        <f>'Pre-analyseverktøy'!V54</f>
        <v>0</v>
      </c>
      <c r="CR54" s="35" t="str">
        <f>'Pre-analyseverktøy'!F54</f>
        <v>Termisk soning og reguleringsfunksjoner</v>
      </c>
      <c r="CS54" s="35" t="b">
        <f t="shared" si="62"/>
        <v>1</v>
      </c>
    </row>
    <row r="55" spans="1:97">
      <c r="A55">
        <v>47</v>
      </c>
      <c r="D55" s="516" t="s">
        <v>784</v>
      </c>
      <c r="E55" s="517"/>
      <c r="F55" s="713"/>
      <c r="G55" s="713"/>
      <c r="H55" s="713"/>
      <c r="I55" s="713"/>
      <c r="J55" s="713"/>
      <c r="K55" s="713"/>
      <c r="L55" s="713"/>
      <c r="M55" s="713"/>
      <c r="N55" s="713"/>
      <c r="O55" s="713"/>
      <c r="P55" s="713"/>
      <c r="Q55" s="713"/>
      <c r="R55" s="713"/>
      <c r="T55" s="730"/>
      <c r="U55" s="516"/>
      <c r="V55" s="515"/>
      <c r="W55" s="515"/>
      <c r="X55" s="723"/>
      <c r="Y55" s="724"/>
      <c r="Z55" s="849"/>
      <c r="AA55" s="724"/>
      <c r="AB55" s="725"/>
      <c r="AC55" s="496">
        <v>55</v>
      </c>
      <c r="AD55" s="138">
        <f t="shared" si="52"/>
        <v>0</v>
      </c>
      <c r="AE55" s="728"/>
      <c r="AF55" s="728"/>
      <c r="AG55" s="728"/>
      <c r="AI55" s="530"/>
      <c r="AJ55" s="530"/>
      <c r="AK55" s="530"/>
      <c r="AL55" t="s">
        <v>216</v>
      </c>
      <c r="AM55" s="236"/>
      <c r="AN55" s="237"/>
      <c r="AO55" s="237"/>
      <c r="AP55" s="237"/>
      <c r="AQ55" s="238"/>
      <c r="AS55" s="236"/>
      <c r="AT55" s="237"/>
      <c r="AU55" s="237"/>
      <c r="AV55" s="237"/>
      <c r="AW55" s="238"/>
      <c r="AY55" s="134"/>
      <c r="AZ55" s="35"/>
      <c r="BA55" s="35"/>
      <c r="BB55" s="35"/>
      <c r="BC55" s="135"/>
      <c r="BD55" s="513">
        <f t="shared" si="67"/>
        <v>9</v>
      </c>
      <c r="BE55" s="35" t="str">
        <f t="shared" si="53"/>
        <v>N/A</v>
      </c>
      <c r="BF55" s="151"/>
      <c r="BG55" s="148">
        <f t="shared" si="68"/>
        <v>9</v>
      </c>
      <c r="BH55" s="35" t="str">
        <f t="shared" si="54"/>
        <v>N/A</v>
      </c>
      <c r="BI55" s="151"/>
      <c r="BJ55" s="148">
        <f t="shared" si="69"/>
        <v>9</v>
      </c>
      <c r="BK55" s="35" t="str">
        <f t="shared" si="55"/>
        <v>N/A</v>
      </c>
      <c r="BL55" s="151"/>
      <c r="BO55" s="35"/>
      <c r="BP55" s="35"/>
      <c r="BQ55" s="35" t="str">
        <f t="shared" si="10"/>
        <v/>
      </c>
      <c r="BR55" s="35">
        <f t="shared" si="42"/>
        <v>9</v>
      </c>
      <c r="BS55" s="35">
        <f t="shared" si="43"/>
        <v>9</v>
      </c>
      <c r="BT55" s="35">
        <f t="shared" si="44"/>
        <v>9</v>
      </c>
      <c r="BW55" s="35" t="str">
        <f>D55</f>
        <v>Hea 04</v>
      </c>
      <c r="BX55" s="35" t="str">
        <f>IFERROR(VLOOKUP($E55,'Pre-analyseverktøy'!$F$11:$AC$226,'Pre-analyseverktøy'!AC$2,FALSE),"")</f>
        <v/>
      </c>
      <c r="BY55" s="53" t="str">
        <f>IFERROR(VLOOKUP($E55,'Pre-analyseverktøy'!$F$11:$AJ$226,'Pre-analyseverktøy'!AJ$2,FALSE),"")</f>
        <v/>
      </c>
      <c r="BZ55" s="35" t="str">
        <f>IFERROR(VLOOKUP($BX55,$E$293:$H$326,F$291,FALSE),"")</f>
        <v/>
      </c>
      <c r="CA55" s="507" t="s">
        <v>899</v>
      </c>
      <c r="CB55" s="35"/>
      <c r="CC55" t="str">
        <f>IFERROR(VLOOKUP($BX55,$E$293:$H$326,I$291,FALSE),"")</f>
        <v/>
      </c>
      <c r="CD55" t="s">
        <v>972</v>
      </c>
      <c r="CE55" s="35">
        <f>VLOOKUP(CA55,$CA$4:$CB$5,2,FALSE)</f>
        <v>1</v>
      </c>
      <c r="CG55" s="54">
        <f>IF($BX$5=ais_nei,CE55,IF(AND(CA55=$CA$4,BX55=$CC$4),0,BZ55))</f>
        <v>1</v>
      </c>
    </row>
    <row r="56" spans="1:97">
      <c r="A56">
        <v>48</v>
      </c>
      <c r="B56" s="109" t="str">
        <f>D56</f>
        <v>Hea 05</v>
      </c>
      <c r="C56" s="109" t="str">
        <f>B56</f>
        <v>Hea 05</v>
      </c>
      <c r="D56" s="631" t="s">
        <v>333</v>
      </c>
      <c r="E56" s="629" t="s">
        <v>981</v>
      </c>
      <c r="F56" s="711">
        <f t="shared" ref="F56:R56" si="74">SUM(F57:F58)</f>
        <v>3</v>
      </c>
      <c r="G56" s="711">
        <f t="shared" si="74"/>
        <v>3</v>
      </c>
      <c r="H56" s="711">
        <f t="shared" si="74"/>
        <v>4</v>
      </c>
      <c r="I56" s="711">
        <f t="shared" si="74"/>
        <v>3</v>
      </c>
      <c r="J56" s="711">
        <f t="shared" si="74"/>
        <v>3</v>
      </c>
      <c r="K56" s="711">
        <f t="shared" si="74"/>
        <v>3</v>
      </c>
      <c r="L56" s="711">
        <f t="shared" si="74"/>
        <v>3</v>
      </c>
      <c r="M56" s="711">
        <f t="shared" si="74"/>
        <v>4</v>
      </c>
      <c r="N56" s="711">
        <f t="shared" si="74"/>
        <v>4</v>
      </c>
      <c r="O56" s="711">
        <f t="shared" si="74"/>
        <v>3</v>
      </c>
      <c r="P56" s="711">
        <f t="shared" si="74"/>
        <v>3</v>
      </c>
      <c r="Q56" s="711">
        <f>SUM(Q57:Q58)</f>
        <v>3</v>
      </c>
      <c r="R56" s="711">
        <f t="shared" si="74"/>
        <v>3</v>
      </c>
      <c r="S56" s="496" t="s">
        <v>982</v>
      </c>
      <c r="T56" s="729">
        <f t="shared" ref="T56:T61" si="75">HLOOKUP($E$6,$F$9:$R$231,$A56,FALSE)</f>
        <v>3</v>
      </c>
      <c r="U56" s="179"/>
      <c r="V56" s="53"/>
      <c r="W56" s="53"/>
      <c r="X56" s="805">
        <f>'Manuell filtrering og justering'!E21</f>
        <v>0</v>
      </c>
      <c r="Y56" s="731"/>
      <c r="Z56" s="866">
        <f>SUM(Z57:Z58)</f>
        <v>3</v>
      </c>
      <c r="AA56" s="731">
        <f t="shared" ref="AA56:AA61" si="76">IF(SUM(U56:Y56)&gt;T56,T56,SUM(U56:Y56))</f>
        <v>0</v>
      </c>
      <c r="AB56" s="782">
        <f>SUM(AB57:AB58)</f>
        <v>3</v>
      </c>
      <c r="AC56" s="496">
        <v>56</v>
      </c>
      <c r="AD56" s="138">
        <f t="shared" si="52"/>
        <v>2.5263157894736842E-2</v>
      </c>
      <c r="AE56" s="701">
        <f>SUM(AE57:AE58)</f>
        <v>0</v>
      </c>
      <c r="AF56" s="701">
        <f>SUM(AF57:AF58)</f>
        <v>0</v>
      </c>
      <c r="AG56" s="701">
        <f>SUM(AG57:AG58)</f>
        <v>0</v>
      </c>
      <c r="AI56" s="726">
        <f>SUM(AI57:AI58)</f>
        <v>0</v>
      </c>
      <c r="AJ56" s="726">
        <f>SUM(AJ57:AJ58)</f>
        <v>0</v>
      </c>
      <c r="AK56" s="726">
        <f>SUM(AK57:AK58)</f>
        <v>0</v>
      </c>
      <c r="AM56" s="236"/>
      <c r="AN56" s="237"/>
      <c r="AO56" s="237"/>
      <c r="AP56" s="237"/>
      <c r="AQ56" s="238"/>
      <c r="AS56" s="236"/>
      <c r="AT56" s="237"/>
      <c r="AU56" s="237"/>
      <c r="AV56" s="237"/>
      <c r="AW56" s="238"/>
      <c r="AY56" s="134"/>
      <c r="AZ56" s="35"/>
      <c r="BA56" s="35"/>
      <c r="BB56" s="35"/>
      <c r="BC56" s="135"/>
      <c r="BD56" s="513">
        <f t="shared" si="67"/>
        <v>9</v>
      </c>
      <c r="BE56" s="35" t="str">
        <f t="shared" si="53"/>
        <v>N/A</v>
      </c>
      <c r="BF56" s="151"/>
      <c r="BG56" s="148">
        <f t="shared" si="68"/>
        <v>9</v>
      </c>
      <c r="BH56" s="35" t="str">
        <f t="shared" si="54"/>
        <v>N/A</v>
      </c>
      <c r="BI56" s="151"/>
      <c r="BJ56" s="148">
        <f t="shared" si="69"/>
        <v>9</v>
      </c>
      <c r="BK56" s="35" t="str">
        <f t="shared" si="55"/>
        <v>N/A</v>
      </c>
      <c r="BL56" s="151"/>
      <c r="BO56" s="35"/>
      <c r="BP56" s="35"/>
      <c r="BQ56" s="35" t="str">
        <f t="shared" si="10"/>
        <v/>
      </c>
      <c r="BR56" s="35">
        <f t="shared" si="42"/>
        <v>9</v>
      </c>
      <c r="BS56" s="35">
        <f t="shared" si="43"/>
        <v>9</v>
      </c>
      <c r="BT56" s="35">
        <f t="shared" si="44"/>
        <v>9</v>
      </c>
      <c r="BW56" s="35" t="str">
        <f>D56</f>
        <v>Hea 05</v>
      </c>
      <c r="BX56" s="35" t="str">
        <f>IFERROR(VLOOKUP($E56,'Pre-analyseverktøy'!$F$11:$AC$226,'Pre-analyseverktøy'!AC$2,FALSE),"")</f>
        <v>No</v>
      </c>
      <c r="BY56" s="35">
        <f>IFERROR(VLOOKUP($E56,'Pre-analyseverktøy'!$F$11:$AJ$226,'Pre-analyseverktøy'!AJ$2,FALSE),"")</f>
        <v>0</v>
      </c>
      <c r="BZ56" s="35">
        <f>IFERROR(VLOOKUP($BX56,$E$293:$H$326,F$291,FALSE),"")</f>
        <v>1</v>
      </c>
      <c r="CA56" s="35">
        <f>IFERROR(VLOOKUP($BX56,$E$293:$H$326,G$291,FALSE),"")</f>
        <v>0</v>
      </c>
      <c r="CB56" s="35"/>
      <c r="CC56" t="str">
        <f>IFERROR(VLOOKUP($BX56,$E$293:$H$326,I$291,FALSE),"")</f>
        <v/>
      </c>
    </row>
    <row r="57" spans="1:97">
      <c r="A57">
        <v>49</v>
      </c>
      <c r="C57" t="str">
        <f t="shared" si="13"/>
        <v>Hea 05</v>
      </c>
      <c r="D57" s="132" t="s">
        <v>775</v>
      </c>
      <c r="E57" s="717" t="s">
        <v>983</v>
      </c>
      <c r="F57" s="573"/>
      <c r="G57" s="573"/>
      <c r="H57" s="573"/>
      <c r="I57" s="573"/>
      <c r="J57" s="573"/>
      <c r="K57" s="573"/>
      <c r="L57" s="573"/>
      <c r="M57" s="573"/>
      <c r="N57" s="573"/>
      <c r="O57" s="573"/>
      <c r="P57" s="573"/>
      <c r="Q57" s="573"/>
      <c r="R57" s="573"/>
      <c r="S57" s="496"/>
      <c r="T57" s="172">
        <f t="shared" si="75"/>
        <v>0</v>
      </c>
      <c r="U57" s="134"/>
      <c r="V57" s="35"/>
      <c r="W57" s="35"/>
      <c r="X57" s="135"/>
      <c r="Y57" s="136"/>
      <c r="Z57" s="849"/>
      <c r="AA57" s="136">
        <f t="shared" si="76"/>
        <v>0</v>
      </c>
      <c r="AB57" s="137">
        <f>IF($AC$5='Manuell filtrering og justering'!$J$2,Z57,(T57-AA57))</f>
        <v>0</v>
      </c>
      <c r="AC57" s="496">
        <v>57</v>
      </c>
      <c r="AD57" s="138">
        <f t="shared" si="52"/>
        <v>0</v>
      </c>
      <c r="AE57" s="138">
        <f t="shared" si="59"/>
        <v>0</v>
      </c>
      <c r="AF57" s="138">
        <f t="shared" si="60"/>
        <v>0</v>
      </c>
      <c r="AG57" s="138">
        <f t="shared" si="61"/>
        <v>0</v>
      </c>
      <c r="AI57" s="139">
        <f t="shared" ref="AI57" si="77">IF(CO57&gt;$AB57,$AB57,CO57)</f>
        <v>0</v>
      </c>
      <c r="AJ57" s="139">
        <f t="shared" ref="AJ57" si="78">IF(CP57&gt;$AB57,$AB57,CP57)</f>
        <v>0</v>
      </c>
      <c r="AK57" s="139">
        <f t="shared" ref="AK57" si="79">IF(CQ57&gt;$AB57,$AB57,CQ57)</f>
        <v>0</v>
      </c>
      <c r="AM57" s="236"/>
      <c r="AN57" s="237"/>
      <c r="AO57" s="237"/>
      <c r="AP57" s="237"/>
      <c r="AQ57" s="238"/>
      <c r="AS57" s="236"/>
      <c r="AT57" s="237"/>
      <c r="AU57" s="237"/>
      <c r="AV57" s="237"/>
      <c r="AW57" s="238"/>
      <c r="AY57" s="134"/>
      <c r="AZ57" s="35"/>
      <c r="BA57" s="35"/>
      <c r="BB57" s="35"/>
      <c r="BC57" s="135"/>
      <c r="BD57" s="513">
        <f t="shared" si="67"/>
        <v>9</v>
      </c>
      <c r="BE57" s="35" t="str">
        <f t="shared" si="53"/>
        <v>N/A</v>
      </c>
      <c r="BF57" s="151"/>
      <c r="BG57" s="148">
        <f t="shared" si="68"/>
        <v>9</v>
      </c>
      <c r="BH57" s="35" t="str">
        <f t="shared" si="54"/>
        <v>N/A</v>
      </c>
      <c r="BI57" s="151"/>
      <c r="BJ57" s="148">
        <f t="shared" si="69"/>
        <v>9</v>
      </c>
      <c r="BK57" s="35" t="str">
        <f t="shared" si="55"/>
        <v>N/A</v>
      </c>
      <c r="BL57" s="151"/>
      <c r="BO57" s="35"/>
      <c r="BP57" s="35"/>
      <c r="BQ57" s="35" t="str">
        <f t="shared" si="10"/>
        <v/>
      </c>
      <c r="BR57" s="35">
        <f t="shared" si="42"/>
        <v>9</v>
      </c>
      <c r="BS57" s="35">
        <f t="shared" si="43"/>
        <v>9</v>
      </c>
      <c r="BT57" s="35">
        <f t="shared" si="44"/>
        <v>9</v>
      </c>
      <c r="BW57" s="35"/>
      <c r="BX57" s="35"/>
      <c r="BY57" s="35"/>
      <c r="BZ57" s="35"/>
      <c r="CA57" s="35"/>
      <c r="CB57" s="35"/>
    </row>
    <row r="58" spans="1:97">
      <c r="A58">
        <v>50</v>
      </c>
      <c r="B58" t="str">
        <f>$D$56&amp;D58</f>
        <v>Hea 05b</v>
      </c>
      <c r="C58" t="str">
        <f t="shared" si="13"/>
        <v>Hea 05</v>
      </c>
      <c r="D58" s="132" t="s">
        <v>776</v>
      </c>
      <c r="E58" s="813" t="s">
        <v>984</v>
      </c>
      <c r="F58" s="575">
        <v>3</v>
      </c>
      <c r="G58" s="575">
        <v>3</v>
      </c>
      <c r="H58" s="763">
        <v>4</v>
      </c>
      <c r="I58" s="575">
        <v>3</v>
      </c>
      <c r="J58" s="575">
        <v>3</v>
      </c>
      <c r="K58" s="575">
        <v>3</v>
      </c>
      <c r="L58" s="575">
        <v>3</v>
      </c>
      <c r="M58" s="763">
        <v>4</v>
      </c>
      <c r="N58" s="763">
        <v>4</v>
      </c>
      <c r="O58" s="575">
        <v>3</v>
      </c>
      <c r="P58" s="575">
        <v>3</v>
      </c>
      <c r="Q58" s="575">
        <v>3</v>
      </c>
      <c r="R58" s="575">
        <v>3</v>
      </c>
      <c r="S58" s="496"/>
      <c r="T58" s="172">
        <f t="shared" si="75"/>
        <v>3</v>
      </c>
      <c r="U58" s="134"/>
      <c r="V58" s="35"/>
      <c r="W58" s="35"/>
      <c r="X58" s="135"/>
      <c r="Y58" s="136">
        <f>IF($Y$4=$Y$6,T58,0)</f>
        <v>0</v>
      </c>
      <c r="Z58" s="849">
        <f>VLOOKUP(B58,'Manuell filtrering og justering'!$A$7:$H$107,'Manuell filtrering og justering'!$H$1,FALSE)</f>
        <v>3</v>
      </c>
      <c r="AA58" s="136">
        <f t="shared" si="76"/>
        <v>0</v>
      </c>
      <c r="AB58" s="137">
        <f>IF($AC$5='Manuell filtrering og justering'!$J$2,Z58,(T58-AA58))</f>
        <v>3</v>
      </c>
      <c r="AC58" s="496">
        <v>58</v>
      </c>
      <c r="AD58" s="138">
        <f t="shared" si="52"/>
        <v>2.5263157894736842E-2</v>
      </c>
      <c r="AE58" s="138">
        <f t="shared" si="59"/>
        <v>0</v>
      </c>
      <c r="AF58" s="138">
        <f t="shared" si="60"/>
        <v>0</v>
      </c>
      <c r="AG58" s="138">
        <f t="shared" si="61"/>
        <v>0</v>
      </c>
      <c r="AI58" s="783">
        <f>IF(AI237=AD_no,0,IF(VLOOKUP(E58,'Pre-analyseverktøy'!$F$11:$AA$226,'Pre-analyseverktøy'!$H$2,FALSE)&gt;AB58,AB58,VLOOKUP(E58,'Pre-analyseverktøy'!$F$11:$AA$226,'Pre-analyseverktøy'!$H$2,FALSE)))</f>
        <v>0</v>
      </c>
      <c r="AJ58" s="783">
        <f>IF(AJ237=AD_no,0,IF(VLOOKUP(E58,'Pre-analyseverktøy'!$F$11:$AA$226,'Pre-analyseverktøy'!$O$2,FALSE)&gt;AB58,AB58,VLOOKUP(E58,'Pre-analyseverktøy'!$F$11:$AA$226,'Pre-analyseverktøy'!$O$2,FALSE)))</f>
        <v>0</v>
      </c>
      <c r="AK58" s="783">
        <f>IF(AK237=AD_no,0,IF(VLOOKUP(E58,'Pre-analyseverktøy'!$F$11:$AA$226,'Pre-analyseverktøy'!$V$2,FALSE)&gt;AB58,AB58,VLOOKUP(E58,'Pre-analyseverktøy'!$F$11:$AA$226,'Pre-analyseverktøy'!$V$2,FALSE)))</f>
        <v>0</v>
      </c>
      <c r="AM58" s="236"/>
      <c r="AN58" s="237"/>
      <c r="AO58" s="237"/>
      <c r="AP58" s="237"/>
      <c r="AQ58" s="238"/>
      <c r="AS58" s="236"/>
      <c r="AT58" s="237"/>
      <c r="AU58" s="237"/>
      <c r="AV58" s="237"/>
      <c r="AW58" s="238"/>
      <c r="AY58" s="134"/>
      <c r="AZ58" s="35"/>
      <c r="BA58" s="35"/>
      <c r="BB58" s="35"/>
      <c r="BC58" s="135"/>
      <c r="BD58" s="513">
        <f t="shared" si="67"/>
        <v>9</v>
      </c>
      <c r="BE58" s="35" t="str">
        <f t="shared" si="53"/>
        <v>N/A</v>
      </c>
      <c r="BF58" s="151"/>
      <c r="BG58" s="148">
        <f t="shared" si="68"/>
        <v>9</v>
      </c>
      <c r="BH58" s="35" t="str">
        <f t="shared" si="54"/>
        <v>N/A</v>
      </c>
      <c r="BI58" s="151"/>
      <c r="BJ58" s="148">
        <f t="shared" si="69"/>
        <v>9</v>
      </c>
      <c r="BK58" s="35" t="str">
        <f t="shared" si="55"/>
        <v>N/A</v>
      </c>
      <c r="BL58" s="151"/>
      <c r="BO58" s="35"/>
      <c r="BP58" s="35"/>
      <c r="BQ58" s="35" t="str">
        <f t="shared" si="10"/>
        <v/>
      </c>
      <c r="BR58" s="35">
        <f t="shared" si="42"/>
        <v>9</v>
      </c>
      <c r="BS58" s="35">
        <f t="shared" si="43"/>
        <v>9</v>
      </c>
      <c r="BT58" s="35">
        <f t="shared" si="44"/>
        <v>9</v>
      </c>
      <c r="BW58" s="35"/>
      <c r="BX58" s="35"/>
      <c r="BY58" s="35"/>
      <c r="BZ58" s="35"/>
      <c r="CA58" s="35"/>
      <c r="CB58" s="35"/>
      <c r="CO58" s="35">
        <f>'Pre-analyseverktøy'!H57</f>
        <v>0</v>
      </c>
      <c r="CP58" s="35">
        <f>'Pre-analyseverktøy'!O57</f>
        <v>0</v>
      </c>
      <c r="CQ58" s="35">
        <f>'Pre-analyseverktøy'!V57</f>
        <v>0</v>
      </c>
      <c r="CR58" s="35" t="str">
        <f>'Pre-analyseverktøy'!F57</f>
        <v>Krav til lydklasse</v>
      </c>
      <c r="CS58" s="35" t="b">
        <f t="shared" si="62"/>
        <v>1</v>
      </c>
    </row>
    <row r="59" spans="1:97">
      <c r="A59">
        <v>51</v>
      </c>
      <c r="B59" s="109" t="str">
        <f>D59</f>
        <v>Hea 06</v>
      </c>
      <c r="C59" s="109" t="str">
        <f>B59</f>
        <v>Hea 06</v>
      </c>
      <c r="D59" s="631" t="s">
        <v>337</v>
      </c>
      <c r="E59" s="629" t="s">
        <v>985</v>
      </c>
      <c r="F59" s="711">
        <f t="shared" ref="F59:R59" si="80">SUM(F60:F61)</f>
        <v>2</v>
      </c>
      <c r="G59" s="711">
        <f t="shared" si="80"/>
        <v>2</v>
      </c>
      <c r="H59" s="711">
        <f t="shared" si="80"/>
        <v>3</v>
      </c>
      <c r="I59" s="711">
        <f t="shared" si="80"/>
        <v>2</v>
      </c>
      <c r="J59" s="711">
        <f t="shared" si="80"/>
        <v>2</v>
      </c>
      <c r="K59" s="711">
        <f t="shared" si="80"/>
        <v>2</v>
      </c>
      <c r="L59" s="711">
        <f t="shared" si="80"/>
        <v>2</v>
      </c>
      <c r="M59" s="711">
        <f t="shared" si="80"/>
        <v>3</v>
      </c>
      <c r="N59" s="711">
        <f t="shared" si="80"/>
        <v>2</v>
      </c>
      <c r="O59" s="711">
        <f t="shared" si="80"/>
        <v>2</v>
      </c>
      <c r="P59" s="711">
        <f t="shared" si="80"/>
        <v>2</v>
      </c>
      <c r="Q59" s="711">
        <f>SUM(Q60:Q61)</f>
        <v>2</v>
      </c>
      <c r="R59" s="711">
        <f t="shared" si="80"/>
        <v>2</v>
      </c>
      <c r="S59" s="727" t="s">
        <v>986</v>
      </c>
      <c r="T59" s="729">
        <f t="shared" si="75"/>
        <v>2</v>
      </c>
      <c r="U59" s="179"/>
      <c r="V59" s="53"/>
      <c r="W59" s="53"/>
      <c r="X59" s="805">
        <f>'Manuell filtrering og justering'!E22</f>
        <v>0</v>
      </c>
      <c r="Y59" s="731"/>
      <c r="Z59" s="866">
        <f>SUM(Z60:Z61)</f>
        <v>3</v>
      </c>
      <c r="AA59" s="731">
        <f t="shared" si="76"/>
        <v>0</v>
      </c>
      <c r="AB59" s="782">
        <f>SUM(AB60:AB61)</f>
        <v>2</v>
      </c>
      <c r="AC59" s="496">
        <v>59</v>
      </c>
      <c r="AD59" s="138">
        <f t="shared" si="52"/>
        <v>1.6842105263157894E-2</v>
      </c>
      <c r="AE59" s="701">
        <f>SUM(AE60:AE61)</f>
        <v>0</v>
      </c>
      <c r="AF59" s="701">
        <f>SUM(AF60:AF62)</f>
        <v>0</v>
      </c>
      <c r="AG59" s="701">
        <f>SUM(AG60:AG62)</f>
        <v>0</v>
      </c>
      <c r="AI59" s="726">
        <f>SUM(AI60:AI61)</f>
        <v>0</v>
      </c>
      <c r="AJ59" s="726">
        <f>SUM(AJ60:AJ61)</f>
        <v>0</v>
      </c>
      <c r="AK59" s="726">
        <f>SUM(AK60:AK61)</f>
        <v>0</v>
      </c>
      <c r="AM59" s="236"/>
      <c r="AN59" s="237"/>
      <c r="AO59" s="237"/>
      <c r="AP59" s="237"/>
      <c r="AQ59" s="238"/>
      <c r="AS59" s="236"/>
      <c r="AT59" s="237"/>
      <c r="AU59" s="237"/>
      <c r="AV59" s="237"/>
      <c r="AW59" s="238"/>
      <c r="AY59" s="134"/>
      <c r="AZ59" s="35"/>
      <c r="BA59" s="35"/>
      <c r="BB59" s="35"/>
      <c r="BC59" s="135"/>
      <c r="BD59" s="513">
        <f t="shared" si="67"/>
        <v>9</v>
      </c>
      <c r="BE59" s="35" t="str">
        <f t="shared" si="53"/>
        <v>N/A</v>
      </c>
      <c r="BF59" s="151"/>
      <c r="BG59" s="148">
        <f t="shared" si="68"/>
        <v>9</v>
      </c>
      <c r="BH59" s="35" t="str">
        <f t="shared" si="54"/>
        <v>N/A</v>
      </c>
      <c r="BI59" s="151"/>
      <c r="BJ59" s="148">
        <f t="shared" si="69"/>
        <v>9</v>
      </c>
      <c r="BK59" s="35" t="str">
        <f t="shared" si="55"/>
        <v>N/A</v>
      </c>
      <c r="BL59" s="151"/>
      <c r="BO59" s="35"/>
      <c r="BP59" s="35"/>
      <c r="BQ59" s="35" t="str">
        <f t="shared" si="10"/>
        <v/>
      </c>
      <c r="BR59" s="35">
        <f t="shared" si="42"/>
        <v>9</v>
      </c>
      <c r="BS59" s="35">
        <f t="shared" si="43"/>
        <v>9</v>
      </c>
      <c r="BT59" s="35">
        <f t="shared" si="44"/>
        <v>9</v>
      </c>
      <c r="BW59" s="35" t="str">
        <f>D59</f>
        <v>Hea 06</v>
      </c>
      <c r="BX59" s="35" t="str">
        <f>IFERROR(VLOOKUP($E59,'Pre-analyseverktøy'!$F$11:$AC$226,'Pre-analyseverktøy'!AC$2,FALSE),"")</f>
        <v>N/A</v>
      </c>
      <c r="BY59" s="35">
        <f>IFERROR(VLOOKUP($E59,'Pre-analyseverktøy'!$F$11:$AJ$226,'Pre-analyseverktøy'!AJ$2,FALSE),"")</f>
        <v>0</v>
      </c>
      <c r="BZ59" s="35">
        <f>IFERROR(VLOOKUP($BX59,$E$293:$H$326,F$291,FALSE),"")</f>
        <v>1</v>
      </c>
      <c r="CA59" s="35">
        <f>IFERROR(VLOOKUP($BX59,$E$293:$H$326,G$291,FALSE),"")</f>
        <v>0</v>
      </c>
      <c r="CB59" s="35"/>
      <c r="CC59" t="str">
        <f>IFERROR(VLOOKUP($BX59,$E$293:$H$326,I$291,FALSE),"")</f>
        <v/>
      </c>
    </row>
    <row r="60" spans="1:97">
      <c r="A60">
        <v>52</v>
      </c>
      <c r="B60" t="str">
        <f>$D$59&amp;D60</f>
        <v>Hea 06a</v>
      </c>
      <c r="C60" t="str">
        <f t="shared" si="13"/>
        <v>Hea 06</v>
      </c>
      <c r="D60" s="132" t="s">
        <v>775</v>
      </c>
      <c r="E60" s="813" t="s">
        <v>987</v>
      </c>
      <c r="F60" s="575">
        <v>1</v>
      </c>
      <c r="G60" s="575">
        <v>1</v>
      </c>
      <c r="H60" s="763">
        <v>2</v>
      </c>
      <c r="I60" s="575">
        <v>1</v>
      </c>
      <c r="J60" s="575">
        <v>1</v>
      </c>
      <c r="K60" s="575">
        <v>1</v>
      </c>
      <c r="L60" s="575">
        <v>1</v>
      </c>
      <c r="M60" s="763">
        <v>2</v>
      </c>
      <c r="N60" s="575">
        <v>1</v>
      </c>
      <c r="O60" s="575">
        <v>1</v>
      </c>
      <c r="P60" s="575">
        <v>1</v>
      </c>
      <c r="Q60" s="575">
        <v>1</v>
      </c>
      <c r="R60" s="575">
        <v>1</v>
      </c>
      <c r="S60" s="600"/>
      <c r="T60" s="172">
        <f t="shared" si="75"/>
        <v>1</v>
      </c>
      <c r="U60" s="134">
        <f>IF(AND(T60=2,ADBT0=ADBT16,Prosjektdetaljer!F6&lt;&gt;Prosjektdetaljer!Z7),1,0)</f>
        <v>0</v>
      </c>
      <c r="V60" s="35"/>
      <c r="W60" s="35"/>
      <c r="X60" s="135"/>
      <c r="Y60" s="136">
        <f>IF($Y$4=$Y$6,T60,0)</f>
        <v>0</v>
      </c>
      <c r="Z60" s="849">
        <f>VLOOKUP(B60,'Manuell filtrering og justering'!$A$7:$H$107,'Manuell filtrering og justering'!$H$1,FALSE)</f>
        <v>2</v>
      </c>
      <c r="AA60" s="136">
        <f t="shared" si="76"/>
        <v>0</v>
      </c>
      <c r="AB60" s="137">
        <f>IF($AC$5='Manuell filtrering og justering'!$J$2,Z60,(T60-AA60))</f>
        <v>1</v>
      </c>
      <c r="AC60" s="496">
        <v>60</v>
      </c>
      <c r="AD60" s="138">
        <f t="shared" si="52"/>
        <v>8.4210526315789472E-3</v>
      </c>
      <c r="AE60" s="138">
        <f t="shared" si="59"/>
        <v>0</v>
      </c>
      <c r="AF60" s="138">
        <f t="shared" si="60"/>
        <v>0</v>
      </c>
      <c r="AG60" s="138">
        <f t="shared" si="61"/>
        <v>0</v>
      </c>
      <c r="AI60" s="139">
        <f t="shared" ref="AI60:AI61" si="81">IF(CO60&gt;$AB60,$AB60,CO60)</f>
        <v>0</v>
      </c>
      <c r="AJ60" s="139">
        <f t="shared" ref="AJ60:AJ61" si="82">IF(CP60&gt;$AB60,$AB60,CP60)</f>
        <v>0</v>
      </c>
      <c r="AK60" s="139">
        <f t="shared" ref="AK60:AK61" si="83">IF(CQ60&gt;$AB60,$AB60,CQ60)</f>
        <v>0</v>
      </c>
      <c r="AM60" s="236"/>
      <c r="AN60" s="237"/>
      <c r="AO60" s="237"/>
      <c r="AP60" s="237"/>
      <c r="AQ60" s="238"/>
      <c r="AS60" s="236"/>
      <c r="AT60" s="237"/>
      <c r="AU60" s="237"/>
      <c r="AV60" s="237"/>
      <c r="AW60" s="238"/>
      <c r="AY60" s="134"/>
      <c r="AZ60" s="35"/>
      <c r="BA60" s="35"/>
      <c r="BB60" s="35"/>
      <c r="BC60" s="135"/>
      <c r="BD60" s="513">
        <f t="shared" si="67"/>
        <v>9</v>
      </c>
      <c r="BE60" s="35" t="str">
        <f t="shared" si="53"/>
        <v>N/A</v>
      </c>
      <c r="BF60" s="151"/>
      <c r="BG60" s="148">
        <f t="shared" si="68"/>
        <v>9</v>
      </c>
      <c r="BH60" s="35" t="str">
        <f t="shared" si="54"/>
        <v>N/A</v>
      </c>
      <c r="BI60" s="151"/>
      <c r="BJ60" s="148">
        <f t="shared" si="69"/>
        <v>9</v>
      </c>
      <c r="BK60" s="35" t="str">
        <f t="shared" si="55"/>
        <v>N/A</v>
      </c>
      <c r="BL60" s="151"/>
      <c r="BO60" s="35"/>
      <c r="BP60" s="35"/>
      <c r="BQ60" s="35" t="str">
        <f t="shared" si="10"/>
        <v/>
      </c>
      <c r="BR60" s="35">
        <f t="shared" si="42"/>
        <v>9</v>
      </c>
      <c r="BS60" s="35">
        <f t="shared" si="43"/>
        <v>9</v>
      </c>
      <c r="BT60" s="35">
        <f t="shared" si="44"/>
        <v>9</v>
      </c>
      <c r="BW60" s="35"/>
      <c r="BX60" s="35"/>
      <c r="BY60" s="35"/>
      <c r="BZ60" s="35"/>
      <c r="CA60" s="35"/>
      <c r="CB60" s="35"/>
      <c r="CO60" s="35">
        <f>'Pre-analyseverktøy'!H59</f>
        <v>0</v>
      </c>
      <c r="CP60" s="35">
        <f>'Pre-analyseverktøy'!O59</f>
        <v>0</v>
      </c>
      <c r="CQ60" s="35">
        <f>'Pre-analyseverktøy'!V59</f>
        <v>0</v>
      </c>
      <c r="CR60" s="35" t="str">
        <f>'Pre-analyseverktøy'!F59</f>
        <v>Inkluderende design</v>
      </c>
      <c r="CS60" s="35" t="b">
        <f t="shared" ref="CS60:CS74" si="84">CR60=E60</f>
        <v>1</v>
      </c>
    </row>
    <row r="61" spans="1:97">
      <c r="A61">
        <v>53</v>
      </c>
      <c r="B61" t="str">
        <f>$D$59&amp;D61</f>
        <v>Hea 06b</v>
      </c>
      <c r="C61" t="str">
        <f t="shared" si="13"/>
        <v>Hea 06</v>
      </c>
      <c r="D61" s="132" t="s">
        <v>776</v>
      </c>
      <c r="E61" s="813" t="s">
        <v>988</v>
      </c>
      <c r="F61" s="575">
        <v>1</v>
      </c>
      <c r="G61" s="575">
        <v>1</v>
      </c>
      <c r="H61" s="575">
        <v>1</v>
      </c>
      <c r="I61" s="575">
        <v>1</v>
      </c>
      <c r="J61" s="575">
        <v>1</v>
      </c>
      <c r="K61" s="575">
        <v>1</v>
      </c>
      <c r="L61" s="575">
        <v>1</v>
      </c>
      <c r="M61" s="575">
        <v>1</v>
      </c>
      <c r="N61" s="575">
        <v>1</v>
      </c>
      <c r="O61" s="575">
        <v>1</v>
      </c>
      <c r="P61" s="575">
        <v>1</v>
      </c>
      <c r="Q61" s="575">
        <v>1</v>
      </c>
      <c r="R61" s="575">
        <v>1</v>
      </c>
      <c r="S61" s="600"/>
      <c r="T61" s="172">
        <f t="shared" si="75"/>
        <v>1</v>
      </c>
      <c r="U61" s="134"/>
      <c r="V61" s="35"/>
      <c r="W61" s="35"/>
      <c r="X61" s="135"/>
      <c r="Y61" s="136">
        <f>IF(OR($Y$4=$Y$5,$Y$4=$Y$6),T61,0)</f>
        <v>0</v>
      </c>
      <c r="Z61" s="849">
        <f>VLOOKUP(B61,'Manuell filtrering og justering'!$A$7:$H$107,'Manuell filtrering og justering'!$H$1,FALSE)</f>
        <v>1</v>
      </c>
      <c r="AA61" s="136">
        <f t="shared" si="76"/>
        <v>0</v>
      </c>
      <c r="AB61" s="137">
        <f>IF($AC$5='Manuell filtrering og justering'!$J$2,Z61,(T61-AA61))</f>
        <v>1</v>
      </c>
      <c r="AC61" s="496">
        <v>61</v>
      </c>
      <c r="AD61" s="138">
        <f t="shared" si="52"/>
        <v>8.4210526315789472E-3</v>
      </c>
      <c r="AE61" s="138">
        <f t="shared" si="59"/>
        <v>0</v>
      </c>
      <c r="AF61" s="138">
        <f t="shared" si="60"/>
        <v>0</v>
      </c>
      <c r="AG61" s="138">
        <f t="shared" si="61"/>
        <v>0</v>
      </c>
      <c r="AI61" s="139">
        <f t="shared" si="81"/>
        <v>0</v>
      </c>
      <c r="AJ61" s="139">
        <f t="shared" si="82"/>
        <v>0</v>
      </c>
      <c r="AK61" s="139">
        <f t="shared" si="83"/>
        <v>0</v>
      </c>
      <c r="AM61" s="236"/>
      <c r="AN61" s="237"/>
      <c r="AO61" s="237"/>
      <c r="AP61" s="237"/>
      <c r="AQ61" s="238"/>
      <c r="AS61" s="236"/>
      <c r="AT61" s="237"/>
      <c r="AU61" s="237"/>
      <c r="AV61" s="237"/>
      <c r="AW61" s="238"/>
      <c r="AY61" s="134"/>
      <c r="AZ61" s="35"/>
      <c r="BA61" s="35"/>
      <c r="BB61" s="35"/>
      <c r="BC61" s="135"/>
      <c r="BD61" s="513">
        <f t="shared" si="67"/>
        <v>9</v>
      </c>
      <c r="BE61" s="35" t="str">
        <f t="shared" si="53"/>
        <v>N/A</v>
      </c>
      <c r="BF61" s="151"/>
      <c r="BG61" s="148">
        <f t="shared" si="68"/>
        <v>9</v>
      </c>
      <c r="BH61" s="35" t="str">
        <f t="shared" si="54"/>
        <v>N/A</v>
      </c>
      <c r="BI61" s="151"/>
      <c r="BJ61" s="148">
        <f t="shared" si="69"/>
        <v>9</v>
      </c>
      <c r="BK61" s="35" t="str">
        <f t="shared" si="55"/>
        <v>N/A</v>
      </c>
      <c r="BL61" s="151"/>
      <c r="BO61" s="35"/>
      <c r="BP61" s="35"/>
      <c r="BQ61" s="35" t="str">
        <f t="shared" si="10"/>
        <v/>
      </c>
      <c r="BR61" s="35">
        <f t="shared" si="42"/>
        <v>9</v>
      </c>
      <c r="BS61" s="35">
        <f t="shared" si="43"/>
        <v>9</v>
      </c>
      <c r="BT61" s="35">
        <f t="shared" si="44"/>
        <v>9</v>
      </c>
      <c r="BW61" s="35"/>
      <c r="BX61" s="35"/>
      <c r="BY61" s="35"/>
      <c r="BZ61" s="35"/>
      <c r="CA61" s="35"/>
      <c r="CB61" s="35"/>
      <c r="CO61" s="35">
        <f>'Pre-analyseverktøy'!H60</f>
        <v>0</v>
      </c>
      <c r="CP61" s="35">
        <f>'Pre-analyseverktøy'!O60</f>
        <v>0</v>
      </c>
      <c r="CQ61" s="35">
        <f>'Pre-analyseverktøy'!V60</f>
        <v>0</v>
      </c>
      <c r="CR61" s="35" t="str">
        <f>'Pre-analyseverktøy'!F60</f>
        <v xml:space="preserve">Biofilisk design </v>
      </c>
      <c r="CS61" s="35" t="b">
        <f t="shared" si="84"/>
        <v>1</v>
      </c>
    </row>
    <row r="62" spans="1:97">
      <c r="A62">
        <v>54</v>
      </c>
      <c r="D62" s="516" t="s">
        <v>787</v>
      </c>
      <c r="E62" s="515"/>
      <c r="F62" s="713"/>
      <c r="G62" s="713"/>
      <c r="H62" s="713"/>
      <c r="I62" s="713"/>
      <c r="J62" s="713"/>
      <c r="K62" s="713"/>
      <c r="L62" s="713"/>
      <c r="M62" s="713"/>
      <c r="N62" s="713"/>
      <c r="O62" s="713"/>
      <c r="P62" s="713"/>
      <c r="Q62" s="713"/>
      <c r="R62" s="713"/>
      <c r="T62" s="730"/>
      <c r="U62" s="516"/>
      <c r="V62" s="515"/>
      <c r="W62" s="515"/>
      <c r="X62" s="723"/>
      <c r="Y62" s="724"/>
      <c r="Z62" s="849"/>
      <c r="AA62" s="724"/>
      <c r="AB62" s="725"/>
      <c r="AC62" s="496">
        <v>62</v>
      </c>
      <c r="AD62" s="138">
        <f t="shared" si="52"/>
        <v>0</v>
      </c>
      <c r="AE62" s="728"/>
      <c r="AF62" s="728"/>
      <c r="AG62" s="728"/>
      <c r="AI62" s="530"/>
      <c r="AJ62" s="530"/>
      <c r="AK62" s="530"/>
      <c r="AM62" s="236"/>
      <c r="AN62" s="237"/>
      <c r="AO62" s="237"/>
      <c r="AP62" s="237"/>
      <c r="AQ62" s="238"/>
      <c r="AS62" s="236"/>
      <c r="AT62" s="237"/>
      <c r="AU62" s="237"/>
      <c r="AV62" s="237"/>
      <c r="AW62" s="238"/>
      <c r="AY62" s="134"/>
      <c r="AZ62" s="35"/>
      <c r="BA62" s="35"/>
      <c r="BB62" s="35"/>
      <c r="BC62" s="135"/>
      <c r="BD62" s="513">
        <f t="shared" si="67"/>
        <v>9</v>
      </c>
      <c r="BE62" s="35" t="str">
        <f t="shared" si="53"/>
        <v>N/A</v>
      </c>
      <c r="BF62" s="151"/>
      <c r="BG62" s="148">
        <f t="shared" si="68"/>
        <v>9</v>
      </c>
      <c r="BH62" s="35" t="str">
        <f t="shared" si="54"/>
        <v>N/A</v>
      </c>
      <c r="BI62" s="151"/>
      <c r="BJ62" s="148">
        <f t="shared" si="69"/>
        <v>9</v>
      </c>
      <c r="BK62" s="35" t="str">
        <f t="shared" si="55"/>
        <v>N/A</v>
      </c>
      <c r="BL62" s="151"/>
      <c r="BO62" s="35"/>
      <c r="BP62" s="35"/>
      <c r="BQ62" s="35" t="str">
        <f t="shared" si="10"/>
        <v/>
      </c>
      <c r="BR62" s="35">
        <f t="shared" si="42"/>
        <v>9</v>
      </c>
      <c r="BS62" s="35">
        <f t="shared" si="43"/>
        <v>9</v>
      </c>
      <c r="BT62" s="35">
        <f t="shared" si="44"/>
        <v>9</v>
      </c>
      <c r="BW62" s="35" t="str">
        <f>D62</f>
        <v>Hea 07</v>
      </c>
      <c r="BX62" s="35" t="str">
        <f>IFERROR(VLOOKUP($E62,'Pre-analyseverktøy'!$F$11:$AC$226,'Pre-analyseverktøy'!AC$2,FALSE),"")</f>
        <v/>
      </c>
      <c r="BY62" s="35" t="str">
        <f>IFERROR(VLOOKUP($E62,'Pre-analyseverktøy'!$F$11:$AJ$226,'Pre-analyseverktøy'!AJ$2,FALSE),"")</f>
        <v/>
      </c>
      <c r="BZ62" s="35" t="str">
        <f>IFERROR(VLOOKUP($BX62,$E$293:$H$326,F$291,FALSE),"")</f>
        <v/>
      </c>
      <c r="CA62" s="35" t="str">
        <f>IFERROR(VLOOKUP($BX62,$E$293:$H$326,G$291,FALSE),"")</f>
        <v/>
      </c>
      <c r="CB62" s="35"/>
      <c r="CC62" t="str">
        <f>IFERROR(VLOOKUP($BX62,$E$293:$H$326,I$291,FALSE),"")</f>
        <v/>
      </c>
    </row>
    <row r="63" spans="1:97">
      <c r="A63">
        <v>55</v>
      </c>
      <c r="B63" s="109" t="str">
        <f>D63</f>
        <v>Hea 08</v>
      </c>
      <c r="C63" s="109" t="str">
        <f>B63</f>
        <v>Hea 08</v>
      </c>
      <c r="D63" s="631" t="s">
        <v>343</v>
      </c>
      <c r="E63" s="629" t="s">
        <v>989</v>
      </c>
      <c r="F63" s="711">
        <f t="shared" ref="F63:R63" si="85">SUM(F64:F65)</f>
        <v>0</v>
      </c>
      <c r="G63" s="711">
        <f t="shared" si="85"/>
        <v>0</v>
      </c>
      <c r="H63" s="711">
        <f t="shared" si="85"/>
        <v>1</v>
      </c>
      <c r="I63" s="711">
        <f t="shared" si="85"/>
        <v>0</v>
      </c>
      <c r="J63" s="711">
        <f t="shared" si="85"/>
        <v>0</v>
      </c>
      <c r="K63" s="711">
        <f t="shared" si="85"/>
        <v>0</v>
      </c>
      <c r="L63" s="711">
        <f t="shared" si="85"/>
        <v>0</v>
      </c>
      <c r="M63" s="711">
        <f t="shared" si="85"/>
        <v>0</v>
      </c>
      <c r="N63" s="711">
        <f t="shared" si="85"/>
        <v>0</v>
      </c>
      <c r="O63" s="711">
        <f t="shared" si="85"/>
        <v>0</v>
      </c>
      <c r="P63" s="711">
        <f t="shared" si="85"/>
        <v>0</v>
      </c>
      <c r="Q63" s="711">
        <f>SUM(Q64:Q65)</f>
        <v>0</v>
      </c>
      <c r="R63" s="711">
        <f t="shared" si="85"/>
        <v>0</v>
      </c>
      <c r="T63" s="729">
        <f>HLOOKUP($E$6,$F$9:$R$231,$A63,FALSE)</f>
        <v>0</v>
      </c>
      <c r="U63" s="179"/>
      <c r="V63" s="53"/>
      <c r="W63" s="53"/>
      <c r="X63" s="805">
        <f>'Manuell filtrering og justering'!E24</f>
        <v>0</v>
      </c>
      <c r="Y63" s="731"/>
      <c r="Z63" s="866">
        <f>SUM(Z64:Z65)</f>
        <v>0</v>
      </c>
      <c r="AA63" s="731">
        <f>IF(SUM(U63:Y63)&gt;T63,T63,SUM(U63:Y63))</f>
        <v>0</v>
      </c>
      <c r="AB63" s="782">
        <f>SUM(AB64)</f>
        <v>0</v>
      </c>
      <c r="AC63" s="496">
        <v>63</v>
      </c>
      <c r="AD63" s="138">
        <f t="shared" si="52"/>
        <v>0</v>
      </c>
      <c r="AE63" s="701">
        <f>SUM(AE64)</f>
        <v>0</v>
      </c>
      <c r="AF63" s="701">
        <f>SUM(AF64)</f>
        <v>0</v>
      </c>
      <c r="AG63" s="701">
        <f>SUM(AG64)</f>
        <v>0</v>
      </c>
      <c r="AI63" s="726">
        <f>SUM(AI64:AI65)</f>
        <v>0</v>
      </c>
      <c r="AJ63" s="726">
        <f>SUM(AJ64:AJ65)</f>
        <v>0</v>
      </c>
      <c r="AK63" s="726">
        <f>SUM(AK64:AK65)</f>
        <v>0</v>
      </c>
      <c r="AM63" s="235"/>
      <c r="AN63" s="147"/>
      <c r="AO63" s="147"/>
      <c r="AP63" s="147"/>
      <c r="AQ63" s="152"/>
      <c r="AS63" s="235"/>
      <c r="AT63" s="147"/>
      <c r="AU63" s="147"/>
      <c r="AV63" s="147"/>
      <c r="AW63" s="238"/>
      <c r="AY63" s="148"/>
      <c r="AZ63" s="149"/>
      <c r="BA63" s="149"/>
      <c r="BB63" s="149"/>
      <c r="BC63" s="153"/>
      <c r="BD63" s="513">
        <f t="shared" si="67"/>
        <v>9</v>
      </c>
      <c r="BE63" s="35" t="str">
        <f t="shared" si="53"/>
        <v>N/A</v>
      </c>
      <c r="BF63" s="151"/>
      <c r="BG63" s="148">
        <f t="shared" si="68"/>
        <v>9</v>
      </c>
      <c r="BH63" s="35" t="str">
        <f t="shared" si="54"/>
        <v>N/A</v>
      </c>
      <c r="BI63" s="151"/>
      <c r="BJ63" s="148">
        <f t="shared" si="69"/>
        <v>9</v>
      </c>
      <c r="BK63" s="35" t="str">
        <f t="shared" si="55"/>
        <v>N/A</v>
      </c>
      <c r="BL63" s="151"/>
      <c r="BO63" s="742"/>
      <c r="BP63" s="35"/>
      <c r="BQ63" s="35" t="str">
        <f t="shared" si="10"/>
        <v/>
      </c>
      <c r="BR63" s="35">
        <f t="shared" si="42"/>
        <v>9</v>
      </c>
      <c r="BS63" s="35">
        <f t="shared" si="43"/>
        <v>9</v>
      </c>
      <c r="BT63" s="35">
        <f t="shared" si="44"/>
        <v>9</v>
      </c>
      <c r="BW63" s="35" t="str">
        <f>D63</f>
        <v>Hea 08</v>
      </c>
      <c r="BX63" s="35" t="str">
        <f>IFERROR(VLOOKUP($E63,'Pre-analyseverktøy'!$F$11:$AC$226,'Pre-analyseverktøy'!AC$2,FALSE),"")</f>
        <v>N/A</v>
      </c>
      <c r="BY63" s="35">
        <f>IFERROR(VLOOKUP($E63,'Pre-analyseverktøy'!$F$11:$AJ$226,'Pre-analyseverktøy'!AJ$2,FALSE),"")</f>
        <v>0</v>
      </c>
      <c r="BZ63" s="35">
        <f>IFERROR(VLOOKUP($BX63,$E$293:$H$326,F$291,FALSE),"")</f>
        <v>1</v>
      </c>
      <c r="CA63" s="35">
        <f>IFERROR(VLOOKUP($BX63,$E$293:$H$326,G$291,FALSE),"")</f>
        <v>0</v>
      </c>
      <c r="CB63" s="35"/>
      <c r="CC63" t="str">
        <f>IFERROR(VLOOKUP($BX63,$E$293:$H$326,I$291,FALSE),"")</f>
        <v/>
      </c>
    </row>
    <row r="64" spans="1:97">
      <c r="A64">
        <v>56</v>
      </c>
      <c r="B64" t="str">
        <f>$D$63&amp;D64</f>
        <v>Hea 08a</v>
      </c>
      <c r="C64" t="str">
        <f t="shared" si="13"/>
        <v>Hea 08</v>
      </c>
      <c r="D64" s="155" t="s">
        <v>775</v>
      </c>
      <c r="E64" s="813" t="s">
        <v>990</v>
      </c>
      <c r="F64" s="577">
        <v>0</v>
      </c>
      <c r="G64" s="577">
        <v>0</v>
      </c>
      <c r="H64" s="577">
        <v>1</v>
      </c>
      <c r="I64" s="577">
        <v>0</v>
      </c>
      <c r="J64" s="577">
        <v>0</v>
      </c>
      <c r="K64" s="577">
        <v>0</v>
      </c>
      <c r="L64" s="577">
        <v>0</v>
      </c>
      <c r="M64" s="577">
        <v>0</v>
      </c>
      <c r="N64" s="577">
        <v>0</v>
      </c>
      <c r="O64" s="577">
        <v>0</v>
      </c>
      <c r="P64" s="577">
        <v>0</v>
      </c>
      <c r="Q64" s="577">
        <v>0</v>
      </c>
      <c r="R64" s="577">
        <v>0</v>
      </c>
      <c r="T64" s="172">
        <f>HLOOKUP($E$6,$F$9:$R$231,$A64,FALSE)</f>
        <v>0</v>
      </c>
      <c r="U64" s="134"/>
      <c r="V64" s="35"/>
      <c r="W64" s="35"/>
      <c r="X64" s="135"/>
      <c r="Y64" s="136"/>
      <c r="Z64" s="849">
        <f>VLOOKUP(B64,'Manuell filtrering og justering'!$A$7:$H$107,'Manuell filtrering og justering'!$H$1,FALSE)</f>
        <v>0</v>
      </c>
      <c r="AA64" s="136">
        <f>IF(SUM(U64:Y64)&gt;T64,T64,SUM(U64:Y64))</f>
        <v>0</v>
      </c>
      <c r="AB64" s="137">
        <f>IF($AC$5='Manuell filtrering og justering'!$J$2,Z64,(T64-AA64))</f>
        <v>0</v>
      </c>
      <c r="AC64" s="496">
        <v>64</v>
      </c>
      <c r="AD64" s="138">
        <f t="shared" si="52"/>
        <v>0</v>
      </c>
      <c r="AE64" s="138">
        <f t="shared" si="59"/>
        <v>0</v>
      </c>
      <c r="AF64" s="138">
        <f t="shared" si="60"/>
        <v>0</v>
      </c>
      <c r="AG64" s="138">
        <f t="shared" si="61"/>
        <v>0</v>
      </c>
      <c r="AI64" s="139">
        <f t="shared" ref="AI64" si="86">IF(CO64&gt;$AB64,$AB64,CO64)</f>
        <v>0</v>
      </c>
      <c r="AJ64" s="139">
        <f t="shared" ref="AJ64" si="87">IF(CP64&gt;$AB64,$AB64,CP64)</f>
        <v>0</v>
      </c>
      <c r="AK64" s="139">
        <f t="shared" ref="AK64" si="88">IF(CQ64&gt;$AB64,$AB64,CQ64)</f>
        <v>0</v>
      </c>
      <c r="AM64" s="636"/>
      <c r="AN64" s="637"/>
      <c r="AO64" s="637"/>
      <c r="AP64" s="637"/>
      <c r="AQ64" s="638"/>
      <c r="AS64" s="636"/>
      <c r="AT64" s="637"/>
      <c r="AU64" s="637"/>
      <c r="AV64" s="637"/>
      <c r="AW64" s="639"/>
      <c r="AY64" s="640"/>
      <c r="AZ64" s="641"/>
      <c r="BA64" s="641"/>
      <c r="BB64" s="641"/>
      <c r="BC64" s="642"/>
      <c r="BD64" s="513">
        <f t="shared" si="67"/>
        <v>9</v>
      </c>
      <c r="BE64" s="35" t="str">
        <f t="shared" si="53"/>
        <v>N/A</v>
      </c>
      <c r="BF64" s="151"/>
      <c r="BG64" s="148">
        <f t="shared" si="68"/>
        <v>9</v>
      </c>
      <c r="BH64" s="35" t="str">
        <f t="shared" si="54"/>
        <v>N/A</v>
      </c>
      <c r="BI64" s="151"/>
      <c r="BJ64" s="148">
        <f t="shared" si="69"/>
        <v>9</v>
      </c>
      <c r="BK64" s="35" t="str">
        <f t="shared" si="55"/>
        <v>N/A</v>
      </c>
      <c r="BL64" s="643"/>
      <c r="BO64" s="742"/>
      <c r="BP64" s="35"/>
      <c r="BQ64" s="35" t="str">
        <f t="shared" si="10"/>
        <v/>
      </c>
      <c r="BR64" s="35">
        <f t="shared" si="42"/>
        <v>9</v>
      </c>
      <c r="BS64" s="35">
        <f t="shared" si="43"/>
        <v>9</v>
      </c>
      <c r="BT64" s="35">
        <f t="shared" si="44"/>
        <v>9</v>
      </c>
      <c r="BW64" s="40"/>
      <c r="BX64" s="40"/>
      <c r="BY64" s="40"/>
      <c r="BZ64" s="40"/>
      <c r="CA64" s="40"/>
      <c r="CB64" s="40"/>
      <c r="CO64" s="35">
        <f>'Pre-analyseverktøy'!H62</f>
        <v>0</v>
      </c>
      <c r="CP64" s="35">
        <f>'Pre-analyseverktøy'!O62</f>
        <v>0</v>
      </c>
      <c r="CQ64" s="35">
        <f>'Pre-analyseverktøy'!V62</f>
        <v>0</v>
      </c>
      <c r="CR64" s="35" t="str">
        <f>'Pre-analyseverktøy'!F62</f>
        <v>Private uteoppholdsarealer</v>
      </c>
      <c r="CS64" s="35" t="b">
        <f t="shared" si="84"/>
        <v>1</v>
      </c>
    </row>
    <row r="65" spans="1:97" ht="15.75" thickBot="1">
      <c r="A65">
        <v>57</v>
      </c>
      <c r="D65" s="518" t="s">
        <v>788</v>
      </c>
      <c r="E65" s="519"/>
      <c r="F65" s="714"/>
      <c r="G65" s="714"/>
      <c r="H65" s="714"/>
      <c r="I65" s="714"/>
      <c r="J65" s="714"/>
      <c r="K65" s="714"/>
      <c r="L65" s="714"/>
      <c r="M65" s="714"/>
      <c r="N65" s="714"/>
      <c r="O65" s="714"/>
      <c r="P65" s="714"/>
      <c r="Q65" s="714"/>
      <c r="R65" s="714"/>
      <c r="T65" s="730"/>
      <c r="U65" s="516"/>
      <c r="V65" s="515"/>
      <c r="W65" s="515"/>
      <c r="X65" s="723"/>
      <c r="Y65" s="868"/>
      <c r="Z65" s="849"/>
      <c r="AA65" s="724"/>
      <c r="AB65" s="725"/>
      <c r="AC65" s="496">
        <v>65</v>
      </c>
      <c r="AD65" s="138">
        <f t="shared" si="52"/>
        <v>0</v>
      </c>
      <c r="AE65" s="728"/>
      <c r="AF65" s="728"/>
      <c r="AG65" s="728"/>
      <c r="AI65" s="530"/>
      <c r="AJ65" s="530"/>
      <c r="AK65" s="530"/>
      <c r="AM65" s="245"/>
      <c r="AN65" s="246"/>
      <c r="AO65" s="246"/>
      <c r="AP65" s="246"/>
      <c r="AQ65" s="247"/>
      <c r="AS65" s="245"/>
      <c r="AT65" s="246"/>
      <c r="AU65" s="246"/>
      <c r="AV65" s="246"/>
      <c r="AW65" s="247"/>
      <c r="AY65" s="160"/>
      <c r="AZ65" s="181"/>
      <c r="BA65" s="181"/>
      <c r="BB65" s="181"/>
      <c r="BC65" s="182"/>
      <c r="BD65" s="160">
        <f>IF(BC65=0,9,IF(AI65&gt;=BC65,5,IF(AI65&gt;=BB65,4,IF(AI65&gt;=BA65,3,IF(AI65&gt;=AZ65,2,IF(AI65&lt;AY65,0,1))))))</f>
        <v>9</v>
      </c>
      <c r="BE65" s="35" t="str">
        <f t="shared" si="53"/>
        <v>N/A</v>
      </c>
      <c r="BF65" s="161"/>
      <c r="BG65" s="160">
        <f>IF(BC65=0,9,IF(AJ65&gt;=BC65,5,IF(AJ65&gt;=BB65,4,IF(AJ65&gt;=BA65,3,IF(AJ65&gt;=AZ65,2,IF(AJ65&lt;AY65,0,1))))))</f>
        <v>9</v>
      </c>
      <c r="BH65" s="35" t="str">
        <f t="shared" si="54"/>
        <v>N/A</v>
      </c>
      <c r="BI65" s="161"/>
      <c r="BJ65" s="160">
        <f>IF(BC65=0,9,IF(AK65&gt;=BC65,5,IF(AK65&gt;=BB65,4,IF(AK65&gt;=BA65,3,IF(AK65&gt;=AZ65,2,IF(AK65&lt;AY65,0,1))))))</f>
        <v>9</v>
      </c>
      <c r="BK65" s="35" t="str">
        <f t="shared" si="55"/>
        <v>N/A</v>
      </c>
      <c r="BL65" s="161"/>
      <c r="BO65" s="35"/>
      <c r="BP65" s="35"/>
      <c r="BQ65" s="35" t="str">
        <f t="shared" si="10"/>
        <v/>
      </c>
      <c r="BR65" s="35">
        <f t="shared" si="42"/>
        <v>9</v>
      </c>
      <c r="BS65" s="35">
        <f t="shared" si="43"/>
        <v>9</v>
      </c>
      <c r="BT65" s="35">
        <f t="shared" si="44"/>
        <v>9</v>
      </c>
      <c r="BW65" s="40" t="str">
        <f>D65</f>
        <v>Hea 09</v>
      </c>
      <c r="BX65" s="40" t="str">
        <f>IFERROR(VLOOKUP($E65,'Pre-analyseverktøy'!$F$11:$AC$226,'Pre-analyseverktøy'!AC$2,FALSE),"")</f>
        <v/>
      </c>
      <c r="BY65" s="40" t="str">
        <f>IFERROR(VLOOKUP($E65,'Pre-analyseverktøy'!$F$11:$AJ$226,'Pre-analyseverktøy'!AJ$2,FALSE),"")</f>
        <v/>
      </c>
      <c r="BZ65" s="40" t="str">
        <f t="shared" ref="BZ65:CA69" si="89">IFERROR(VLOOKUP($BX65,$E$293:$H$326,F$291,FALSE),"")</f>
        <v/>
      </c>
      <c r="CA65" s="40" t="str">
        <f t="shared" si="89"/>
        <v/>
      </c>
      <c r="CB65" s="40"/>
      <c r="CC65" t="str">
        <f>IFERROR(VLOOKUP($BX65,$E$293:$H$326,I$291,FALSE),"")</f>
        <v/>
      </c>
    </row>
    <row r="66" spans="1:97" ht="15.75" thickBot="1">
      <c r="A66">
        <v>58</v>
      </c>
      <c r="B66" t="s">
        <v>346</v>
      </c>
      <c r="D66" s="162"/>
      <c r="E66" s="42" t="s">
        <v>771</v>
      </c>
      <c r="F66" s="579">
        <f>F39+F46+F51+F56+F59+F63</f>
        <v>19</v>
      </c>
      <c r="G66" s="579">
        <f t="shared" ref="G66:R66" si="90">G39+G46+G51+G56+G59+G63</f>
        <v>19</v>
      </c>
      <c r="H66" s="579">
        <f t="shared" si="90"/>
        <v>20</v>
      </c>
      <c r="I66" s="579">
        <f t="shared" si="90"/>
        <v>19</v>
      </c>
      <c r="J66" s="579">
        <f t="shared" si="90"/>
        <v>19</v>
      </c>
      <c r="K66" s="579">
        <f t="shared" si="90"/>
        <v>19</v>
      </c>
      <c r="L66" s="579">
        <f t="shared" si="90"/>
        <v>19</v>
      </c>
      <c r="M66" s="579">
        <f t="shared" si="90"/>
        <v>21</v>
      </c>
      <c r="N66" s="579">
        <f t="shared" si="90"/>
        <v>20</v>
      </c>
      <c r="O66" s="579">
        <f t="shared" si="90"/>
        <v>19</v>
      </c>
      <c r="P66" s="579">
        <f t="shared" si="90"/>
        <v>19</v>
      </c>
      <c r="Q66" s="579">
        <f>Q39+Q46+Q51+Q56+Q59+Q63</f>
        <v>19</v>
      </c>
      <c r="R66" s="579">
        <f t="shared" si="90"/>
        <v>19</v>
      </c>
      <c r="T66" s="183">
        <f>HLOOKUP($E$6,$F$9:$R$231,$A66,FALSE)</f>
        <v>19</v>
      </c>
      <c r="U66" s="164"/>
      <c r="V66" s="165"/>
      <c r="W66" s="165"/>
      <c r="X66" s="165"/>
      <c r="Y66" s="867"/>
      <c r="Z66" s="166"/>
      <c r="AA66" s="579">
        <f t="shared" ref="AA66:AG66" si="91">AA39+AA46+AA51+AA56+AA59+AA63</f>
        <v>0</v>
      </c>
      <c r="AB66" s="579">
        <f t="shared" si="91"/>
        <v>19</v>
      </c>
      <c r="AC66" s="496">
        <v>66</v>
      </c>
      <c r="AD66" s="168">
        <f t="shared" si="91"/>
        <v>0.16000000000000003</v>
      </c>
      <c r="AE66" s="168">
        <f t="shared" si="91"/>
        <v>0</v>
      </c>
      <c r="AF66" s="168">
        <f t="shared" si="91"/>
        <v>0</v>
      </c>
      <c r="AG66" s="168">
        <f t="shared" si="91"/>
        <v>0</v>
      </c>
      <c r="AI66" s="64">
        <f>AI39+AI46+AI51+AI56+AI59+AI63</f>
        <v>0</v>
      </c>
      <c r="AJ66" s="64">
        <f>AJ39+AJ46+AJ51+AJ56+AJ59+AJ63</f>
        <v>0</v>
      </c>
      <c r="AK66" s="64">
        <f>AK39+AK46+AK51+AK56+AK59+AK63</f>
        <v>0</v>
      </c>
      <c r="AM66" s="111"/>
      <c r="AN66" s="111"/>
      <c r="AO66" s="111"/>
      <c r="AP66" s="111"/>
      <c r="AQ66" s="111"/>
      <c r="AS66" s="111"/>
      <c r="AT66" s="111"/>
      <c r="AU66" s="111"/>
      <c r="AV66" s="111"/>
      <c r="AW66" s="111"/>
      <c r="AZ66" s="169"/>
      <c r="BW66" s="42"/>
      <c r="BX66" s="42" t="str">
        <f>IFERROR(VLOOKUP($E66,'Pre-analyseverktøy'!$F$11:$AC$226,'Pre-analyseverktøy'!AC$2,FALSE),"")</f>
        <v/>
      </c>
      <c r="BY66" s="42" t="str">
        <f>IFERROR(VLOOKUP($E66,'Pre-analyseverktøy'!$F$11:$AJ$226,'Pre-analyseverktøy'!AJ$2,FALSE),"")</f>
        <v/>
      </c>
      <c r="BZ66" s="42" t="str">
        <f t="shared" si="89"/>
        <v/>
      </c>
      <c r="CA66" s="42" t="str">
        <f t="shared" si="89"/>
        <v/>
      </c>
      <c r="CB66" s="42"/>
      <c r="CC66" t="str">
        <f>IFERROR(VLOOKUP($BX66,$E$293:$H$326,I$291,FALSE),"")</f>
        <v/>
      </c>
    </row>
    <row r="67" spans="1:97" ht="15.75" thickBot="1">
      <c r="A67">
        <v>59</v>
      </c>
      <c r="AC67" s="496">
        <v>67</v>
      </c>
      <c r="AI67" s="1"/>
      <c r="AJ67" s="1"/>
      <c r="AK67" s="1"/>
      <c r="AM67" s="111"/>
      <c r="AN67" s="111"/>
      <c r="AO67" s="111"/>
      <c r="AP67" s="111"/>
      <c r="AQ67" s="111"/>
      <c r="AS67" s="111"/>
      <c r="AT67" s="111"/>
      <c r="AU67" s="111"/>
      <c r="AV67" s="111"/>
      <c r="AW67" s="111"/>
      <c r="BX67" t="str">
        <f>IFERROR(VLOOKUP($E67,'Pre-analyseverktøy'!$F$11:$AC$226,'Pre-analyseverktøy'!AC$2,FALSE),"")</f>
        <v/>
      </c>
      <c r="BY67" t="str">
        <f>IFERROR(VLOOKUP($E67,'Pre-analyseverktøy'!$F$11:$AJ$226,'Pre-analyseverktøy'!AJ$2,FALSE),"")</f>
        <v/>
      </c>
      <c r="BZ67" t="str">
        <f t="shared" si="89"/>
        <v/>
      </c>
      <c r="CA67" t="str">
        <f t="shared" si="89"/>
        <v/>
      </c>
      <c r="CC67" t="str">
        <f>IFERROR(VLOOKUP($BX67,$E$293:$H$326,I$291,FALSE),"")</f>
        <v/>
      </c>
    </row>
    <row r="68" spans="1:97" ht="60.75" thickBot="1">
      <c r="A68">
        <v>60</v>
      </c>
      <c r="D68" s="115"/>
      <c r="E68" s="39" t="s">
        <v>991</v>
      </c>
      <c r="F68" s="917" t="str">
        <f>$F$9</f>
        <v>Kontorbygg</v>
      </c>
      <c r="G68" s="917" t="str">
        <f>$G$9</f>
        <v>Handelsbygg</v>
      </c>
      <c r="H68" s="921" t="str">
        <f>$H$9</f>
        <v>Boligbygg</v>
      </c>
      <c r="I68" s="917" t="str">
        <f>$I$9</f>
        <v>Industribygg</v>
      </c>
      <c r="J68" s="919" t="str">
        <f>$J$9</f>
        <v>Helseinstitusjoner</v>
      </c>
      <c r="K68" s="919" t="str">
        <f>$K$9</f>
        <v>Fengsel</v>
      </c>
      <c r="L68" s="919" t="str">
        <f>$L$9</f>
        <v>Tinghus</v>
      </c>
      <c r="M68" s="923" t="str">
        <f>$M$9</f>
        <v>Døgninstitusjonsbygg (langtidsopphold)</v>
      </c>
      <c r="N68" s="698" t="str">
        <f>$N$9</f>
        <v>Døgninstitusjonsbygg (korttidsopphold)</v>
      </c>
      <c r="O68" s="698" t="str">
        <f>$O$9</f>
        <v>Institusjoner ikke til boligbruk</v>
      </c>
      <c r="P68" s="698" t="str">
        <f>$P$9</f>
        <v>Møtesteder og fritid</v>
      </c>
      <c r="Q68" s="919" t="str">
        <f>$Q$9</f>
        <v>Undervisningsbygg</v>
      </c>
      <c r="R68" s="651" t="str">
        <f>$R$9</f>
        <v>Annet</v>
      </c>
      <c r="T68" s="110" t="str">
        <f>$E$6</f>
        <v>Kontorbygg</v>
      </c>
      <c r="U68" s="170"/>
      <c r="V68" s="171"/>
      <c r="W68" s="171"/>
      <c r="X68" s="171"/>
      <c r="Y68" s="855" t="s">
        <v>920</v>
      </c>
      <c r="Z68" s="287" t="s">
        <v>23</v>
      </c>
      <c r="AA68" s="119" t="s">
        <v>771</v>
      </c>
      <c r="AB68" s="45" t="s">
        <v>908</v>
      </c>
      <c r="AC68" s="496">
        <v>68</v>
      </c>
      <c r="AI68" s="28"/>
      <c r="AJ68" s="46"/>
      <c r="AK68" s="46"/>
      <c r="AM68" s="111"/>
      <c r="AN68" s="111"/>
      <c r="AO68" s="111"/>
      <c r="AP68" s="111"/>
      <c r="AQ68" s="111"/>
      <c r="AS68" s="111"/>
      <c r="AT68" s="111"/>
      <c r="AU68" s="111"/>
      <c r="AV68" s="111"/>
      <c r="AW68" s="111"/>
      <c r="BO68" s="46"/>
      <c r="BP68" s="46"/>
      <c r="BQ68" s="46"/>
      <c r="BR68" s="46"/>
      <c r="BS68" s="46"/>
      <c r="BT68" s="46"/>
      <c r="BW68" s="39"/>
      <c r="BX68" s="39" t="str">
        <f>E68</f>
        <v>Energi</v>
      </c>
      <c r="BY68" s="39">
        <f>IFERROR(VLOOKUP($E68,'Pre-analyseverktøy'!$F$11:$AJ$226,'Pre-analyseverktøy'!AJ$2,FALSE),"")</f>
        <v>0</v>
      </c>
      <c r="BZ68" s="39" t="str">
        <f t="shared" si="89"/>
        <v/>
      </c>
      <c r="CA68" s="39" t="str">
        <f t="shared" si="89"/>
        <v/>
      </c>
      <c r="CB68" s="39"/>
      <c r="CC68" t="str">
        <f>IFERROR(VLOOKUP($BX68,$E$293:$H$326,I$291,FALSE),"")</f>
        <v/>
      </c>
    </row>
    <row r="69" spans="1:97">
      <c r="A69">
        <v>61</v>
      </c>
      <c r="B69" s="109" t="str">
        <f>D69</f>
        <v>Ene 01</v>
      </c>
      <c r="C69" s="109" t="str">
        <f>B69</f>
        <v>Ene 01</v>
      </c>
      <c r="D69" s="630" t="s">
        <v>352</v>
      </c>
      <c r="E69" s="628" t="s">
        <v>992</v>
      </c>
      <c r="F69" s="711">
        <f t="shared" ref="F69:R69" si="92">SUM(F70:F74)</f>
        <v>12</v>
      </c>
      <c r="G69" s="711">
        <f t="shared" si="92"/>
        <v>12</v>
      </c>
      <c r="H69" s="711">
        <f t="shared" si="92"/>
        <v>12</v>
      </c>
      <c r="I69" s="711">
        <f t="shared" si="92"/>
        <v>12</v>
      </c>
      <c r="J69" s="711">
        <f t="shared" si="92"/>
        <v>12</v>
      </c>
      <c r="K69" s="711">
        <f t="shared" si="92"/>
        <v>12</v>
      </c>
      <c r="L69" s="711">
        <f t="shared" si="92"/>
        <v>12</v>
      </c>
      <c r="M69" s="711">
        <f t="shared" si="92"/>
        <v>12</v>
      </c>
      <c r="N69" s="711">
        <f t="shared" si="92"/>
        <v>12</v>
      </c>
      <c r="O69" s="711">
        <f t="shared" si="92"/>
        <v>12</v>
      </c>
      <c r="P69" s="711">
        <f t="shared" si="92"/>
        <v>12</v>
      </c>
      <c r="Q69" s="711">
        <f>SUM(Q70:Q74)</f>
        <v>12</v>
      </c>
      <c r="R69" s="711">
        <f t="shared" si="92"/>
        <v>12</v>
      </c>
      <c r="T69" s="119">
        <f t="shared" ref="T69:T81" si="93">HLOOKUP($E$6,$F$9:$R$231,$A69,FALSE)</f>
        <v>12</v>
      </c>
      <c r="U69" s="179"/>
      <c r="V69" s="53"/>
      <c r="W69" s="53"/>
      <c r="X69" s="53">
        <f>'Manuell filtrering og justering'!E29</f>
        <v>0</v>
      </c>
      <c r="Y69" s="53"/>
      <c r="Z69" s="726">
        <f>SUM(Z70:Z74)</f>
        <v>24</v>
      </c>
      <c r="AA69" s="731">
        <f t="shared" ref="AA69:AA79" si="94">IF(SUM(U69:Y69)&gt;T69,T69,SUM(U69:Y69))</f>
        <v>0</v>
      </c>
      <c r="AB69" s="782">
        <f>SUM(AB70:AB74)</f>
        <v>12</v>
      </c>
      <c r="AC69" s="496">
        <v>69</v>
      </c>
      <c r="AD69" s="138">
        <f t="shared" ref="AD69:AD96" si="95">(Ene_Weight/Ene_Credits)*AB69</f>
        <v>7.636363636363637E-2</v>
      </c>
      <c r="AE69" s="701">
        <f>SUM(AE70:AE74)</f>
        <v>0</v>
      </c>
      <c r="AF69" s="701">
        <f>SUM(AF70:AF74)</f>
        <v>0</v>
      </c>
      <c r="AG69" s="701">
        <f>SUM(AG70:AG74)</f>
        <v>0</v>
      </c>
      <c r="AI69" s="726">
        <f>SUM(AI70:AI74)</f>
        <v>0</v>
      </c>
      <c r="AJ69" s="726">
        <f>SUM(AJ70:AJ74)</f>
        <v>0</v>
      </c>
      <c r="AK69" s="726">
        <f>SUM(AK70:AK74)</f>
        <v>0</v>
      </c>
      <c r="AM69" s="140"/>
      <c r="AN69" s="234"/>
      <c r="AO69" s="234"/>
      <c r="AP69" s="243"/>
      <c r="AQ69" s="244"/>
      <c r="AS69" s="242"/>
      <c r="AT69" s="243"/>
      <c r="AU69" s="243"/>
      <c r="AV69" s="243"/>
      <c r="AW69" s="244"/>
      <c r="AY69" s="141"/>
      <c r="AZ69" s="142"/>
      <c r="BA69" s="142"/>
      <c r="BB69" s="142"/>
      <c r="BC69" s="185"/>
      <c r="BD69" s="141">
        <f>IF(BC69=0,9,IF(AI69&gt;=BC69,5,IF(AI69&gt;=BB69,4,IF(AI69&gt;=BA69,3,IF(AI69&gt;=AZ69,2,IF(AI69&lt;AY69,0,1))))))</f>
        <v>9</v>
      </c>
      <c r="BE69" s="35" t="str">
        <f t="shared" ref="BE69:BE96" si="96">IF(BD69=$BO$290,$BT$290,IF(BD69=$BO$289,$BT$289,IF(BD69=$BO$288,$BT$288,IF(BD69=$BO$287,$BT$287,IF(BD69=$BO$286,$BT$286,IF(BD69=$BO$285,$BT$285,$BT$284))))))</f>
        <v>N/A</v>
      </c>
      <c r="BF69" s="145"/>
      <c r="BG69" s="141">
        <f>IF(BC69=0,9,IF(AJ69&gt;=BC69,5,IF(AJ69&gt;=BB69,4,IF(AJ69&gt;=BA69,3,IF(AJ69&gt;=AZ69,2,IF(AJ69&lt;AY69,0,1))))))</f>
        <v>9</v>
      </c>
      <c r="BH69" s="35" t="str">
        <f t="shared" ref="BH69:BH96" si="97">IF(BG69=$BO$290,$BT$290,IF(BG69=$BO$289,$BT$289,IF(BG69=$BO$288,$BT$288,IF(BG69=$BO$287,$BT$287,IF(BG69=$BO$286,$BT$286,IF(BG69=$BO$285,$BT$285,$BT$284))))))</f>
        <v>N/A</v>
      </c>
      <c r="BI69" s="145"/>
      <c r="BJ69" s="141">
        <f>IF(BC69=0,9,IF(AK69&gt;=BC69,5,IF(AK69&gt;=BB69,4,IF(AK69&gt;=BA69,3,IF(AK69&gt;=AZ69,2,IF(AK69&lt;AY69,0,1))))))</f>
        <v>9</v>
      </c>
      <c r="BK69" s="35" t="str">
        <f t="shared" ref="BK69:BK96" si="98">IF(BJ69=$BO$290,$BT$290,IF(BJ69=$BO$289,$BT$289,IF(BJ69=$BO$288,$BT$288,IF(BJ69=$BO$287,$BT$287,IF(BJ69=$BO$286,$BT$286,IF(BJ69=$BO$285,$BT$285,$BT$284))))))</f>
        <v>N/A</v>
      </c>
      <c r="BL69" s="145"/>
      <c r="BO69" s="35"/>
      <c r="BP69" s="35"/>
      <c r="BQ69" s="35" t="str">
        <f t="shared" si="10"/>
        <v/>
      </c>
      <c r="BR69" s="35">
        <f t="shared" si="42"/>
        <v>9</v>
      </c>
      <c r="BS69" s="35">
        <f t="shared" si="43"/>
        <v>9</v>
      </c>
      <c r="BT69" s="35">
        <f t="shared" si="44"/>
        <v>9</v>
      </c>
      <c r="BW69" s="37" t="str">
        <f>D69</f>
        <v>Ene 01</v>
      </c>
      <c r="BX69" s="37" t="str">
        <f>IFERROR(VLOOKUP($E69,'Pre-analyseverktøy'!$F$11:$AC$226,'Pre-analyseverktøy'!AC$2,FALSE),"")</f>
        <v>No</v>
      </c>
      <c r="BY69" s="37">
        <f>IFERROR(VLOOKUP($E69,'Pre-analyseverktøy'!$F$11:$AJ$226,'Pre-analyseverktøy'!AJ$2,FALSE),"")</f>
        <v>0</v>
      </c>
      <c r="BZ69" s="37">
        <f t="shared" si="89"/>
        <v>1</v>
      </c>
      <c r="CA69" s="37">
        <f t="shared" si="89"/>
        <v>0</v>
      </c>
      <c r="CB69" s="37"/>
      <c r="CC69" t="str">
        <f>IFERROR(VLOOKUP($BX69,$E$293:$H$326,I$291,FALSE),"")</f>
        <v/>
      </c>
    </row>
    <row r="70" spans="1:97">
      <c r="A70">
        <v>62</v>
      </c>
      <c r="B70" t="str">
        <f>$D$69&amp;D70</f>
        <v>Ene 01a</v>
      </c>
      <c r="C70" t="str">
        <f t="shared" si="13"/>
        <v>Ene 01</v>
      </c>
      <c r="D70" s="132" t="s">
        <v>775</v>
      </c>
      <c r="E70" s="697" t="s">
        <v>993</v>
      </c>
      <c r="F70" s="575">
        <v>2</v>
      </c>
      <c r="G70" s="575">
        <v>2</v>
      </c>
      <c r="H70" s="575">
        <v>2</v>
      </c>
      <c r="I70" s="575">
        <v>2</v>
      </c>
      <c r="J70" s="575">
        <v>2</v>
      </c>
      <c r="K70" s="575">
        <v>2</v>
      </c>
      <c r="L70" s="575">
        <v>2</v>
      </c>
      <c r="M70" s="575">
        <v>2</v>
      </c>
      <c r="N70" s="575">
        <v>2</v>
      </c>
      <c r="O70" s="575">
        <v>2</v>
      </c>
      <c r="P70" s="575">
        <v>2</v>
      </c>
      <c r="Q70" s="575">
        <v>2</v>
      </c>
      <c r="R70" s="575">
        <v>2</v>
      </c>
      <c r="T70" s="136">
        <f t="shared" si="93"/>
        <v>2</v>
      </c>
      <c r="U70" s="134"/>
      <c r="V70" s="35"/>
      <c r="W70" s="35"/>
      <c r="X70" s="35"/>
      <c r="Y70" s="135"/>
      <c r="Z70" s="135">
        <f>VLOOKUP(B70,'Manuell filtrering og justering'!$A$7:$H$107,'Manuell filtrering og justering'!$H$1,FALSE)</f>
        <v>0</v>
      </c>
      <c r="AA70" s="136">
        <f t="shared" si="94"/>
        <v>0</v>
      </c>
      <c r="AB70" s="137">
        <f>IF($AC$5='Manuell filtrering og justering'!$J$2,Z70,(T70-AA70))</f>
        <v>2</v>
      </c>
      <c r="AC70" s="496">
        <v>70</v>
      </c>
      <c r="AD70" s="138">
        <f t="shared" si="95"/>
        <v>1.2727272727272728E-2</v>
      </c>
      <c r="AE70" s="138">
        <f t="shared" ref="AE70:AE96" si="99">IF(AB70=0,0,(AD70/AB70)*AI70)</f>
        <v>0</v>
      </c>
      <c r="AF70" s="138">
        <f t="shared" ref="AF70:AF96" si="100">IF(AB70=0,0,(AD70/AB70)*AJ70)</f>
        <v>0</v>
      </c>
      <c r="AG70" s="138">
        <f t="shared" ref="AG70:AG96" si="101">IF(AB70=0,0,(AD70/AB70)*AK70)</f>
        <v>0</v>
      </c>
      <c r="AI70" s="783">
        <f>IF(OR($AB$52=0,AND($AB$52&gt;0,AI52=$AB$52)),IF(VLOOKUP(E70,'Pre-analyseverktøy'!$F$11:$AA$226,'Pre-analyseverktøy'!$H$2,FALSE)&gt;AB70,AB70,VLOOKUP(E70,'Pre-analyseverktøy'!$F$11:$AA$226,'Pre-analyseverktøy'!$H$2,FALSE)),0)</f>
        <v>0</v>
      </c>
      <c r="AJ70" s="783">
        <f>IF(OR($AB$52=0,AND($AB$52&gt;0,AJ52=$AB$52)),IF(VLOOKUP(E70,'Pre-analyseverktøy'!$F$11:$AA$226,'Pre-analyseverktøy'!$O$2,FALSE)&gt;AB70,AB70,VLOOKUP(E70,'Pre-analyseverktøy'!$F$11:$AA$226,'Pre-analyseverktøy'!$O$2,FALSE)),0)</f>
        <v>0</v>
      </c>
      <c r="AK70" s="783">
        <f>IF(OR($AB$52=0,AND($AB$52&gt;0,AK52=$AB$52)),IF(VLOOKUP(E70,'Pre-analyseverktøy'!$F$11:$AA$226,'Pre-analyseverktøy'!$V$2,FALSE)&gt;AB70,AB70,VLOOKUP(E70,'Pre-analyseverktøy'!$F$11:$AA$226,'Pre-analyseverktøy'!$V$2,FALSE)),0)</f>
        <v>0</v>
      </c>
      <c r="AM70" s="623"/>
      <c r="AN70" s="624"/>
      <c r="AO70" s="624"/>
      <c r="AP70" s="633"/>
      <c r="AQ70" s="634"/>
      <c r="AS70" s="632"/>
      <c r="AT70" s="633"/>
      <c r="AU70" s="633"/>
      <c r="AV70" s="633"/>
      <c r="AW70" s="634"/>
      <c r="AY70" s="625"/>
      <c r="AZ70" s="626"/>
      <c r="BA70" s="626"/>
      <c r="BB70" s="626"/>
      <c r="BC70" s="644"/>
      <c r="BD70" s="148">
        <f t="shared" ref="BD70:BD75" si="102">IF(BC70=0,9,IF((AI70-CG70)&gt;=BC70,5,IF((AI70-CG70)&gt;=BB70,4,IF((AI70-CG70)&gt;=BA70,3,IF((AI70-CG70)&gt;=AZ70,2,IF((AI70-CG70)&lt;AY70,0,1))))))</f>
        <v>9</v>
      </c>
      <c r="BE70" s="35" t="str">
        <f t="shared" si="96"/>
        <v>N/A</v>
      </c>
      <c r="BF70" s="151"/>
      <c r="BG70" s="148">
        <f t="shared" ref="BG70:BG75" si="103">IF(BC70=0,9,IF((AJ70-CG70)&gt;=BC70,5,IF((AJ70-CG70)&gt;=BB70,4,IF((AJ70-CG70)&gt;=BA70,3,IF((AJ70-CG70)&gt;=AZ70,2,IF((AJ70-CG70)&lt;AY70,0,1))))))</f>
        <v>9</v>
      </c>
      <c r="BH70" s="35" t="str">
        <f t="shared" si="97"/>
        <v>N/A</v>
      </c>
      <c r="BI70" s="151"/>
      <c r="BJ70" s="148">
        <f t="shared" ref="BJ70:BJ75" si="104">IF(BC70=0,9,IF((AK70-CG70)&gt;=BC70,5,IF((AK70-CG70)&gt;=BB70,4,IF((AK70-CG70)&gt;=BA70,3,IF((AK70-CG70)&gt;=AZ70,2,IF((AK70-CG70)&lt;AY70,0,1))))))</f>
        <v>9</v>
      </c>
      <c r="BK70" s="35" t="str">
        <f t="shared" si="98"/>
        <v>N/A</v>
      </c>
      <c r="BL70" s="627"/>
      <c r="BO70" s="35"/>
      <c r="BP70" s="35"/>
      <c r="BQ70" s="35" t="str">
        <f t="shared" si="10"/>
        <v/>
      </c>
      <c r="BR70" s="35">
        <f t="shared" si="42"/>
        <v>9</v>
      </c>
      <c r="BS70" s="35">
        <f t="shared" si="43"/>
        <v>9</v>
      </c>
      <c r="BT70" s="35">
        <f t="shared" si="44"/>
        <v>9</v>
      </c>
      <c r="BW70" s="37"/>
      <c r="BX70" s="37"/>
      <c r="BY70" s="37"/>
      <c r="BZ70" s="37"/>
      <c r="CA70" s="37"/>
      <c r="CB70" s="37"/>
      <c r="CO70" s="35">
        <f>'Pre-analyseverktøy'!H67</f>
        <v>0</v>
      </c>
      <c r="CP70" s="35">
        <f>'Pre-analyseverktøy'!O67</f>
        <v>0</v>
      </c>
      <c r="CQ70" s="35">
        <f>'Pre-analyseverktøy'!V67</f>
        <v>0</v>
      </c>
      <c r="CR70" s="35" t="str">
        <f>'Pre-analyseverktøy'!F67</f>
        <v xml:space="preserve">Passivdesign </v>
      </c>
      <c r="CS70" s="35" t="b">
        <f t="shared" si="84"/>
        <v>1</v>
      </c>
    </row>
    <row r="71" spans="1:97">
      <c r="A71">
        <v>63</v>
      </c>
      <c r="B71" t="str">
        <f>$D$69&amp;D71</f>
        <v>Ene 01b</v>
      </c>
      <c r="C71" t="str">
        <f t="shared" si="13"/>
        <v>Ene 01</v>
      </c>
      <c r="D71" s="132" t="s">
        <v>776</v>
      </c>
      <c r="E71" s="813" t="s">
        <v>994</v>
      </c>
      <c r="F71" s="575">
        <v>1</v>
      </c>
      <c r="G71" s="575">
        <v>1</v>
      </c>
      <c r="H71" s="575">
        <v>1</v>
      </c>
      <c r="I71" s="575">
        <v>1</v>
      </c>
      <c r="J71" s="575">
        <v>1</v>
      </c>
      <c r="K71" s="575">
        <v>1</v>
      </c>
      <c r="L71" s="575">
        <v>1</v>
      </c>
      <c r="M71" s="575">
        <v>1</v>
      </c>
      <c r="N71" s="575">
        <v>1</v>
      </c>
      <c r="O71" s="575">
        <v>1</v>
      </c>
      <c r="P71" s="575">
        <v>1</v>
      </c>
      <c r="Q71" s="575">
        <v>1</v>
      </c>
      <c r="R71" s="575">
        <v>1</v>
      </c>
      <c r="T71" s="136">
        <f t="shared" si="93"/>
        <v>1</v>
      </c>
      <c r="U71" s="134"/>
      <c r="V71" s="35"/>
      <c r="W71" s="35"/>
      <c r="X71" s="35"/>
      <c r="Y71" s="135"/>
      <c r="Z71" s="135">
        <f>VLOOKUP(B71,'Manuell filtrering og justering'!$A$7:$H$107,'Manuell filtrering og justering'!$H$1,FALSE)</f>
        <v>1</v>
      </c>
      <c r="AA71" s="136">
        <f t="shared" si="94"/>
        <v>0</v>
      </c>
      <c r="AB71" s="137">
        <f>IF($AC$5='Manuell filtrering og justering'!$J$2,Z71,(T71-AA71))</f>
        <v>1</v>
      </c>
      <c r="AC71" s="496">
        <v>71</v>
      </c>
      <c r="AD71" s="138">
        <f t="shared" si="95"/>
        <v>6.3636363636363638E-3</v>
      </c>
      <c r="AE71" s="138">
        <f t="shared" si="99"/>
        <v>0</v>
      </c>
      <c r="AF71" s="138">
        <f t="shared" si="100"/>
        <v>0</v>
      </c>
      <c r="AG71" s="138">
        <f t="shared" si="101"/>
        <v>0</v>
      </c>
      <c r="AI71" s="139">
        <f t="shared" ref="AI71:AI74" si="105">IF(CO71&gt;$AB71,$AB71,CO71)</f>
        <v>0</v>
      </c>
      <c r="AJ71" s="139">
        <f t="shared" ref="AJ71:AJ74" si="106">IF(CP71&gt;$AB71,$AB71,CP71)</f>
        <v>0</v>
      </c>
      <c r="AK71" s="139">
        <f t="shared" ref="AK71:AK74" si="107">IF(CQ71&gt;$AB71,$AB71,CQ71)</f>
        <v>0</v>
      </c>
      <c r="AM71" s="623"/>
      <c r="AN71" s="624"/>
      <c r="AO71" s="624"/>
      <c r="AP71" s="633"/>
      <c r="AQ71" s="634"/>
      <c r="AS71" s="632"/>
      <c r="AT71" s="633"/>
      <c r="AU71" s="633"/>
      <c r="AV71" s="633"/>
      <c r="AW71" s="634"/>
      <c r="AY71" s="625"/>
      <c r="AZ71" s="626"/>
      <c r="BA71" s="626"/>
      <c r="BB71" s="626"/>
      <c r="BC71" s="644"/>
      <c r="BD71" s="148">
        <f t="shared" si="102"/>
        <v>9</v>
      </c>
      <c r="BE71" s="35" t="str">
        <f t="shared" si="96"/>
        <v>N/A</v>
      </c>
      <c r="BF71" s="151"/>
      <c r="BG71" s="148">
        <f t="shared" si="103"/>
        <v>9</v>
      </c>
      <c r="BH71" s="35" t="str">
        <f t="shared" si="97"/>
        <v>N/A</v>
      </c>
      <c r="BI71" s="151"/>
      <c r="BJ71" s="148">
        <f t="shared" si="104"/>
        <v>9</v>
      </c>
      <c r="BK71" s="35" t="str">
        <f t="shared" si="98"/>
        <v>N/A</v>
      </c>
      <c r="BL71" s="627"/>
      <c r="BO71" s="35"/>
      <c r="BP71" s="35"/>
      <c r="BQ71" s="35" t="str">
        <f t="shared" si="10"/>
        <v/>
      </c>
      <c r="BR71" s="35">
        <f t="shared" si="42"/>
        <v>9</v>
      </c>
      <c r="BS71" s="35">
        <f t="shared" si="43"/>
        <v>9</v>
      </c>
      <c r="BT71" s="35">
        <f t="shared" si="44"/>
        <v>9</v>
      </c>
      <c r="BW71" s="37"/>
      <c r="BX71" s="37"/>
      <c r="BY71" s="37"/>
      <c r="BZ71" s="37"/>
      <c r="CA71" s="37"/>
      <c r="CB71" s="37"/>
      <c r="CO71" s="35">
        <f>'Pre-analyseverktøy'!H68</f>
        <v>0</v>
      </c>
      <c r="CP71" s="35">
        <f>'Pre-analyseverktøy'!O68</f>
        <v>0</v>
      </c>
      <c r="CQ71" s="35">
        <f>'Pre-analyseverktøy'!V68</f>
        <v>0</v>
      </c>
      <c r="CR71" s="35" t="str">
        <f>'Pre-analyseverktøy'!F68</f>
        <v>Energiforsyning med lavt klimagassutslipp</v>
      </c>
      <c r="CS71" s="35" t="b">
        <f t="shared" ref="CS71" si="108">CR71=E71</f>
        <v>1</v>
      </c>
    </row>
    <row r="72" spans="1:97">
      <c r="A72">
        <v>64</v>
      </c>
      <c r="B72" t="str">
        <f>$D$69&amp;D72</f>
        <v>Ene 01c</v>
      </c>
      <c r="C72" t="str">
        <f t="shared" si="13"/>
        <v>Ene 01</v>
      </c>
      <c r="D72" s="132" t="s">
        <v>777</v>
      </c>
      <c r="E72" s="813" t="s">
        <v>995</v>
      </c>
      <c r="F72" s="575">
        <v>4</v>
      </c>
      <c r="G72" s="575">
        <v>4</v>
      </c>
      <c r="H72" s="575">
        <v>4</v>
      </c>
      <c r="I72" s="575">
        <v>4</v>
      </c>
      <c r="J72" s="575">
        <v>4</v>
      </c>
      <c r="K72" s="575">
        <v>4</v>
      </c>
      <c r="L72" s="575">
        <v>4</v>
      </c>
      <c r="M72" s="575">
        <v>4</v>
      </c>
      <c r="N72" s="575">
        <v>4</v>
      </c>
      <c r="O72" s="575">
        <v>4</v>
      </c>
      <c r="P72" s="575">
        <v>4</v>
      </c>
      <c r="Q72" s="575">
        <v>4</v>
      </c>
      <c r="R72" s="575">
        <v>4</v>
      </c>
      <c r="T72" s="136">
        <f t="shared" si="93"/>
        <v>4</v>
      </c>
      <c r="U72" s="134"/>
      <c r="V72" s="35"/>
      <c r="W72" s="35"/>
      <c r="X72" s="35"/>
      <c r="Y72" s="135"/>
      <c r="Z72" s="135">
        <f>VLOOKUP(B72,'Manuell filtrering og justering'!$A$7:$H$107,'Manuell filtrering og justering'!$H$1,FALSE)</f>
        <v>22</v>
      </c>
      <c r="AA72" s="136">
        <f t="shared" si="94"/>
        <v>0</v>
      </c>
      <c r="AB72" s="137">
        <f>IF($AC$5='Manuell filtrering og justering'!$J$2,Z72,(T72-AA72))</f>
        <v>4</v>
      </c>
      <c r="AC72" s="496">
        <v>72</v>
      </c>
      <c r="AD72" s="138">
        <f t="shared" si="95"/>
        <v>2.5454545454545455E-2</v>
      </c>
      <c r="AE72" s="138">
        <f t="shared" si="99"/>
        <v>0</v>
      </c>
      <c r="AF72" s="138">
        <f t="shared" si="100"/>
        <v>0</v>
      </c>
      <c r="AG72" s="138">
        <f t="shared" si="101"/>
        <v>0</v>
      </c>
      <c r="AI72" s="139">
        <f t="shared" si="105"/>
        <v>0</v>
      </c>
      <c r="AJ72" s="139">
        <f t="shared" si="106"/>
        <v>0</v>
      </c>
      <c r="AK72" s="139">
        <f t="shared" si="107"/>
        <v>0</v>
      </c>
      <c r="AM72" s="623"/>
      <c r="AN72" s="624"/>
      <c r="AO72" s="624"/>
      <c r="AP72" s="633">
        <v>1</v>
      </c>
      <c r="AQ72" s="634">
        <v>1</v>
      </c>
      <c r="AS72" s="632"/>
      <c r="AT72" s="633"/>
      <c r="AU72" s="633"/>
      <c r="AV72" s="633">
        <v>1</v>
      </c>
      <c r="AW72" s="634">
        <v>1</v>
      </c>
      <c r="AY72" s="625"/>
      <c r="AZ72" s="626"/>
      <c r="BA72" s="626"/>
      <c r="BB72" s="149">
        <f>IF($E$6=$H$9,AV72,AP72)</f>
        <v>1</v>
      </c>
      <c r="BC72" s="153">
        <f>IF($E$6=$H$9,AW72,AQ72)</f>
        <v>1</v>
      </c>
      <c r="BD72" s="148">
        <f t="shared" si="102"/>
        <v>3</v>
      </c>
      <c r="BE72" s="35" t="str">
        <f t="shared" si="96"/>
        <v>Very Good</v>
      </c>
      <c r="BF72" s="151"/>
      <c r="BG72" s="148">
        <f t="shared" si="103"/>
        <v>3</v>
      </c>
      <c r="BH72" s="35" t="str">
        <f t="shared" si="97"/>
        <v>Very Good</v>
      </c>
      <c r="BI72" s="151"/>
      <c r="BJ72" s="148">
        <f t="shared" si="104"/>
        <v>3</v>
      </c>
      <c r="BK72" s="35" t="str">
        <f t="shared" si="98"/>
        <v>Very Good</v>
      </c>
      <c r="BL72" s="627"/>
      <c r="BO72" s="35"/>
      <c r="BP72" s="35"/>
      <c r="BQ72" s="35" t="str">
        <f t="shared" si="10"/>
        <v/>
      </c>
      <c r="BR72" s="35">
        <f t="shared" si="42"/>
        <v>9</v>
      </c>
      <c r="BS72" s="35">
        <f t="shared" si="43"/>
        <v>9</v>
      </c>
      <c r="BT72" s="35">
        <f t="shared" si="44"/>
        <v>9</v>
      </c>
      <c r="BW72" s="37"/>
      <c r="BX72" s="37"/>
      <c r="BY72" s="37"/>
      <c r="BZ72" s="37"/>
      <c r="CA72" s="37"/>
      <c r="CB72" s="37"/>
      <c r="CO72" s="35">
        <f>'Pre-analyseverktøy'!H69</f>
        <v>0</v>
      </c>
      <c r="CP72" s="35">
        <f>'Pre-analyseverktøy'!O69</f>
        <v>0</v>
      </c>
      <c r="CQ72" s="35">
        <f>'Pre-analyseverktøy'!V69</f>
        <v>0</v>
      </c>
      <c r="CR72" s="35" t="str">
        <f>'Pre-analyseverktøy'!F69</f>
        <v>Energiytelse</v>
      </c>
      <c r="CS72" s="35" t="b">
        <f t="shared" ref="CS72" si="109">CR72=E72</f>
        <v>1</v>
      </c>
    </row>
    <row r="73" spans="1:97">
      <c r="A73">
        <v>65</v>
      </c>
      <c r="B73" t="str">
        <f>$D$69&amp;D73</f>
        <v>Ene 01d</v>
      </c>
      <c r="C73" t="str">
        <f t="shared" si="13"/>
        <v>Ene 01</v>
      </c>
      <c r="D73" s="132" t="s">
        <v>778</v>
      </c>
      <c r="E73" s="924" t="s">
        <v>996</v>
      </c>
      <c r="F73" s="575">
        <v>1</v>
      </c>
      <c r="G73" s="575">
        <v>1</v>
      </c>
      <c r="H73" s="575">
        <v>1</v>
      </c>
      <c r="I73" s="575">
        <v>1</v>
      </c>
      <c r="J73" s="575">
        <v>1</v>
      </c>
      <c r="K73" s="575">
        <v>1</v>
      </c>
      <c r="L73" s="575">
        <v>1</v>
      </c>
      <c r="M73" s="575">
        <v>1</v>
      </c>
      <c r="N73" s="575">
        <v>1</v>
      </c>
      <c r="O73" s="575">
        <v>1</v>
      </c>
      <c r="P73" s="575">
        <v>1</v>
      </c>
      <c r="Q73" s="575">
        <v>1</v>
      </c>
      <c r="R73" s="575">
        <v>1</v>
      </c>
      <c r="T73" s="136">
        <f t="shared" si="93"/>
        <v>1</v>
      </c>
      <c r="U73" s="134"/>
      <c r="V73" s="35"/>
      <c r="W73" s="35"/>
      <c r="X73" s="35"/>
      <c r="Y73" s="135"/>
      <c r="Z73" s="135">
        <f>VLOOKUP(B73,'Manuell filtrering og justering'!$A$7:$H$107,'Manuell filtrering og justering'!$H$1,FALSE)</f>
        <v>1</v>
      </c>
      <c r="AA73" s="136">
        <f t="shared" si="94"/>
        <v>0</v>
      </c>
      <c r="AB73" s="137">
        <f>IF($AC$5='Manuell filtrering og justering'!$J$2,Z73,(T73-AA73))</f>
        <v>1</v>
      </c>
      <c r="AC73" s="496">
        <v>73</v>
      </c>
      <c r="AD73" s="138">
        <f t="shared" si="95"/>
        <v>6.3636363636363638E-3</v>
      </c>
      <c r="AE73" s="138">
        <f t="shared" si="99"/>
        <v>0</v>
      </c>
      <c r="AF73" s="138">
        <f t="shared" si="100"/>
        <v>0</v>
      </c>
      <c r="AG73" s="138">
        <f t="shared" si="101"/>
        <v>0</v>
      </c>
      <c r="AI73" s="139">
        <f t="shared" si="105"/>
        <v>0</v>
      </c>
      <c r="AJ73" s="139">
        <f t="shared" si="106"/>
        <v>0</v>
      </c>
      <c r="AK73" s="139">
        <f t="shared" si="107"/>
        <v>0</v>
      </c>
      <c r="AM73" s="623"/>
      <c r="AN73" s="624"/>
      <c r="AO73" s="624"/>
      <c r="AP73" s="633">
        <v>1</v>
      </c>
      <c r="AQ73" s="634">
        <v>1</v>
      </c>
      <c r="AS73" s="632"/>
      <c r="AT73" s="633"/>
      <c r="AU73" s="633"/>
      <c r="AV73" s="633">
        <v>1</v>
      </c>
      <c r="AW73" s="634">
        <v>1</v>
      </c>
      <c r="AY73" s="625"/>
      <c r="AZ73" s="626"/>
      <c r="BA73" s="626"/>
      <c r="BB73" s="149">
        <f>IF($E$6=$H$9,AV73,AP73)</f>
        <v>1</v>
      </c>
      <c r="BC73" s="153">
        <f>IF($E$6=$H$9,AW73,AQ73)</f>
        <v>1</v>
      </c>
      <c r="BD73" s="148">
        <f t="shared" si="102"/>
        <v>3</v>
      </c>
      <c r="BE73" s="35" t="str">
        <f t="shared" si="96"/>
        <v>Very Good</v>
      </c>
      <c r="BF73" s="151"/>
      <c r="BG73" s="148">
        <f t="shared" si="103"/>
        <v>3</v>
      </c>
      <c r="BH73" s="35" t="str">
        <f t="shared" si="97"/>
        <v>Very Good</v>
      </c>
      <c r="BI73" s="151"/>
      <c r="BJ73" s="148">
        <f t="shared" si="104"/>
        <v>3</v>
      </c>
      <c r="BK73" s="35" t="str">
        <f t="shared" si="98"/>
        <v>Very Good</v>
      </c>
      <c r="BL73" s="627"/>
      <c r="BO73" s="35">
        <v>1</v>
      </c>
      <c r="BP73" s="35"/>
      <c r="BQ73" s="35">
        <f t="shared" si="10"/>
        <v>1</v>
      </c>
      <c r="BR73" s="35">
        <f t="shared" si="42"/>
        <v>0</v>
      </c>
      <c r="BS73" s="35">
        <f t="shared" si="43"/>
        <v>0</v>
      </c>
      <c r="BT73" s="35">
        <f t="shared" si="44"/>
        <v>0</v>
      </c>
      <c r="BW73" s="37"/>
      <c r="BX73" s="37"/>
      <c r="BY73" s="37"/>
      <c r="BZ73" s="37"/>
      <c r="CA73" s="37"/>
      <c r="CB73" s="37"/>
      <c r="CO73" s="35">
        <f>'Pre-analyseverktøy'!H71</f>
        <v>0</v>
      </c>
      <c r="CP73" s="35">
        <f>'Pre-analyseverktøy'!O71</f>
        <v>0</v>
      </c>
      <c r="CQ73" s="35">
        <f>'Pre-analyseverktøy'!V71</f>
        <v>0</v>
      </c>
      <c r="CR73" s="35" t="str">
        <f>'Pre-analyseverktøy'!F71</f>
        <v>Tilpasning til EUs taksonomi (EU taksonomi: krit. 12)</v>
      </c>
      <c r="CS73" s="35" t="b">
        <f t="shared" si="84"/>
        <v>1</v>
      </c>
    </row>
    <row r="74" spans="1:97">
      <c r="A74">
        <v>66</v>
      </c>
      <c r="B74" t="str">
        <f>$D$69&amp;D74</f>
        <v>Ene 01e</v>
      </c>
      <c r="C74" t="str">
        <f t="shared" si="13"/>
        <v>Ene 01</v>
      </c>
      <c r="D74" s="132" t="s">
        <v>779</v>
      </c>
      <c r="E74" s="813" t="s">
        <v>997</v>
      </c>
      <c r="F74" s="575">
        <v>4</v>
      </c>
      <c r="G74" s="575">
        <v>4</v>
      </c>
      <c r="H74" s="575">
        <v>4</v>
      </c>
      <c r="I74" s="575">
        <v>4</v>
      </c>
      <c r="J74" s="575">
        <v>4</v>
      </c>
      <c r="K74" s="575">
        <v>4</v>
      </c>
      <c r="L74" s="575">
        <v>4</v>
      </c>
      <c r="M74" s="575">
        <v>4</v>
      </c>
      <c r="N74" s="575">
        <v>4</v>
      </c>
      <c r="O74" s="575">
        <v>4</v>
      </c>
      <c r="P74" s="575">
        <v>4</v>
      </c>
      <c r="Q74" s="575">
        <v>4</v>
      </c>
      <c r="R74" s="575">
        <v>4</v>
      </c>
      <c r="T74" s="136">
        <f t="shared" si="93"/>
        <v>4</v>
      </c>
      <c r="U74" s="134"/>
      <c r="V74" s="35"/>
      <c r="W74" s="35"/>
      <c r="X74" s="35"/>
      <c r="Y74" s="136">
        <f>IF($Y$4=$Y$6,T74,0)</f>
        <v>0</v>
      </c>
      <c r="Z74" s="135">
        <f>VLOOKUP(B74,'Manuell filtrering og justering'!$A$7:$H$107,'Manuell filtrering og justering'!$H$1,FALSE)</f>
        <v>0</v>
      </c>
      <c r="AA74" s="136">
        <f t="shared" si="94"/>
        <v>0</v>
      </c>
      <c r="AB74" s="137">
        <f>IF($AC$5='Manuell filtrering og justering'!$J$2,Z74,(T74-AA74))</f>
        <v>4</v>
      </c>
      <c r="AC74" s="496">
        <v>74</v>
      </c>
      <c r="AD74" s="138">
        <f t="shared" si="95"/>
        <v>2.5454545454545455E-2</v>
      </c>
      <c r="AE74" s="138">
        <f t="shared" si="99"/>
        <v>0</v>
      </c>
      <c r="AF74" s="138">
        <f t="shared" si="100"/>
        <v>0</v>
      </c>
      <c r="AG74" s="138">
        <f t="shared" si="101"/>
        <v>0</v>
      </c>
      <c r="AI74" s="139">
        <f t="shared" si="105"/>
        <v>0</v>
      </c>
      <c r="AJ74" s="139">
        <f t="shared" si="106"/>
        <v>0</v>
      </c>
      <c r="AK74" s="139">
        <f t="shared" si="107"/>
        <v>0</v>
      </c>
      <c r="AM74" s="623"/>
      <c r="AN74" s="624"/>
      <c r="AO74" s="624"/>
      <c r="AP74" s="633"/>
      <c r="AQ74" s="634"/>
      <c r="AS74" s="632"/>
      <c r="AT74" s="633"/>
      <c r="AU74" s="633"/>
      <c r="AV74" s="633"/>
      <c r="AW74" s="634"/>
      <c r="AY74" s="625"/>
      <c r="AZ74" s="626"/>
      <c r="BA74" s="626"/>
      <c r="BB74" s="626"/>
      <c r="BC74" s="644"/>
      <c r="BD74" s="148">
        <f t="shared" si="102"/>
        <v>9</v>
      </c>
      <c r="BE74" s="35" t="str">
        <f t="shared" si="96"/>
        <v>N/A</v>
      </c>
      <c r="BF74" s="151"/>
      <c r="BG74" s="148">
        <f t="shared" si="103"/>
        <v>9</v>
      </c>
      <c r="BH74" s="35" t="str">
        <f t="shared" si="97"/>
        <v>N/A</v>
      </c>
      <c r="BI74" s="151"/>
      <c r="BJ74" s="148">
        <f t="shared" si="104"/>
        <v>9</v>
      </c>
      <c r="BK74" s="35" t="str">
        <f t="shared" si="98"/>
        <v>N/A</v>
      </c>
      <c r="BL74" s="627"/>
      <c r="BO74" s="35"/>
      <c r="BP74" s="35"/>
      <c r="BQ74" s="35" t="str">
        <f t="shared" si="10"/>
        <v/>
      </c>
      <c r="BR74" s="35">
        <f t="shared" si="42"/>
        <v>9</v>
      </c>
      <c r="BS74" s="35">
        <f t="shared" si="43"/>
        <v>9</v>
      </c>
      <c r="BT74" s="35">
        <f t="shared" si="44"/>
        <v>9</v>
      </c>
      <c r="BW74" s="37"/>
      <c r="BX74" s="37"/>
      <c r="BY74" s="37"/>
      <c r="BZ74" s="37"/>
      <c r="CA74" s="37"/>
      <c r="CB74" s="37"/>
      <c r="CO74" s="35">
        <f>'Pre-analyseverktøy'!H72</f>
        <v>0</v>
      </c>
      <c r="CP74" s="35">
        <f>'Pre-analyseverktøy'!O72</f>
        <v>0</v>
      </c>
      <c r="CQ74" s="35">
        <f>'Pre-analyseverktøy'!V72</f>
        <v>0</v>
      </c>
      <c r="CR74" s="35" t="str">
        <f>'Pre-analyseverktøy'!F72</f>
        <v>Forespeiling av reelt energibudsjett</v>
      </c>
      <c r="CS74" s="35" t="b">
        <f t="shared" si="84"/>
        <v>1</v>
      </c>
    </row>
    <row r="75" spans="1:97">
      <c r="A75">
        <v>67</v>
      </c>
      <c r="B75" s="109" t="str">
        <f>D75</f>
        <v>Ene 02</v>
      </c>
      <c r="C75" s="109" t="str">
        <f>B75</f>
        <v>Ene 02</v>
      </c>
      <c r="D75" s="631" t="s">
        <v>363</v>
      </c>
      <c r="E75" s="629" t="s">
        <v>998</v>
      </c>
      <c r="F75" s="711">
        <f t="shared" ref="F75:R75" si="110">SUM(F76:F78)</f>
        <v>2</v>
      </c>
      <c r="G75" s="711">
        <f t="shared" si="110"/>
        <v>2</v>
      </c>
      <c r="H75" s="711">
        <f t="shared" si="110"/>
        <v>2</v>
      </c>
      <c r="I75" s="711">
        <f t="shared" si="110"/>
        <v>2</v>
      </c>
      <c r="J75" s="711">
        <f t="shared" si="110"/>
        <v>2</v>
      </c>
      <c r="K75" s="711">
        <f t="shared" si="110"/>
        <v>2</v>
      </c>
      <c r="L75" s="711">
        <f t="shared" si="110"/>
        <v>2</v>
      </c>
      <c r="M75" s="711">
        <f t="shared" si="110"/>
        <v>2</v>
      </c>
      <c r="N75" s="711">
        <f t="shared" si="110"/>
        <v>2</v>
      </c>
      <c r="O75" s="711">
        <f t="shared" si="110"/>
        <v>2</v>
      </c>
      <c r="P75" s="711">
        <f t="shared" si="110"/>
        <v>2</v>
      </c>
      <c r="Q75" s="711">
        <f>SUM(Q76:Q78)</f>
        <v>2</v>
      </c>
      <c r="R75" s="711">
        <f t="shared" si="110"/>
        <v>2</v>
      </c>
      <c r="T75" s="731">
        <f t="shared" si="93"/>
        <v>2</v>
      </c>
      <c r="U75" s="179">
        <f>U77</f>
        <v>0</v>
      </c>
      <c r="V75" s="53"/>
      <c r="W75" s="53"/>
      <c r="X75" s="53">
        <f>'Manuell filtrering og justering'!E30</f>
        <v>0</v>
      </c>
      <c r="Y75" s="53"/>
      <c r="Z75" s="726">
        <f>SUM(Z76:Z78)</f>
        <v>2</v>
      </c>
      <c r="AA75" s="731">
        <f t="shared" si="94"/>
        <v>0</v>
      </c>
      <c r="AB75" s="782">
        <f>SUM(AB76:AB78)</f>
        <v>2</v>
      </c>
      <c r="AC75" s="496">
        <v>75</v>
      </c>
      <c r="AD75" s="138">
        <f t="shared" si="95"/>
        <v>1.2727272727272728E-2</v>
      </c>
      <c r="AE75" s="701">
        <f>SUM(AE76:AE78)</f>
        <v>0</v>
      </c>
      <c r="AF75" s="701">
        <f>SUM(AF76:AF78)</f>
        <v>0</v>
      </c>
      <c r="AG75" s="701">
        <f>SUM(AG76:AG78)</f>
        <v>0</v>
      </c>
      <c r="AI75" s="726">
        <f>SUM(AI76:AI78)</f>
        <v>0</v>
      </c>
      <c r="AJ75" s="726">
        <f>SUM(AJ76:AJ78)</f>
        <v>0</v>
      </c>
      <c r="AK75" s="726">
        <f>SUM(AK76:AK78)</f>
        <v>0</v>
      </c>
      <c r="AL75" t="s">
        <v>216</v>
      </c>
      <c r="AM75" s="235"/>
      <c r="AN75" s="147"/>
      <c r="AO75" s="147"/>
      <c r="AP75" s="147"/>
      <c r="AQ75" s="152"/>
      <c r="AS75" s="235"/>
      <c r="AT75" s="147"/>
      <c r="AU75" s="147"/>
      <c r="AV75" s="147"/>
      <c r="AW75" s="152"/>
      <c r="AY75" s="148"/>
      <c r="AZ75" s="149"/>
      <c r="BA75" s="149"/>
      <c r="BB75" s="149"/>
      <c r="BC75" s="153"/>
      <c r="BD75" s="148">
        <f t="shared" si="102"/>
        <v>9</v>
      </c>
      <c r="BE75" s="35" t="str">
        <f t="shared" si="96"/>
        <v>N/A</v>
      </c>
      <c r="BF75" s="151"/>
      <c r="BG75" s="148">
        <f t="shared" si="103"/>
        <v>9</v>
      </c>
      <c r="BH75" s="35" t="str">
        <f t="shared" si="97"/>
        <v>N/A</v>
      </c>
      <c r="BI75" s="151"/>
      <c r="BJ75" s="148">
        <f t="shared" si="104"/>
        <v>9</v>
      </c>
      <c r="BK75" s="35" t="str">
        <f t="shared" si="98"/>
        <v>N/A</v>
      </c>
      <c r="BL75" s="151"/>
      <c r="BO75" s="35"/>
      <c r="BP75" s="35"/>
      <c r="BQ75" s="35" t="str">
        <f t="shared" ref="BQ75:BQ138" si="111">IF(BO75&lt;&gt;"",BO75,IF(BP75&lt;&gt;"",BP75,""))</f>
        <v/>
      </c>
      <c r="BR75" s="35">
        <f t="shared" si="42"/>
        <v>9</v>
      </c>
      <c r="BS75" s="35">
        <f t="shared" si="43"/>
        <v>9</v>
      </c>
      <c r="BT75" s="35">
        <f t="shared" si="44"/>
        <v>9</v>
      </c>
      <c r="BW75" s="35" t="str">
        <f>D75</f>
        <v>Ene 02</v>
      </c>
      <c r="BX75" s="35" t="str">
        <f>IFERROR(VLOOKUP($E75,'Pre-analyseverktøy'!$F$11:$AC$226,'Pre-analyseverktøy'!AC$2,FALSE),"")</f>
        <v>O2: Sub-met. (AC 4-7: -1,0 c)</v>
      </c>
      <c r="BY75" s="53" t="str">
        <f>IFERROR(VLOOKUP($E75,'Pre-analyseverktøy'!$F$11:$AJ$226,'Pre-analyseverktøy'!AJ$2,FALSE),"")</f>
        <v>Ja</v>
      </c>
      <c r="BZ75" s="35">
        <f>IFERROR(VLOOKUP($BX75,$E$293:$H$326,F$291,FALSE),"")</f>
        <v>-1</v>
      </c>
      <c r="CA75" s="501" t="s">
        <v>895</v>
      </c>
      <c r="CB75" s="35">
        <f>H308</f>
        <v>1</v>
      </c>
      <c r="CC75" t="str">
        <f>IFERROR(VLOOKUP($BX75,$E$293:$H$326,I$291,FALSE),"")</f>
        <v/>
      </c>
      <c r="CD75" s="54" t="s">
        <v>892</v>
      </c>
      <c r="CE75" s="35">
        <f>VLOOKUP(CA75,$CA$4:$CB$5,2,FALSE)</f>
        <v>0</v>
      </c>
      <c r="CG75" s="54">
        <f>IF($BX$5=ais_nei,CE75,IF(CD75=$BY$5,IF(AND(CA75=$CA$4,BX75=$CC$4),0,BZ75),CE75))</f>
        <v>0</v>
      </c>
      <c r="CI75" t="s">
        <v>892</v>
      </c>
    </row>
    <row r="76" spans="1:97">
      <c r="A76">
        <v>68</v>
      </c>
      <c r="B76" t="str">
        <f>$D$75&amp;D76</f>
        <v>Ene 02a</v>
      </c>
      <c r="C76" t="str">
        <f t="shared" ref="C76:C139" si="112">C75</f>
        <v>Ene 02</v>
      </c>
      <c r="D76" s="132" t="s">
        <v>775</v>
      </c>
      <c r="E76" s="827" t="s">
        <v>999</v>
      </c>
      <c r="F76" s="575">
        <v>1</v>
      </c>
      <c r="G76" s="575">
        <v>1</v>
      </c>
      <c r="H76" s="763">
        <v>0</v>
      </c>
      <c r="I76" s="575">
        <v>1</v>
      </c>
      <c r="J76" s="575">
        <v>1</v>
      </c>
      <c r="K76" s="575">
        <v>1</v>
      </c>
      <c r="L76" s="575">
        <v>1</v>
      </c>
      <c r="M76" s="575">
        <v>1</v>
      </c>
      <c r="N76" s="575">
        <v>1</v>
      </c>
      <c r="O76" s="575">
        <v>1</v>
      </c>
      <c r="P76" s="575">
        <v>1</v>
      </c>
      <c r="Q76" s="575">
        <v>1</v>
      </c>
      <c r="R76" s="575">
        <v>1</v>
      </c>
      <c r="T76" s="136">
        <f t="shared" si="93"/>
        <v>1</v>
      </c>
      <c r="U76" s="134"/>
      <c r="V76" s="35"/>
      <c r="W76" s="35"/>
      <c r="X76" s="35"/>
      <c r="Y76" s="136">
        <f>IF($Y$4=$Y$6,T76,0)</f>
        <v>0</v>
      </c>
      <c r="Z76" s="135">
        <f>VLOOKUP(B76,'Manuell filtrering og justering'!$A$7:$H$107,'Manuell filtrering og justering'!$H$1,FALSE)</f>
        <v>1</v>
      </c>
      <c r="AA76" s="136">
        <f t="shared" si="94"/>
        <v>0</v>
      </c>
      <c r="AB76" s="137">
        <f>IF($AC$5='Manuell filtrering og justering'!$J$2,Z76,(T76-AA76))</f>
        <v>1</v>
      </c>
      <c r="AC76" s="496">
        <v>76</v>
      </c>
      <c r="AD76" s="138">
        <f t="shared" si="95"/>
        <v>6.3636363636363638E-3</v>
      </c>
      <c r="AE76" s="138">
        <f t="shared" si="99"/>
        <v>0</v>
      </c>
      <c r="AF76" s="138">
        <f t="shared" si="100"/>
        <v>0</v>
      </c>
      <c r="AG76" s="138">
        <f t="shared" si="101"/>
        <v>0</v>
      </c>
      <c r="AI76" s="139">
        <f t="shared" ref="AI76:AI78" si="113">IF(CO76&gt;$AB76,$AB76,CO76)</f>
        <v>0</v>
      </c>
      <c r="AJ76" s="139">
        <f t="shared" ref="AJ76:AJ78" si="114">IF(CP76&gt;$AB76,$AB76,CP76)</f>
        <v>0</v>
      </c>
      <c r="AK76" s="139">
        <f t="shared" ref="AK76:AK78" si="115">IF(CQ76&gt;$AB76,$AB76,CQ76)</f>
        <v>0</v>
      </c>
      <c r="AM76" s="235"/>
      <c r="AN76" s="147"/>
      <c r="AO76" s="147"/>
      <c r="AP76" s="147"/>
      <c r="AQ76" s="152"/>
      <c r="AS76" s="235"/>
      <c r="AT76" s="147"/>
      <c r="AU76" s="147"/>
      <c r="AV76" s="147"/>
      <c r="AW76" s="152"/>
      <c r="AY76" s="148"/>
      <c r="AZ76" s="149"/>
      <c r="BA76" s="149"/>
      <c r="BB76" s="149"/>
      <c r="BC76" s="153"/>
      <c r="BD76" s="148">
        <f t="shared" ref="BD76:BD95" si="116">IF(BC76=0,9,IF((AI76-CG76)&gt;=BC76,5,IF((AI76-CG76)&gt;=BB76,4,IF((AI76-CG76)&gt;=BA76,3,IF((AI76-CG76)&gt;=AZ76,2,IF((AI76-CG76)&lt;AY76,0,1))))))</f>
        <v>9</v>
      </c>
      <c r="BE76" s="35" t="str">
        <f t="shared" si="96"/>
        <v>N/A</v>
      </c>
      <c r="BF76" s="151"/>
      <c r="BG76" s="148">
        <f t="shared" ref="BG76:BG95" si="117">IF(BC76=0,9,IF((AJ76-CG76)&gt;=BC76,5,IF((AJ76-CG76)&gt;=BB76,4,IF((AJ76-CG76)&gt;=BA76,3,IF((AJ76-CG76)&gt;=AZ76,2,IF((AJ76-CG76)&lt;AY76,0,1))))))</f>
        <v>9</v>
      </c>
      <c r="BH76" s="35" t="str">
        <f t="shared" si="97"/>
        <v>N/A</v>
      </c>
      <c r="BI76" s="151"/>
      <c r="BJ76" s="148">
        <f t="shared" ref="BJ76:BJ95" si="118">IF(BC76=0,9,IF((AK76-CG76)&gt;=BC76,5,IF((AK76-CG76)&gt;=BB76,4,IF((AK76-CG76)&gt;=BA76,3,IF((AK76-CG76)&gt;=AZ76,2,IF((AK76-CG76)&lt;AY76,0,1))))))</f>
        <v>9</v>
      </c>
      <c r="BK76" s="35" t="str">
        <f t="shared" si="98"/>
        <v>N/A</v>
      </c>
      <c r="BL76" s="151"/>
      <c r="BO76" s="35"/>
      <c r="BP76" s="35"/>
      <c r="BQ76" s="35" t="str">
        <f t="shared" si="111"/>
        <v/>
      </c>
      <c r="BR76" s="35">
        <f t="shared" si="42"/>
        <v>9</v>
      </c>
      <c r="BS76" s="35">
        <f t="shared" si="43"/>
        <v>9</v>
      </c>
      <c r="BT76" s="35">
        <f t="shared" si="44"/>
        <v>9</v>
      </c>
      <c r="BW76" s="35"/>
      <c r="BX76" s="35"/>
      <c r="BY76" s="53"/>
      <c r="BZ76" s="35"/>
      <c r="CA76" s="502"/>
      <c r="CB76" s="35"/>
      <c r="CD76" s="54"/>
      <c r="CE76" s="35"/>
      <c r="CG76" s="54"/>
      <c r="CO76" s="35">
        <f>'Pre-analyseverktøy'!H74</f>
        <v>0</v>
      </c>
      <c r="CP76" s="35">
        <f>'Pre-analyseverktøy'!O74</f>
        <v>0</v>
      </c>
      <c r="CQ76" s="35">
        <f>'Pre-analyseverktøy'!V74</f>
        <v>0</v>
      </c>
      <c r="CR76" s="35" t="str">
        <f>'Pre-analyseverktøy'!F74</f>
        <v>Formålsdeling</v>
      </c>
      <c r="CS76" s="35" t="b">
        <f t="shared" ref="CS76:CS84" si="119">CR76=E76</f>
        <v>1</v>
      </c>
    </row>
    <row r="77" spans="1:97">
      <c r="A77">
        <v>69</v>
      </c>
      <c r="B77" t="str">
        <f>$D$75&amp;D77</f>
        <v>Ene 02b</v>
      </c>
      <c r="C77" t="str">
        <f t="shared" si="112"/>
        <v>Ene 02</v>
      </c>
      <c r="D77" s="132" t="s">
        <v>776</v>
      </c>
      <c r="E77" s="827" t="s">
        <v>1000</v>
      </c>
      <c r="F77" s="575">
        <v>1</v>
      </c>
      <c r="G77" s="575">
        <v>1</v>
      </c>
      <c r="H77" s="763">
        <v>0</v>
      </c>
      <c r="I77" s="575">
        <v>1</v>
      </c>
      <c r="J77" s="575">
        <v>1</v>
      </c>
      <c r="K77" s="575">
        <v>1</v>
      </c>
      <c r="L77" s="575">
        <v>1</v>
      </c>
      <c r="M77" s="575">
        <v>1</v>
      </c>
      <c r="N77" s="575">
        <v>1</v>
      </c>
      <c r="O77" s="575">
        <v>1</v>
      </c>
      <c r="P77" s="575">
        <v>1</v>
      </c>
      <c r="Q77" s="575">
        <v>1</v>
      </c>
      <c r="R77" s="575">
        <v>1</v>
      </c>
      <c r="T77" s="136">
        <f t="shared" si="93"/>
        <v>1</v>
      </c>
      <c r="U77" s="179">
        <f>IF(AND(Prosjektdetaljer!I28=1,Prosjektdetaljer!F28=AD_no),Poeng!T77,0)</f>
        <v>0</v>
      </c>
      <c r="V77" s="35"/>
      <c r="W77" s="35"/>
      <c r="X77" s="35"/>
      <c r="Y77" s="136">
        <f>IF($Y$4=$Y$6,T77,0)</f>
        <v>0</v>
      </c>
      <c r="Z77" s="135">
        <f>VLOOKUP(B77,'Manuell filtrering og justering'!$A$7:$H$107,'Manuell filtrering og justering'!$H$1,FALSE)</f>
        <v>1</v>
      </c>
      <c r="AA77" s="136">
        <f t="shared" si="94"/>
        <v>0</v>
      </c>
      <c r="AB77" s="137">
        <f>IF($AC$5='Manuell filtrering og justering'!$J$2,Z77,(T77-AA77))</f>
        <v>1</v>
      </c>
      <c r="AC77" s="496">
        <v>77</v>
      </c>
      <c r="AD77" s="138">
        <f t="shared" si="95"/>
        <v>6.3636363636363638E-3</v>
      </c>
      <c r="AE77" s="138">
        <f t="shared" si="99"/>
        <v>0</v>
      </c>
      <c r="AF77" s="138">
        <f t="shared" si="100"/>
        <v>0</v>
      </c>
      <c r="AG77" s="138">
        <f t="shared" si="101"/>
        <v>0</v>
      </c>
      <c r="AI77" s="139">
        <f t="shared" si="113"/>
        <v>0</v>
      </c>
      <c r="AJ77" s="139">
        <f t="shared" si="114"/>
        <v>0</v>
      </c>
      <c r="AK77" s="139">
        <f t="shared" si="115"/>
        <v>0</v>
      </c>
      <c r="AM77" s="235"/>
      <c r="AN77" s="147"/>
      <c r="AO77" s="147"/>
      <c r="AP77" s="147"/>
      <c r="AQ77" s="152"/>
      <c r="AS77" s="235"/>
      <c r="AT77" s="147"/>
      <c r="AU77" s="147"/>
      <c r="AV77" s="147"/>
      <c r="AW77" s="152"/>
      <c r="AY77" s="148"/>
      <c r="AZ77" s="149"/>
      <c r="BA77" s="149"/>
      <c r="BB77" s="149"/>
      <c r="BC77" s="153"/>
      <c r="BD77" s="148">
        <f t="shared" si="116"/>
        <v>9</v>
      </c>
      <c r="BE77" s="35" t="str">
        <f t="shared" si="96"/>
        <v>N/A</v>
      </c>
      <c r="BF77" s="151"/>
      <c r="BG77" s="148">
        <f t="shared" si="117"/>
        <v>9</v>
      </c>
      <c r="BH77" s="35" t="str">
        <f t="shared" si="97"/>
        <v>N/A</v>
      </c>
      <c r="BI77" s="151"/>
      <c r="BJ77" s="148">
        <f t="shared" si="118"/>
        <v>9</v>
      </c>
      <c r="BK77" s="35" t="str">
        <f t="shared" si="98"/>
        <v>N/A</v>
      </c>
      <c r="BL77" s="151"/>
      <c r="BO77" s="35"/>
      <c r="BP77" s="35"/>
      <c r="BQ77" s="35" t="str">
        <f t="shared" si="111"/>
        <v/>
      </c>
      <c r="BR77" s="35">
        <f t="shared" si="42"/>
        <v>9</v>
      </c>
      <c r="BS77" s="35">
        <f t="shared" si="43"/>
        <v>9</v>
      </c>
      <c r="BT77" s="35">
        <f t="shared" si="44"/>
        <v>9</v>
      </c>
      <c r="BW77" s="35"/>
      <c r="BX77" s="35"/>
      <c r="BY77" s="53"/>
      <c r="BZ77" s="35"/>
      <c r="CA77" s="502"/>
      <c r="CB77" s="35"/>
      <c r="CD77" s="54"/>
      <c r="CE77" s="35"/>
      <c r="CG77" s="54"/>
      <c r="CO77" s="35">
        <f>'Pre-analyseverktøy'!H75</f>
        <v>0</v>
      </c>
      <c r="CP77" s="35">
        <f>'Pre-analyseverktøy'!O75</f>
        <v>0</v>
      </c>
      <c r="CQ77" s="35">
        <f>'Pre-analyseverktøy'!V75</f>
        <v>0</v>
      </c>
      <c r="CR77" s="35" t="str">
        <f>'Pre-analyseverktøy'!F75</f>
        <v>Delmåling av store energiposter og leietakerareal</v>
      </c>
      <c r="CS77" s="35" t="b">
        <f t="shared" si="119"/>
        <v>1</v>
      </c>
    </row>
    <row r="78" spans="1:97" ht="15.75" thickBot="1">
      <c r="A78">
        <v>70</v>
      </c>
      <c r="B78" t="str">
        <f>$D$75&amp;D78</f>
        <v>Ene 02c</v>
      </c>
      <c r="C78" t="str">
        <f t="shared" si="112"/>
        <v>Ene 02</v>
      </c>
      <c r="D78" s="134" t="s">
        <v>777</v>
      </c>
      <c r="E78" s="827" t="s">
        <v>1001</v>
      </c>
      <c r="F78" s="575">
        <v>0</v>
      </c>
      <c r="G78" s="575">
        <v>0</v>
      </c>
      <c r="H78" s="763">
        <v>2</v>
      </c>
      <c r="I78" s="575">
        <v>0</v>
      </c>
      <c r="J78" s="575">
        <v>0</v>
      </c>
      <c r="K78" s="575">
        <v>0</v>
      </c>
      <c r="L78" s="575">
        <v>0</v>
      </c>
      <c r="M78" s="575">
        <v>0</v>
      </c>
      <c r="N78" s="575">
        <v>0</v>
      </c>
      <c r="O78" s="575">
        <v>0</v>
      </c>
      <c r="P78" s="575">
        <v>0</v>
      </c>
      <c r="Q78" s="575">
        <v>0</v>
      </c>
      <c r="R78" s="575">
        <v>0</v>
      </c>
      <c r="T78" s="136">
        <f t="shared" si="93"/>
        <v>0</v>
      </c>
      <c r="U78" s="134"/>
      <c r="V78" s="35"/>
      <c r="W78" s="40"/>
      <c r="X78" s="35"/>
      <c r="Y78" s="136">
        <f>IF($Y$4=$Y$6,T78,0)</f>
        <v>0</v>
      </c>
      <c r="Z78" s="135">
        <f>VLOOKUP(B78,'Manuell filtrering og justering'!$A$7:$H$107,'Manuell filtrering og justering'!$H$1,FALSE)</f>
        <v>0</v>
      </c>
      <c r="AA78" s="136">
        <f t="shared" si="94"/>
        <v>0</v>
      </c>
      <c r="AB78" s="137">
        <f>IF($AC$5='Manuell filtrering og justering'!$J$2,Z78,(T78-AA78))</f>
        <v>0</v>
      </c>
      <c r="AC78" s="496">
        <v>78</v>
      </c>
      <c r="AD78" s="138">
        <f t="shared" si="95"/>
        <v>0</v>
      </c>
      <c r="AE78" s="138">
        <f t="shared" si="99"/>
        <v>0</v>
      </c>
      <c r="AF78" s="138">
        <f t="shared" si="100"/>
        <v>0</v>
      </c>
      <c r="AG78" s="138">
        <f t="shared" si="101"/>
        <v>0</v>
      </c>
      <c r="AI78" s="139">
        <f t="shared" si="113"/>
        <v>0</v>
      </c>
      <c r="AJ78" s="139">
        <f t="shared" si="114"/>
        <v>0</v>
      </c>
      <c r="AK78" s="139">
        <f t="shared" si="115"/>
        <v>0</v>
      </c>
      <c r="AM78" s="235"/>
      <c r="AN78" s="147"/>
      <c r="AO78" s="147"/>
      <c r="AP78" s="147"/>
      <c r="AQ78" s="152"/>
      <c r="AS78" s="235"/>
      <c r="AT78" s="147"/>
      <c r="AU78" s="147"/>
      <c r="AV78" s="147"/>
      <c r="AW78" s="152"/>
      <c r="AY78" s="148"/>
      <c r="AZ78" s="149"/>
      <c r="BA78" s="149"/>
      <c r="BB78" s="149"/>
      <c r="BC78" s="153"/>
      <c r="BD78" s="148">
        <f t="shared" si="116"/>
        <v>9</v>
      </c>
      <c r="BE78" s="35" t="str">
        <f t="shared" si="96"/>
        <v>N/A</v>
      </c>
      <c r="BF78" s="151"/>
      <c r="BG78" s="148">
        <f t="shared" si="117"/>
        <v>9</v>
      </c>
      <c r="BH78" s="35" t="str">
        <f t="shared" si="97"/>
        <v>N/A</v>
      </c>
      <c r="BI78" s="151"/>
      <c r="BJ78" s="148">
        <f t="shared" si="118"/>
        <v>9</v>
      </c>
      <c r="BK78" s="35" t="str">
        <f t="shared" si="98"/>
        <v>N/A</v>
      </c>
      <c r="BL78" s="151"/>
      <c r="BO78" s="35"/>
      <c r="BP78" s="35"/>
      <c r="BQ78" s="35" t="str">
        <f t="shared" si="111"/>
        <v/>
      </c>
      <c r="BR78" s="35">
        <f t="shared" si="42"/>
        <v>9</v>
      </c>
      <c r="BS78" s="35">
        <f t="shared" si="43"/>
        <v>9</v>
      </c>
      <c r="BT78" s="35">
        <f t="shared" si="44"/>
        <v>9</v>
      </c>
      <c r="BW78" s="35"/>
      <c r="BX78" s="35"/>
      <c r="BY78" s="53"/>
      <c r="BZ78" s="35"/>
      <c r="CA78" s="502"/>
      <c r="CB78" s="35"/>
      <c r="CD78" s="54"/>
      <c r="CE78" s="35"/>
      <c r="CG78" s="54"/>
      <c r="CO78" s="35">
        <f>'Pre-analyseverktøy'!H76</f>
        <v>0</v>
      </c>
      <c r="CP78" s="35">
        <f>'Pre-analyseverktøy'!O76</f>
        <v>0</v>
      </c>
      <c r="CQ78" s="35">
        <f>'Pre-analyseverktøy'!V76</f>
        <v>0</v>
      </c>
      <c r="CR78" s="35" t="str">
        <f>'Pre-analyseverktøy'!F76</f>
        <v>Delmåling av energi i boliger</v>
      </c>
      <c r="CS78" s="35" t="b">
        <f t="shared" si="119"/>
        <v>1</v>
      </c>
    </row>
    <row r="79" spans="1:97">
      <c r="A79">
        <v>71</v>
      </c>
      <c r="B79" s="109" t="str">
        <f>D79</f>
        <v>Ene 03</v>
      </c>
      <c r="C79" s="109" t="str">
        <f>B79</f>
        <v>Ene 03</v>
      </c>
      <c r="D79" s="718" t="s">
        <v>372</v>
      </c>
      <c r="E79" s="629" t="s">
        <v>1002</v>
      </c>
      <c r="F79" s="721">
        <v>1</v>
      </c>
      <c r="G79" s="721">
        <v>1</v>
      </c>
      <c r="H79" s="721">
        <v>1</v>
      </c>
      <c r="I79" s="721">
        <v>1</v>
      </c>
      <c r="J79" s="721">
        <v>1</v>
      </c>
      <c r="K79" s="721">
        <v>1</v>
      </c>
      <c r="L79" s="721">
        <v>1</v>
      </c>
      <c r="M79" s="721">
        <v>1</v>
      </c>
      <c r="N79" s="721">
        <v>1</v>
      </c>
      <c r="O79" s="721">
        <v>1</v>
      </c>
      <c r="P79" s="721">
        <v>1</v>
      </c>
      <c r="Q79" s="721">
        <v>1</v>
      </c>
      <c r="R79" s="721">
        <v>1</v>
      </c>
      <c r="T79" s="731">
        <f t="shared" si="93"/>
        <v>1</v>
      </c>
      <c r="U79" s="179"/>
      <c r="V79" s="805"/>
      <c r="W79" s="119" t="s">
        <v>1003</v>
      </c>
      <c r="X79" s="806">
        <f>'Manuell filtrering og justering'!E31</f>
        <v>0</v>
      </c>
      <c r="Y79" s="850"/>
      <c r="Z79" s="744">
        <f>IF((Z80+Z81)&gt;0,1,0)</f>
        <v>1</v>
      </c>
      <c r="AA79" s="731">
        <f t="shared" si="94"/>
        <v>0</v>
      </c>
      <c r="AB79" s="782">
        <f>SUM(AB80:AB81)</f>
        <v>1</v>
      </c>
      <c r="AC79" s="496">
        <v>79</v>
      </c>
      <c r="AD79" s="138">
        <f t="shared" si="95"/>
        <v>6.3636363636363638E-3</v>
      </c>
      <c r="AE79" s="701">
        <f>IF(SUM(AE80:AE81)&gt;Ene03_05,Ene03_05,SUM(AE80:AE81))</f>
        <v>0</v>
      </c>
      <c r="AF79" s="701">
        <f>IF(SUM(AF80:AF81)&gt;Ene03_05,Ene03_05,SUM(AF80:AF81))</f>
        <v>0</v>
      </c>
      <c r="AG79" s="701">
        <f>IF(SUM(AG80:AG81)&gt;Ene03_05,Ene03_05,SUM(AG80:AG81))</f>
        <v>0</v>
      </c>
      <c r="AI79" s="726">
        <f>IF(SUM(AI80:AI81)&gt;Ene03_credits,Ene03_credits,SUM(AI80:AI81))</f>
        <v>0</v>
      </c>
      <c r="AJ79" s="726">
        <f>IF(SUM(AJ80:AJ81)&gt;Ene03_credits,Ene03_credits,SUM(AJ80:AJ81))</f>
        <v>0</v>
      </c>
      <c r="AK79" s="726">
        <f>IF(SUM(AK80:AK81)&gt;Ene03_credits,Ene03_credits,SUM(AK80:AK81))</f>
        <v>0</v>
      </c>
      <c r="AL79" t="s">
        <v>216</v>
      </c>
      <c r="AM79" s="236"/>
      <c r="AN79" s="237"/>
      <c r="AO79" s="237"/>
      <c r="AP79" s="237"/>
      <c r="AQ79" s="238"/>
      <c r="AS79" s="236"/>
      <c r="AT79" s="237"/>
      <c r="AU79" s="237"/>
      <c r="AV79" s="237"/>
      <c r="AW79" s="238"/>
      <c r="AY79" s="134"/>
      <c r="AZ79" s="35"/>
      <c r="BA79" s="35"/>
      <c r="BB79" s="35"/>
      <c r="BC79" s="135"/>
      <c r="BD79" s="148">
        <f t="shared" si="116"/>
        <v>9</v>
      </c>
      <c r="BE79" s="35" t="str">
        <f t="shared" si="96"/>
        <v>N/A</v>
      </c>
      <c r="BF79" s="151"/>
      <c r="BG79" s="148">
        <f t="shared" si="117"/>
        <v>9</v>
      </c>
      <c r="BH79" s="35" t="str">
        <f t="shared" si="97"/>
        <v>N/A</v>
      </c>
      <c r="BI79" s="151"/>
      <c r="BJ79" s="148">
        <f t="shared" si="118"/>
        <v>9</v>
      </c>
      <c r="BK79" s="35" t="str">
        <f t="shared" si="98"/>
        <v>N/A</v>
      </c>
      <c r="BL79" s="151"/>
      <c r="BM79" t="s">
        <v>971</v>
      </c>
      <c r="BO79" s="35"/>
      <c r="BP79" s="35"/>
      <c r="BQ79" s="35" t="str">
        <f t="shared" si="111"/>
        <v/>
      </c>
      <c r="BR79" s="35">
        <f t="shared" si="42"/>
        <v>9</v>
      </c>
      <c r="BS79" s="35">
        <f t="shared" si="43"/>
        <v>9</v>
      </c>
      <c r="BT79" s="35">
        <f t="shared" si="44"/>
        <v>9</v>
      </c>
      <c r="BW79" s="35" t="str">
        <f>D79</f>
        <v>Ene 03</v>
      </c>
      <c r="BX79" s="35" t="str">
        <f>IFERROR(VLOOKUP($E79,'Pre-analyseverktøy'!$F$11:$AC$226,'Pre-analyseverktøy'!AC$2,FALSE),"")</f>
        <v>No</v>
      </c>
      <c r="BY79" s="53" t="str">
        <f>IFERROR(VLOOKUP($E79,'Pre-analyseverktøy'!$F$11:$AJ$226,'Pre-analyseverktøy'!AJ$2,FALSE),"")</f>
        <v>Ja</v>
      </c>
      <c r="BZ79" s="35">
        <f>IFERROR(VLOOKUP($BX79,$E$293:$H$326,F$291,FALSE),"")</f>
        <v>1</v>
      </c>
      <c r="CA79" s="507" t="s">
        <v>899</v>
      </c>
      <c r="CB79" s="35"/>
      <c r="CC79" t="str">
        <f>IFERROR(VLOOKUP($BX79,$E$293:$H$326,I$291,FALSE),"")</f>
        <v/>
      </c>
      <c r="CD79" t="s">
        <v>972</v>
      </c>
      <c r="CE79" s="35">
        <f>VLOOKUP(CA79,$CA$4:$CB$5,2,FALSE)</f>
        <v>1</v>
      </c>
      <c r="CG79" s="54">
        <f>IF($BX$5=ais_nei,CE79,IF(AND(CA79=$CA$4,BX79=$CC$4),0,BZ79))</f>
        <v>1</v>
      </c>
    </row>
    <row r="80" spans="1:97">
      <c r="A80">
        <v>72</v>
      </c>
      <c r="B80" t="str">
        <f>$D$79&amp;D80</f>
        <v>Ene 03a</v>
      </c>
      <c r="C80" t="str">
        <f t="shared" si="112"/>
        <v>Ene 03</v>
      </c>
      <c r="D80" s="132" t="s">
        <v>775</v>
      </c>
      <c r="E80" s="827" t="s">
        <v>1004</v>
      </c>
      <c r="F80" s="575">
        <v>1</v>
      </c>
      <c r="G80" s="575">
        <v>1</v>
      </c>
      <c r="H80" s="575">
        <v>1</v>
      </c>
      <c r="I80" s="575">
        <v>1</v>
      </c>
      <c r="J80" s="575">
        <v>1</v>
      </c>
      <c r="K80" s="575">
        <v>1</v>
      </c>
      <c r="L80" s="575">
        <v>1</v>
      </c>
      <c r="M80" s="575">
        <v>1</v>
      </c>
      <c r="N80" s="575">
        <v>1</v>
      </c>
      <c r="O80" s="575">
        <v>1</v>
      </c>
      <c r="P80" s="575">
        <v>1</v>
      </c>
      <c r="Q80" s="575">
        <v>1</v>
      </c>
      <c r="R80" s="575">
        <v>1</v>
      </c>
      <c r="T80" s="136">
        <f t="shared" si="93"/>
        <v>1</v>
      </c>
      <c r="U80" s="179">
        <f>IF(Prosjektdetaljer!F18=AD_Yes,Poeng!T80,0)</f>
        <v>1</v>
      </c>
      <c r="V80" s="135"/>
      <c r="W80" s="136">
        <f>IF(Prosjektdetaljer!F18=AD_Yes,Poeng!Z80,0)</f>
        <v>1</v>
      </c>
      <c r="X80" s="192"/>
      <c r="Y80" s="849"/>
      <c r="Z80" s="135">
        <f>VLOOKUP(B80,'Manuell filtrering og justering'!$A$7:$H$107,'Manuell filtrering og justering'!$H$1,FALSE)</f>
        <v>1</v>
      </c>
      <c r="AA80" s="136">
        <f>IF(SUM(U80:V80)&gt;T80,T80,SUM(U80:V80))</f>
        <v>1</v>
      </c>
      <c r="AB80" s="775">
        <f>IF($AC$5='Manuell filtrering og justering'!$J$2,Z80-W80,(T80-AA80))</f>
        <v>0</v>
      </c>
      <c r="AC80" s="496">
        <v>80</v>
      </c>
      <c r="AD80" s="138">
        <f t="shared" si="95"/>
        <v>0</v>
      </c>
      <c r="AE80" s="138">
        <f t="shared" si="99"/>
        <v>0</v>
      </c>
      <c r="AF80" s="138">
        <f t="shared" si="100"/>
        <v>0</v>
      </c>
      <c r="AG80" s="138">
        <f t="shared" si="101"/>
        <v>0</v>
      </c>
      <c r="AI80" s="139">
        <f t="shared" ref="AI80:AI81" si="120">IF(CO80&gt;$AB80,$AB80,CO80)</f>
        <v>0</v>
      </c>
      <c r="AJ80" s="139">
        <f t="shared" ref="AJ80:AJ81" si="121">IF(CP80&gt;$AB80,$AB80,CP80)</f>
        <v>0</v>
      </c>
      <c r="AK80" s="139">
        <f t="shared" ref="AK80:AK81" si="122">IF(CQ80&gt;$AB80,$AB80,CQ80)</f>
        <v>0</v>
      </c>
      <c r="AM80" s="236"/>
      <c r="AN80" s="237"/>
      <c r="AO80" s="237"/>
      <c r="AP80" s="237"/>
      <c r="AQ80" s="238"/>
      <c r="AS80" s="236"/>
      <c r="AT80" s="237"/>
      <c r="AU80" s="237"/>
      <c r="AV80" s="237"/>
      <c r="AW80" s="238"/>
      <c r="AY80" s="134"/>
      <c r="AZ80" s="35"/>
      <c r="BA80" s="35"/>
      <c r="BB80" s="35"/>
      <c r="BC80" s="135"/>
      <c r="BD80" s="148">
        <f t="shared" si="116"/>
        <v>9</v>
      </c>
      <c r="BE80" s="35" t="str">
        <f t="shared" si="96"/>
        <v>N/A</v>
      </c>
      <c r="BF80" s="151"/>
      <c r="BG80" s="148">
        <f t="shared" si="117"/>
        <v>9</v>
      </c>
      <c r="BH80" s="35" t="str">
        <f t="shared" si="97"/>
        <v>N/A</v>
      </c>
      <c r="BI80" s="151"/>
      <c r="BJ80" s="148">
        <f t="shared" si="118"/>
        <v>9</v>
      </c>
      <c r="BK80" s="35" t="str">
        <f t="shared" si="98"/>
        <v>N/A</v>
      </c>
      <c r="BL80" s="151"/>
      <c r="BO80" s="35"/>
      <c r="BP80" s="35"/>
      <c r="BQ80" s="35" t="str">
        <f t="shared" si="111"/>
        <v/>
      </c>
      <c r="BR80" s="35">
        <f t="shared" si="42"/>
        <v>9</v>
      </c>
      <c r="BS80" s="35">
        <f t="shared" si="43"/>
        <v>9</v>
      </c>
      <c r="BT80" s="35">
        <f t="shared" si="44"/>
        <v>9</v>
      </c>
      <c r="BW80" s="35"/>
      <c r="BX80" s="35"/>
      <c r="BY80" s="53"/>
      <c r="BZ80" s="35"/>
      <c r="CA80" s="507"/>
      <c r="CB80" s="35"/>
      <c r="CG80" s="54"/>
      <c r="CO80" s="35">
        <f>'Pre-analyseverktøy'!H78</f>
        <v>0</v>
      </c>
      <c r="CP80" s="35">
        <f>'Pre-analyseverktøy'!O78</f>
        <v>0</v>
      </c>
      <c r="CQ80" s="35">
        <f>'Pre-analyseverktøy'!V78</f>
        <v>0</v>
      </c>
      <c r="CR80" s="35" t="str">
        <f>'Pre-analyseverktøy'!F78</f>
        <v>Ingen utendørs belysning</v>
      </c>
      <c r="CS80" s="35" t="b">
        <f t="shared" si="119"/>
        <v>1</v>
      </c>
    </row>
    <row r="81" spans="1:97" ht="15.75" thickBot="1">
      <c r="A81">
        <v>73</v>
      </c>
      <c r="B81" t="str">
        <f>$D$79&amp;D81</f>
        <v>Ene 03b</v>
      </c>
      <c r="C81" t="str">
        <f t="shared" si="112"/>
        <v>Ene 03</v>
      </c>
      <c r="D81" s="132" t="s">
        <v>776</v>
      </c>
      <c r="E81" s="827" t="s">
        <v>1005</v>
      </c>
      <c r="F81" s="575">
        <v>1</v>
      </c>
      <c r="G81" s="575">
        <v>1</v>
      </c>
      <c r="H81" s="575">
        <v>1</v>
      </c>
      <c r="I81" s="575">
        <v>1</v>
      </c>
      <c r="J81" s="575">
        <v>1</v>
      </c>
      <c r="K81" s="575">
        <v>1</v>
      </c>
      <c r="L81" s="575">
        <v>1</v>
      </c>
      <c r="M81" s="575">
        <v>1</v>
      </c>
      <c r="N81" s="575">
        <v>1</v>
      </c>
      <c r="O81" s="575">
        <v>1</v>
      </c>
      <c r="P81" s="575">
        <v>1</v>
      </c>
      <c r="Q81" s="575">
        <v>1</v>
      </c>
      <c r="R81" s="575">
        <v>1</v>
      </c>
      <c r="T81" s="136">
        <f t="shared" si="93"/>
        <v>1</v>
      </c>
      <c r="U81" s="179">
        <f>IF(U80=0,1,0)</f>
        <v>0</v>
      </c>
      <c r="V81" s="135"/>
      <c r="W81" s="194">
        <f>IF(W80=0,1,0)</f>
        <v>0</v>
      </c>
      <c r="X81" s="192"/>
      <c r="Y81" s="849"/>
      <c r="Z81" s="135">
        <f>VLOOKUP(B81,'Manuell filtrering og justering'!$A$7:$H$107,'Manuell filtrering og justering'!$H$1,FALSE)</f>
        <v>1</v>
      </c>
      <c r="AA81" s="136">
        <f>IF(SUM(U81:V81)&gt;T81,T81,SUM(U81:V81))</f>
        <v>0</v>
      </c>
      <c r="AB81" s="775">
        <f>IF($AC$5='Manuell filtrering og justering'!$J$2,Z81-W81,(T81-AA81))</f>
        <v>1</v>
      </c>
      <c r="AC81" s="496">
        <v>81</v>
      </c>
      <c r="AD81" s="138">
        <f t="shared" si="95"/>
        <v>6.3636363636363638E-3</v>
      </c>
      <c r="AE81" s="138">
        <f t="shared" si="99"/>
        <v>0</v>
      </c>
      <c r="AF81" s="138">
        <f t="shared" si="100"/>
        <v>0</v>
      </c>
      <c r="AG81" s="138">
        <f t="shared" si="101"/>
        <v>0</v>
      </c>
      <c r="AI81" s="139">
        <f t="shared" si="120"/>
        <v>0</v>
      </c>
      <c r="AJ81" s="139">
        <f t="shared" si="121"/>
        <v>0</v>
      </c>
      <c r="AK81" s="139">
        <f t="shared" si="122"/>
        <v>0</v>
      </c>
      <c r="AM81" s="236"/>
      <c r="AN81" s="237"/>
      <c r="AO81" s="237"/>
      <c r="AP81" s="237"/>
      <c r="AQ81" s="238"/>
      <c r="AS81" s="236"/>
      <c r="AT81" s="237"/>
      <c r="AU81" s="237"/>
      <c r="AV81" s="237"/>
      <c r="AW81" s="238"/>
      <c r="AY81" s="134"/>
      <c r="AZ81" s="35"/>
      <c r="BA81" s="35"/>
      <c r="BB81" s="35"/>
      <c r="BC81" s="135"/>
      <c r="BD81" s="148">
        <f t="shared" si="116"/>
        <v>9</v>
      </c>
      <c r="BE81" s="35" t="str">
        <f t="shared" si="96"/>
        <v>N/A</v>
      </c>
      <c r="BF81" s="151"/>
      <c r="BG81" s="148">
        <f t="shared" si="117"/>
        <v>9</v>
      </c>
      <c r="BH81" s="35" t="str">
        <f t="shared" si="97"/>
        <v>N/A</v>
      </c>
      <c r="BI81" s="151"/>
      <c r="BJ81" s="148">
        <f t="shared" si="118"/>
        <v>9</v>
      </c>
      <c r="BK81" s="35" t="str">
        <f t="shared" si="98"/>
        <v>N/A</v>
      </c>
      <c r="BL81" s="151"/>
      <c r="BO81" s="35"/>
      <c r="BP81" s="35"/>
      <c r="BQ81" s="35" t="str">
        <f t="shared" si="111"/>
        <v/>
      </c>
      <c r="BR81" s="35">
        <f t="shared" si="42"/>
        <v>9</v>
      </c>
      <c r="BS81" s="35">
        <f t="shared" si="43"/>
        <v>9</v>
      </c>
      <c r="BT81" s="35">
        <f t="shared" si="44"/>
        <v>9</v>
      </c>
      <c r="BW81" s="35"/>
      <c r="BX81" s="35"/>
      <c r="BY81" s="53"/>
      <c r="BZ81" s="35"/>
      <c r="CA81" s="507"/>
      <c r="CB81" s="35"/>
      <c r="CG81" s="54"/>
      <c r="CO81" s="35">
        <f>'Pre-analyseverktøy'!H79</f>
        <v>0</v>
      </c>
      <c r="CP81" s="35">
        <f>'Pre-analyseverktøy'!O79</f>
        <v>0</v>
      </c>
      <c r="CQ81" s="35">
        <f>'Pre-analyseverktøy'!V79</f>
        <v>0</v>
      </c>
      <c r="CR81" s="35" t="str">
        <f>'Pre-analyseverktøy'!F79</f>
        <v>Utendørs belysning</v>
      </c>
      <c r="CS81" s="35" t="b">
        <f t="shared" si="119"/>
        <v>1</v>
      </c>
    </row>
    <row r="82" spans="1:97">
      <c r="A82">
        <v>74</v>
      </c>
      <c r="D82" s="516" t="s">
        <v>792</v>
      </c>
      <c r="E82" s="515"/>
      <c r="F82" s="712"/>
      <c r="G82" s="712"/>
      <c r="H82" s="712"/>
      <c r="I82" s="712"/>
      <c r="J82" s="712"/>
      <c r="K82" s="712"/>
      <c r="L82" s="712"/>
      <c r="M82" s="712"/>
      <c r="N82" s="712"/>
      <c r="O82" s="712"/>
      <c r="P82" s="712"/>
      <c r="Q82" s="712"/>
      <c r="R82" s="712"/>
      <c r="T82" s="724"/>
      <c r="U82" s="516"/>
      <c r="V82" s="515"/>
      <c r="W82" s="304"/>
      <c r="X82" s="515"/>
      <c r="Y82" s="723"/>
      <c r="Z82" s="135"/>
      <c r="AA82" s="724"/>
      <c r="AB82" s="725"/>
      <c r="AC82" s="496">
        <v>82</v>
      </c>
      <c r="AD82" s="138">
        <f t="shared" si="95"/>
        <v>0</v>
      </c>
      <c r="AE82" s="728"/>
      <c r="AF82" s="728"/>
      <c r="AG82" s="728"/>
      <c r="AI82" s="530"/>
      <c r="AJ82" s="530"/>
      <c r="AK82" s="530"/>
      <c r="AM82" s="235"/>
      <c r="AN82" s="147"/>
      <c r="AO82" s="147"/>
      <c r="AP82" s="147"/>
      <c r="AQ82" s="152"/>
      <c r="AS82" s="235"/>
      <c r="AT82" s="147"/>
      <c r="AU82" s="147"/>
      <c r="AV82" s="147"/>
      <c r="AW82" s="152"/>
      <c r="AY82" s="148"/>
      <c r="AZ82" s="149"/>
      <c r="BA82" s="149"/>
      <c r="BB82" s="149"/>
      <c r="BC82" s="153"/>
      <c r="BD82" s="148">
        <f t="shared" si="116"/>
        <v>9</v>
      </c>
      <c r="BE82" s="35" t="str">
        <f t="shared" si="96"/>
        <v>N/A</v>
      </c>
      <c r="BF82" s="151"/>
      <c r="BG82" s="148">
        <f t="shared" si="117"/>
        <v>9</v>
      </c>
      <c r="BH82" s="35" t="str">
        <f t="shared" si="97"/>
        <v>N/A</v>
      </c>
      <c r="BI82" s="151"/>
      <c r="BJ82" s="148">
        <f t="shared" si="118"/>
        <v>9</v>
      </c>
      <c r="BK82" s="35" t="str">
        <f t="shared" si="98"/>
        <v>N/A</v>
      </c>
      <c r="BL82" s="151"/>
      <c r="BO82" s="35"/>
      <c r="BP82" s="35"/>
      <c r="BQ82" s="35" t="str">
        <f t="shared" si="111"/>
        <v/>
      </c>
      <c r="BR82" s="35">
        <f t="shared" si="42"/>
        <v>9</v>
      </c>
      <c r="BS82" s="35">
        <f t="shared" si="43"/>
        <v>9</v>
      </c>
      <c r="BT82" s="35">
        <f t="shared" si="44"/>
        <v>9</v>
      </c>
      <c r="BW82" s="35" t="str">
        <f>D82</f>
        <v>Ene 04</v>
      </c>
      <c r="BX82" s="35" t="str">
        <f>IFERROR(VLOOKUP($E82,'Pre-analyseverktøy'!$F$11:$AC$226,'Pre-analyseverktøy'!AC$2,FALSE),"")</f>
        <v/>
      </c>
      <c r="BY82" s="35" t="str">
        <f>IFERROR(VLOOKUP($E82,'Pre-analyseverktøy'!$F$11:$AJ$226,'Pre-analyseverktøy'!AJ$2,FALSE),"")</f>
        <v/>
      </c>
      <c r="BZ82" s="35" t="str">
        <f>IFERROR(VLOOKUP($BX82,$E$293:$H$326,F$291,FALSE),"")</f>
        <v/>
      </c>
      <c r="CA82" s="35" t="str">
        <f>IFERROR(VLOOKUP($BX82,$E$293:$H$326,G$291,FALSE),"")</f>
        <v/>
      </c>
      <c r="CB82" s="35"/>
      <c r="CC82" t="str">
        <f>IFERROR(VLOOKUP($BX82,$E$293:$H$326,I$291,FALSE),"")</f>
        <v/>
      </c>
    </row>
    <row r="83" spans="1:97">
      <c r="A83">
        <v>75</v>
      </c>
      <c r="B83" s="109" t="str">
        <f>D83</f>
        <v>Ene 05</v>
      </c>
      <c r="C83" s="109" t="str">
        <f>B83</f>
        <v>Ene 05</v>
      </c>
      <c r="D83" s="631" t="s">
        <v>376</v>
      </c>
      <c r="E83" s="629" t="s">
        <v>1006</v>
      </c>
      <c r="F83" s="711">
        <f t="shared" ref="F83:R83" si="123">SUM(F84:F85)</f>
        <v>2</v>
      </c>
      <c r="G83" s="711">
        <f t="shared" si="123"/>
        <v>2</v>
      </c>
      <c r="H83" s="711">
        <f t="shared" si="123"/>
        <v>0</v>
      </c>
      <c r="I83" s="711">
        <f t="shared" si="123"/>
        <v>2</v>
      </c>
      <c r="J83" s="711">
        <f t="shared" si="123"/>
        <v>2</v>
      </c>
      <c r="K83" s="711">
        <f t="shared" si="123"/>
        <v>2</v>
      </c>
      <c r="L83" s="711">
        <f t="shared" si="123"/>
        <v>2</v>
      </c>
      <c r="M83" s="711">
        <f t="shared" si="123"/>
        <v>2</v>
      </c>
      <c r="N83" s="711">
        <f t="shared" si="123"/>
        <v>2</v>
      </c>
      <c r="O83" s="711">
        <f t="shared" si="123"/>
        <v>2</v>
      </c>
      <c r="P83" s="711">
        <f t="shared" si="123"/>
        <v>2</v>
      </c>
      <c r="Q83" s="711">
        <f>SUM(Q84:Q85)</f>
        <v>2</v>
      </c>
      <c r="R83" s="711">
        <f t="shared" si="123"/>
        <v>2</v>
      </c>
      <c r="T83" s="731">
        <f t="shared" ref="T83:T94" si="124">HLOOKUP($E$6,$F$9:$R$231,$A83,FALSE)</f>
        <v>2</v>
      </c>
      <c r="U83" s="179">
        <f>U84+U85</f>
        <v>0</v>
      </c>
      <c r="V83" s="53"/>
      <c r="W83" s="53"/>
      <c r="X83" s="53">
        <f>'Manuell filtrering og justering'!E33</f>
        <v>0</v>
      </c>
      <c r="Y83" s="53"/>
      <c r="Z83" s="726">
        <f>SUM(Z84:Z85)</f>
        <v>0</v>
      </c>
      <c r="AA83" s="731">
        <f t="shared" ref="AA83:AA94" si="125">IF(SUM(U83:Y83)&gt;T83,T83,SUM(U83:Y83))</f>
        <v>0</v>
      </c>
      <c r="AB83" s="782">
        <f>SUM(AB84:AB85)</f>
        <v>2</v>
      </c>
      <c r="AC83" s="496">
        <v>83</v>
      </c>
      <c r="AD83" s="138">
        <f t="shared" si="95"/>
        <v>1.2727272727272728E-2</v>
      </c>
      <c r="AE83" s="701">
        <f>SUM(AE84:AE85)</f>
        <v>0</v>
      </c>
      <c r="AF83" s="701">
        <f>SUM(AF84:AF85)</f>
        <v>0</v>
      </c>
      <c r="AG83" s="701">
        <f>SUM(AG84:AG85)</f>
        <v>0</v>
      </c>
      <c r="AI83" s="726">
        <f>SUM(AI84:AI85)</f>
        <v>0</v>
      </c>
      <c r="AJ83" s="726">
        <f>SUM(AJ84:AJ85)</f>
        <v>0</v>
      </c>
      <c r="AK83" s="726">
        <f>SUM(AK84:AK85)</f>
        <v>0</v>
      </c>
      <c r="AL83" t="s">
        <v>216</v>
      </c>
      <c r="AM83" s="236"/>
      <c r="AN83" s="237"/>
      <c r="AO83" s="237"/>
      <c r="AP83" s="237"/>
      <c r="AQ83" s="238"/>
      <c r="AS83" s="236"/>
      <c r="AT83" s="237"/>
      <c r="AU83" s="237"/>
      <c r="AV83" s="237"/>
      <c r="AW83" s="238"/>
      <c r="AY83" s="134"/>
      <c r="AZ83" s="35"/>
      <c r="BA83" s="35"/>
      <c r="BB83" s="35"/>
      <c r="BC83" s="135"/>
      <c r="BD83" s="148">
        <f t="shared" si="116"/>
        <v>9</v>
      </c>
      <c r="BE83" s="35" t="str">
        <f t="shared" si="96"/>
        <v>N/A</v>
      </c>
      <c r="BF83" s="151"/>
      <c r="BG83" s="148">
        <f t="shared" si="117"/>
        <v>9</v>
      </c>
      <c r="BH83" s="35" t="str">
        <f t="shared" si="97"/>
        <v>N/A</v>
      </c>
      <c r="BI83" s="151"/>
      <c r="BJ83" s="148">
        <f t="shared" si="118"/>
        <v>9</v>
      </c>
      <c r="BK83" s="35" t="str">
        <f t="shared" si="98"/>
        <v>N/A</v>
      </c>
      <c r="BL83" s="151"/>
      <c r="BO83" s="35"/>
      <c r="BP83" s="35"/>
      <c r="BQ83" s="35" t="str">
        <f t="shared" si="111"/>
        <v/>
      </c>
      <c r="BR83" s="35">
        <f t="shared" si="42"/>
        <v>9</v>
      </c>
      <c r="BS83" s="35">
        <f t="shared" si="43"/>
        <v>9</v>
      </c>
      <c r="BT83" s="35">
        <f t="shared" si="44"/>
        <v>9</v>
      </c>
      <c r="BW83" s="35" t="str">
        <f>D83</f>
        <v>Ene 05</v>
      </c>
      <c r="BX83" s="35" t="str">
        <f>IFERROR(VLOOKUP($E83,'Pre-analyseverktøy'!$F$11:$AC$226,'Pre-analyseverktøy'!AC$2,FALSE),"")</f>
        <v>No</v>
      </c>
      <c r="BY83" s="53" t="str">
        <f>IFERROR(VLOOKUP($E83,'Pre-analyseverktøy'!$F$11:$AJ$226,'Pre-analyseverktøy'!AJ$2,FALSE),"")</f>
        <v>Ja</v>
      </c>
      <c r="BZ83" s="35">
        <f>IFERROR(VLOOKUP($BX83,$E$293:$H$326,F$291,FALSE),"")</f>
        <v>1</v>
      </c>
      <c r="CA83" s="507" t="s">
        <v>899</v>
      </c>
      <c r="CB83" s="35"/>
      <c r="CC83" t="str">
        <f>IFERROR(VLOOKUP($BX83,$E$293:$H$326,I$291,FALSE),"")</f>
        <v/>
      </c>
      <c r="CD83" t="s">
        <v>892</v>
      </c>
      <c r="CE83" s="35">
        <f>VLOOKUP(CA83,$CA$4:$CB$5,2,FALSE)</f>
        <v>1</v>
      </c>
      <c r="CG83" s="54">
        <f>IF($BX$5=ais_nei,CE83,IF(AND(CA83=$CA$4,BX83=$CC$4),0,BZ83))</f>
        <v>1</v>
      </c>
    </row>
    <row r="84" spans="1:97">
      <c r="A84">
        <v>76</v>
      </c>
      <c r="B84" t="str">
        <f>$D$83&amp;D84</f>
        <v>Ene 05a</v>
      </c>
      <c r="C84" t="str">
        <f t="shared" si="112"/>
        <v>Ene 05</v>
      </c>
      <c r="D84" s="132" t="s">
        <v>775</v>
      </c>
      <c r="E84" s="827" t="s">
        <v>1007</v>
      </c>
      <c r="F84" s="575">
        <v>1</v>
      </c>
      <c r="G84" s="575">
        <v>1</v>
      </c>
      <c r="H84" s="763">
        <v>0</v>
      </c>
      <c r="I84" s="575">
        <v>1</v>
      </c>
      <c r="J84" s="575">
        <v>1</v>
      </c>
      <c r="K84" s="575">
        <v>1</v>
      </c>
      <c r="L84" s="575">
        <v>1</v>
      </c>
      <c r="M84" s="575">
        <v>1</v>
      </c>
      <c r="N84" s="575">
        <v>1</v>
      </c>
      <c r="O84" s="575">
        <v>1</v>
      </c>
      <c r="P84" s="575">
        <v>1</v>
      </c>
      <c r="Q84" s="575">
        <v>1</v>
      </c>
      <c r="R84" s="575">
        <v>1</v>
      </c>
      <c r="T84" s="136">
        <f t="shared" si="124"/>
        <v>1</v>
      </c>
      <c r="U84" s="179">
        <f>IF(AD_refrig=AD_no,T84,0)</f>
        <v>0</v>
      </c>
      <c r="V84" s="35"/>
      <c r="W84" s="35"/>
      <c r="X84" s="35"/>
      <c r="Y84" s="136">
        <f>IF($Y$4=$Y$6,T84,0)</f>
        <v>0</v>
      </c>
      <c r="Z84" s="135">
        <f>VLOOKUP(B84,'Manuell filtrering og justering'!$A$7:$H$107,'Manuell filtrering og justering'!$H$1,FALSE)</f>
        <v>0</v>
      </c>
      <c r="AA84" s="136">
        <f t="shared" si="125"/>
        <v>0</v>
      </c>
      <c r="AB84" s="137">
        <f>IF($AC$5='Manuell filtrering og justering'!$J$2,Z84,(T84-AA84))</f>
        <v>1</v>
      </c>
      <c r="AC84" s="496">
        <v>84</v>
      </c>
      <c r="AD84" s="138">
        <f t="shared" si="95"/>
        <v>6.3636363636363638E-3</v>
      </c>
      <c r="AE84" s="138">
        <f t="shared" si="99"/>
        <v>0</v>
      </c>
      <c r="AF84" s="138">
        <f t="shared" si="100"/>
        <v>0</v>
      </c>
      <c r="AG84" s="138">
        <f t="shared" si="101"/>
        <v>0</v>
      </c>
      <c r="AI84" s="139">
        <f t="shared" ref="AI84:AI85" si="126">IF(CO84&gt;$AB84,$AB84,CO84)</f>
        <v>0</v>
      </c>
      <c r="AJ84" s="139">
        <f t="shared" ref="AJ84:AJ85" si="127">IF(CP84&gt;$AB84,$AB84,CP84)</f>
        <v>0</v>
      </c>
      <c r="AK84" s="139">
        <f t="shared" ref="AK84:AK85" si="128">IF(CQ84&gt;$AB84,$AB84,CQ84)</f>
        <v>0</v>
      </c>
      <c r="AM84" s="236"/>
      <c r="AN84" s="237"/>
      <c r="AO84" s="237"/>
      <c r="AP84" s="237"/>
      <c r="AQ84" s="238"/>
      <c r="AS84" s="236"/>
      <c r="AT84" s="237"/>
      <c r="AU84" s="237"/>
      <c r="AV84" s="237"/>
      <c r="AW84" s="238"/>
      <c r="AY84" s="134"/>
      <c r="AZ84" s="35"/>
      <c r="BA84" s="35"/>
      <c r="BB84" s="35"/>
      <c r="BC84" s="135"/>
      <c r="BD84" s="148">
        <f t="shared" si="116"/>
        <v>9</v>
      </c>
      <c r="BE84" s="35" t="str">
        <f t="shared" si="96"/>
        <v>N/A</v>
      </c>
      <c r="BF84" s="151"/>
      <c r="BG84" s="148">
        <f t="shared" si="117"/>
        <v>9</v>
      </c>
      <c r="BH84" s="35" t="str">
        <f t="shared" si="97"/>
        <v>N/A</v>
      </c>
      <c r="BI84" s="151"/>
      <c r="BJ84" s="148">
        <f t="shared" si="118"/>
        <v>9</v>
      </c>
      <c r="BK84" s="35" t="str">
        <f t="shared" si="98"/>
        <v>N/A</v>
      </c>
      <c r="BL84" s="151"/>
      <c r="BO84" s="35"/>
      <c r="BP84" s="35"/>
      <c r="BQ84" s="35" t="str">
        <f t="shared" si="111"/>
        <v/>
      </c>
      <c r="BR84" s="35">
        <f t="shared" si="42"/>
        <v>9</v>
      </c>
      <c r="BS84" s="35">
        <f t="shared" si="43"/>
        <v>9</v>
      </c>
      <c r="BT84" s="35">
        <f t="shared" si="44"/>
        <v>9</v>
      </c>
      <c r="BW84" s="35"/>
      <c r="BX84" s="35"/>
      <c r="BY84" s="53"/>
      <c r="BZ84" s="35"/>
      <c r="CA84" s="507"/>
      <c r="CB84" s="35"/>
      <c r="CG84" s="54"/>
      <c r="CO84" s="35">
        <f>'Pre-analyseverktøy'!H81</f>
        <v>0</v>
      </c>
      <c r="CP84" s="35">
        <f>'Pre-analyseverktøy'!O81</f>
        <v>0</v>
      </c>
      <c r="CQ84" s="35">
        <f>'Pre-analyseverktøy'!V81</f>
        <v>0</v>
      </c>
      <c r="CR84" s="35" t="str">
        <f>'Pre-analyseverktøy'!F81</f>
        <v>Utforming av energieffektivt kjøle- og fryserom</v>
      </c>
      <c r="CS84" s="35" t="b">
        <f t="shared" si="119"/>
        <v>1</v>
      </c>
    </row>
    <row r="85" spans="1:97">
      <c r="A85">
        <v>77</v>
      </c>
      <c r="B85" t="str">
        <f>$D$83&amp;D85</f>
        <v>Ene 05b</v>
      </c>
      <c r="C85" t="str">
        <f t="shared" si="112"/>
        <v>Ene 05</v>
      </c>
      <c r="D85" s="132" t="s">
        <v>776</v>
      </c>
      <c r="E85" s="827" t="s">
        <v>1008</v>
      </c>
      <c r="F85" s="575">
        <v>1</v>
      </c>
      <c r="G85" s="575">
        <v>1</v>
      </c>
      <c r="H85" s="763">
        <v>0</v>
      </c>
      <c r="I85" s="575">
        <v>1</v>
      </c>
      <c r="J85" s="575">
        <v>1</v>
      </c>
      <c r="K85" s="575">
        <v>1</v>
      </c>
      <c r="L85" s="575">
        <v>1</v>
      </c>
      <c r="M85" s="575">
        <v>1</v>
      </c>
      <c r="N85" s="575">
        <v>1</v>
      </c>
      <c r="O85" s="575">
        <v>1</v>
      </c>
      <c r="P85" s="575">
        <v>1</v>
      </c>
      <c r="Q85" s="575">
        <v>1</v>
      </c>
      <c r="R85" s="575">
        <v>1</v>
      </c>
      <c r="T85" s="136">
        <f t="shared" si="124"/>
        <v>1</v>
      </c>
      <c r="U85" s="179">
        <f>IF(AD_refrig=AD_no,T85,0)</f>
        <v>0</v>
      </c>
      <c r="V85" s="35"/>
      <c r="W85" s="35"/>
      <c r="X85" s="35"/>
      <c r="Y85" s="136">
        <f>IF($Y$4=$Y$6,T85,0)</f>
        <v>0</v>
      </c>
      <c r="Z85" s="135">
        <f>VLOOKUP(B85,'Manuell filtrering og justering'!$A$7:$H$107,'Manuell filtrering og justering'!$H$1,FALSE)</f>
        <v>0</v>
      </c>
      <c r="AA85" s="136">
        <f t="shared" si="125"/>
        <v>0</v>
      </c>
      <c r="AB85" s="137">
        <f>IF($AC$5='Manuell filtrering og justering'!$J$2,Z85,(T85-AA85))</f>
        <v>1</v>
      </c>
      <c r="AC85" s="496">
        <v>85</v>
      </c>
      <c r="AD85" s="138">
        <f t="shared" si="95"/>
        <v>6.3636363636363638E-3</v>
      </c>
      <c r="AE85" s="138">
        <f t="shared" si="99"/>
        <v>0</v>
      </c>
      <c r="AF85" s="138">
        <f t="shared" si="100"/>
        <v>0</v>
      </c>
      <c r="AG85" s="138">
        <f t="shared" si="101"/>
        <v>0</v>
      </c>
      <c r="AI85" s="139">
        <f t="shared" si="126"/>
        <v>0</v>
      </c>
      <c r="AJ85" s="139">
        <f t="shared" si="127"/>
        <v>0</v>
      </c>
      <c r="AK85" s="139">
        <f t="shared" si="128"/>
        <v>0</v>
      </c>
      <c r="AM85" s="236"/>
      <c r="AN85" s="237"/>
      <c r="AO85" s="237"/>
      <c r="AP85" s="237"/>
      <c r="AQ85" s="238"/>
      <c r="AS85" s="236"/>
      <c r="AT85" s="237"/>
      <c r="AU85" s="237"/>
      <c r="AV85" s="237"/>
      <c r="AW85" s="238"/>
      <c r="AY85" s="134"/>
      <c r="AZ85" s="35"/>
      <c r="BA85" s="35"/>
      <c r="BB85" s="35"/>
      <c r="BC85" s="135"/>
      <c r="BD85" s="148">
        <f t="shared" si="116"/>
        <v>9</v>
      </c>
      <c r="BE85" s="35" t="str">
        <f t="shared" si="96"/>
        <v>N/A</v>
      </c>
      <c r="BF85" s="151"/>
      <c r="BG85" s="148">
        <f t="shared" si="117"/>
        <v>9</v>
      </c>
      <c r="BH85" s="35" t="str">
        <f t="shared" si="97"/>
        <v>N/A</v>
      </c>
      <c r="BI85" s="151"/>
      <c r="BJ85" s="148">
        <f t="shared" si="118"/>
        <v>9</v>
      </c>
      <c r="BK85" s="35" t="str">
        <f t="shared" si="98"/>
        <v>N/A</v>
      </c>
      <c r="BL85" s="151"/>
      <c r="BO85" s="35"/>
      <c r="BP85" s="35"/>
      <c r="BQ85" s="35" t="str">
        <f t="shared" si="111"/>
        <v/>
      </c>
      <c r="BR85" s="35">
        <f t="shared" si="42"/>
        <v>9</v>
      </c>
      <c r="BS85" s="35">
        <f t="shared" si="43"/>
        <v>9</v>
      </c>
      <c r="BT85" s="35">
        <f t="shared" si="44"/>
        <v>9</v>
      </c>
      <c r="BW85" s="35"/>
      <c r="BX85" s="35"/>
      <c r="BY85" s="53"/>
      <c r="BZ85" s="35"/>
      <c r="CA85" s="507"/>
      <c r="CB85" s="35"/>
      <c r="CG85" s="54"/>
      <c r="CO85" s="35">
        <f>'Pre-analyseverktøy'!H82</f>
        <v>0</v>
      </c>
      <c r="CP85" s="35">
        <f>'Pre-analyseverktøy'!O82</f>
        <v>0</v>
      </c>
      <c r="CQ85" s="35">
        <f>'Pre-analyseverktøy'!V82</f>
        <v>0</v>
      </c>
      <c r="CR85" s="35" t="str">
        <f>'Pre-analyseverktøy'!F82</f>
        <v>Indirekte klimagassutslipp</v>
      </c>
      <c r="CS85" s="35" t="b">
        <f t="shared" ref="CS85" si="129">CR85=E85</f>
        <v>1</v>
      </c>
    </row>
    <row r="86" spans="1:97">
      <c r="A86">
        <v>78</v>
      </c>
      <c r="B86" s="109" t="str">
        <f>D86</f>
        <v>Ene 06</v>
      </c>
      <c r="C86" s="109" t="str">
        <f>B86</f>
        <v>Ene 06</v>
      </c>
      <c r="D86" s="631" t="s">
        <v>181</v>
      </c>
      <c r="E86" s="629" t="s">
        <v>1009</v>
      </c>
      <c r="F86" s="711">
        <f t="shared" ref="F86:R86" si="130">SUM(F87:F89)</f>
        <v>3</v>
      </c>
      <c r="G86" s="711">
        <f t="shared" si="130"/>
        <v>3</v>
      </c>
      <c r="H86" s="711">
        <f t="shared" si="130"/>
        <v>3</v>
      </c>
      <c r="I86" s="711">
        <f t="shared" si="130"/>
        <v>3</v>
      </c>
      <c r="J86" s="711">
        <f t="shared" si="130"/>
        <v>3</v>
      </c>
      <c r="K86" s="711">
        <f t="shared" si="130"/>
        <v>3</v>
      </c>
      <c r="L86" s="711">
        <f t="shared" si="130"/>
        <v>3</v>
      </c>
      <c r="M86" s="711">
        <f t="shared" si="130"/>
        <v>3</v>
      </c>
      <c r="N86" s="711">
        <f t="shared" si="130"/>
        <v>3</v>
      </c>
      <c r="O86" s="711">
        <f t="shared" si="130"/>
        <v>3</v>
      </c>
      <c r="P86" s="711">
        <f t="shared" si="130"/>
        <v>3</v>
      </c>
      <c r="Q86" s="711">
        <f>SUM(Q87:Q89)</f>
        <v>3</v>
      </c>
      <c r="R86" s="711">
        <f t="shared" si="130"/>
        <v>3</v>
      </c>
      <c r="T86" s="731">
        <f t="shared" si="124"/>
        <v>3</v>
      </c>
      <c r="U86" s="53">
        <f>U87+U88+U89</f>
        <v>0</v>
      </c>
      <c r="V86" s="53"/>
      <c r="W86" s="53"/>
      <c r="X86" s="53">
        <f>'Manuell filtrering og justering'!E34</f>
        <v>0</v>
      </c>
      <c r="Y86" s="53"/>
      <c r="Z86" s="726">
        <f>SUM(Z87:Z89)</f>
        <v>3</v>
      </c>
      <c r="AA86" s="731">
        <f t="shared" si="125"/>
        <v>0</v>
      </c>
      <c r="AB86" s="782">
        <f>SUM(AB87:AB89)</f>
        <v>3</v>
      </c>
      <c r="AC86" s="496">
        <v>86</v>
      </c>
      <c r="AD86" s="138">
        <f t="shared" si="95"/>
        <v>1.9090909090909092E-2</v>
      </c>
      <c r="AE86" s="701">
        <f>SUM(AE87:AE89)</f>
        <v>0</v>
      </c>
      <c r="AF86" s="701">
        <f>SUM(AF87:AF89)</f>
        <v>0</v>
      </c>
      <c r="AG86" s="701">
        <f>SUM(AG87:AG89)</f>
        <v>0</v>
      </c>
      <c r="AI86" s="726">
        <f>SUM(AI87:AI89)</f>
        <v>0</v>
      </c>
      <c r="AJ86" s="726">
        <f>SUM(AJ87:AJ89)</f>
        <v>0</v>
      </c>
      <c r="AK86" s="726">
        <f>SUM(AK87:AK89)</f>
        <v>0</v>
      </c>
      <c r="AM86" s="236"/>
      <c r="AN86" s="237"/>
      <c r="AO86" s="237"/>
      <c r="AP86" s="237"/>
      <c r="AQ86" s="238"/>
      <c r="AS86" s="236"/>
      <c r="AT86" s="237"/>
      <c r="AU86" s="237"/>
      <c r="AV86" s="237"/>
      <c r="AW86" s="238"/>
      <c r="AY86" s="134"/>
      <c r="AZ86" s="35"/>
      <c r="BA86" s="35"/>
      <c r="BB86" s="35"/>
      <c r="BC86" s="135"/>
      <c r="BD86" s="148">
        <f t="shared" si="116"/>
        <v>9</v>
      </c>
      <c r="BE86" s="35" t="str">
        <f t="shared" si="96"/>
        <v>N/A</v>
      </c>
      <c r="BF86" s="151"/>
      <c r="BG86" s="148">
        <f t="shared" si="117"/>
        <v>9</v>
      </c>
      <c r="BH86" s="35" t="str">
        <f t="shared" si="97"/>
        <v>N/A</v>
      </c>
      <c r="BI86" s="151"/>
      <c r="BJ86" s="148">
        <f t="shared" si="118"/>
        <v>9</v>
      </c>
      <c r="BK86" s="35" t="str">
        <f t="shared" si="98"/>
        <v>N/A</v>
      </c>
      <c r="BL86" s="151"/>
      <c r="BO86" s="35"/>
      <c r="BP86" s="35"/>
      <c r="BQ86" s="35" t="str">
        <f t="shared" si="111"/>
        <v/>
      </c>
      <c r="BR86" s="35">
        <f t="shared" si="42"/>
        <v>9</v>
      </c>
      <c r="BS86" s="35">
        <f t="shared" si="43"/>
        <v>9</v>
      </c>
      <c r="BT86" s="35">
        <f t="shared" si="44"/>
        <v>9</v>
      </c>
      <c r="BW86" s="35" t="str">
        <f>D86</f>
        <v>Ene 06</v>
      </c>
      <c r="BX86" s="35" t="str">
        <f>IFERROR(VLOOKUP($E86,'Pre-analyseverktøy'!$F$11:$AC$226,'Pre-analyseverktøy'!AC$2,FALSE),"")</f>
        <v>No</v>
      </c>
      <c r="BY86" s="35">
        <f>IFERROR(VLOOKUP($E86,'Pre-analyseverktøy'!$F$11:$AJ$226,'Pre-analyseverktøy'!AJ$2,FALSE),"")</f>
        <v>0</v>
      </c>
      <c r="BZ86" s="35">
        <f>IFERROR(VLOOKUP($BX86,$E$293:$H$326,F$291,FALSE),"")</f>
        <v>1</v>
      </c>
      <c r="CA86" s="35">
        <f>IFERROR(VLOOKUP($BX86,$E$293:$H$326,G$291,FALSE),"")</f>
        <v>0</v>
      </c>
      <c r="CB86" s="35"/>
      <c r="CC86" t="str">
        <f>IFERROR(VLOOKUP($BX86,$E$293:$H$326,I$291,FALSE),"")</f>
        <v/>
      </c>
    </row>
    <row r="87" spans="1:97">
      <c r="A87">
        <v>79</v>
      </c>
      <c r="B87" t="str">
        <f>$D$86&amp;D87</f>
        <v>Ene 06a</v>
      </c>
      <c r="C87" t="str">
        <f t="shared" si="112"/>
        <v>Ene 06</v>
      </c>
      <c r="D87" s="132" t="s">
        <v>775</v>
      </c>
      <c r="E87" s="827" t="s">
        <v>1010</v>
      </c>
      <c r="F87" s="575">
        <v>1</v>
      </c>
      <c r="G87" s="575">
        <v>1</v>
      </c>
      <c r="H87" s="575">
        <v>1</v>
      </c>
      <c r="I87" s="575">
        <v>1</v>
      </c>
      <c r="J87" s="575">
        <v>1</v>
      </c>
      <c r="K87" s="575">
        <v>1</v>
      </c>
      <c r="L87" s="575">
        <v>1</v>
      </c>
      <c r="M87" s="575">
        <v>1</v>
      </c>
      <c r="N87" s="575">
        <v>1</v>
      </c>
      <c r="O87" s="575">
        <v>1</v>
      </c>
      <c r="P87" s="575">
        <v>1</v>
      </c>
      <c r="Q87" s="575">
        <v>1</v>
      </c>
      <c r="R87" s="575">
        <v>1</v>
      </c>
      <c r="T87" s="136">
        <f t="shared" si="124"/>
        <v>1</v>
      </c>
      <c r="U87" s="179">
        <f>IF(AD_Trans=AD_no,Poeng!T87,0)</f>
        <v>0</v>
      </c>
      <c r="V87" s="35"/>
      <c r="W87" s="35"/>
      <c r="X87" s="35"/>
      <c r="Y87" s="135"/>
      <c r="Z87" s="135">
        <f>VLOOKUP(B87,'Manuell filtrering og justering'!$A$7:$H$107,'Manuell filtrering og justering'!$H$1,FALSE)</f>
        <v>1</v>
      </c>
      <c r="AA87" s="136">
        <f t="shared" si="125"/>
        <v>0</v>
      </c>
      <c r="AB87" s="137">
        <f>IF($AC$5='Manuell filtrering og justering'!$J$2,Z87,(T87-AA87))</f>
        <v>1</v>
      </c>
      <c r="AC87" s="496">
        <v>87</v>
      </c>
      <c r="AD87" s="138">
        <f t="shared" si="95"/>
        <v>6.3636363636363638E-3</v>
      </c>
      <c r="AE87" s="138">
        <f t="shared" si="99"/>
        <v>0</v>
      </c>
      <c r="AF87" s="138">
        <f t="shared" si="100"/>
        <v>0</v>
      </c>
      <c r="AG87" s="138">
        <f t="shared" si="101"/>
        <v>0</v>
      </c>
      <c r="AI87" s="139">
        <f t="shared" ref="AI87:AI89" si="131">IF(CO87&gt;$AB87,$AB87,CO87)</f>
        <v>0</v>
      </c>
      <c r="AJ87" s="139">
        <f t="shared" ref="AJ87:AJ89" si="132">IF(CP87&gt;$AB87,$AB87,CP87)</f>
        <v>0</v>
      </c>
      <c r="AK87" s="139">
        <f t="shared" ref="AK87:AK89" si="133">IF(CQ87&gt;$AB87,$AB87,CQ87)</f>
        <v>0</v>
      </c>
      <c r="AM87" s="236"/>
      <c r="AN87" s="237"/>
      <c r="AO87" s="237"/>
      <c r="AP87" s="237"/>
      <c r="AQ87" s="238"/>
      <c r="AS87" s="236"/>
      <c r="AT87" s="237"/>
      <c r="AU87" s="237"/>
      <c r="AV87" s="237"/>
      <c r="AW87" s="238"/>
      <c r="AY87" s="134"/>
      <c r="AZ87" s="35"/>
      <c r="BA87" s="35"/>
      <c r="BB87" s="35"/>
      <c r="BC87" s="135"/>
      <c r="BD87" s="148">
        <f t="shared" si="116"/>
        <v>9</v>
      </c>
      <c r="BE87" s="35" t="str">
        <f t="shared" si="96"/>
        <v>N/A</v>
      </c>
      <c r="BF87" s="151"/>
      <c r="BG87" s="148">
        <f t="shared" si="117"/>
        <v>9</v>
      </c>
      <c r="BH87" s="35" t="str">
        <f t="shared" si="97"/>
        <v>N/A</v>
      </c>
      <c r="BI87" s="151"/>
      <c r="BJ87" s="148">
        <f t="shared" si="118"/>
        <v>9</v>
      </c>
      <c r="BK87" s="35" t="str">
        <f t="shared" si="98"/>
        <v>N/A</v>
      </c>
      <c r="BL87" s="151"/>
      <c r="BO87" s="35"/>
      <c r="BP87" s="35"/>
      <c r="BQ87" s="35" t="str">
        <f t="shared" si="111"/>
        <v/>
      </c>
      <c r="BR87" s="35">
        <f t="shared" si="42"/>
        <v>9</v>
      </c>
      <c r="BS87" s="35">
        <f t="shared" si="43"/>
        <v>9</v>
      </c>
      <c r="BT87" s="35">
        <f t="shared" si="44"/>
        <v>9</v>
      </c>
      <c r="BW87" s="35"/>
      <c r="BX87" s="35"/>
      <c r="BY87" s="35"/>
      <c r="BZ87" s="35"/>
      <c r="CA87" s="35"/>
      <c r="CB87" s="35"/>
      <c r="CO87" s="35">
        <f>'Pre-analyseverktøy'!H84</f>
        <v>0</v>
      </c>
      <c r="CP87" s="35">
        <f>'Pre-analyseverktøy'!O84</f>
        <v>0</v>
      </c>
      <c r="CQ87" s="35">
        <f>'Pre-analyseverktøy'!V84</f>
        <v>0</v>
      </c>
      <c r="CR87" s="35" t="str">
        <f>'Pre-analyseverktøy'!F84</f>
        <v>Energiforbruk</v>
      </c>
      <c r="CS87" s="35" t="b">
        <f t="shared" ref="CS87" si="134">CR87=E87</f>
        <v>1</v>
      </c>
    </row>
    <row r="88" spans="1:97">
      <c r="A88">
        <v>80</v>
      </c>
      <c r="B88" t="str">
        <f>$D$86&amp;D88</f>
        <v>Ene 06b</v>
      </c>
      <c r="C88" t="str">
        <f t="shared" si="112"/>
        <v>Ene 06</v>
      </c>
      <c r="D88" s="132" t="s">
        <v>776</v>
      </c>
      <c r="E88" s="827" t="s">
        <v>1011</v>
      </c>
      <c r="F88" s="575">
        <v>1</v>
      </c>
      <c r="G88" s="575">
        <v>1</v>
      </c>
      <c r="H88" s="575">
        <v>1</v>
      </c>
      <c r="I88" s="575">
        <v>1</v>
      </c>
      <c r="J88" s="575">
        <v>1</v>
      </c>
      <c r="K88" s="575">
        <v>1</v>
      </c>
      <c r="L88" s="575">
        <v>1</v>
      </c>
      <c r="M88" s="575">
        <v>1</v>
      </c>
      <c r="N88" s="575">
        <v>1</v>
      </c>
      <c r="O88" s="575">
        <v>1</v>
      </c>
      <c r="P88" s="575">
        <v>1</v>
      </c>
      <c r="Q88" s="575">
        <v>1</v>
      </c>
      <c r="R88" s="575">
        <v>1</v>
      </c>
      <c r="T88" s="136">
        <f t="shared" si="124"/>
        <v>1</v>
      </c>
      <c r="U88" s="179">
        <f>IF(OR(AD_Trans=Prosjektdetaljer!R53,AD_Trans=Prosjektdetaljer!Q53),Poeng!T88,0)</f>
        <v>0</v>
      </c>
      <c r="V88" s="35"/>
      <c r="W88" s="35"/>
      <c r="X88" s="35"/>
      <c r="Y88" s="135"/>
      <c r="Z88" s="135">
        <f>VLOOKUP(B88,'Manuell filtrering og justering'!$A$7:$H$107,'Manuell filtrering og justering'!$H$1,FALSE)</f>
        <v>1</v>
      </c>
      <c r="AA88" s="136">
        <f t="shared" si="125"/>
        <v>0</v>
      </c>
      <c r="AB88" s="137">
        <f>IF($AC$5='Manuell filtrering og justering'!$J$2,Z88,(T88-AA88))</f>
        <v>1</v>
      </c>
      <c r="AC88" s="496">
        <v>88</v>
      </c>
      <c r="AD88" s="138">
        <f>(Ene_Weight/Ene_Credits)*AB88</f>
        <v>6.3636363636363638E-3</v>
      </c>
      <c r="AE88" s="138">
        <f>IF(AB88=0,0,(AD88/AB88)*AI88)</f>
        <v>0</v>
      </c>
      <c r="AF88" s="138">
        <f>IF(AB88=0,0,(AD88/AB88)*AJ88)</f>
        <v>0</v>
      </c>
      <c r="AG88" s="138">
        <f>IF(AB88=0,0,(AD88/AB88)*AK88)</f>
        <v>0</v>
      </c>
      <c r="AI88" s="139">
        <f t="shared" si="131"/>
        <v>0</v>
      </c>
      <c r="AJ88" s="139">
        <f t="shared" si="132"/>
        <v>0</v>
      </c>
      <c r="AK88" s="139">
        <f t="shared" si="133"/>
        <v>0</v>
      </c>
      <c r="AM88" s="236"/>
      <c r="AN88" s="237"/>
      <c r="AO88" s="237"/>
      <c r="AP88" s="237"/>
      <c r="AQ88" s="238"/>
      <c r="AS88" s="236"/>
      <c r="AT88" s="237"/>
      <c r="AU88" s="237"/>
      <c r="AV88" s="237"/>
      <c r="AW88" s="238"/>
      <c r="AY88" s="134"/>
      <c r="AZ88" s="35"/>
      <c r="BA88" s="35"/>
      <c r="BB88" s="35"/>
      <c r="BC88" s="135"/>
      <c r="BD88" s="148">
        <f>IF(BC88=0,9,IF((AI88-CG88)&gt;=BC88,5,IF((AI88-CG88)&gt;=BB88,4,IF((AI88-CG88)&gt;=BA88,3,IF((AI88-CG88)&gt;=AZ88,2,IF((AI88-CG88)&lt;AY88,0,1))))))</f>
        <v>9</v>
      </c>
      <c r="BE88" s="35" t="str">
        <f t="shared" si="96"/>
        <v>N/A</v>
      </c>
      <c r="BF88" s="151"/>
      <c r="BG88" s="148">
        <f>IF(BC88=0,9,IF((AJ88-CG88)&gt;=BC88,5,IF((AJ88-CG88)&gt;=BB88,4,IF((AJ88-CG88)&gt;=BA88,3,IF((AJ88-CG88)&gt;=AZ88,2,IF((AJ88-CG88)&lt;AY88,0,1))))))</f>
        <v>9</v>
      </c>
      <c r="BH88" s="35" t="str">
        <f t="shared" si="97"/>
        <v>N/A</v>
      </c>
      <c r="BI88" s="151"/>
      <c r="BJ88" s="148">
        <f>IF(BC88=0,9,IF((AK88-CG88)&gt;=BC88,5,IF((AK88-CG88)&gt;=BB88,4,IF((AK88-CG88)&gt;=BA88,3,IF((AK88-CG88)&gt;=AZ88,2,IF((AK88-CG88)&lt;AY88,0,1))))))</f>
        <v>9</v>
      </c>
      <c r="BK88" s="35" t="str">
        <f t="shared" si="98"/>
        <v>N/A</v>
      </c>
      <c r="BL88" s="151"/>
      <c r="BO88" s="35"/>
      <c r="BP88" s="35"/>
      <c r="BQ88" s="35" t="str">
        <f t="shared" si="111"/>
        <v/>
      </c>
      <c r="BR88" s="35">
        <f t="shared" si="42"/>
        <v>9</v>
      </c>
      <c r="BS88" s="35">
        <f t="shared" si="43"/>
        <v>9</v>
      </c>
      <c r="BT88" s="35">
        <f t="shared" si="44"/>
        <v>9</v>
      </c>
      <c r="BW88" s="35"/>
      <c r="BX88" s="35"/>
      <c r="BY88" s="35"/>
      <c r="BZ88" s="35"/>
      <c r="CA88" s="35"/>
      <c r="CB88" s="35"/>
      <c r="CO88" s="35">
        <f>'Pre-analyseverktøy'!H85</f>
        <v>0</v>
      </c>
      <c r="CP88" s="35">
        <f>'Pre-analyseverktøy'!O85</f>
        <v>0</v>
      </c>
      <c r="CQ88" s="35">
        <f>'Pre-analyseverktøy'!V85</f>
        <v>0</v>
      </c>
      <c r="CR88" s="35" t="str">
        <f>'Pre-analyseverktøy'!F85</f>
        <v>Energieffektive funksjoner: heiser</v>
      </c>
      <c r="CS88" s="35" t="b">
        <f t="shared" ref="CS88:CS102" si="135">CR88=E88</f>
        <v>1</v>
      </c>
    </row>
    <row r="89" spans="1:97">
      <c r="A89">
        <v>81</v>
      </c>
      <c r="B89" t="str">
        <f>$D$86&amp;D89</f>
        <v>Ene 06c</v>
      </c>
      <c r="C89" t="str">
        <f t="shared" si="112"/>
        <v>Ene 06</v>
      </c>
      <c r="D89" s="132" t="s">
        <v>777</v>
      </c>
      <c r="E89" s="827" t="s">
        <v>1012</v>
      </c>
      <c r="F89" s="575">
        <v>1</v>
      </c>
      <c r="G89" s="575">
        <v>1</v>
      </c>
      <c r="H89" s="575">
        <v>1</v>
      </c>
      <c r="I89" s="575">
        <v>1</v>
      </c>
      <c r="J89" s="575">
        <v>1</v>
      </c>
      <c r="K89" s="575">
        <v>1</v>
      </c>
      <c r="L89" s="575">
        <v>1</v>
      </c>
      <c r="M89" s="575">
        <v>1</v>
      </c>
      <c r="N89" s="575">
        <v>1</v>
      </c>
      <c r="O89" s="575">
        <v>1</v>
      </c>
      <c r="P89" s="575">
        <v>1</v>
      </c>
      <c r="Q89" s="575">
        <v>1</v>
      </c>
      <c r="R89" s="575">
        <v>1</v>
      </c>
      <c r="T89" s="136">
        <f t="shared" si="124"/>
        <v>1</v>
      </c>
      <c r="U89" s="179">
        <f>IF(OR(AD_Trans=Prosjektdetaljer!R53,AD_Trans=Prosjektdetaljer!Q52),Poeng!T88,0)</f>
        <v>0</v>
      </c>
      <c r="V89" s="35"/>
      <c r="W89" s="35"/>
      <c r="X89" s="35"/>
      <c r="Y89" s="135"/>
      <c r="Z89" s="135">
        <f>VLOOKUP(B89,'Manuell filtrering og justering'!$A$7:$H$107,'Manuell filtrering og justering'!$H$1,FALSE)</f>
        <v>1</v>
      </c>
      <c r="AA89" s="136">
        <f t="shared" si="125"/>
        <v>0</v>
      </c>
      <c r="AB89" s="137">
        <f>IF($AC$5='Manuell filtrering og justering'!$J$2,Z89,(T89-AA89))</f>
        <v>1</v>
      </c>
      <c r="AC89" s="496">
        <v>89</v>
      </c>
      <c r="AD89" s="138">
        <f t="shared" si="95"/>
        <v>6.3636363636363638E-3</v>
      </c>
      <c r="AE89" s="138">
        <f t="shared" si="99"/>
        <v>0</v>
      </c>
      <c r="AF89" s="138">
        <f t="shared" si="100"/>
        <v>0</v>
      </c>
      <c r="AG89" s="138">
        <f t="shared" si="101"/>
        <v>0</v>
      </c>
      <c r="AI89" s="139">
        <f t="shared" si="131"/>
        <v>0</v>
      </c>
      <c r="AJ89" s="139">
        <f t="shared" si="132"/>
        <v>0</v>
      </c>
      <c r="AK89" s="139">
        <f t="shared" si="133"/>
        <v>0</v>
      </c>
      <c r="AM89" s="236"/>
      <c r="AN89" s="237"/>
      <c r="AO89" s="237"/>
      <c r="AP89" s="237"/>
      <c r="AQ89" s="238"/>
      <c r="AS89" s="236"/>
      <c r="AT89" s="237"/>
      <c r="AU89" s="237"/>
      <c r="AV89" s="237"/>
      <c r="AW89" s="238"/>
      <c r="AY89" s="134"/>
      <c r="AZ89" s="35"/>
      <c r="BA89" s="35"/>
      <c r="BB89" s="35"/>
      <c r="BC89" s="135"/>
      <c r="BD89" s="148">
        <f t="shared" si="116"/>
        <v>9</v>
      </c>
      <c r="BE89" s="35" t="str">
        <f t="shared" si="96"/>
        <v>N/A</v>
      </c>
      <c r="BF89" s="151"/>
      <c r="BG89" s="148">
        <f t="shared" si="117"/>
        <v>9</v>
      </c>
      <c r="BH89" s="35" t="str">
        <f t="shared" si="97"/>
        <v>N/A</v>
      </c>
      <c r="BI89" s="151"/>
      <c r="BJ89" s="148">
        <f t="shared" si="118"/>
        <v>9</v>
      </c>
      <c r="BK89" s="35" t="str">
        <f t="shared" si="98"/>
        <v>N/A</v>
      </c>
      <c r="BL89" s="151"/>
      <c r="BO89" s="35"/>
      <c r="BP89" s="35"/>
      <c r="BQ89" s="35" t="str">
        <f t="shared" si="111"/>
        <v/>
      </c>
      <c r="BR89" s="35">
        <f t="shared" si="42"/>
        <v>9</v>
      </c>
      <c r="BS89" s="35">
        <f t="shared" si="43"/>
        <v>9</v>
      </c>
      <c r="BT89" s="35">
        <f t="shared" si="44"/>
        <v>9</v>
      </c>
      <c r="BW89" s="35"/>
      <c r="BX89" s="35"/>
      <c r="BY89" s="35"/>
      <c r="BZ89" s="35"/>
      <c r="CA89" s="35"/>
      <c r="CB89" s="35"/>
      <c r="CO89" s="35">
        <f>'Pre-analyseverktøy'!H86</f>
        <v>0</v>
      </c>
      <c r="CP89" s="35">
        <f>'Pre-analyseverktøy'!O86</f>
        <v>0</v>
      </c>
      <c r="CQ89" s="35">
        <f>'Pre-analyseverktøy'!V86</f>
        <v>0</v>
      </c>
      <c r="CR89" s="35" t="str">
        <f>'Pre-analyseverktøy'!F86</f>
        <v>Energieffektive funksjoner: rulletrapper eller rullefortau</v>
      </c>
      <c r="CS89" s="35" t="b">
        <f t="shared" si="135"/>
        <v>1</v>
      </c>
    </row>
    <row r="90" spans="1:97">
      <c r="A90">
        <v>82</v>
      </c>
      <c r="B90" s="109" t="str">
        <f>D90</f>
        <v>Ene 07</v>
      </c>
      <c r="C90" s="109" t="str">
        <f>B90</f>
        <v>Ene 07</v>
      </c>
      <c r="D90" s="631" t="s">
        <v>387</v>
      </c>
      <c r="E90" s="629" t="s">
        <v>1013</v>
      </c>
      <c r="F90" s="711">
        <f>SUM(F91:F92)</f>
        <v>5</v>
      </c>
      <c r="G90" s="711">
        <f>SUM(G91:G92)</f>
        <v>0</v>
      </c>
      <c r="H90" s="711">
        <f t="shared" ref="H90:P90" si="136">SUM(H91:H92)</f>
        <v>0</v>
      </c>
      <c r="I90" s="711">
        <f t="shared" si="136"/>
        <v>5</v>
      </c>
      <c r="J90" s="711">
        <f t="shared" si="136"/>
        <v>5</v>
      </c>
      <c r="K90" s="711">
        <f t="shared" si="136"/>
        <v>0</v>
      </c>
      <c r="L90" s="711">
        <f t="shared" si="136"/>
        <v>0</v>
      </c>
      <c r="M90" s="711">
        <f t="shared" si="136"/>
        <v>0</v>
      </c>
      <c r="N90" s="711">
        <f t="shared" si="136"/>
        <v>0</v>
      </c>
      <c r="O90" s="711">
        <f t="shared" si="136"/>
        <v>0</v>
      </c>
      <c r="P90" s="711">
        <f t="shared" si="136"/>
        <v>0</v>
      </c>
      <c r="Q90" s="711">
        <f>SUM(Q91:Q92)</f>
        <v>5</v>
      </c>
      <c r="R90" s="711">
        <f>SUM(R91:R92)</f>
        <v>5</v>
      </c>
      <c r="T90" s="731">
        <f t="shared" si="124"/>
        <v>5</v>
      </c>
      <c r="U90" s="53">
        <f>U91+U92</f>
        <v>5</v>
      </c>
      <c r="V90" s="53">
        <f>V91+V92</f>
        <v>0</v>
      </c>
      <c r="W90" s="53"/>
      <c r="X90" s="53"/>
      <c r="Y90" s="53"/>
      <c r="Z90" s="726"/>
      <c r="AA90" s="731">
        <f t="shared" si="125"/>
        <v>5</v>
      </c>
      <c r="AB90" s="782">
        <f>SUM(AB91:AB92)</f>
        <v>0</v>
      </c>
      <c r="AC90" s="496">
        <v>90</v>
      </c>
      <c r="AD90" s="138">
        <f t="shared" si="95"/>
        <v>0</v>
      </c>
      <c r="AE90" s="701">
        <f>SUM(AE91:AE92)</f>
        <v>0</v>
      </c>
      <c r="AF90" s="701">
        <f>SUM(AF91:AF92)</f>
        <v>0</v>
      </c>
      <c r="AG90" s="701">
        <f>SUM(AG91:AG92)</f>
        <v>0</v>
      </c>
      <c r="AI90" s="726">
        <f>SUM(AI91:AI92)</f>
        <v>0</v>
      </c>
      <c r="AJ90" s="726">
        <f>SUM(AJ91:AJ92)</f>
        <v>0</v>
      </c>
      <c r="AK90" s="726">
        <f>SUM(AK91:AK92)</f>
        <v>0</v>
      </c>
      <c r="AM90" s="236"/>
      <c r="AN90" s="237"/>
      <c r="AO90" s="237"/>
      <c r="AP90" s="237"/>
      <c r="AQ90" s="238"/>
      <c r="AS90" s="236"/>
      <c r="AT90" s="237"/>
      <c r="AU90" s="237"/>
      <c r="AV90" s="237"/>
      <c r="AW90" s="238"/>
      <c r="AY90" s="134"/>
      <c r="AZ90" s="35"/>
      <c r="BA90" s="35"/>
      <c r="BB90" s="35"/>
      <c r="BC90" s="135"/>
      <c r="BD90" s="148">
        <f t="shared" si="116"/>
        <v>9</v>
      </c>
      <c r="BE90" s="35" t="str">
        <f t="shared" si="96"/>
        <v>N/A</v>
      </c>
      <c r="BF90" s="151"/>
      <c r="BG90" s="148">
        <f t="shared" si="117"/>
        <v>9</v>
      </c>
      <c r="BH90" s="35" t="str">
        <f t="shared" si="97"/>
        <v>N/A</v>
      </c>
      <c r="BI90" s="151"/>
      <c r="BJ90" s="148">
        <f t="shared" si="118"/>
        <v>9</v>
      </c>
      <c r="BK90" s="35" t="str">
        <f t="shared" si="98"/>
        <v>N/A</v>
      </c>
      <c r="BL90" s="151"/>
      <c r="BO90" s="742"/>
      <c r="BP90" s="35"/>
      <c r="BQ90" s="35" t="str">
        <f t="shared" si="111"/>
        <v/>
      </c>
      <c r="BR90" s="35">
        <f t="shared" si="42"/>
        <v>9</v>
      </c>
      <c r="BS90" s="35">
        <f t="shared" si="43"/>
        <v>9</v>
      </c>
      <c r="BT90" s="35">
        <f t="shared" si="44"/>
        <v>9</v>
      </c>
      <c r="BW90" s="35" t="str">
        <f>D90</f>
        <v>Ene 07</v>
      </c>
      <c r="BX90" s="35" t="str">
        <f>IFERROR(VLOOKUP($E90,'Pre-analyseverktøy'!$F$11:$AC$226,'Pre-analyseverktøy'!AC$2,FALSE),"")</f>
        <v>N/A</v>
      </c>
      <c r="BY90" s="35">
        <f>IFERROR(VLOOKUP($E90,'Pre-analyseverktøy'!$F$11:$AJ$226,'Pre-analyseverktøy'!AJ$2,FALSE),"")</f>
        <v>0</v>
      </c>
      <c r="BZ90" s="35">
        <f>IFERROR(VLOOKUP($BX90,$E$293:$H$326,F$291,FALSE),"")</f>
        <v>1</v>
      </c>
      <c r="CA90" s="35">
        <f>IFERROR(VLOOKUP($BX90,$E$293:$H$326,G$291,FALSE),"")</f>
        <v>0</v>
      </c>
      <c r="CB90" s="35"/>
      <c r="CC90" t="str">
        <f>IFERROR(VLOOKUP($BX90,$E$293:$H$326,I$291,FALSE),"")</f>
        <v/>
      </c>
    </row>
    <row r="91" spans="1:97">
      <c r="A91">
        <v>83</v>
      </c>
      <c r="B91" t="str">
        <f>$D$90&amp;D91</f>
        <v>Ene 07a</v>
      </c>
      <c r="C91" t="str">
        <f t="shared" si="112"/>
        <v>Ene 07</v>
      </c>
      <c r="D91" s="132" t="s">
        <v>775</v>
      </c>
      <c r="E91" s="827" t="s">
        <v>1014</v>
      </c>
      <c r="F91" s="575">
        <v>1</v>
      </c>
      <c r="G91" s="763">
        <v>0</v>
      </c>
      <c r="H91" s="763">
        <v>0</v>
      </c>
      <c r="I91" s="575">
        <v>1</v>
      </c>
      <c r="J91" s="575">
        <v>1</v>
      </c>
      <c r="K91" s="763">
        <v>0</v>
      </c>
      <c r="L91" s="763">
        <v>0</v>
      </c>
      <c r="M91" s="763">
        <v>0</v>
      </c>
      <c r="N91" s="763">
        <v>0</v>
      </c>
      <c r="O91" s="763">
        <v>0</v>
      </c>
      <c r="P91" s="763">
        <v>0</v>
      </c>
      <c r="Q91" s="575">
        <v>1</v>
      </c>
      <c r="R91" s="575">
        <v>1</v>
      </c>
      <c r="T91" s="136">
        <f t="shared" si="124"/>
        <v>1</v>
      </c>
      <c r="U91" s="53">
        <f>IF(AND(Prosjektdetaljer!H21=1,AD_Labsize=AD_Labsize03),Poeng!T91,0)</f>
        <v>1</v>
      </c>
      <c r="V91" s="35">
        <f>IF(AND(ADBT0=ADBT8,OR(Prosjektdetaljer!F6=Prosjektdetaljer!U6,Prosjektdetaljer!F6=Prosjektdetaljer!U7,Prosjektdetaljer!F6=Prosjektdetaljer!U8,Prosjektdetaljer!F6=Prosjektdetaljer!U9)),T91,0)</f>
        <v>0</v>
      </c>
      <c r="W91" s="35"/>
      <c r="X91" s="35"/>
      <c r="Y91" s="136">
        <f>IF(OR($Y$4=$Y$6,Y4=Y5),T91,0)</f>
        <v>0</v>
      </c>
      <c r="Z91" s="135">
        <f>VLOOKUP(B91,'Manuell filtrering og justering'!$A$7:$H$107,'Manuell filtrering og justering'!$H$1,FALSE)</f>
        <v>0</v>
      </c>
      <c r="AA91" s="136">
        <f t="shared" si="125"/>
        <v>1</v>
      </c>
      <c r="AB91" s="137">
        <f>IF($AC$5='Manuell filtrering og justering'!$J$2,Z91,(T91-AA91))</f>
        <v>0</v>
      </c>
      <c r="AC91" s="496">
        <v>91</v>
      </c>
      <c r="AD91" s="138">
        <f t="shared" si="95"/>
        <v>0</v>
      </c>
      <c r="AE91" s="138">
        <f t="shared" si="99"/>
        <v>0</v>
      </c>
      <c r="AF91" s="138">
        <f t="shared" si="100"/>
        <v>0</v>
      </c>
      <c r="AG91" s="138">
        <f t="shared" si="101"/>
        <v>0</v>
      </c>
      <c r="AI91" s="139">
        <f t="shared" ref="AI91:AI92" si="137">IF(CO91&gt;$AB91,$AB91,CO91)</f>
        <v>0</v>
      </c>
      <c r="AJ91" s="139">
        <f t="shared" ref="AJ91:AJ92" si="138">IF(CP91&gt;$AB91,$AB91,CP91)</f>
        <v>0</v>
      </c>
      <c r="AK91" s="139">
        <f t="shared" ref="AK91:AK92" si="139">IF(CQ91&gt;$AB91,$AB91,CQ91)</f>
        <v>0</v>
      </c>
      <c r="AM91" s="879">
        <f>IF(AB91=0,0,IF(AND($Y$4&lt;&gt;$Y$3,Y91&gt;0),0,1))</f>
        <v>0</v>
      </c>
      <c r="AN91" s="876">
        <f>AM91</f>
        <v>0</v>
      </c>
      <c r="AO91" s="876">
        <f>AM91</f>
        <v>0</v>
      </c>
      <c r="AP91" s="876">
        <f>AM91</f>
        <v>0</v>
      </c>
      <c r="AQ91" s="877">
        <f>AM91</f>
        <v>0</v>
      </c>
      <c r="AS91" s="236"/>
      <c r="AT91" s="237"/>
      <c r="AU91" s="237"/>
      <c r="AV91" s="237"/>
      <c r="AW91" s="238"/>
      <c r="AY91" s="149">
        <f>IF($AB91=0,0,IF($E$6=$H$9,AS91,AM91))</f>
        <v>0</v>
      </c>
      <c r="AZ91" s="149">
        <f>IF($AB91=0,0,IF($E$6=$H$9,AT91,AN91))</f>
        <v>0</v>
      </c>
      <c r="BA91" s="149">
        <f>IF($AB91=0,0,IF($E$6=$H$9,AU91,AO91))</f>
        <v>0</v>
      </c>
      <c r="BB91" s="149">
        <f>IF($AB91=0,0,IF($E$6=$H$9,AV91,AP91))</f>
        <v>0</v>
      </c>
      <c r="BC91" s="149">
        <f>IF($AB91=0,0,IF($E$6=$H$9,AW91,AQ91))</f>
        <v>0</v>
      </c>
      <c r="BD91" s="148">
        <f t="shared" si="116"/>
        <v>9</v>
      </c>
      <c r="BE91" s="35" t="str">
        <f t="shared" si="96"/>
        <v>N/A</v>
      </c>
      <c r="BF91" s="151"/>
      <c r="BG91" s="148">
        <f t="shared" si="117"/>
        <v>9</v>
      </c>
      <c r="BH91" s="35" t="str">
        <f t="shared" si="97"/>
        <v>N/A</v>
      </c>
      <c r="BI91" s="151"/>
      <c r="BJ91" s="148">
        <f t="shared" si="118"/>
        <v>9</v>
      </c>
      <c r="BK91" s="35" t="str">
        <f t="shared" si="98"/>
        <v>N/A</v>
      </c>
      <c r="BL91" s="151"/>
      <c r="BO91" s="742"/>
      <c r="BP91" s="35"/>
      <c r="BQ91" s="35" t="str">
        <f t="shared" si="111"/>
        <v/>
      </c>
      <c r="BR91" s="35">
        <f t="shared" si="42"/>
        <v>9</v>
      </c>
      <c r="BS91" s="35">
        <f t="shared" si="43"/>
        <v>9</v>
      </c>
      <c r="BT91" s="35">
        <f t="shared" si="44"/>
        <v>9</v>
      </c>
      <c r="BW91" s="35"/>
      <c r="BX91" s="35"/>
      <c r="BY91" s="35"/>
      <c r="BZ91" s="35"/>
      <c r="CB91" s="35"/>
      <c r="CO91" s="35">
        <f>'Pre-analyseverktøy'!H88</f>
        <v>0</v>
      </c>
      <c r="CP91" s="35">
        <f>'Pre-analyseverktøy'!O88</f>
        <v>0</v>
      </c>
      <c r="CQ91" s="35">
        <f>'Pre-analyseverktøy'!V88</f>
        <v>0</v>
      </c>
      <c r="CR91" s="35" t="str">
        <f>'Pre-analyseverktøy'!F88</f>
        <v>Prosjekteringsspesifikasjoner</v>
      </c>
      <c r="CS91" s="35" t="b">
        <f t="shared" si="135"/>
        <v>1</v>
      </c>
    </row>
    <row r="92" spans="1:97">
      <c r="A92">
        <v>84</v>
      </c>
      <c r="B92" t="str">
        <f>$D$90&amp;D92</f>
        <v>Ene 07b</v>
      </c>
      <c r="C92" t="str">
        <f t="shared" si="112"/>
        <v>Ene 07</v>
      </c>
      <c r="D92" s="132" t="s">
        <v>776</v>
      </c>
      <c r="E92" s="827" t="s">
        <v>1015</v>
      </c>
      <c r="F92" s="575">
        <v>4</v>
      </c>
      <c r="G92" s="763">
        <v>0</v>
      </c>
      <c r="H92" s="763">
        <v>0</v>
      </c>
      <c r="I92" s="575">
        <v>4</v>
      </c>
      <c r="J92" s="575">
        <v>4</v>
      </c>
      <c r="K92" s="763">
        <v>0</v>
      </c>
      <c r="L92" s="763">
        <v>0</v>
      </c>
      <c r="M92" s="763">
        <v>0</v>
      </c>
      <c r="N92" s="763">
        <v>0</v>
      </c>
      <c r="O92" s="763">
        <v>0</v>
      </c>
      <c r="P92" s="763">
        <v>0</v>
      </c>
      <c r="Q92" s="575">
        <v>4</v>
      </c>
      <c r="R92" s="575">
        <v>4</v>
      </c>
      <c r="T92" s="136">
        <f t="shared" si="124"/>
        <v>4</v>
      </c>
      <c r="U92" s="53">
        <f>IF(AD_Labsize=AD_Labsize03,Poeng!T92,IF(AD_Labsize=AD_labsize04,4,IF(AD_Labsize=AD_Labsize01,2,0)))</f>
        <v>4</v>
      </c>
      <c r="V92" s="35">
        <f>IF(AND(ADBT0=ADBT8,OR(Prosjektdetaljer!F6=Prosjektdetaljer!U6,Prosjektdetaljer!F6=Prosjektdetaljer!U7,Prosjektdetaljer!F6=Prosjektdetaljer!U8,Prosjektdetaljer!F6=Prosjektdetaljer!U9)),T92,0)</f>
        <v>0</v>
      </c>
      <c r="W92" s="35"/>
      <c r="X92" s="35"/>
      <c r="Y92" s="136">
        <f>IF(OR($Y$4=$Y$6,Y4=Y5),T92,0)</f>
        <v>0</v>
      </c>
      <c r="Z92" s="135">
        <f>VLOOKUP(B92,'Manuell filtrering og justering'!$A$7:$H$107,'Manuell filtrering og justering'!$H$1,FALSE)</f>
        <v>0</v>
      </c>
      <c r="AA92" s="136">
        <f t="shared" si="125"/>
        <v>4</v>
      </c>
      <c r="AB92" s="137">
        <f>IF($AC$5='Manuell filtrering og justering'!$J$2,Z92,(T92-AA92))</f>
        <v>0</v>
      </c>
      <c r="AC92" s="496">
        <v>92</v>
      </c>
      <c r="AD92" s="138">
        <f t="shared" si="95"/>
        <v>0</v>
      </c>
      <c r="AE92" s="138">
        <f t="shared" si="99"/>
        <v>0</v>
      </c>
      <c r="AF92" s="138">
        <f t="shared" si="100"/>
        <v>0</v>
      </c>
      <c r="AG92" s="138">
        <f t="shared" si="101"/>
        <v>0</v>
      </c>
      <c r="AI92" s="139">
        <f t="shared" si="137"/>
        <v>0</v>
      </c>
      <c r="AJ92" s="139">
        <f t="shared" si="138"/>
        <v>0</v>
      </c>
      <c r="AK92" s="139">
        <f t="shared" si="139"/>
        <v>0</v>
      </c>
      <c r="AM92" s="236"/>
      <c r="AN92" s="237"/>
      <c r="AO92" s="237"/>
      <c r="AP92" s="237"/>
      <c r="AQ92" s="238"/>
      <c r="AS92" s="236"/>
      <c r="AT92" s="237"/>
      <c r="AU92" s="237"/>
      <c r="AV92" s="237"/>
      <c r="AW92" s="238"/>
      <c r="AY92" s="134"/>
      <c r="AZ92" s="35"/>
      <c r="BA92" s="35"/>
      <c r="BB92" s="35"/>
      <c r="BC92" s="135"/>
      <c r="BD92" s="148">
        <f t="shared" si="116"/>
        <v>9</v>
      </c>
      <c r="BE92" s="35" t="str">
        <f t="shared" si="96"/>
        <v>N/A</v>
      </c>
      <c r="BF92" s="151"/>
      <c r="BG92" s="148">
        <f t="shared" si="117"/>
        <v>9</v>
      </c>
      <c r="BH92" s="35" t="str">
        <f t="shared" si="97"/>
        <v>N/A</v>
      </c>
      <c r="BI92" s="151"/>
      <c r="BJ92" s="148">
        <f t="shared" si="118"/>
        <v>9</v>
      </c>
      <c r="BK92" s="35" t="str">
        <f t="shared" si="98"/>
        <v>N/A</v>
      </c>
      <c r="BL92" s="151"/>
      <c r="BO92" s="742"/>
      <c r="BP92" s="35"/>
      <c r="BQ92" s="35" t="str">
        <f t="shared" si="111"/>
        <v/>
      </c>
      <c r="BR92" s="35">
        <f t="shared" si="42"/>
        <v>9</v>
      </c>
      <c r="BS92" s="35">
        <f t="shared" si="43"/>
        <v>9</v>
      </c>
      <c r="BT92" s="35">
        <f t="shared" si="44"/>
        <v>9</v>
      </c>
      <c r="BW92" s="35"/>
      <c r="BX92" s="35"/>
      <c r="BY92" s="35"/>
      <c r="BZ92" s="35"/>
      <c r="CB92" s="35"/>
      <c r="CO92" s="35">
        <f>'Pre-analyseverktøy'!H89</f>
        <v>0</v>
      </c>
      <c r="CP92" s="35">
        <f>'Pre-analyseverktøy'!O89</f>
        <v>0</v>
      </c>
      <c r="CQ92" s="35">
        <f>'Pre-analyseverktøy'!V89</f>
        <v>0</v>
      </c>
      <c r="CR92" s="35" t="str">
        <f>'Pre-analyseverktøy'!F89</f>
        <v>Beste praksis for energieffektiviseringstiltak</v>
      </c>
      <c r="CS92" s="35" t="b">
        <f t="shared" si="135"/>
        <v>1</v>
      </c>
    </row>
    <row r="93" spans="1:97">
      <c r="A93">
        <v>85</v>
      </c>
      <c r="B93" s="109" t="str">
        <f>D93</f>
        <v>Ene 08</v>
      </c>
      <c r="C93" s="109" t="str">
        <f>B93</f>
        <v>Ene 08</v>
      </c>
      <c r="D93" s="631" t="s">
        <v>391</v>
      </c>
      <c r="E93" s="629" t="s">
        <v>1016</v>
      </c>
      <c r="F93" s="711">
        <f>SUM(F94)</f>
        <v>2</v>
      </c>
      <c r="G93" s="711">
        <f t="shared" ref="G93:R93" si="140">SUM(G94)</f>
        <v>2</v>
      </c>
      <c r="H93" s="711">
        <f t="shared" si="140"/>
        <v>2</v>
      </c>
      <c r="I93" s="711">
        <f t="shared" si="140"/>
        <v>2</v>
      </c>
      <c r="J93" s="711">
        <f t="shared" si="140"/>
        <v>2</v>
      </c>
      <c r="K93" s="711">
        <f t="shared" si="140"/>
        <v>2</v>
      </c>
      <c r="L93" s="711">
        <f t="shared" si="140"/>
        <v>2</v>
      </c>
      <c r="M93" s="711">
        <f t="shared" si="140"/>
        <v>2</v>
      </c>
      <c r="N93" s="711">
        <f t="shared" si="140"/>
        <v>2</v>
      </c>
      <c r="O93" s="711">
        <f t="shared" si="140"/>
        <v>2</v>
      </c>
      <c r="P93" s="711">
        <f t="shared" si="140"/>
        <v>2</v>
      </c>
      <c r="Q93" s="711">
        <f t="shared" si="140"/>
        <v>2</v>
      </c>
      <c r="R93" s="711">
        <f t="shared" si="140"/>
        <v>2</v>
      </c>
      <c r="T93" s="731">
        <f t="shared" si="124"/>
        <v>2</v>
      </c>
      <c r="U93" s="179">
        <f>U94</f>
        <v>0</v>
      </c>
      <c r="V93" s="53"/>
      <c r="W93" s="53"/>
      <c r="X93" s="53">
        <f>'Manuell filtrering og justering'!E36</f>
        <v>0</v>
      </c>
      <c r="Y93" s="53"/>
      <c r="Z93" s="726">
        <f>SUM(Z94)</f>
        <v>0</v>
      </c>
      <c r="AA93" s="731">
        <f t="shared" si="125"/>
        <v>0</v>
      </c>
      <c r="AB93" s="782">
        <f>SUM(AB94)</f>
        <v>2</v>
      </c>
      <c r="AC93" s="496">
        <v>93</v>
      </c>
      <c r="AD93" s="138">
        <f t="shared" si="95"/>
        <v>1.2727272727272728E-2</v>
      </c>
      <c r="AE93" s="701">
        <f>SUM(AE94)</f>
        <v>0</v>
      </c>
      <c r="AF93" s="701">
        <f>SUM(AF94)</f>
        <v>0</v>
      </c>
      <c r="AG93" s="701">
        <f>SUM(AG94)</f>
        <v>0</v>
      </c>
      <c r="AI93" s="726">
        <f>SUM(AI94)</f>
        <v>0</v>
      </c>
      <c r="AJ93" s="726">
        <f>SUM(AJ94)</f>
        <v>0</v>
      </c>
      <c r="AK93" s="726">
        <f>SUM(AK94)</f>
        <v>0</v>
      </c>
      <c r="AL93" t="s">
        <v>216</v>
      </c>
      <c r="AM93" s="236"/>
      <c r="AN93" s="237"/>
      <c r="AO93" s="237"/>
      <c r="AP93" s="237"/>
      <c r="AQ93" s="238"/>
      <c r="AS93" s="236"/>
      <c r="AT93" s="237"/>
      <c r="AU93" s="237"/>
      <c r="AV93" s="237"/>
      <c r="AW93" s="238"/>
      <c r="AY93" s="134"/>
      <c r="AZ93" s="35"/>
      <c r="BA93" s="35"/>
      <c r="BB93" s="35"/>
      <c r="BC93" s="135"/>
      <c r="BD93" s="148">
        <f t="shared" si="116"/>
        <v>9</v>
      </c>
      <c r="BE93" s="35" t="str">
        <f t="shared" si="96"/>
        <v>N/A</v>
      </c>
      <c r="BF93" s="151"/>
      <c r="BG93" s="148">
        <f t="shared" si="117"/>
        <v>9</v>
      </c>
      <c r="BH93" s="35" t="str">
        <f t="shared" si="97"/>
        <v>N/A</v>
      </c>
      <c r="BI93" s="151"/>
      <c r="BJ93" s="148">
        <f t="shared" si="118"/>
        <v>9</v>
      </c>
      <c r="BK93" s="35" t="str">
        <f t="shared" si="98"/>
        <v>N/A</v>
      </c>
      <c r="BL93" s="151"/>
      <c r="BO93" s="35"/>
      <c r="BP93" s="35"/>
      <c r="BQ93" s="35" t="str">
        <f t="shared" si="111"/>
        <v/>
      </c>
      <c r="BR93" s="35">
        <f t="shared" si="42"/>
        <v>9</v>
      </c>
      <c r="BS93" s="35">
        <f t="shared" si="43"/>
        <v>9</v>
      </c>
      <c r="BT93" s="35">
        <f t="shared" si="44"/>
        <v>9</v>
      </c>
      <c r="BW93" s="35" t="str">
        <f>D93</f>
        <v>Ene 08</v>
      </c>
      <c r="BX93" s="35" t="str">
        <f>IFERROR(VLOOKUP($E93,'Pre-analyseverktøy'!$F$11:$AC$226,'Pre-analyseverktøy'!AC$2,FALSE),"")</f>
        <v>No</v>
      </c>
      <c r="BY93" s="53" t="str">
        <f>IFERROR(VLOOKUP($E93,'Pre-analyseverktøy'!$F$11:$AJ$226,'Pre-analyseverktøy'!AJ$2,FALSE),"")</f>
        <v>Ja</v>
      </c>
      <c r="BZ93" s="35">
        <f>IFERROR(VLOOKUP($BX93,$E$293:$H$326,F$291,FALSE),"")</f>
        <v>1</v>
      </c>
      <c r="CA93" s="507" t="s">
        <v>899</v>
      </c>
      <c r="CB93" s="35"/>
      <c r="CC93" t="str">
        <f>IFERROR(VLOOKUP($BX93,$E$293:$H$326,I$291,FALSE),"")</f>
        <v/>
      </c>
      <c r="CD93" t="s">
        <v>972</v>
      </c>
      <c r="CE93" s="35">
        <f>VLOOKUP(CA93,$CA$4:$CB$5,2,FALSE)</f>
        <v>1</v>
      </c>
      <c r="CG93" s="54">
        <f>IF($BX$5=ais_nei,CE93,IF(AND(CA93=$CA$4,BX93=$CC$4),0,BZ93))</f>
        <v>1</v>
      </c>
    </row>
    <row r="94" spans="1:97">
      <c r="A94">
        <v>86</v>
      </c>
      <c r="B94" t="str">
        <f>$D$93&amp;D94</f>
        <v>Ene 08a</v>
      </c>
      <c r="C94" t="str">
        <f t="shared" si="112"/>
        <v>Ene 08</v>
      </c>
      <c r="D94" s="134" t="s">
        <v>775</v>
      </c>
      <c r="E94" s="827" t="s">
        <v>1017</v>
      </c>
      <c r="F94" s="575">
        <v>2</v>
      </c>
      <c r="G94" s="575">
        <v>2</v>
      </c>
      <c r="H94" s="575">
        <v>2</v>
      </c>
      <c r="I94" s="575">
        <v>2</v>
      </c>
      <c r="J94" s="575">
        <v>2</v>
      </c>
      <c r="K94" s="575">
        <v>2</v>
      </c>
      <c r="L94" s="575">
        <v>2</v>
      </c>
      <c r="M94" s="575">
        <v>2</v>
      </c>
      <c r="N94" s="575">
        <v>2</v>
      </c>
      <c r="O94" s="575">
        <v>2</v>
      </c>
      <c r="P94" s="575">
        <v>2</v>
      </c>
      <c r="Q94" s="575">
        <v>2</v>
      </c>
      <c r="R94" s="575">
        <v>2</v>
      </c>
      <c r="T94" s="136">
        <f t="shared" si="124"/>
        <v>2</v>
      </c>
      <c r="U94" s="179">
        <f>IF(AD_Energyload=AD_no,Poeng!T94,0)</f>
        <v>0</v>
      </c>
      <c r="V94" s="35"/>
      <c r="W94" s="35"/>
      <c r="X94" s="35"/>
      <c r="Y94" s="136">
        <f>IF(OR($Y$4=$Y$6,Y4=Y5),T94,0)</f>
        <v>0</v>
      </c>
      <c r="Z94" s="135">
        <f>VLOOKUP(B94,'Manuell filtrering og justering'!$A$7:$H$107,'Manuell filtrering og justering'!$H$1,FALSE)</f>
        <v>0</v>
      </c>
      <c r="AA94" s="136">
        <f t="shared" si="125"/>
        <v>0</v>
      </c>
      <c r="AB94" s="137">
        <f>IF($AC$5='Manuell filtrering og justering'!$J$2,Z94,(T94-AA94))</f>
        <v>2</v>
      </c>
      <c r="AC94" s="496">
        <v>94</v>
      </c>
      <c r="AD94" s="138">
        <f t="shared" si="95"/>
        <v>1.2727272727272728E-2</v>
      </c>
      <c r="AE94" s="138">
        <f t="shared" si="99"/>
        <v>0</v>
      </c>
      <c r="AF94" s="138">
        <f t="shared" si="100"/>
        <v>0</v>
      </c>
      <c r="AG94" s="138">
        <f t="shared" si="101"/>
        <v>0</v>
      </c>
      <c r="AI94" s="139">
        <f t="shared" ref="AI94" si="141">IF(CO94&gt;$AB94,$AB94,CO94)</f>
        <v>0</v>
      </c>
      <c r="AJ94" s="139">
        <f t="shared" ref="AJ94" si="142">IF(CP94&gt;$AB94,$AB94,CP94)</f>
        <v>0</v>
      </c>
      <c r="AK94" s="139">
        <f t="shared" ref="AK94" si="143">IF(CQ94&gt;$AB94,$AB94,CQ94)</f>
        <v>0</v>
      </c>
      <c r="AM94" s="236"/>
      <c r="AN94" s="237"/>
      <c r="AO94" s="237"/>
      <c r="AP94" s="237"/>
      <c r="AQ94" s="238"/>
      <c r="AS94" s="236"/>
      <c r="AT94" s="237"/>
      <c r="AU94" s="237"/>
      <c r="AV94" s="237"/>
      <c r="AW94" s="238"/>
      <c r="AY94" s="134"/>
      <c r="AZ94" s="35"/>
      <c r="BA94" s="35"/>
      <c r="BB94" s="35"/>
      <c r="BC94" s="135"/>
      <c r="BD94" s="148">
        <f t="shared" si="116"/>
        <v>9</v>
      </c>
      <c r="BE94" s="35" t="str">
        <f t="shared" si="96"/>
        <v>N/A</v>
      </c>
      <c r="BF94" s="151"/>
      <c r="BG94" s="148">
        <f t="shared" si="117"/>
        <v>9</v>
      </c>
      <c r="BH94" s="35" t="str">
        <f t="shared" si="97"/>
        <v>N/A</v>
      </c>
      <c r="BI94" s="151"/>
      <c r="BJ94" s="148">
        <f t="shared" si="118"/>
        <v>9</v>
      </c>
      <c r="BK94" s="35" t="str">
        <f t="shared" si="98"/>
        <v>N/A</v>
      </c>
      <c r="BL94" s="151"/>
      <c r="BO94" s="35"/>
      <c r="BP94" s="35"/>
      <c r="BQ94" s="35" t="str">
        <f t="shared" si="111"/>
        <v/>
      </c>
      <c r="BR94" s="35">
        <f t="shared" si="42"/>
        <v>9</v>
      </c>
      <c r="BS94" s="35">
        <f t="shared" si="43"/>
        <v>9</v>
      </c>
      <c r="BT94" s="35">
        <f t="shared" si="44"/>
        <v>9</v>
      </c>
      <c r="BW94" s="35"/>
      <c r="BX94" s="35"/>
      <c r="BY94" s="53"/>
      <c r="BZ94" s="35"/>
      <c r="CA94" s="507"/>
      <c r="CB94" s="35"/>
      <c r="CE94" s="35"/>
      <c r="CG94" s="54"/>
      <c r="CO94" s="35">
        <f>'Pre-analyseverktøy'!H91</f>
        <v>0</v>
      </c>
      <c r="CP94" s="35">
        <f>'Pre-analyseverktøy'!O91</f>
        <v>0</v>
      </c>
      <c r="CQ94" s="35">
        <f>'Pre-analyseverktøy'!V91</f>
        <v>0</v>
      </c>
      <c r="CR94" s="35" t="str">
        <f>'Pre-analyseverktøy'!F91</f>
        <v>Reduksjon av byggets betydelige uregulerte energiforbruk</v>
      </c>
      <c r="CS94" s="35" t="b">
        <f t="shared" si="135"/>
        <v>1</v>
      </c>
    </row>
    <row r="95" spans="1:97">
      <c r="A95">
        <v>87</v>
      </c>
      <c r="D95" s="516" t="s">
        <v>793</v>
      </c>
      <c r="E95" s="515"/>
      <c r="F95" s="712"/>
      <c r="G95" s="712"/>
      <c r="H95" s="712"/>
      <c r="I95" s="712"/>
      <c r="J95" s="712"/>
      <c r="K95" s="712"/>
      <c r="L95" s="712"/>
      <c r="M95" s="712"/>
      <c r="N95" s="712"/>
      <c r="O95" s="712"/>
      <c r="P95" s="712"/>
      <c r="Q95" s="712"/>
      <c r="R95" s="712"/>
      <c r="T95" s="724"/>
      <c r="U95" s="516"/>
      <c r="V95" s="515"/>
      <c r="W95" s="515"/>
      <c r="X95" s="515"/>
      <c r="Y95" s="723"/>
      <c r="Z95" s="723"/>
      <c r="AA95" s="724"/>
      <c r="AB95" s="725"/>
      <c r="AC95" s="496">
        <v>95</v>
      </c>
      <c r="AD95" s="138">
        <f t="shared" si="95"/>
        <v>0</v>
      </c>
      <c r="AE95" s="728">
        <f t="shared" si="99"/>
        <v>0</v>
      </c>
      <c r="AF95" s="728">
        <f t="shared" si="100"/>
        <v>0</v>
      </c>
      <c r="AG95" s="728">
        <f t="shared" si="101"/>
        <v>0</v>
      </c>
      <c r="AI95" s="530"/>
      <c r="AJ95" s="530"/>
      <c r="AK95" s="530"/>
      <c r="AL95" t="s">
        <v>216</v>
      </c>
      <c r="AM95" s="236"/>
      <c r="AN95" s="237"/>
      <c r="AO95" s="237"/>
      <c r="AP95" s="237"/>
      <c r="AQ95" s="238"/>
      <c r="AR95" s="111"/>
      <c r="AS95" s="236"/>
      <c r="AT95" s="237"/>
      <c r="AU95" s="237"/>
      <c r="AV95" s="237"/>
      <c r="AW95" s="238"/>
      <c r="AY95" s="134"/>
      <c r="AZ95" s="35"/>
      <c r="BA95" s="35"/>
      <c r="BB95" s="35"/>
      <c r="BC95" s="135"/>
      <c r="BD95" s="148">
        <f t="shared" si="116"/>
        <v>9</v>
      </c>
      <c r="BE95" s="35" t="str">
        <f t="shared" si="96"/>
        <v>N/A</v>
      </c>
      <c r="BF95" s="151"/>
      <c r="BG95" s="148">
        <f t="shared" si="117"/>
        <v>9</v>
      </c>
      <c r="BH95" s="35" t="str">
        <f t="shared" si="97"/>
        <v>N/A</v>
      </c>
      <c r="BI95" s="151"/>
      <c r="BJ95" s="148">
        <f t="shared" si="118"/>
        <v>9</v>
      </c>
      <c r="BK95" s="35" t="str">
        <f t="shared" si="98"/>
        <v>N/A</v>
      </c>
      <c r="BL95" s="151"/>
      <c r="BO95" s="35"/>
      <c r="BP95" s="35"/>
      <c r="BQ95" s="35" t="str">
        <f t="shared" si="111"/>
        <v/>
      </c>
      <c r="BR95" s="35">
        <f t="shared" ref="BR95:BR158" si="144">IF(BQ95="",9,(IF(AI95&gt;=BQ95,5,0)))</f>
        <v>9</v>
      </c>
      <c r="BS95" s="35">
        <f t="shared" ref="BS95:BS158" si="145">IF(BQ95="",9,(IF(AJ95&gt;=BQ95,5,0)))</f>
        <v>9</v>
      </c>
      <c r="BT95" s="35">
        <f t="shared" ref="BT95:BT158" si="146">IF(BQ95="",9,(IF(AK95&gt;=BQ95,5,0)))</f>
        <v>9</v>
      </c>
      <c r="BW95" s="35" t="str">
        <f>D95</f>
        <v>Ene 09</v>
      </c>
      <c r="BX95" s="35" t="str">
        <f>IFERROR(VLOOKUP($E95,'Pre-analyseverktøy'!$F$11:$AC$226,'Pre-analyseverktøy'!AC$2,FALSE),"")</f>
        <v/>
      </c>
      <c r="BY95" s="53" t="str">
        <f>IFERROR(VLOOKUP($E95,'Pre-analyseverktøy'!$F$11:$AJ$226,'Pre-analyseverktøy'!AJ$2,FALSE),"")</f>
        <v/>
      </c>
      <c r="BZ95" s="35" t="str">
        <f t="shared" ref="BZ95:BZ100" si="147">IFERROR(VLOOKUP($BX95,$E$293:$H$326,F$291,FALSE),"")</f>
        <v/>
      </c>
      <c r="CA95" s="507" t="s">
        <v>899</v>
      </c>
      <c r="CB95" s="35"/>
      <c r="CC95" t="str">
        <f t="shared" ref="CC95:CC100" si="148">IFERROR(VLOOKUP($BX95,$E$293:$H$326,I$291,FALSE),"")</f>
        <v/>
      </c>
      <c r="CD95" s="54" t="s">
        <v>897</v>
      </c>
      <c r="CE95" s="35">
        <f>VLOOKUP(CA95,$CA$4:$CB$5,2,FALSE)</f>
        <v>1</v>
      </c>
      <c r="CG95" s="54">
        <f>IF($BX$5=ais_nei,CE95,IF(CD95=$BY$5,IF(AND(CA95=$CA$4,BX95=$CC$4),0,BZ95),CE95))</f>
        <v>1</v>
      </c>
    </row>
    <row r="96" spans="1:97" ht="15.75" thickBot="1">
      <c r="A96">
        <v>88</v>
      </c>
      <c r="D96" s="516" t="s">
        <v>794</v>
      </c>
      <c r="E96" s="515"/>
      <c r="F96" s="712"/>
      <c r="G96" s="712"/>
      <c r="H96" s="712"/>
      <c r="I96" s="712"/>
      <c r="J96" s="712"/>
      <c r="K96" s="712"/>
      <c r="L96" s="712"/>
      <c r="M96" s="712"/>
      <c r="N96" s="712"/>
      <c r="O96" s="712"/>
      <c r="P96" s="712"/>
      <c r="Q96" s="712"/>
      <c r="R96" s="712"/>
      <c r="T96" s="724"/>
      <c r="U96" s="516"/>
      <c r="V96" s="515"/>
      <c r="W96" s="515"/>
      <c r="X96" s="515"/>
      <c r="Y96" s="723"/>
      <c r="Z96" s="723"/>
      <c r="AA96" s="724"/>
      <c r="AB96" s="725"/>
      <c r="AC96" s="496">
        <v>96</v>
      </c>
      <c r="AD96" s="138">
        <f t="shared" si="95"/>
        <v>0</v>
      </c>
      <c r="AE96" s="728">
        <f t="shared" si="99"/>
        <v>0</v>
      </c>
      <c r="AF96" s="728">
        <f t="shared" si="100"/>
        <v>0</v>
      </c>
      <c r="AG96" s="728">
        <f t="shared" si="101"/>
        <v>0</v>
      </c>
      <c r="AI96" s="530"/>
      <c r="AJ96" s="530"/>
      <c r="AK96" s="530"/>
      <c r="AM96" s="245"/>
      <c r="AN96" s="246"/>
      <c r="AO96" s="246"/>
      <c r="AP96" s="246"/>
      <c r="AQ96" s="247"/>
      <c r="AR96" s="111"/>
      <c r="AS96" s="245"/>
      <c r="AT96" s="246"/>
      <c r="AU96" s="246"/>
      <c r="AV96" s="246"/>
      <c r="AW96" s="247"/>
      <c r="AY96" s="160"/>
      <c r="AZ96" s="181"/>
      <c r="BA96" s="181"/>
      <c r="BB96" s="181"/>
      <c r="BC96" s="182"/>
      <c r="BD96" s="160">
        <f>IF(BC96=0,9,IF(AI96&gt;=BC96,5,IF(AI96&gt;=BB96,4,IF(AI96&gt;=BA96,3,IF(AI96&gt;=AZ96,2,IF(AI96&lt;AY96,0,1))))))</f>
        <v>9</v>
      </c>
      <c r="BE96" s="35" t="str">
        <f t="shared" si="96"/>
        <v>N/A</v>
      </c>
      <c r="BF96" s="161"/>
      <c r="BG96" s="160">
        <f>IF(BC96=0,9,IF(AJ96&gt;=BC96,5,IF(AJ96&gt;=BB96,4,IF(AJ96&gt;=BA96,3,IF(AJ96&gt;=AZ96,2,IF(AJ96&lt;AY96,0,1))))))</f>
        <v>9</v>
      </c>
      <c r="BH96" s="35" t="str">
        <f t="shared" si="97"/>
        <v>N/A</v>
      </c>
      <c r="BI96" s="161"/>
      <c r="BJ96" s="160">
        <f>IF(BC96=0,9,IF(AK96&gt;=BC96,5,IF(AK96&gt;=BB96,4,IF(AK96&gt;=BA96,3,IF(AK96&gt;=AZ96,2,IF(AK96&lt;AY96,0,1))))))</f>
        <v>9</v>
      </c>
      <c r="BK96" s="35" t="str">
        <f t="shared" si="98"/>
        <v>N/A</v>
      </c>
      <c r="BL96" s="161"/>
      <c r="BO96" s="35"/>
      <c r="BP96" s="35"/>
      <c r="BQ96" s="35" t="str">
        <f t="shared" si="111"/>
        <v/>
      </c>
      <c r="BR96" s="35">
        <f t="shared" si="144"/>
        <v>9</v>
      </c>
      <c r="BS96" s="35">
        <f t="shared" si="145"/>
        <v>9</v>
      </c>
      <c r="BT96" s="35">
        <f t="shared" si="146"/>
        <v>9</v>
      </c>
      <c r="BW96" s="35" t="str">
        <f>D96</f>
        <v>Ene 23</v>
      </c>
      <c r="BX96" s="35" t="str">
        <f>IFERROR(VLOOKUP($E96,'Pre-analyseverktøy'!$F$11:$AC$226,'Pre-analyseverktøy'!AC$2,FALSE),"")</f>
        <v/>
      </c>
      <c r="BY96" s="35" t="str">
        <f>IFERROR(VLOOKUP($E96,'Pre-analyseverktøy'!$F$11:$AJ$226,'Pre-analyseverktøy'!AJ$2,FALSE),"")</f>
        <v/>
      </c>
      <c r="BZ96" s="35" t="str">
        <f t="shared" si="147"/>
        <v/>
      </c>
      <c r="CA96" s="35" t="str">
        <f>IFERROR(VLOOKUP($BX96,$E$293:$H$326,G$291,FALSE),"")</f>
        <v/>
      </c>
      <c r="CB96" s="35"/>
      <c r="CC96" t="str">
        <f t="shared" si="148"/>
        <v/>
      </c>
    </row>
    <row r="97" spans="1:97" ht="15.75" thickBot="1">
      <c r="A97">
        <v>89</v>
      </c>
      <c r="B97" t="s">
        <v>395</v>
      </c>
      <c r="D97" s="162"/>
      <c r="E97" s="42" t="s">
        <v>771</v>
      </c>
      <c r="F97" s="579">
        <f>F69+F75+F79+F83+F86+F90+F93</f>
        <v>27</v>
      </c>
      <c r="G97" s="579">
        <f t="shared" ref="G97:R97" si="149">G69+G75+G79+G83+G86+G90+G93</f>
        <v>22</v>
      </c>
      <c r="H97" s="579">
        <f t="shared" si="149"/>
        <v>20</v>
      </c>
      <c r="I97" s="579">
        <f t="shared" si="149"/>
        <v>27</v>
      </c>
      <c r="J97" s="579">
        <f t="shared" si="149"/>
        <v>27</v>
      </c>
      <c r="K97" s="579">
        <f t="shared" si="149"/>
        <v>22</v>
      </c>
      <c r="L97" s="579">
        <f t="shared" si="149"/>
        <v>22</v>
      </c>
      <c r="M97" s="579">
        <f t="shared" si="149"/>
        <v>22</v>
      </c>
      <c r="N97" s="579">
        <f t="shared" si="149"/>
        <v>22</v>
      </c>
      <c r="O97" s="579">
        <f t="shared" si="149"/>
        <v>22</v>
      </c>
      <c r="P97" s="579">
        <f t="shared" si="149"/>
        <v>22</v>
      </c>
      <c r="Q97" s="579">
        <f>Q69+Q75+Q79+Q83+Q86+Q90+Q93</f>
        <v>27</v>
      </c>
      <c r="R97" s="579">
        <f t="shared" si="149"/>
        <v>27</v>
      </c>
      <c r="T97" s="183">
        <f>HLOOKUP($E$6,$F$9:$R$231,$A97,FALSE)</f>
        <v>27</v>
      </c>
      <c r="U97" s="164"/>
      <c r="V97" s="165"/>
      <c r="W97" s="165"/>
      <c r="X97" s="165"/>
      <c r="Y97" s="166"/>
      <c r="Z97" s="166"/>
      <c r="AA97" s="579">
        <f t="shared" ref="AA97:AG97" si="150">AA69+AA75+AA79+AA83+AA86+AA90+AA93</f>
        <v>5</v>
      </c>
      <c r="AB97" s="579">
        <f t="shared" si="150"/>
        <v>22</v>
      </c>
      <c r="AC97" s="496">
        <v>97</v>
      </c>
      <c r="AD97" s="168">
        <f t="shared" si="150"/>
        <v>0.14000000000000001</v>
      </c>
      <c r="AE97" s="168">
        <f t="shared" si="150"/>
        <v>0</v>
      </c>
      <c r="AF97" s="168">
        <f t="shared" si="150"/>
        <v>0</v>
      </c>
      <c r="AG97" s="168">
        <f t="shared" si="150"/>
        <v>0</v>
      </c>
      <c r="AI97" s="64">
        <f>AI69+AI75+AI79+AI83+AI86+AI90+AI93</f>
        <v>0</v>
      </c>
      <c r="AJ97" s="64">
        <f>AJ69+AJ75+AJ79+AJ83+AJ86+AJ90+AJ93</f>
        <v>0</v>
      </c>
      <c r="AK97" s="64">
        <f>AK69+AK75+AK79+AK83+AK86+AK90+AK93</f>
        <v>0</v>
      </c>
      <c r="AM97" s="111"/>
      <c r="AN97" s="111"/>
      <c r="AO97" s="111"/>
      <c r="AP97" s="111"/>
      <c r="AQ97" s="111"/>
      <c r="AR97" s="111"/>
      <c r="AS97" s="111"/>
      <c r="AT97" s="111"/>
      <c r="AU97" s="111"/>
      <c r="AV97" s="111"/>
      <c r="AW97" s="111"/>
      <c r="AZ97" s="169"/>
      <c r="BW97" s="42"/>
      <c r="BX97" s="42" t="str">
        <f>IFERROR(VLOOKUP($E97,'Pre-analyseverktøy'!$F$11:$AC$226,'Pre-analyseverktøy'!AC$2,FALSE),"")</f>
        <v/>
      </c>
      <c r="BY97" s="42" t="str">
        <f>IFERROR(VLOOKUP($E97,'Pre-analyseverktøy'!$F$11:$AJ$226,'Pre-analyseverktøy'!AJ$2,FALSE),"")</f>
        <v/>
      </c>
      <c r="BZ97" s="42" t="str">
        <f t="shared" si="147"/>
        <v/>
      </c>
      <c r="CA97" s="42" t="str">
        <f>IFERROR(VLOOKUP($BX97,$E$293:$H$326,G$291,FALSE),"")</f>
        <v/>
      </c>
      <c r="CB97" s="42"/>
      <c r="CC97" t="str">
        <f t="shared" si="148"/>
        <v/>
      </c>
    </row>
    <row r="98" spans="1:97" ht="15.75" thickBot="1">
      <c r="A98">
        <v>90</v>
      </c>
      <c r="AC98" s="496">
        <v>98</v>
      </c>
      <c r="AI98" s="1"/>
      <c r="AJ98" s="1"/>
      <c r="AK98" s="1"/>
      <c r="AM98" s="111"/>
      <c r="AN98" s="111"/>
      <c r="AO98" s="111"/>
      <c r="AP98" s="111"/>
      <c r="AQ98" s="111"/>
      <c r="AR98" s="111"/>
      <c r="AS98" s="111"/>
      <c r="AT98" s="111"/>
      <c r="AU98" s="111"/>
      <c r="AV98" s="111"/>
      <c r="AW98" s="111"/>
      <c r="BX98" t="str">
        <f>IFERROR(VLOOKUP($E98,'Pre-analyseverktøy'!$F$11:$AC$226,'Pre-analyseverktøy'!AC$2,FALSE),"")</f>
        <v/>
      </c>
      <c r="BY98" t="str">
        <f>IFERROR(VLOOKUP($E98,'Pre-analyseverktøy'!$F$11:$AJ$226,'Pre-analyseverktøy'!AJ$2,FALSE),"")</f>
        <v/>
      </c>
      <c r="BZ98" t="str">
        <f t="shared" si="147"/>
        <v/>
      </c>
      <c r="CA98" t="str">
        <f>IFERROR(VLOOKUP($BX98,$E$293:$H$326,G$291,FALSE),"")</f>
        <v/>
      </c>
      <c r="CC98" t="str">
        <f t="shared" si="148"/>
        <v/>
      </c>
    </row>
    <row r="99" spans="1:97" ht="60.75" thickBot="1">
      <c r="A99">
        <v>91</v>
      </c>
      <c r="D99" s="115"/>
      <c r="E99" s="39" t="s">
        <v>398</v>
      </c>
      <c r="F99" s="917" t="str">
        <f>$F$9</f>
        <v>Kontorbygg</v>
      </c>
      <c r="G99" s="917" t="str">
        <f>$G$9</f>
        <v>Handelsbygg</v>
      </c>
      <c r="H99" s="921" t="str">
        <f>$H$9</f>
        <v>Boligbygg</v>
      </c>
      <c r="I99" s="917" t="str">
        <f>$I$9</f>
        <v>Industribygg</v>
      </c>
      <c r="J99" s="919" t="str">
        <f>$J$9</f>
        <v>Helseinstitusjoner</v>
      </c>
      <c r="K99" s="919" t="str">
        <f>$K$9</f>
        <v>Fengsel</v>
      </c>
      <c r="L99" s="919" t="str">
        <f>$L$9</f>
        <v>Tinghus</v>
      </c>
      <c r="M99" s="923" t="str">
        <f>$M$9</f>
        <v>Døgninstitusjonsbygg (langtidsopphold)</v>
      </c>
      <c r="N99" s="698" t="str">
        <f>$N$9</f>
        <v>Døgninstitusjonsbygg (korttidsopphold)</v>
      </c>
      <c r="O99" s="698" t="str">
        <f>$O$9</f>
        <v>Institusjoner ikke til boligbruk</v>
      </c>
      <c r="P99" s="698" t="str">
        <f>$P$9</f>
        <v>Møtesteder og fritid</v>
      </c>
      <c r="Q99" s="919" t="str">
        <f>$Q$9</f>
        <v>Undervisningsbygg</v>
      </c>
      <c r="R99" s="651" t="str">
        <f>$R$9</f>
        <v>Annet</v>
      </c>
      <c r="T99" s="110" t="str">
        <f>$E$6</f>
        <v>Kontorbygg</v>
      </c>
      <c r="U99" s="170"/>
      <c r="V99" s="171"/>
      <c r="W99" s="171"/>
      <c r="X99" s="171"/>
      <c r="Y99" s="855" t="s">
        <v>920</v>
      </c>
      <c r="Z99" s="287" t="s">
        <v>23</v>
      </c>
      <c r="AA99" s="119" t="s">
        <v>771</v>
      </c>
      <c r="AB99" s="45" t="s">
        <v>908</v>
      </c>
      <c r="AC99" s="496">
        <v>99</v>
      </c>
      <c r="AI99" s="28"/>
      <c r="AJ99" s="46"/>
      <c r="AK99" s="46"/>
      <c r="AM99" s="111"/>
      <c r="AN99" s="111"/>
      <c r="AO99" s="111"/>
      <c r="AP99" s="111"/>
      <c r="AQ99" s="111"/>
      <c r="AR99" s="111"/>
      <c r="AS99" s="111"/>
      <c r="AT99" s="111"/>
      <c r="AU99" s="111"/>
      <c r="AV99" s="111"/>
      <c r="AW99" s="111"/>
      <c r="BO99" s="46"/>
      <c r="BP99" s="46"/>
      <c r="BQ99" s="46"/>
      <c r="BR99" s="46"/>
      <c r="BS99" s="46"/>
      <c r="BT99" s="46"/>
      <c r="BW99" s="39"/>
      <c r="BX99" s="39" t="str">
        <f>E99</f>
        <v>Transport</v>
      </c>
      <c r="BY99" s="39">
        <f>IFERROR(VLOOKUP($E99,'Pre-analyseverktøy'!$F$11:$AJ$226,'Pre-analyseverktøy'!AJ$2,FALSE),"")</f>
        <v>0</v>
      </c>
      <c r="BZ99" s="39" t="str">
        <f t="shared" si="147"/>
        <v/>
      </c>
      <c r="CA99" s="39" t="str">
        <f>IFERROR(VLOOKUP($BX99,$E$293:$H$326,G$291,FALSE),"")</f>
        <v/>
      </c>
      <c r="CB99" s="39"/>
      <c r="CC99" t="str">
        <f t="shared" si="148"/>
        <v/>
      </c>
    </row>
    <row r="100" spans="1:97">
      <c r="A100">
        <v>92</v>
      </c>
      <c r="B100" s="109" t="str">
        <f>D100</f>
        <v>Tra 01</v>
      </c>
      <c r="C100" s="109" t="str">
        <f>B100</f>
        <v>Tra 01</v>
      </c>
      <c r="D100" s="630" t="s">
        <v>400</v>
      </c>
      <c r="E100" s="628" t="s">
        <v>1018</v>
      </c>
      <c r="F100" s="711">
        <f>SUM(F101:F102)</f>
        <v>3</v>
      </c>
      <c r="G100" s="711">
        <f t="shared" ref="G100:R100" si="151">SUM(G101:G102)</f>
        <v>3</v>
      </c>
      <c r="H100" s="711">
        <f t="shared" si="151"/>
        <v>3</v>
      </c>
      <c r="I100" s="711">
        <f t="shared" si="151"/>
        <v>3</v>
      </c>
      <c r="J100" s="711">
        <f t="shared" si="151"/>
        <v>3</v>
      </c>
      <c r="K100" s="711">
        <f t="shared" si="151"/>
        <v>3</v>
      </c>
      <c r="L100" s="711">
        <f t="shared" si="151"/>
        <v>3</v>
      </c>
      <c r="M100" s="711">
        <f t="shared" si="151"/>
        <v>3</v>
      </c>
      <c r="N100" s="711">
        <f t="shared" si="151"/>
        <v>3</v>
      </c>
      <c r="O100" s="711">
        <f t="shared" si="151"/>
        <v>3</v>
      </c>
      <c r="P100" s="711">
        <f t="shared" si="151"/>
        <v>3</v>
      </c>
      <c r="Q100" s="711">
        <f>SUM(Q101:Q102)</f>
        <v>3</v>
      </c>
      <c r="R100" s="711">
        <f t="shared" si="151"/>
        <v>3</v>
      </c>
      <c r="T100" s="119">
        <f t="shared" ref="T100:T105" si="152">HLOOKUP($E$6,$F$9:$R$231,$A100,FALSE)</f>
        <v>3</v>
      </c>
      <c r="U100" s="179"/>
      <c r="V100" s="53"/>
      <c r="W100" s="53"/>
      <c r="X100" s="53">
        <f>'Manuell filtrering og justering'!E43</f>
        <v>0</v>
      </c>
      <c r="Y100" s="53"/>
      <c r="Z100" s="726">
        <f>SUM(Z101:Z102)</f>
        <v>3</v>
      </c>
      <c r="AA100" s="731">
        <f t="shared" ref="AA100:AA105" si="153">IF(SUM(U100:Y100)&gt;T100,T100,SUM(U100:Y100))</f>
        <v>0</v>
      </c>
      <c r="AB100" s="782">
        <f>SUM(AB101:AB102)</f>
        <v>3</v>
      </c>
      <c r="AC100" s="496">
        <v>100</v>
      </c>
      <c r="AD100" s="138">
        <f t="shared" ref="AD100:AD109" si="154">(Tra_Weight/Tra_Credits)*AB100</f>
        <v>2.3076923076923078E-2</v>
      </c>
      <c r="AE100" s="701">
        <f>SUM(AE101:AE102)</f>
        <v>0</v>
      </c>
      <c r="AF100" s="701">
        <f>SUM(AF101:AF102)</f>
        <v>0</v>
      </c>
      <c r="AG100" s="701">
        <f>SUM(AG101:AG102)</f>
        <v>0</v>
      </c>
      <c r="AI100" s="726">
        <f>SUM(AI101:AI102)</f>
        <v>0</v>
      </c>
      <c r="AJ100" s="726">
        <f>SUM(AJ101:AJ102)</f>
        <v>0</v>
      </c>
      <c r="AK100" s="726">
        <f>SUM(AK101:AK102)</f>
        <v>0</v>
      </c>
      <c r="AM100" s="242"/>
      <c r="AN100" s="243"/>
      <c r="AO100" s="243"/>
      <c r="AP100" s="243"/>
      <c r="AQ100" s="244"/>
      <c r="AR100" s="111"/>
      <c r="AS100" s="242"/>
      <c r="AT100" s="243"/>
      <c r="AU100" s="243"/>
      <c r="AV100" s="243"/>
      <c r="AW100" s="244"/>
      <c r="AY100" s="177"/>
      <c r="AZ100" s="144"/>
      <c r="BA100" s="144"/>
      <c r="BB100" s="144"/>
      <c r="BC100" s="178"/>
      <c r="BD100" s="141">
        <f t="shared" ref="BD100:BD109" si="155">IF(BC100=0,9,IF(AI100&gt;=BC100,5,IF(AI100&gt;=BB100,4,IF(AI100&gt;=BA100,3,IF(AI100&gt;=AZ100,2,IF(AI100&lt;AY100,0,1))))))</f>
        <v>9</v>
      </c>
      <c r="BE100" s="35" t="str">
        <f t="shared" ref="BE100:BE109" si="156">IF(BD100=$BO$290,$BT$290,IF(BD100=$BO$289,$BT$289,IF(BD100=$BO$288,$BT$288,IF(BD100=$BO$287,$BT$287,IF(BD100=$BO$286,$BT$286,IF(BD100=$BO$285,$BT$285,$BT$284))))))</f>
        <v>N/A</v>
      </c>
      <c r="BF100" s="145"/>
      <c r="BG100" s="141">
        <f t="shared" ref="BG100:BG109" si="157">IF(BC100=0,9,IF(AJ100&gt;=BC100,5,IF(AJ100&gt;=BB100,4,IF(AJ100&gt;=BA100,3,IF(AJ100&gt;=AZ100,2,IF(AJ100&lt;AY100,0,1))))))</f>
        <v>9</v>
      </c>
      <c r="BH100" s="35" t="str">
        <f t="shared" ref="BH100:BH109" si="158">IF(BG100=$BO$290,$BT$290,IF(BG100=$BO$289,$BT$289,IF(BG100=$BO$288,$BT$288,IF(BG100=$BO$287,$BT$287,IF(BG100=$BO$286,$BT$286,IF(BG100=$BO$285,$BT$285,$BT$284))))))</f>
        <v>N/A</v>
      </c>
      <c r="BI100" s="145"/>
      <c r="BJ100" s="141">
        <f t="shared" ref="BJ100:BJ109" si="159">IF(BC100=0,9,IF(AK100&gt;=BC100,5,IF(AK100&gt;=BB100,4,IF(AK100&gt;=BA100,3,IF(AK100&gt;=AZ100,2,IF(AK100&lt;AY100,0,1))))))</f>
        <v>9</v>
      </c>
      <c r="BK100" s="35" t="str">
        <f t="shared" ref="BK100:BK109" si="160">IF(BJ100=$BO$290,$BT$290,IF(BJ100=$BO$289,$BT$289,IF(BJ100=$BO$288,$BT$288,IF(BJ100=$BO$287,$BT$287,IF(BJ100=$BO$286,$BT$286,IF(BJ100=$BO$285,$BT$285,$BT$284))))))</f>
        <v>N/A</v>
      </c>
      <c r="BL100" s="145"/>
      <c r="BO100" s="35"/>
      <c r="BP100" s="35"/>
      <c r="BQ100" s="35" t="str">
        <f t="shared" si="111"/>
        <v/>
      </c>
      <c r="BR100" s="35">
        <f t="shared" si="144"/>
        <v>9</v>
      </c>
      <c r="BS100" s="35">
        <f t="shared" si="145"/>
        <v>9</v>
      </c>
      <c r="BT100" s="35">
        <f t="shared" si="146"/>
        <v>9</v>
      </c>
      <c r="BW100" s="37" t="str">
        <f>D100</f>
        <v>Tra 01</v>
      </c>
      <c r="BX100" s="37" t="str">
        <f>IFERROR(VLOOKUP($E100,'Pre-analyseverktøy'!$F$11:$AC$226,'Pre-analyseverktøy'!AC$2,FALSE),"")</f>
        <v>N/A</v>
      </c>
      <c r="BY100" s="37">
        <f>IFERROR(VLOOKUP($E100,'Pre-analyseverktøy'!$F$11:$AJ$226,'Pre-analyseverktøy'!AJ$2,FALSE),"")</f>
        <v>0</v>
      </c>
      <c r="BZ100" s="37">
        <f t="shared" si="147"/>
        <v>1</v>
      </c>
      <c r="CA100" s="37">
        <f>IFERROR(VLOOKUP($BX100,$E$293:$H$326,G$291,FALSE),"")</f>
        <v>0</v>
      </c>
      <c r="CB100" s="37"/>
      <c r="CC100" t="str">
        <f t="shared" si="148"/>
        <v/>
      </c>
    </row>
    <row r="101" spans="1:97">
      <c r="A101">
        <v>93</v>
      </c>
      <c r="B101" t="str">
        <f>$D$100&amp;D101</f>
        <v>Tra 01a</v>
      </c>
      <c r="C101" t="str">
        <f t="shared" si="112"/>
        <v>Tra 01</v>
      </c>
      <c r="D101" s="132" t="s">
        <v>775</v>
      </c>
      <c r="E101" s="827" t="s">
        <v>1018</v>
      </c>
      <c r="F101" s="716">
        <v>2</v>
      </c>
      <c r="G101" s="716">
        <v>2</v>
      </c>
      <c r="H101" s="716">
        <v>2</v>
      </c>
      <c r="I101" s="716">
        <v>2</v>
      </c>
      <c r="J101" s="716">
        <v>2</v>
      </c>
      <c r="K101" s="716">
        <v>2</v>
      </c>
      <c r="L101" s="716">
        <v>2</v>
      </c>
      <c r="M101" s="716">
        <v>2</v>
      </c>
      <c r="N101" s="716">
        <v>2</v>
      </c>
      <c r="O101" s="716">
        <v>2</v>
      </c>
      <c r="P101" s="716">
        <v>2</v>
      </c>
      <c r="Q101" s="716">
        <v>2</v>
      </c>
      <c r="R101" s="716">
        <v>2</v>
      </c>
      <c r="T101" s="136">
        <f t="shared" si="152"/>
        <v>2</v>
      </c>
      <c r="U101" s="765">
        <f>IF(AND(ADBT0=ADBT8,Prosjektdetaljer!F6=Prosjektdetaljer!U7),T101,0)*0</f>
        <v>0</v>
      </c>
      <c r="V101" s="35"/>
      <c r="W101" s="35"/>
      <c r="X101" s="35"/>
      <c r="Y101" s="135"/>
      <c r="Z101" s="135">
        <f>VLOOKUP(B101,'Manuell filtrering og justering'!$A$7:$H$107,'Manuell filtrering og justering'!$H$1,FALSE)</f>
        <v>2</v>
      </c>
      <c r="AA101" s="136">
        <f t="shared" si="153"/>
        <v>0</v>
      </c>
      <c r="AB101" s="137">
        <f>IF($AC$5='Manuell filtrering og justering'!$J$2,Z101,(T101-AA101))</f>
        <v>2</v>
      </c>
      <c r="AC101" s="496">
        <v>101</v>
      </c>
      <c r="AD101" s="138">
        <f t="shared" si="154"/>
        <v>1.5384615384615385E-2</v>
      </c>
      <c r="AE101" s="138">
        <f>IF(AB101=0,0,(AD101/AB101)*'Pre-analyseverktøy'!H96)</f>
        <v>0</v>
      </c>
      <c r="AF101" s="138">
        <f>IF(AB101=0,0,(AD101/AB101)*'Pre-analyseverktøy'!O96)</f>
        <v>0</v>
      </c>
      <c r="AG101" s="138">
        <f>IF(AD101=0,0,(AD101/AB101)*'Pre-analyseverktøy'!V96)</f>
        <v>0</v>
      </c>
      <c r="AI101" s="139">
        <f t="shared" ref="AI101:AI102" si="161">IF(CO101&gt;$AB101,$AB101,CO101)</f>
        <v>0</v>
      </c>
      <c r="AJ101" s="139">
        <f t="shared" ref="AJ101:AJ102" si="162">IF(CP101&gt;$AB101,$AB101,CP101)</f>
        <v>0</v>
      </c>
      <c r="AK101" s="139">
        <f t="shared" ref="AK101:AK102" si="163">IF(CQ101&gt;$AB101,$AB101,CQ101)</f>
        <v>0</v>
      </c>
      <c r="AM101" s="632">
        <v>0</v>
      </c>
      <c r="AN101" s="633">
        <v>0</v>
      </c>
      <c r="AO101" s="633">
        <v>0</v>
      </c>
      <c r="AP101" s="633">
        <v>1</v>
      </c>
      <c r="AQ101" s="634">
        <v>1</v>
      </c>
      <c r="AR101" s="111"/>
      <c r="AS101" s="632"/>
      <c r="AT101" s="633"/>
      <c r="AU101" s="633"/>
      <c r="AV101" s="633"/>
      <c r="AW101" s="634"/>
      <c r="AY101" s="149">
        <f>IF($AB101=0,0,IF($E$6=$H$9,AS101,AM101))</f>
        <v>0</v>
      </c>
      <c r="AZ101" s="149">
        <f>IF($AB101=0,0,IF($E$6=$H$9,AT101,AN101))</f>
        <v>0</v>
      </c>
      <c r="BA101" s="149">
        <f>IF($AB101=0,0,IF($E$6=$H$9,AU101,AO101))</f>
        <v>0</v>
      </c>
      <c r="BB101" s="149">
        <f>IF($AB101=0,0,IF($E$6=$H$9,AV101,AP101))</f>
        <v>1</v>
      </c>
      <c r="BC101" s="149">
        <f>IF($AB101=0,0,IF($E$6=$H$9,AW101,AQ101))</f>
        <v>1</v>
      </c>
      <c r="BD101" s="148">
        <f t="shared" si="155"/>
        <v>3</v>
      </c>
      <c r="BE101" s="35" t="str">
        <f t="shared" si="156"/>
        <v>Very Good</v>
      </c>
      <c r="BF101" s="151"/>
      <c r="BG101" s="148">
        <f>IF(BC101=0,9,IF(AJ101&gt;=BC101,5,IF(AJ101&gt;=BB101,4,IF(AJ101&gt;=BA101,3,IF(AJ101&gt;=AZ101,2,IF(AJ101&lt;AY101,0,1))))))</f>
        <v>3</v>
      </c>
      <c r="BH101" s="35" t="str">
        <f t="shared" si="158"/>
        <v>Very Good</v>
      </c>
      <c r="BI101" s="151"/>
      <c r="BJ101" s="148">
        <f t="shared" si="159"/>
        <v>3</v>
      </c>
      <c r="BK101" s="35" t="str">
        <f t="shared" si="160"/>
        <v>Very Good</v>
      </c>
      <c r="BL101" s="627"/>
      <c r="BO101" s="35"/>
      <c r="BP101" s="35"/>
      <c r="BQ101" s="35" t="str">
        <f t="shared" si="111"/>
        <v/>
      </c>
      <c r="BR101" s="35">
        <f t="shared" si="144"/>
        <v>9</v>
      </c>
      <c r="BS101" s="35">
        <f t="shared" si="145"/>
        <v>9</v>
      </c>
      <c r="BT101" s="35">
        <f t="shared" si="146"/>
        <v>9</v>
      </c>
      <c r="BW101" s="37"/>
      <c r="BX101" s="37"/>
      <c r="BY101" s="37"/>
      <c r="BZ101" s="37"/>
      <c r="CA101" s="37"/>
      <c r="CB101" s="37"/>
      <c r="CO101" s="35">
        <f>'Pre-analyseverktøy'!H96</f>
        <v>0</v>
      </c>
      <c r="CP101" s="35">
        <f>'Pre-analyseverktøy'!O96</f>
        <v>0</v>
      </c>
      <c r="CQ101" s="35">
        <f>'Pre-analyseverktøy'!V96</f>
        <v>0</v>
      </c>
      <c r="CR101" s="35" t="str">
        <f>'Pre-analyseverktøy'!F96</f>
        <v>Transportkartlegging og mobilitetsplan</v>
      </c>
      <c r="CS101" s="35" t="b">
        <f t="shared" ref="CS101" si="164">CR101=E101</f>
        <v>1</v>
      </c>
    </row>
    <row r="102" spans="1:97">
      <c r="A102">
        <v>94</v>
      </c>
      <c r="B102" t="str">
        <f>$D$100&amp;D102</f>
        <v>Tra 01b</v>
      </c>
      <c r="C102" t="str">
        <f t="shared" si="112"/>
        <v>Tra 01</v>
      </c>
      <c r="D102" s="132" t="s">
        <v>776</v>
      </c>
      <c r="E102" s="827" t="s">
        <v>1019</v>
      </c>
      <c r="F102" s="716">
        <v>1</v>
      </c>
      <c r="G102" s="716">
        <v>1</v>
      </c>
      <c r="H102" s="716">
        <v>1</v>
      </c>
      <c r="I102" s="716">
        <v>1</v>
      </c>
      <c r="J102" s="716">
        <v>1</v>
      </c>
      <c r="K102" s="716">
        <v>1</v>
      </c>
      <c r="L102" s="716">
        <v>1</v>
      </c>
      <c r="M102" s="716">
        <v>1</v>
      </c>
      <c r="N102" s="716">
        <v>1</v>
      </c>
      <c r="O102" s="716">
        <v>1</v>
      </c>
      <c r="P102" s="716">
        <v>1</v>
      </c>
      <c r="Q102" s="716">
        <v>1</v>
      </c>
      <c r="R102" s="716">
        <v>1</v>
      </c>
      <c r="T102" s="136">
        <f t="shared" si="152"/>
        <v>1</v>
      </c>
      <c r="U102" s="134"/>
      <c r="V102" s="35"/>
      <c r="W102" s="35"/>
      <c r="X102" s="35"/>
      <c r="Y102" s="135"/>
      <c r="Z102" s="135">
        <f>VLOOKUP(B102,'Manuell filtrering og justering'!$A$7:$H$107,'Manuell filtrering og justering'!$H$1,FALSE)</f>
        <v>1</v>
      </c>
      <c r="AA102" s="136">
        <f t="shared" si="153"/>
        <v>0</v>
      </c>
      <c r="AB102" s="137">
        <f>IF($AC$5='Manuell filtrering og justering'!$J$2,Z102,(T102-AA102))</f>
        <v>1</v>
      </c>
      <c r="AC102" s="496">
        <v>102</v>
      </c>
      <c r="AD102" s="138">
        <f t="shared" si="154"/>
        <v>7.6923076923076927E-3</v>
      </c>
      <c r="AE102" s="138">
        <f>IF(AB102=0,0,(AD102/AB102)*AI102)</f>
        <v>0</v>
      </c>
      <c r="AF102" s="138">
        <f>IF(AB102=0,0,(AD102/AB102)*AJ102)</f>
        <v>0</v>
      </c>
      <c r="AG102" s="138">
        <f>IF(AB102=0,0,(AD102/AB102)*AK102)</f>
        <v>0</v>
      </c>
      <c r="AI102" s="139">
        <f t="shared" si="161"/>
        <v>0</v>
      </c>
      <c r="AJ102" s="139">
        <f t="shared" si="162"/>
        <v>0</v>
      </c>
      <c r="AK102" s="139">
        <f t="shared" si="163"/>
        <v>0</v>
      </c>
      <c r="AM102" s="632"/>
      <c r="AN102" s="633"/>
      <c r="AO102" s="633"/>
      <c r="AP102" s="633">
        <v>1</v>
      </c>
      <c r="AQ102" s="634">
        <v>1</v>
      </c>
      <c r="AR102" s="111"/>
      <c r="AS102" s="632"/>
      <c r="AT102" s="633"/>
      <c r="AU102" s="633"/>
      <c r="AV102" s="633">
        <v>1</v>
      </c>
      <c r="AW102" s="634">
        <v>1</v>
      </c>
      <c r="AY102" s="132"/>
      <c r="AZ102" s="37"/>
      <c r="BA102" s="37"/>
      <c r="BB102" s="149">
        <f>IF($AB102=0,0,IF($E$6=$H$9,AV102,AP102))</f>
        <v>1</v>
      </c>
      <c r="BC102" s="149">
        <f>IF($AB102=0,0,IF($E$6=$H$9,AW102,AQ102))</f>
        <v>1</v>
      </c>
      <c r="BD102" s="148">
        <f t="shared" si="155"/>
        <v>3</v>
      </c>
      <c r="BE102" s="35" t="str">
        <f t="shared" si="156"/>
        <v>Very Good</v>
      </c>
      <c r="BF102" s="151"/>
      <c r="BG102" s="148">
        <f>IF(BC102=0,9,IF(AJ102&gt;=BC102,5,IF(AJ102&gt;=BB102,4,IF(AJ102&gt;=BA102,3,IF(AJ102&gt;=AZ102,2,IF(AJ102&lt;AY102,0,1))))))</f>
        <v>3</v>
      </c>
      <c r="BH102" s="35" t="str">
        <f t="shared" si="158"/>
        <v>Very Good</v>
      </c>
      <c r="BI102" s="151"/>
      <c r="BJ102" s="148">
        <f t="shared" si="159"/>
        <v>3</v>
      </c>
      <c r="BK102" s="35" t="str">
        <f t="shared" si="160"/>
        <v>Very Good</v>
      </c>
      <c r="BL102" s="627"/>
      <c r="BO102" s="35"/>
      <c r="BP102" s="35"/>
      <c r="BQ102" s="35" t="str">
        <f t="shared" si="111"/>
        <v/>
      </c>
      <c r="BR102" s="35">
        <f t="shared" si="144"/>
        <v>9</v>
      </c>
      <c r="BS102" s="35">
        <f t="shared" si="145"/>
        <v>9</v>
      </c>
      <c r="BT102" s="35">
        <f t="shared" si="146"/>
        <v>9</v>
      </c>
      <c r="BW102" s="37"/>
      <c r="BX102" s="37"/>
      <c r="BY102" s="37"/>
      <c r="BZ102" s="37"/>
      <c r="CA102" s="37"/>
      <c r="CB102" s="37"/>
      <c r="CO102" s="35">
        <f>'Pre-analyseverktøy'!H97</f>
        <v>0</v>
      </c>
      <c r="CP102" s="35">
        <f>'Pre-analyseverktøy'!O97</f>
        <v>0</v>
      </c>
      <c r="CQ102" s="35">
        <f>'Pre-analyseverktøy'!V97</f>
        <v>0</v>
      </c>
      <c r="CR102" s="35" t="str">
        <f>'Pre-analyseverktøy'!F97</f>
        <v>Mobilitetsplan med klimagassutslipp</v>
      </c>
      <c r="CS102" s="35" t="b">
        <f t="shared" si="135"/>
        <v>1</v>
      </c>
    </row>
    <row r="103" spans="1:97">
      <c r="A103">
        <v>95</v>
      </c>
      <c r="B103" s="109" t="str">
        <f>D103</f>
        <v>Tra 02</v>
      </c>
      <c r="C103" s="109" t="str">
        <f>B103</f>
        <v>Tra 02</v>
      </c>
      <c r="D103" s="631" t="s">
        <v>404</v>
      </c>
      <c r="E103" s="629" t="s">
        <v>1020</v>
      </c>
      <c r="F103" s="711">
        <f>SUM(F104:F105)</f>
        <v>10</v>
      </c>
      <c r="G103" s="711">
        <f t="shared" ref="G103:R103" si="165">SUM(G104:G105)</f>
        <v>10</v>
      </c>
      <c r="H103" s="711">
        <f t="shared" si="165"/>
        <v>10</v>
      </c>
      <c r="I103" s="711">
        <f t="shared" si="165"/>
        <v>10</v>
      </c>
      <c r="J103" s="711">
        <f t="shared" si="165"/>
        <v>10</v>
      </c>
      <c r="K103" s="711">
        <f t="shared" si="165"/>
        <v>10</v>
      </c>
      <c r="L103" s="711">
        <f t="shared" si="165"/>
        <v>10</v>
      </c>
      <c r="M103" s="711">
        <f t="shared" si="165"/>
        <v>10</v>
      </c>
      <c r="N103" s="711">
        <f t="shared" si="165"/>
        <v>10</v>
      </c>
      <c r="O103" s="711">
        <f t="shared" si="165"/>
        <v>10</v>
      </c>
      <c r="P103" s="711">
        <f t="shared" si="165"/>
        <v>10</v>
      </c>
      <c r="Q103" s="711">
        <f>SUM(Q104:Q105)</f>
        <v>10</v>
      </c>
      <c r="R103" s="711">
        <f t="shared" si="165"/>
        <v>10</v>
      </c>
      <c r="T103" s="731">
        <f t="shared" si="152"/>
        <v>10</v>
      </c>
      <c r="U103" s="179"/>
      <c r="V103" s="53"/>
      <c r="W103" s="53"/>
      <c r="X103" s="53">
        <f>'Manuell filtrering og justering'!E44</f>
        <v>0</v>
      </c>
      <c r="Y103" s="53"/>
      <c r="Z103" s="726">
        <f>SUM(Z104:Z105)</f>
        <v>10</v>
      </c>
      <c r="AA103" s="731">
        <f t="shared" si="153"/>
        <v>0</v>
      </c>
      <c r="AB103" s="782">
        <f>SUM(AB104:AB105)</f>
        <v>10</v>
      </c>
      <c r="AC103" s="496">
        <v>103</v>
      </c>
      <c r="AD103" s="138">
        <f t="shared" si="154"/>
        <v>7.6923076923076927E-2</v>
      </c>
      <c r="AE103" s="701">
        <f>SUM(AE104:AE105)</f>
        <v>0</v>
      </c>
      <c r="AF103" s="701">
        <f>SUM(AF104:AF105)</f>
        <v>0</v>
      </c>
      <c r="AG103" s="701">
        <f>SUM(AG104:AG105)</f>
        <v>0</v>
      </c>
      <c r="AI103" s="726">
        <f>SUM(AI104:AI105)</f>
        <v>0</v>
      </c>
      <c r="AJ103" s="726">
        <f>SUM(AJ104:AJ105)</f>
        <v>0</v>
      </c>
      <c r="AK103" s="726">
        <f>SUM(AK104:AK105)</f>
        <v>0</v>
      </c>
      <c r="AM103" s="236"/>
      <c r="AN103" s="237"/>
      <c r="AO103" s="237"/>
      <c r="AP103" s="237"/>
      <c r="AQ103" s="238"/>
      <c r="AR103" s="111"/>
      <c r="AS103" s="236"/>
      <c r="AT103" s="237"/>
      <c r="AU103" s="237"/>
      <c r="AV103" s="237"/>
      <c r="AW103" s="238"/>
      <c r="AY103" s="134"/>
      <c r="AZ103" s="35"/>
      <c r="BA103" s="35"/>
      <c r="BB103" s="35"/>
      <c r="BC103" s="135"/>
      <c r="BD103" s="148">
        <f t="shared" si="155"/>
        <v>9</v>
      </c>
      <c r="BE103" s="35" t="str">
        <f t="shared" si="156"/>
        <v>N/A</v>
      </c>
      <c r="BF103" s="151"/>
      <c r="BG103" s="148">
        <f>IF(BC103=0,9,IF(AJ103&gt;=BC103,5,IF(AJ103&gt;=BB103,4,IF(AJ103&gt;=BA103,3,IF(AJ103&gt;=AZ103,2,IF(AJ103&lt;AY103,0,1))))))</f>
        <v>9</v>
      </c>
      <c r="BH103" s="35" t="str">
        <f t="shared" si="158"/>
        <v>N/A</v>
      </c>
      <c r="BI103" s="151"/>
      <c r="BJ103" s="148">
        <f t="shared" si="159"/>
        <v>9</v>
      </c>
      <c r="BK103" s="35" t="str">
        <f t="shared" si="160"/>
        <v>N/A</v>
      </c>
      <c r="BL103" s="151"/>
      <c r="BO103" s="35"/>
      <c r="BP103" s="35"/>
      <c r="BQ103" s="35" t="str">
        <f t="shared" si="111"/>
        <v/>
      </c>
      <c r="BR103" s="35">
        <f t="shared" si="144"/>
        <v>9</v>
      </c>
      <c r="BS103" s="35">
        <f t="shared" si="145"/>
        <v>9</v>
      </c>
      <c r="BT103" s="35">
        <f t="shared" si="146"/>
        <v>9</v>
      </c>
      <c r="BW103" s="35" t="str">
        <f>D103</f>
        <v>Tra 02</v>
      </c>
      <c r="BX103" s="35" t="str">
        <f>IFERROR(VLOOKUP($E103,'Pre-analyseverktøy'!$F$11:$AC$226,'Pre-analyseverktøy'!AC$2,FALSE),"")</f>
        <v>N/A</v>
      </c>
      <c r="BY103" s="35">
        <f>IFERROR(VLOOKUP($E103,'Pre-analyseverktøy'!$F$11:$AJ$226,'Pre-analyseverktøy'!AJ$2,FALSE),"")</f>
        <v>0</v>
      </c>
      <c r="BZ103" s="35">
        <f>IFERROR(VLOOKUP($BX103,$E$293:$H$326,F$291,FALSE),"")</f>
        <v>1</v>
      </c>
      <c r="CA103" s="35">
        <f>IFERROR(VLOOKUP($BX103,$E$293:$H$326,G$291,FALSE),"")</f>
        <v>0</v>
      </c>
      <c r="CB103" s="35"/>
      <c r="CC103" t="str">
        <f>IFERROR(VLOOKUP($BX103,$E$293:$H$326,I$291,FALSE),"")</f>
        <v/>
      </c>
    </row>
    <row r="104" spans="1:97">
      <c r="A104">
        <v>96</v>
      </c>
      <c r="C104" t="str">
        <f t="shared" si="112"/>
        <v>Tra 02</v>
      </c>
      <c r="D104" s="132" t="s">
        <v>775</v>
      </c>
      <c r="E104" s="827" t="s">
        <v>1021</v>
      </c>
      <c r="F104" s="575">
        <v>0</v>
      </c>
      <c r="G104" s="575">
        <v>0</v>
      </c>
      <c r="H104" s="575">
        <v>0</v>
      </c>
      <c r="I104" s="575">
        <v>0</v>
      </c>
      <c r="J104" s="575">
        <v>0</v>
      </c>
      <c r="K104" s="575">
        <v>0</v>
      </c>
      <c r="L104" s="575">
        <v>0</v>
      </c>
      <c r="M104" s="575">
        <v>0</v>
      </c>
      <c r="N104" s="575">
        <v>0</v>
      </c>
      <c r="O104" s="575">
        <v>0</v>
      </c>
      <c r="P104" s="575">
        <v>0</v>
      </c>
      <c r="Q104" s="575">
        <v>0</v>
      </c>
      <c r="R104" s="575">
        <v>0</v>
      </c>
      <c r="T104" s="136">
        <f t="shared" si="152"/>
        <v>0</v>
      </c>
      <c r="U104" s="134"/>
      <c r="V104" s="35"/>
      <c r="W104" s="35"/>
      <c r="X104" s="35"/>
      <c r="Y104" s="135"/>
      <c r="Z104" s="135"/>
      <c r="AA104" s="136">
        <f t="shared" si="153"/>
        <v>0</v>
      </c>
      <c r="AB104" s="137"/>
      <c r="AC104" s="496">
        <v>104</v>
      </c>
      <c r="AD104" s="138">
        <f t="shared" si="154"/>
        <v>0</v>
      </c>
      <c r="AE104" s="138">
        <f>IF(AB104=0,0,(AD104/AB104)*AI104)</f>
        <v>0</v>
      </c>
      <c r="AF104" s="138">
        <f>IF(AB104=0,0,(AD104/AB104)*AJ104)</f>
        <v>0</v>
      </c>
      <c r="AG104" s="138">
        <f>IF(AB104=0,0,(AD104/AB104)*AK104)</f>
        <v>0</v>
      </c>
      <c r="AI104" s="139">
        <f t="shared" ref="AI104" si="166">IF(CO104&gt;$AB104,$AB104,CO104)</f>
        <v>0</v>
      </c>
      <c r="AJ104" s="139">
        <f t="shared" ref="AJ104" si="167">IF(CP104&gt;$AB104,$AB104,CP104)</f>
        <v>0</v>
      </c>
      <c r="AK104" s="139">
        <f t="shared" ref="AK104" si="168">IF(CQ104&gt;$AB104,$AB104,CQ104)</f>
        <v>0</v>
      </c>
      <c r="AM104" s="236"/>
      <c r="AN104" s="237"/>
      <c r="AO104" s="237"/>
      <c r="AP104" s="237"/>
      <c r="AQ104" s="238"/>
      <c r="AR104" s="111"/>
      <c r="AS104" s="236"/>
      <c r="AT104" s="237"/>
      <c r="AU104" s="237"/>
      <c r="AV104" s="237"/>
      <c r="AW104" s="238"/>
      <c r="AY104" s="134"/>
      <c r="AZ104" s="35"/>
      <c r="BA104" s="35"/>
      <c r="BB104" s="35"/>
      <c r="BC104" s="135"/>
      <c r="BD104" s="148">
        <f t="shared" si="155"/>
        <v>9</v>
      </c>
      <c r="BE104" s="35" t="str">
        <f t="shared" si="156"/>
        <v>N/A</v>
      </c>
      <c r="BF104" s="151"/>
      <c r="BG104" s="148">
        <f>IF(BC104=0,9,IF(AJ104&gt;=BC104,5,IF(AJ104&gt;=BB104,4,IF(AJ104&gt;=BA104,3,IF(AJ104&gt;=AZ104,2,IF(AJ104&lt;AY104,0,1))))))</f>
        <v>9</v>
      </c>
      <c r="BH104" s="35" t="str">
        <f t="shared" si="158"/>
        <v>N/A</v>
      </c>
      <c r="BI104" s="151"/>
      <c r="BJ104" s="148">
        <f t="shared" si="159"/>
        <v>9</v>
      </c>
      <c r="BK104" s="35" t="str">
        <f t="shared" si="160"/>
        <v>N/A</v>
      </c>
      <c r="BL104" s="151"/>
      <c r="BO104" s="35"/>
      <c r="BP104" s="35"/>
      <c r="BQ104" s="35" t="str">
        <f t="shared" si="111"/>
        <v/>
      </c>
      <c r="BR104" s="35">
        <f t="shared" si="144"/>
        <v>9</v>
      </c>
      <c r="BS104" s="35">
        <f t="shared" si="145"/>
        <v>9</v>
      </c>
      <c r="BT104" s="35">
        <f t="shared" si="146"/>
        <v>9</v>
      </c>
      <c r="BW104" s="35"/>
      <c r="BX104" s="35"/>
      <c r="BY104" s="35"/>
      <c r="BZ104" s="35"/>
      <c r="CA104" s="35"/>
      <c r="CB104" s="35"/>
      <c r="CO104" s="35">
        <f>'Pre-analyseverktøy'!H99</f>
        <v>0</v>
      </c>
      <c r="CP104" s="35">
        <f>'Pre-analyseverktøy'!O99</f>
        <v>0</v>
      </c>
      <c r="CQ104" s="35">
        <f>'Pre-analyseverktøy'!V99</f>
        <v>0</v>
      </c>
      <c r="CR104" s="35" t="str">
        <f>'Pre-analyseverktøy'!F99</f>
        <v>Forkrav: Transportkartlegging og mobilitetsplan</v>
      </c>
      <c r="CS104" s="35" t="b">
        <f t="shared" ref="CS104" si="169">CR104=E104</f>
        <v>1</v>
      </c>
    </row>
    <row r="105" spans="1:97">
      <c r="A105">
        <v>97</v>
      </c>
      <c r="B105" t="str">
        <f>$D$103&amp;D105</f>
        <v>Tra 02b</v>
      </c>
      <c r="C105" t="str">
        <f t="shared" si="112"/>
        <v>Tra 02</v>
      </c>
      <c r="D105" s="132" t="s">
        <v>776</v>
      </c>
      <c r="E105" s="827" t="s">
        <v>1022</v>
      </c>
      <c r="F105" s="575">
        <v>10</v>
      </c>
      <c r="G105" s="575">
        <v>10</v>
      </c>
      <c r="H105" s="575">
        <v>10</v>
      </c>
      <c r="I105" s="575">
        <v>10</v>
      </c>
      <c r="J105" s="575">
        <v>10</v>
      </c>
      <c r="K105" s="575">
        <v>10</v>
      </c>
      <c r="L105" s="575">
        <v>10</v>
      </c>
      <c r="M105" s="575">
        <v>10</v>
      </c>
      <c r="N105" s="575">
        <v>10</v>
      </c>
      <c r="O105" s="575">
        <v>10</v>
      </c>
      <c r="P105" s="575">
        <v>10</v>
      </c>
      <c r="Q105" s="575">
        <v>10</v>
      </c>
      <c r="R105" s="575">
        <v>10</v>
      </c>
      <c r="T105" s="136">
        <f t="shared" si="152"/>
        <v>10</v>
      </c>
      <c r="U105" s="134"/>
      <c r="V105" s="35"/>
      <c r="W105" s="35"/>
      <c r="X105" s="35"/>
      <c r="Y105" s="135"/>
      <c r="Z105" s="135">
        <f>VLOOKUP(B105,'Manuell filtrering og justering'!$A$7:$H$107,'Manuell filtrering og justering'!$H$1,FALSE)</f>
        <v>10</v>
      </c>
      <c r="AA105" s="136">
        <f t="shared" si="153"/>
        <v>0</v>
      </c>
      <c r="AB105" s="137">
        <f>IF($AC$5='Manuell filtrering og justering'!$J$2,Z105,(T105-AA105))</f>
        <v>10</v>
      </c>
      <c r="AC105" s="496">
        <v>105</v>
      </c>
      <c r="AD105" s="138">
        <f t="shared" si="154"/>
        <v>7.6923076923076927E-2</v>
      </c>
      <c r="AE105" s="138">
        <f>IF(AB105=0,0,(AD105/AB105)*AI105)</f>
        <v>0</v>
      </c>
      <c r="AF105" s="138">
        <f>IF(AB105=0,0,(AD105/AB105)*AJ105)</f>
        <v>0</v>
      </c>
      <c r="AG105" s="138">
        <f>IF(AB105=0,0,(AD105/AB105)*AK105)</f>
        <v>0</v>
      </c>
      <c r="AI105" s="783">
        <f>IF(AI246=AD_no,0,IF(VLOOKUP(E105,'Pre-analyseverktøy'!$F$11:$AA$226,'Pre-analyseverktøy'!$H$2,FALSE)&gt;AB105,AB105,VLOOKUP(E105,'Pre-analyseverktøy'!$F$11:$AA$226,'Pre-analyseverktøy'!$H$2,FALSE)))</f>
        <v>0</v>
      </c>
      <c r="AJ105" s="783">
        <f>IF(AJ246=AD_no,0,IF(VLOOKUP(E105,'Pre-analyseverktøy'!$F$11:$AA$226,'Pre-analyseverktøy'!$O$2,FALSE)&gt;AB105,AB105,VLOOKUP(E105,'Pre-analyseverktøy'!$F$11:$AA$226,'Pre-analyseverktøy'!$O$2,FALSE)))</f>
        <v>0</v>
      </c>
      <c r="AK105" s="783">
        <f>IF(AK246=AD_no,0,IF(VLOOKUP(E105,'Pre-analyseverktøy'!$F$11:$AA$226,'Pre-analyseverktøy'!$V$2,FALSE)&gt;AB105,AB105,VLOOKUP(E105,'Pre-analyseverktøy'!$F$11:$AA$226,'Pre-analyseverktøy'!$V$2,FALSE)))</f>
        <v>0</v>
      </c>
      <c r="AM105" s="236"/>
      <c r="AN105" s="237"/>
      <c r="AO105" s="237"/>
      <c r="AP105" s="237"/>
      <c r="AQ105" s="238"/>
      <c r="AR105" s="111"/>
      <c r="AS105" s="236"/>
      <c r="AT105" s="237"/>
      <c r="AU105" s="237"/>
      <c r="AV105" s="237"/>
      <c r="AW105" s="238"/>
      <c r="AY105" s="134"/>
      <c r="AZ105" s="35"/>
      <c r="BA105" s="35"/>
      <c r="BB105" s="35"/>
      <c r="BC105" s="135"/>
      <c r="BD105" s="148">
        <f t="shared" si="155"/>
        <v>9</v>
      </c>
      <c r="BE105" s="35" t="str">
        <f t="shared" si="156"/>
        <v>N/A</v>
      </c>
      <c r="BF105" s="151"/>
      <c r="BG105" s="148">
        <f>IF(BC105=0,9,IF(AJ105&gt;=BC105,5,IF(AJ105&gt;=BB105,4,IF(AJ105&gt;=BA105,3,IF(AJ105&gt;=AZ105,2,IF(AJ105&lt;AY105,0,1))))))</f>
        <v>9</v>
      </c>
      <c r="BH105" s="35" t="str">
        <f t="shared" si="158"/>
        <v>N/A</v>
      </c>
      <c r="BI105" s="151"/>
      <c r="BJ105" s="148">
        <f t="shared" si="159"/>
        <v>9</v>
      </c>
      <c r="BK105" s="35" t="str">
        <f t="shared" si="160"/>
        <v>N/A</v>
      </c>
      <c r="BL105" s="151"/>
      <c r="BO105" s="35"/>
      <c r="BP105" s="35"/>
      <c r="BQ105" s="35" t="str">
        <f t="shared" si="111"/>
        <v/>
      </c>
      <c r="BR105" s="35">
        <f t="shared" si="144"/>
        <v>9</v>
      </c>
      <c r="BS105" s="35">
        <f t="shared" si="145"/>
        <v>9</v>
      </c>
      <c r="BT105" s="35">
        <f t="shared" si="146"/>
        <v>9</v>
      </c>
      <c r="BW105" s="35"/>
      <c r="BX105" s="35"/>
      <c r="BY105" s="35"/>
      <c r="BZ105" s="35"/>
      <c r="CA105" s="35"/>
      <c r="CB105" s="35"/>
      <c r="CO105" s="35">
        <f>'Pre-analyseverktøy'!H100</f>
        <v>0</v>
      </c>
      <c r="CP105" s="35">
        <f>'Pre-analyseverktøy'!O100</f>
        <v>0</v>
      </c>
      <c r="CQ105" s="35">
        <f>'Pre-analyseverktøy'!V100</f>
        <v>0</v>
      </c>
      <c r="CR105" s="35" t="str">
        <f>'Pre-analyseverktøy'!F100</f>
        <v>Implementering av transporttiltak</v>
      </c>
      <c r="CS105" s="35" t="b">
        <f t="shared" ref="CS105:CS116" si="170">CR105=E105</f>
        <v>1</v>
      </c>
    </row>
    <row r="106" spans="1:97">
      <c r="A106">
        <v>98</v>
      </c>
      <c r="D106" s="516" t="s">
        <v>819</v>
      </c>
      <c r="E106" s="515"/>
      <c r="F106" s="712"/>
      <c r="G106" s="712"/>
      <c r="H106" s="712"/>
      <c r="I106" s="712"/>
      <c r="J106" s="712"/>
      <c r="K106" s="712"/>
      <c r="L106" s="712"/>
      <c r="M106" s="712"/>
      <c r="N106" s="712"/>
      <c r="O106" s="712"/>
      <c r="P106" s="712"/>
      <c r="Q106" s="712"/>
      <c r="R106" s="712"/>
      <c r="T106" s="724"/>
      <c r="U106" s="516"/>
      <c r="V106" s="515"/>
      <c r="W106" s="515"/>
      <c r="X106" s="515"/>
      <c r="Y106" s="723"/>
      <c r="Z106" s="723"/>
      <c r="AA106" s="724"/>
      <c r="AB106" s="725"/>
      <c r="AC106" s="496">
        <v>106</v>
      </c>
      <c r="AD106" s="138">
        <f t="shared" si="154"/>
        <v>0</v>
      </c>
      <c r="AE106" s="728"/>
      <c r="AF106" s="728"/>
      <c r="AG106" s="728"/>
      <c r="AI106" s="530"/>
      <c r="AJ106" s="530"/>
      <c r="AK106" s="530"/>
      <c r="AM106" s="236"/>
      <c r="AN106" s="237"/>
      <c r="AO106" s="237"/>
      <c r="AP106" s="237"/>
      <c r="AQ106" s="238"/>
      <c r="AR106" s="111"/>
      <c r="AS106" s="236"/>
      <c r="AT106" s="237"/>
      <c r="AU106" s="237"/>
      <c r="AV106" s="237"/>
      <c r="AW106" s="238"/>
      <c r="AY106" s="134"/>
      <c r="AZ106" s="35"/>
      <c r="BA106" s="35"/>
      <c r="BB106" s="35"/>
      <c r="BC106" s="135"/>
      <c r="BD106" s="148">
        <f t="shared" si="155"/>
        <v>9</v>
      </c>
      <c r="BE106" s="35" t="str">
        <f t="shared" si="156"/>
        <v>N/A</v>
      </c>
      <c r="BF106" s="151"/>
      <c r="BG106" s="148">
        <f t="shared" si="157"/>
        <v>9</v>
      </c>
      <c r="BH106" s="35" t="str">
        <f t="shared" si="158"/>
        <v>N/A</v>
      </c>
      <c r="BI106" s="151"/>
      <c r="BJ106" s="148">
        <f t="shared" si="159"/>
        <v>9</v>
      </c>
      <c r="BK106" s="35" t="str">
        <f t="shared" si="160"/>
        <v>N/A</v>
      </c>
      <c r="BL106" s="151"/>
      <c r="BO106" s="35"/>
      <c r="BP106" s="35"/>
      <c r="BQ106" s="35" t="str">
        <f t="shared" si="111"/>
        <v/>
      </c>
      <c r="BR106" s="35">
        <f t="shared" si="144"/>
        <v>9</v>
      </c>
      <c r="BS106" s="35">
        <f t="shared" si="145"/>
        <v>9</v>
      </c>
      <c r="BT106" s="35">
        <f t="shared" si="146"/>
        <v>9</v>
      </c>
      <c r="BW106" s="35" t="str">
        <f>D106</f>
        <v>Tra 03</v>
      </c>
      <c r="BX106" s="35" t="str">
        <f>IFERROR(VLOOKUP($E106,'Pre-analyseverktøy'!$F$11:$AC$226,'Pre-analyseverktøy'!AC$2,FALSE),"")</f>
        <v/>
      </c>
      <c r="BY106" s="35" t="str">
        <f>IFERROR(VLOOKUP($E106,'Pre-analyseverktøy'!$F$11:$AJ$226,'Pre-analyseverktøy'!AJ$2,FALSE),"")</f>
        <v/>
      </c>
      <c r="BZ106" s="35" t="str">
        <f t="shared" ref="BZ106:CA113" si="171">IFERROR(VLOOKUP($BX106,$E$293:$H$326,F$291,FALSE),"")</f>
        <v/>
      </c>
      <c r="CA106" s="35" t="str">
        <f t="shared" si="171"/>
        <v/>
      </c>
      <c r="CB106" s="35"/>
      <c r="CC106" t="s">
        <v>958</v>
      </c>
    </row>
    <row r="107" spans="1:97">
      <c r="A107">
        <v>99</v>
      </c>
      <c r="D107" s="516" t="s">
        <v>798</v>
      </c>
      <c r="E107" s="515"/>
      <c r="F107" s="712"/>
      <c r="G107" s="712"/>
      <c r="H107" s="712"/>
      <c r="I107" s="712"/>
      <c r="J107" s="712"/>
      <c r="K107" s="712"/>
      <c r="L107" s="712"/>
      <c r="M107" s="712"/>
      <c r="N107" s="712"/>
      <c r="O107" s="712"/>
      <c r="P107" s="712"/>
      <c r="Q107" s="712"/>
      <c r="R107" s="712"/>
      <c r="T107" s="724"/>
      <c r="U107" s="516"/>
      <c r="V107" s="515"/>
      <c r="W107" s="515"/>
      <c r="X107" s="515"/>
      <c r="Y107" s="723"/>
      <c r="Z107" s="723"/>
      <c r="AA107" s="724"/>
      <c r="AB107" s="725"/>
      <c r="AC107" s="496">
        <v>107</v>
      </c>
      <c r="AD107" s="138">
        <f t="shared" si="154"/>
        <v>0</v>
      </c>
      <c r="AE107" s="728"/>
      <c r="AF107" s="728"/>
      <c r="AG107" s="728"/>
      <c r="AI107" s="530"/>
      <c r="AJ107" s="530"/>
      <c r="AK107" s="530"/>
      <c r="AM107" s="236"/>
      <c r="AN107" s="237"/>
      <c r="AO107" s="237"/>
      <c r="AP107" s="237"/>
      <c r="AQ107" s="238"/>
      <c r="AR107" s="111"/>
      <c r="AS107" s="236"/>
      <c r="AT107" s="237"/>
      <c r="AU107" s="237"/>
      <c r="AV107" s="237"/>
      <c r="AW107" s="238"/>
      <c r="AY107" s="134"/>
      <c r="AZ107" s="35"/>
      <c r="BA107" s="35"/>
      <c r="BB107" s="35"/>
      <c r="BC107" s="135"/>
      <c r="BD107" s="148">
        <f t="shared" si="155"/>
        <v>9</v>
      </c>
      <c r="BE107" s="35" t="str">
        <f t="shared" si="156"/>
        <v>N/A</v>
      </c>
      <c r="BF107" s="151"/>
      <c r="BG107" s="148">
        <f t="shared" si="157"/>
        <v>9</v>
      </c>
      <c r="BH107" s="35" t="str">
        <f t="shared" si="158"/>
        <v>N/A</v>
      </c>
      <c r="BI107" s="151"/>
      <c r="BJ107" s="148">
        <f t="shared" si="159"/>
        <v>9</v>
      </c>
      <c r="BK107" s="35" t="str">
        <f t="shared" si="160"/>
        <v>N/A</v>
      </c>
      <c r="BL107" s="151"/>
      <c r="BO107" s="35"/>
      <c r="BP107" s="35"/>
      <c r="BQ107" s="35" t="str">
        <f t="shared" si="111"/>
        <v/>
      </c>
      <c r="BR107" s="35">
        <f t="shared" si="144"/>
        <v>9</v>
      </c>
      <c r="BS107" s="35">
        <f t="shared" si="145"/>
        <v>9</v>
      </c>
      <c r="BT107" s="35">
        <f t="shared" si="146"/>
        <v>9</v>
      </c>
      <c r="BW107" s="35" t="str">
        <f>D107</f>
        <v>Tra 04</v>
      </c>
      <c r="BX107" s="35" t="str">
        <f>IFERROR(VLOOKUP($E107,'Pre-analyseverktøy'!$F$11:$AC$226,'Pre-analyseverktøy'!AC$2,FALSE),"")</f>
        <v/>
      </c>
      <c r="BY107" s="35" t="str">
        <f>IFERROR(VLOOKUP($E107,'Pre-analyseverktøy'!$F$11:$AJ$226,'Pre-analyseverktøy'!AJ$2,FALSE),"")</f>
        <v/>
      </c>
      <c r="BZ107" s="35" t="str">
        <f t="shared" si="171"/>
        <v/>
      </c>
      <c r="CA107" s="35" t="str">
        <f t="shared" si="171"/>
        <v/>
      </c>
      <c r="CB107" s="35"/>
      <c r="CC107" t="str">
        <f t="shared" ref="CC107:CC112" si="172">IFERROR(VLOOKUP($BX107,$E$293:$H$326,I$291,FALSE),"")</f>
        <v/>
      </c>
    </row>
    <row r="108" spans="1:97">
      <c r="A108">
        <v>100</v>
      </c>
      <c r="D108" s="516" t="s">
        <v>799</v>
      </c>
      <c r="E108" s="515"/>
      <c r="F108" s="712"/>
      <c r="G108" s="712"/>
      <c r="H108" s="712"/>
      <c r="I108" s="712"/>
      <c r="J108" s="712"/>
      <c r="K108" s="712"/>
      <c r="L108" s="712"/>
      <c r="M108" s="712"/>
      <c r="N108" s="712"/>
      <c r="O108" s="712"/>
      <c r="P108" s="712"/>
      <c r="Q108" s="712"/>
      <c r="R108" s="712"/>
      <c r="T108" s="724"/>
      <c r="U108" s="516"/>
      <c r="V108" s="515"/>
      <c r="W108" s="515"/>
      <c r="X108" s="515"/>
      <c r="Y108" s="723"/>
      <c r="Z108" s="723"/>
      <c r="AA108" s="724"/>
      <c r="AB108" s="725"/>
      <c r="AC108" s="496">
        <v>108</v>
      </c>
      <c r="AD108" s="138">
        <f t="shared" si="154"/>
        <v>0</v>
      </c>
      <c r="AE108" s="728"/>
      <c r="AF108" s="728"/>
      <c r="AG108" s="728"/>
      <c r="AI108" s="530"/>
      <c r="AJ108" s="530"/>
      <c r="AK108" s="530"/>
      <c r="AM108" s="236"/>
      <c r="AN108" s="237"/>
      <c r="AO108" s="237"/>
      <c r="AP108" s="237"/>
      <c r="AQ108" s="238"/>
      <c r="AR108" s="111"/>
      <c r="AS108" s="236"/>
      <c r="AT108" s="237"/>
      <c r="AU108" s="237"/>
      <c r="AV108" s="237"/>
      <c r="AW108" s="238"/>
      <c r="AY108" s="134"/>
      <c r="AZ108" s="35"/>
      <c r="BA108" s="35"/>
      <c r="BB108" s="35"/>
      <c r="BC108" s="135"/>
      <c r="BD108" s="148">
        <f t="shared" si="155"/>
        <v>9</v>
      </c>
      <c r="BE108" s="35" t="str">
        <f t="shared" si="156"/>
        <v>N/A</v>
      </c>
      <c r="BF108" s="151"/>
      <c r="BG108" s="148">
        <f t="shared" si="157"/>
        <v>9</v>
      </c>
      <c r="BH108" s="35" t="str">
        <f t="shared" si="158"/>
        <v>N/A</v>
      </c>
      <c r="BI108" s="151"/>
      <c r="BJ108" s="148">
        <f t="shared" si="159"/>
        <v>9</v>
      </c>
      <c r="BK108" s="35" t="str">
        <f t="shared" si="160"/>
        <v>N/A</v>
      </c>
      <c r="BL108" s="151"/>
      <c r="BO108" s="35"/>
      <c r="BP108" s="35"/>
      <c r="BQ108" s="35" t="str">
        <f t="shared" si="111"/>
        <v/>
      </c>
      <c r="BR108" s="35">
        <f t="shared" si="144"/>
        <v>9</v>
      </c>
      <c r="BS108" s="35">
        <f t="shared" si="145"/>
        <v>9</v>
      </c>
      <c r="BT108" s="35">
        <f t="shared" si="146"/>
        <v>9</v>
      </c>
      <c r="BW108" s="35" t="str">
        <f>D108</f>
        <v>Tra 05</v>
      </c>
      <c r="BX108" s="35" t="str">
        <f>IFERROR(VLOOKUP($E108,'Pre-analyseverktøy'!$F$11:$AC$226,'Pre-analyseverktøy'!AC$2,FALSE),"")</f>
        <v/>
      </c>
      <c r="BY108" s="35" t="str">
        <f>IFERROR(VLOOKUP($E108,'Pre-analyseverktøy'!$F$11:$AJ$226,'Pre-analyseverktøy'!AJ$2,FALSE),"")</f>
        <v/>
      </c>
      <c r="BZ108" s="35" t="str">
        <f t="shared" si="171"/>
        <v/>
      </c>
      <c r="CA108" s="35" t="str">
        <f t="shared" si="171"/>
        <v/>
      </c>
      <c r="CB108" s="35"/>
      <c r="CC108" t="str">
        <f t="shared" si="172"/>
        <v/>
      </c>
    </row>
    <row r="109" spans="1:97" ht="15.75" thickBot="1">
      <c r="A109">
        <v>101</v>
      </c>
      <c r="D109" s="520" t="s">
        <v>800</v>
      </c>
      <c r="E109" s="521"/>
      <c r="F109" s="715"/>
      <c r="G109" s="715"/>
      <c r="H109" s="715"/>
      <c r="I109" s="715"/>
      <c r="J109" s="715"/>
      <c r="K109" s="715"/>
      <c r="L109" s="715"/>
      <c r="M109" s="715"/>
      <c r="N109" s="715"/>
      <c r="O109" s="715"/>
      <c r="P109" s="715"/>
      <c r="Q109" s="715"/>
      <c r="R109" s="715"/>
      <c r="T109" s="724"/>
      <c r="U109" s="518"/>
      <c r="V109" s="519"/>
      <c r="W109" s="519"/>
      <c r="X109" s="515"/>
      <c r="Y109" s="723"/>
      <c r="Z109" s="723"/>
      <c r="AA109" s="724"/>
      <c r="AB109" s="725"/>
      <c r="AC109" s="496">
        <v>109</v>
      </c>
      <c r="AD109" s="138">
        <f t="shared" si="154"/>
        <v>0</v>
      </c>
      <c r="AE109" s="728"/>
      <c r="AF109" s="728"/>
      <c r="AG109" s="728"/>
      <c r="AI109" s="530"/>
      <c r="AJ109" s="530"/>
      <c r="AK109" s="530"/>
      <c r="AM109" s="239"/>
      <c r="AN109" s="240"/>
      <c r="AO109" s="240"/>
      <c r="AP109" s="240"/>
      <c r="AQ109" s="241"/>
      <c r="AR109" s="111"/>
      <c r="AS109" s="239"/>
      <c r="AT109" s="240"/>
      <c r="AU109" s="240"/>
      <c r="AV109" s="240"/>
      <c r="AW109" s="241"/>
      <c r="AY109" s="156"/>
      <c r="AZ109" s="158"/>
      <c r="BA109" s="158"/>
      <c r="BB109" s="158"/>
      <c r="BC109" s="159"/>
      <c r="BD109" s="160">
        <f t="shared" si="155"/>
        <v>9</v>
      </c>
      <c r="BE109" s="35" t="str">
        <f t="shared" si="156"/>
        <v>N/A</v>
      </c>
      <c r="BF109" s="161"/>
      <c r="BG109" s="160">
        <f t="shared" si="157"/>
        <v>9</v>
      </c>
      <c r="BH109" s="35" t="str">
        <f t="shared" si="158"/>
        <v>N/A</v>
      </c>
      <c r="BI109" s="161"/>
      <c r="BJ109" s="160">
        <f t="shared" si="159"/>
        <v>9</v>
      </c>
      <c r="BK109" s="35" t="str">
        <f t="shared" si="160"/>
        <v>N/A</v>
      </c>
      <c r="BL109" s="161"/>
      <c r="BO109" s="35"/>
      <c r="BP109" s="35"/>
      <c r="BQ109" s="35" t="str">
        <f t="shared" si="111"/>
        <v/>
      </c>
      <c r="BR109" s="35">
        <f t="shared" si="144"/>
        <v>9</v>
      </c>
      <c r="BS109" s="35">
        <f t="shared" si="145"/>
        <v>9</v>
      </c>
      <c r="BT109" s="35">
        <f t="shared" si="146"/>
        <v>9</v>
      </c>
      <c r="BW109" s="55" t="str">
        <f>D109</f>
        <v>Tra 06</v>
      </c>
      <c r="BX109" s="55" t="str">
        <f>IFERROR(VLOOKUP($E109,'Pre-analyseverktøy'!$F$11:$AC$226,'Pre-analyseverktøy'!AC$2,FALSE),"")</f>
        <v/>
      </c>
      <c r="BY109" s="55" t="str">
        <f>IFERROR(VLOOKUP($E109,'Pre-analyseverktøy'!$F$11:$AJ$226,'Pre-analyseverktøy'!AJ$2,FALSE),"")</f>
        <v/>
      </c>
      <c r="BZ109" s="55" t="str">
        <f t="shared" si="171"/>
        <v/>
      </c>
      <c r="CA109" s="55" t="str">
        <f t="shared" si="171"/>
        <v/>
      </c>
      <c r="CB109" s="55"/>
      <c r="CC109" t="str">
        <f t="shared" si="172"/>
        <v/>
      </c>
    </row>
    <row r="110" spans="1:97" ht="15.75" thickBot="1">
      <c r="A110">
        <v>102</v>
      </c>
      <c r="B110" t="s">
        <v>408</v>
      </c>
      <c r="D110" s="162"/>
      <c r="E110" s="42" t="s">
        <v>771</v>
      </c>
      <c r="F110" s="579">
        <f>F100+F103</f>
        <v>13</v>
      </c>
      <c r="G110" s="579">
        <f t="shared" ref="G110:R110" si="173">G100+G103</f>
        <v>13</v>
      </c>
      <c r="H110" s="579">
        <f t="shared" si="173"/>
        <v>13</v>
      </c>
      <c r="I110" s="579">
        <f t="shared" si="173"/>
        <v>13</v>
      </c>
      <c r="J110" s="579">
        <f t="shared" si="173"/>
        <v>13</v>
      </c>
      <c r="K110" s="579">
        <f t="shared" si="173"/>
        <v>13</v>
      </c>
      <c r="L110" s="579">
        <f t="shared" si="173"/>
        <v>13</v>
      </c>
      <c r="M110" s="579">
        <f t="shared" si="173"/>
        <v>13</v>
      </c>
      <c r="N110" s="579">
        <f t="shared" si="173"/>
        <v>13</v>
      </c>
      <c r="O110" s="579">
        <f t="shared" si="173"/>
        <v>13</v>
      </c>
      <c r="P110" s="579">
        <f t="shared" si="173"/>
        <v>13</v>
      </c>
      <c r="Q110" s="579">
        <f>Q100+Q103</f>
        <v>13</v>
      </c>
      <c r="R110" s="579">
        <f t="shared" si="173"/>
        <v>13</v>
      </c>
      <c r="T110" s="183">
        <f>HLOOKUP($E$6,$F$9:$R$231,$A110,FALSE)</f>
        <v>13</v>
      </c>
      <c r="U110" s="164"/>
      <c r="V110" s="165"/>
      <c r="W110" s="165"/>
      <c r="X110" s="165"/>
      <c r="Y110" s="166"/>
      <c r="Z110" s="166"/>
      <c r="AA110" s="579">
        <f t="shared" ref="AA110:AG110" si="174">AA100+AA103</f>
        <v>0</v>
      </c>
      <c r="AB110" s="579">
        <f t="shared" si="174"/>
        <v>13</v>
      </c>
      <c r="AC110" s="496">
        <v>110</v>
      </c>
      <c r="AD110" s="168">
        <f t="shared" si="174"/>
        <v>0.1</v>
      </c>
      <c r="AE110" s="168">
        <f t="shared" si="174"/>
        <v>0</v>
      </c>
      <c r="AF110" s="168">
        <f t="shared" si="174"/>
        <v>0</v>
      </c>
      <c r="AG110" s="168">
        <f t="shared" si="174"/>
        <v>0</v>
      </c>
      <c r="AI110" s="1069">
        <f>AI100+AI103</f>
        <v>0</v>
      </c>
      <c r="AJ110" s="64">
        <f>AJ100+AJ103</f>
        <v>0</v>
      </c>
      <c r="AK110" s="64">
        <f>AK100+AK103</f>
        <v>0</v>
      </c>
      <c r="AM110" s="111"/>
      <c r="AN110" s="111"/>
      <c r="AO110" s="111"/>
      <c r="AP110" s="111"/>
      <c r="AQ110" s="111"/>
      <c r="AR110" s="111"/>
      <c r="AS110" s="111"/>
      <c r="AT110" s="111"/>
      <c r="AU110" s="111"/>
      <c r="AV110" s="111"/>
      <c r="AW110" s="111"/>
      <c r="AZ110" s="169"/>
      <c r="BW110" s="42"/>
      <c r="BX110" s="42" t="str">
        <f>IFERROR(VLOOKUP($E110,'Pre-analyseverktøy'!$F$11:$AC$226,'Pre-analyseverktøy'!AC$2,FALSE),"")</f>
        <v/>
      </c>
      <c r="BY110" s="42" t="str">
        <f>IFERROR(VLOOKUP($E110,'Pre-analyseverktøy'!$F$11:$AJ$226,'Pre-analyseverktøy'!AJ$2,FALSE),"")</f>
        <v/>
      </c>
      <c r="BZ110" s="42" t="str">
        <f t="shared" si="171"/>
        <v/>
      </c>
      <c r="CA110" s="42" t="str">
        <f t="shared" si="171"/>
        <v/>
      </c>
      <c r="CB110" s="42"/>
      <c r="CC110" t="str">
        <f t="shared" si="172"/>
        <v/>
      </c>
    </row>
    <row r="111" spans="1:97" ht="15.75" thickBot="1">
      <c r="A111">
        <v>103</v>
      </c>
      <c r="AC111" s="496">
        <v>111</v>
      </c>
      <c r="AI111" s="1"/>
      <c r="AJ111" s="1"/>
      <c r="AK111" s="1"/>
      <c r="AM111" s="111"/>
      <c r="AN111" s="111"/>
      <c r="AO111" s="111"/>
      <c r="AP111" s="111"/>
      <c r="AQ111" s="111"/>
      <c r="AR111" s="111"/>
      <c r="AS111" s="111"/>
      <c r="AT111" s="111"/>
      <c r="AU111" s="111"/>
      <c r="AV111" s="111"/>
      <c r="AW111" s="111"/>
      <c r="BX111" t="str">
        <f>IFERROR(VLOOKUP($E111,'Pre-analyseverktøy'!$F$11:$AC$226,'Pre-analyseverktøy'!AC$2,FALSE),"")</f>
        <v/>
      </c>
      <c r="BY111" t="str">
        <f>IFERROR(VLOOKUP($E111,'Pre-analyseverktøy'!$F$11:$AJ$226,'Pre-analyseverktøy'!AJ$2,FALSE),"")</f>
        <v/>
      </c>
      <c r="BZ111" t="str">
        <f t="shared" si="171"/>
        <v/>
      </c>
      <c r="CA111" t="str">
        <f t="shared" si="171"/>
        <v/>
      </c>
      <c r="CC111" t="str">
        <f t="shared" si="172"/>
        <v/>
      </c>
    </row>
    <row r="112" spans="1:97" ht="60.75" thickBot="1">
      <c r="A112">
        <v>104</v>
      </c>
      <c r="D112" s="115"/>
      <c r="E112" s="39" t="s">
        <v>1023</v>
      </c>
      <c r="F112" s="917" t="str">
        <f>$F$9</f>
        <v>Kontorbygg</v>
      </c>
      <c r="G112" s="917" t="str">
        <f>$G$9</f>
        <v>Handelsbygg</v>
      </c>
      <c r="H112" s="921" t="str">
        <f>$H$9</f>
        <v>Boligbygg</v>
      </c>
      <c r="I112" s="917" t="str">
        <f>$I$9</f>
        <v>Industribygg</v>
      </c>
      <c r="J112" s="919" t="str">
        <f>$J$9</f>
        <v>Helseinstitusjoner</v>
      </c>
      <c r="K112" s="919" t="str">
        <f>$K$9</f>
        <v>Fengsel</v>
      </c>
      <c r="L112" s="919" t="str">
        <f>$L$9</f>
        <v>Tinghus</v>
      </c>
      <c r="M112" s="923" t="str">
        <f>$M$9</f>
        <v>Døgninstitusjonsbygg (langtidsopphold)</v>
      </c>
      <c r="N112" s="698" t="str">
        <f>$N$9</f>
        <v>Døgninstitusjonsbygg (korttidsopphold)</v>
      </c>
      <c r="O112" s="698" t="str">
        <f>$O$9</f>
        <v>Institusjoner ikke til boligbruk</v>
      </c>
      <c r="P112" s="698" t="str">
        <f>$P$9</f>
        <v>Møtesteder og fritid</v>
      </c>
      <c r="Q112" s="919" t="str">
        <f>$Q$9</f>
        <v>Undervisningsbygg</v>
      </c>
      <c r="R112" s="651" t="str">
        <f>$R$9</f>
        <v>Annet</v>
      </c>
      <c r="T112" s="110" t="str">
        <f>$E$6</f>
        <v>Kontorbygg</v>
      </c>
      <c r="U112" s="170"/>
      <c r="V112" s="171"/>
      <c r="W112" s="171"/>
      <c r="X112" s="171"/>
      <c r="Y112" s="855" t="s">
        <v>920</v>
      </c>
      <c r="Z112" s="287" t="s">
        <v>23</v>
      </c>
      <c r="AA112" s="119" t="s">
        <v>771</v>
      </c>
      <c r="AB112" s="45" t="s">
        <v>908</v>
      </c>
      <c r="AC112" s="496">
        <v>112</v>
      </c>
      <c r="AI112" s="28"/>
      <c r="AJ112" s="46"/>
      <c r="AK112" s="46"/>
      <c r="AM112" s="111"/>
      <c r="AN112" s="111"/>
      <c r="AO112" s="111"/>
      <c r="AP112" s="111"/>
      <c r="AQ112" s="111"/>
      <c r="AR112" s="111"/>
      <c r="AS112" s="111"/>
      <c r="AT112" s="111"/>
      <c r="AU112" s="111"/>
      <c r="AV112" s="111"/>
      <c r="AW112" s="111"/>
      <c r="BO112" s="46"/>
      <c r="BP112" s="46"/>
      <c r="BQ112" s="46"/>
      <c r="BR112" s="46"/>
      <c r="BS112" s="46"/>
      <c r="BT112" s="46"/>
      <c r="BW112" s="39"/>
      <c r="BX112" s="39" t="str">
        <f>E112</f>
        <v>Vann</v>
      </c>
      <c r="BY112" s="39">
        <f>IFERROR(VLOOKUP($E112,'Pre-analyseverktøy'!$F$11:$AJ$226,'Pre-analyseverktøy'!AJ$2,FALSE),"")</f>
        <v>0</v>
      </c>
      <c r="BZ112" s="39" t="str">
        <f t="shared" si="171"/>
        <v/>
      </c>
      <c r="CA112" s="39" t="str">
        <f t="shared" si="171"/>
        <v/>
      </c>
      <c r="CB112" s="39"/>
      <c r="CC112" t="str">
        <f t="shared" si="172"/>
        <v/>
      </c>
    </row>
    <row r="113" spans="1:97">
      <c r="A113">
        <v>105</v>
      </c>
      <c r="B113" s="109" t="str">
        <f>D113</f>
        <v>Wat 01</v>
      </c>
      <c r="C113" s="109" t="str">
        <f>B113</f>
        <v>Wat 01</v>
      </c>
      <c r="D113" s="630" t="s">
        <v>414</v>
      </c>
      <c r="E113" s="628" t="s">
        <v>1024</v>
      </c>
      <c r="F113" s="711">
        <f>SUM(F114)</f>
        <v>5</v>
      </c>
      <c r="G113" s="711">
        <f t="shared" ref="G113:R113" si="175">SUM(G114)</f>
        <v>5</v>
      </c>
      <c r="H113" s="711">
        <f t="shared" si="175"/>
        <v>5</v>
      </c>
      <c r="I113" s="711">
        <f t="shared" si="175"/>
        <v>5</v>
      </c>
      <c r="J113" s="711">
        <f t="shared" si="175"/>
        <v>5</v>
      </c>
      <c r="K113" s="711">
        <f t="shared" si="175"/>
        <v>5</v>
      </c>
      <c r="L113" s="711">
        <f t="shared" si="175"/>
        <v>5</v>
      </c>
      <c r="M113" s="711">
        <f t="shared" si="175"/>
        <v>5</v>
      </c>
      <c r="N113" s="711">
        <f t="shared" si="175"/>
        <v>5</v>
      </c>
      <c r="O113" s="711">
        <f t="shared" si="175"/>
        <v>5</v>
      </c>
      <c r="P113" s="711">
        <f t="shared" si="175"/>
        <v>5</v>
      </c>
      <c r="Q113" s="711">
        <f t="shared" si="175"/>
        <v>5</v>
      </c>
      <c r="R113" s="711">
        <f t="shared" si="175"/>
        <v>5</v>
      </c>
      <c r="T113" s="729">
        <f t="shared" ref="T113:T123" si="176">HLOOKUP($E$6,$F$9:$R$231,$A113,FALSE)</f>
        <v>5</v>
      </c>
      <c r="U113" s="179"/>
      <c r="V113" s="53"/>
      <c r="W113" s="53"/>
      <c r="X113" s="53">
        <f>'Manuell filtrering og justering'!E52</f>
        <v>0</v>
      </c>
      <c r="Y113" s="53"/>
      <c r="Z113" s="726">
        <f>SUM(Z114)</f>
        <v>5</v>
      </c>
      <c r="AA113" s="731">
        <f t="shared" ref="AA113:AA122" si="177">IF(SUM(U113:Y113)&gt;T113,T113,SUM(U113:Y113))</f>
        <v>0</v>
      </c>
      <c r="AB113" s="700">
        <f>AB114</f>
        <v>5</v>
      </c>
      <c r="AC113" s="496">
        <v>113</v>
      </c>
      <c r="AD113" s="138">
        <f t="shared" ref="AD113:AD122" si="178">(Wat_Weight/Wat__Credits)*AB113</f>
        <v>2.2222222222222223E-2</v>
      </c>
      <c r="AE113" s="701">
        <f>SUM(AE114)</f>
        <v>0</v>
      </c>
      <c r="AF113" s="701">
        <f>SUM(AF114)</f>
        <v>0</v>
      </c>
      <c r="AG113" s="701">
        <f>SUM(AG114)</f>
        <v>0</v>
      </c>
      <c r="AI113" s="726">
        <f>SUM(AI114)</f>
        <v>0</v>
      </c>
      <c r="AJ113" s="726">
        <f>SUM(AJ114)</f>
        <v>0</v>
      </c>
      <c r="AK113" s="726">
        <f>SUM(AK114)</f>
        <v>0</v>
      </c>
      <c r="AM113" s="242"/>
      <c r="AN113" s="243"/>
      <c r="AO113" s="252"/>
      <c r="AP113" s="243"/>
      <c r="AQ113" s="244"/>
      <c r="AR113" s="111"/>
      <c r="AS113" s="242"/>
      <c r="AT113" s="243"/>
      <c r="AU113" s="243"/>
      <c r="AV113" s="243"/>
      <c r="AW113" s="244"/>
      <c r="AY113" s="177"/>
      <c r="AZ113" s="144"/>
      <c r="BA113" s="144"/>
      <c r="BB113" s="144"/>
      <c r="BC113" s="178"/>
      <c r="BD113" s="141">
        <f t="shared" ref="BD113:BD122" si="179">IF(BC113=0,9,IF(AI113&gt;=BC113,5,IF(AI113&gt;=BB113,4,IF(AI113&gt;=BA113,3,IF(AI113&gt;=AZ113,2,IF(AI113&lt;AY113,0,1))))))</f>
        <v>9</v>
      </c>
      <c r="BE113" s="35" t="str">
        <f t="shared" ref="BE113:BE122" si="180">IF(BD113=$BO$290,$BT$290,IF(BD113=$BO$289,$BT$289,IF(BD113=$BO$288,$BT$288,IF(BD113=$BO$287,$BT$287,IF(BD113=$BO$286,$BT$286,IF(BD113=$BO$285,$BT$285,$BT$284))))))</f>
        <v>N/A</v>
      </c>
      <c r="BF113" s="145"/>
      <c r="BG113" s="141">
        <f t="shared" ref="BG113:BG122" si="181">IF(BC113=0,9,IF(AJ113&gt;=BC113,5,IF(AJ113&gt;=BB113,4,IF(AJ113&gt;=BA113,3,IF(AJ113&gt;=AZ113,2,IF(AJ113&lt;AY113,0,1))))))</f>
        <v>9</v>
      </c>
      <c r="BH113" s="35" t="str">
        <f t="shared" ref="BH113:BH122" si="182">IF(BG113=$BO$290,$BT$290,IF(BG113=$BO$289,$BT$289,IF(BG113=$BO$288,$BT$288,IF(BG113=$BO$287,$BT$287,IF(BG113=$BO$286,$BT$286,IF(BG113=$BO$285,$BT$285,$BT$284))))))</f>
        <v>N/A</v>
      </c>
      <c r="BI113" s="145"/>
      <c r="BJ113" s="141">
        <f t="shared" ref="BJ113:BJ122" si="183">IF(BC113=0,9,IF(AK113&gt;=BC113,5,IF(AK113&gt;=BB113,4,IF(AK113&gt;=BA113,3,IF(AK113&gt;=AZ113,2,IF(AK113&lt;AY113,0,1))))))</f>
        <v>9</v>
      </c>
      <c r="BK113" s="35" t="str">
        <f t="shared" ref="BK113:BK122" si="184">IF(BJ113=$BO$290,$BT$290,IF(BJ113=$BO$289,$BT$289,IF(BJ113=$BO$288,$BT$288,IF(BJ113=$BO$287,$BT$287,IF(BJ113=$BO$286,$BT$286,IF(BJ113=$BO$285,$BT$285,$BT$284))))))</f>
        <v>N/A</v>
      </c>
      <c r="BL113" s="145"/>
      <c r="BO113" s="35"/>
      <c r="BP113" s="35"/>
      <c r="BQ113" s="35" t="str">
        <f t="shared" si="111"/>
        <v/>
      </c>
      <c r="BR113" s="35">
        <f t="shared" si="144"/>
        <v>9</v>
      </c>
      <c r="BS113" s="35">
        <f t="shared" si="145"/>
        <v>9</v>
      </c>
      <c r="BT113" s="35">
        <f t="shared" si="146"/>
        <v>9</v>
      </c>
      <c r="BW113" s="37" t="str">
        <f>D113</f>
        <v>Wat 01</v>
      </c>
      <c r="BX113" s="37" t="str">
        <f>IFERROR(VLOOKUP($E113,'Pre-analyseverktøy'!$F$11:$AC$226,'Pre-analyseverktøy'!AC$2,FALSE),"")</f>
        <v>No</v>
      </c>
      <c r="BY113" s="37">
        <f>IFERROR(VLOOKUP($E113,'Pre-analyseverktøy'!$F$11:$AJ$226,'Pre-analyseverktøy'!AJ$2,FALSE),"")</f>
        <v>0</v>
      </c>
      <c r="BZ113" s="37">
        <f t="shared" si="171"/>
        <v>1</v>
      </c>
      <c r="CA113" s="37">
        <f t="shared" si="171"/>
        <v>0</v>
      </c>
      <c r="CB113" s="37"/>
      <c r="CC113" t="s">
        <v>958</v>
      </c>
    </row>
    <row r="114" spans="1:97">
      <c r="A114">
        <v>106</v>
      </c>
      <c r="B114" t="str">
        <f>$D$113&amp;D114</f>
        <v>Wat 01a</v>
      </c>
      <c r="C114" t="str">
        <f t="shared" si="112"/>
        <v>Wat 01</v>
      </c>
      <c r="D114" s="132" t="s">
        <v>775</v>
      </c>
      <c r="E114" s="827" t="s">
        <v>1025</v>
      </c>
      <c r="F114" s="716">
        <v>5</v>
      </c>
      <c r="G114" s="716">
        <v>5</v>
      </c>
      <c r="H114" s="716">
        <v>5</v>
      </c>
      <c r="I114" s="716">
        <v>5</v>
      </c>
      <c r="J114" s="716">
        <v>5</v>
      </c>
      <c r="K114" s="716">
        <v>5</v>
      </c>
      <c r="L114" s="716">
        <v>5</v>
      </c>
      <c r="M114" s="716">
        <v>5</v>
      </c>
      <c r="N114" s="716">
        <v>5</v>
      </c>
      <c r="O114" s="716">
        <v>5</v>
      </c>
      <c r="P114" s="716">
        <v>5</v>
      </c>
      <c r="Q114" s="716">
        <v>5</v>
      </c>
      <c r="R114" s="716">
        <v>5</v>
      </c>
      <c r="T114" s="136">
        <f t="shared" si="176"/>
        <v>5</v>
      </c>
      <c r="U114" s="134"/>
      <c r="V114" s="35"/>
      <c r="W114" s="35"/>
      <c r="X114" s="35"/>
      <c r="Y114" s="136">
        <f>IF($Y$4=$Y$6,T114,0)</f>
        <v>0</v>
      </c>
      <c r="Z114" s="135">
        <f>VLOOKUP(B114,'Manuell filtrering og justering'!$A$7:$H$253,'Manuell filtrering og justering'!$H$1,FALSE)</f>
        <v>5</v>
      </c>
      <c r="AA114" s="136">
        <f t="shared" si="177"/>
        <v>0</v>
      </c>
      <c r="AB114" s="137">
        <f>IF($AC$5='Manuell filtrering og justering'!$J$2,Z114,(T114-AA114))</f>
        <v>5</v>
      </c>
      <c r="AC114" s="496">
        <v>114</v>
      </c>
      <c r="AD114" s="138">
        <f t="shared" si="178"/>
        <v>2.2222222222222223E-2</v>
      </c>
      <c r="AE114" s="138">
        <f t="shared" ref="AE114:AE122" si="185">IF(AB114=0,0,(AD114/AB114)*AI114)</f>
        <v>0</v>
      </c>
      <c r="AF114" s="138">
        <f t="shared" ref="AF114:AF122" si="186">IF(AB114=0,0,(AD114/AB114)*AJ114)</f>
        <v>0</v>
      </c>
      <c r="AG114" s="138">
        <f t="shared" ref="AG114:AG122" si="187">IF(AB114=0,0,(AD114/AB114)*AK114)</f>
        <v>0</v>
      </c>
      <c r="AI114" s="139">
        <f t="shared" ref="AI114" si="188">IF(CO114&gt;$AB114,$AB114,CO114)</f>
        <v>0</v>
      </c>
      <c r="AJ114" s="139">
        <f t="shared" ref="AJ114" si="189">IF(CP114&gt;$AB114,$AB114,CP114)</f>
        <v>0</v>
      </c>
      <c r="AK114" s="139">
        <f t="shared" ref="AK114" si="190">IF(CQ114&gt;$AB114,$AB114,CQ114)</f>
        <v>0</v>
      </c>
      <c r="AM114" s="632"/>
      <c r="AN114" s="633"/>
      <c r="AO114" s="645"/>
      <c r="AP114" s="876">
        <f>IF(AND($Y$4&lt;&gt;$Y$3,Y114&gt;0),0,2)</f>
        <v>2</v>
      </c>
      <c r="AQ114" s="878">
        <f>IF(AND($Y$4&lt;&gt;$Y$3,Y114&gt;0),0,2)</f>
        <v>2</v>
      </c>
      <c r="AR114" s="111"/>
      <c r="AS114" s="632"/>
      <c r="AT114" s="633"/>
      <c r="AU114" s="633"/>
      <c r="AV114" s="633">
        <v>2</v>
      </c>
      <c r="AW114" s="634">
        <v>2</v>
      </c>
      <c r="AY114" s="132"/>
      <c r="AZ114" s="37"/>
      <c r="BA114" s="37"/>
      <c r="BB114" s="149">
        <f>IF($AB114=0,0,IF($E$6=$H$9,AV114,AP114))</f>
        <v>2</v>
      </c>
      <c r="BC114" s="149">
        <f>IF($AB114=0,0,IF($E$6=$H$9,AW114,AQ114))</f>
        <v>2</v>
      </c>
      <c r="BD114" s="148">
        <f t="shared" si="179"/>
        <v>3</v>
      </c>
      <c r="BE114" s="35" t="str">
        <f t="shared" si="180"/>
        <v>Very Good</v>
      </c>
      <c r="BF114" s="151"/>
      <c r="BG114" s="148">
        <f t="shared" si="181"/>
        <v>3</v>
      </c>
      <c r="BH114" s="35" t="str">
        <f t="shared" si="182"/>
        <v>Very Good</v>
      </c>
      <c r="BI114" s="151"/>
      <c r="BJ114" s="148">
        <f t="shared" si="183"/>
        <v>3</v>
      </c>
      <c r="BK114" s="35" t="str">
        <f t="shared" si="184"/>
        <v>Very Good</v>
      </c>
      <c r="BL114" s="627"/>
      <c r="BO114" s="35"/>
      <c r="BP114" s="870">
        <f>2*0</f>
        <v>0</v>
      </c>
      <c r="BQ114" s="35">
        <f t="shared" si="111"/>
        <v>0</v>
      </c>
      <c r="BR114" s="35">
        <f t="shared" si="144"/>
        <v>5</v>
      </c>
      <c r="BS114" s="35">
        <f t="shared" si="145"/>
        <v>5</v>
      </c>
      <c r="BT114" s="35">
        <f t="shared" si="146"/>
        <v>5</v>
      </c>
      <c r="BW114" s="37"/>
      <c r="BX114" s="37"/>
      <c r="BY114" s="37"/>
      <c r="BZ114" s="37"/>
      <c r="CB114" s="37"/>
      <c r="CO114" s="35">
        <f>'Pre-analyseverktøy'!H105</f>
        <v>0</v>
      </c>
      <c r="CP114" s="35">
        <f>'Pre-analyseverktøy'!O105</f>
        <v>0</v>
      </c>
      <c r="CQ114" s="35">
        <f>'Pre-analyseverktøy'!V105</f>
        <v>0</v>
      </c>
      <c r="CR114" s="35" t="str">
        <f>'Pre-analyseverktøy'!F105</f>
        <v>Vanneffektivt sanitærutstyr</v>
      </c>
      <c r="CS114" s="35" t="b">
        <f t="shared" si="170"/>
        <v>1</v>
      </c>
    </row>
    <row r="115" spans="1:97">
      <c r="A115">
        <v>107</v>
      </c>
      <c r="B115" s="109" t="str">
        <f>D115</f>
        <v>Wat 02</v>
      </c>
      <c r="C115" s="109" t="str">
        <f>B115</f>
        <v>Wat 02</v>
      </c>
      <c r="D115" s="631" t="s">
        <v>419</v>
      </c>
      <c r="E115" s="629" t="s">
        <v>1026</v>
      </c>
      <c r="F115" s="711">
        <f>SUM(F116)</f>
        <v>1</v>
      </c>
      <c r="G115" s="711">
        <f t="shared" ref="G115:R115" si="191">SUM(G116)</f>
        <v>1</v>
      </c>
      <c r="H115" s="711">
        <f t="shared" si="191"/>
        <v>1</v>
      </c>
      <c r="I115" s="711">
        <f t="shared" si="191"/>
        <v>1</v>
      </c>
      <c r="J115" s="711">
        <f t="shared" si="191"/>
        <v>1</v>
      </c>
      <c r="K115" s="711">
        <f t="shared" si="191"/>
        <v>1</v>
      </c>
      <c r="L115" s="711">
        <f t="shared" si="191"/>
        <v>1</v>
      </c>
      <c r="M115" s="711">
        <f t="shared" si="191"/>
        <v>1</v>
      </c>
      <c r="N115" s="711">
        <f t="shared" si="191"/>
        <v>1</v>
      </c>
      <c r="O115" s="711">
        <f t="shared" si="191"/>
        <v>1</v>
      </c>
      <c r="P115" s="711">
        <f t="shared" si="191"/>
        <v>1</v>
      </c>
      <c r="Q115" s="711">
        <f t="shared" si="191"/>
        <v>1</v>
      </c>
      <c r="R115" s="711">
        <f t="shared" si="191"/>
        <v>1</v>
      </c>
      <c r="T115" s="731">
        <f t="shared" si="176"/>
        <v>1</v>
      </c>
      <c r="U115" s="179"/>
      <c r="V115" s="53"/>
      <c r="W115" s="53"/>
      <c r="X115" s="53">
        <f>'Manuell filtrering og justering'!E53</f>
        <v>0</v>
      </c>
      <c r="Y115" s="53"/>
      <c r="Z115" s="726">
        <f>SUM(Z116)</f>
        <v>1</v>
      </c>
      <c r="AA115" s="731">
        <f t="shared" si="177"/>
        <v>0</v>
      </c>
      <c r="AB115" s="700">
        <f>AB116</f>
        <v>1</v>
      </c>
      <c r="AC115" s="496">
        <v>115</v>
      </c>
      <c r="AD115" s="138">
        <f t="shared" si="178"/>
        <v>4.4444444444444444E-3</v>
      </c>
      <c r="AE115" s="701">
        <f>SUM(AE116)</f>
        <v>0</v>
      </c>
      <c r="AF115" s="701">
        <f>SUM(AF116)</f>
        <v>0</v>
      </c>
      <c r="AG115" s="701">
        <f>SUM(AG116)</f>
        <v>0</v>
      </c>
      <c r="AI115" s="726">
        <f>SUM(AI116)</f>
        <v>0</v>
      </c>
      <c r="AJ115" s="726">
        <f>SUM(AJ116)</f>
        <v>0</v>
      </c>
      <c r="AK115" s="726">
        <f>SUM(AK116)</f>
        <v>0</v>
      </c>
      <c r="AL115" t="s">
        <v>216</v>
      </c>
      <c r="AM115" s="236"/>
      <c r="AN115" s="237"/>
      <c r="AO115" s="237"/>
      <c r="AP115" s="237"/>
      <c r="AQ115" s="238"/>
      <c r="AR115" s="111"/>
      <c r="AS115" s="236"/>
      <c r="AT115" s="237"/>
      <c r="AU115" s="237"/>
      <c r="AV115" s="237"/>
      <c r="AW115" s="238"/>
      <c r="AY115" s="134"/>
      <c r="AZ115" s="35"/>
      <c r="BA115" s="35"/>
      <c r="BB115" s="35"/>
      <c r="BC115" s="135"/>
      <c r="BD115" s="148">
        <f t="shared" si="179"/>
        <v>9</v>
      </c>
      <c r="BE115" s="35" t="str">
        <f t="shared" si="180"/>
        <v>N/A</v>
      </c>
      <c r="BF115" s="151"/>
      <c r="BG115" s="148">
        <f t="shared" si="181"/>
        <v>9</v>
      </c>
      <c r="BH115" s="35" t="str">
        <f t="shared" si="182"/>
        <v>N/A</v>
      </c>
      <c r="BI115" s="151"/>
      <c r="BJ115" s="148">
        <f t="shared" si="183"/>
        <v>9</v>
      </c>
      <c r="BK115" s="35" t="str">
        <f t="shared" si="184"/>
        <v>N/A</v>
      </c>
      <c r="BL115" s="151"/>
      <c r="BO115" s="35"/>
      <c r="BP115" s="35"/>
      <c r="BQ115" s="35" t="str">
        <f t="shared" si="111"/>
        <v/>
      </c>
      <c r="BR115" s="35">
        <f t="shared" si="144"/>
        <v>9</v>
      </c>
      <c r="BS115" s="35">
        <f t="shared" si="145"/>
        <v>9</v>
      </c>
      <c r="BT115" s="35">
        <f t="shared" si="146"/>
        <v>9</v>
      </c>
      <c r="BW115" s="35" t="str">
        <f>D115</f>
        <v>Wat 02</v>
      </c>
      <c r="BX115" s="35" t="str">
        <f>IFERROR(VLOOKUP($E115,'Pre-analyseverktøy'!$F$11:$AC$226,'Pre-analyseverktøy'!AC$2,FALSE),"")</f>
        <v>No</v>
      </c>
      <c r="BY115" s="53" t="str">
        <f>IFERROR(VLOOKUP($E115,'Pre-analyseverktøy'!$F$11:$AJ$226,'Pre-analyseverktøy'!AJ$2,FALSE),"")</f>
        <v>Ja</v>
      </c>
      <c r="BZ115" s="35">
        <f>IFERROR(VLOOKUP($BX115,$E$293:$H$326,F$291,FALSE),"")</f>
        <v>1</v>
      </c>
      <c r="CA115" s="507" t="s">
        <v>899</v>
      </c>
      <c r="CB115" s="35"/>
      <c r="CC115" t="str">
        <f>IFERROR(VLOOKUP($BX115,$E$293:$H$326,I$291,FALSE),"")</f>
        <v/>
      </c>
      <c r="CD115" t="s">
        <v>972</v>
      </c>
      <c r="CE115" s="35">
        <f>VLOOKUP(CA115,$CA$4:$CB$5,2,FALSE)</f>
        <v>1</v>
      </c>
      <c r="CG115" s="54">
        <f>IF($BX$5=ais_nei,CE115,IF(AND(CA115=$CA$4,BX115=$CC$4),0,BZ115))</f>
        <v>1</v>
      </c>
    </row>
    <row r="116" spans="1:97">
      <c r="A116">
        <v>108</v>
      </c>
      <c r="B116" t="str">
        <f>$D$115&amp;D116</f>
        <v>Wat 02a</v>
      </c>
      <c r="C116" t="str">
        <f t="shared" si="112"/>
        <v>Wat 02</v>
      </c>
      <c r="D116" s="134" t="s">
        <v>775</v>
      </c>
      <c r="E116" s="827" t="s">
        <v>1027</v>
      </c>
      <c r="F116" s="575">
        <v>1</v>
      </c>
      <c r="G116" s="575">
        <v>1</v>
      </c>
      <c r="H116" s="575">
        <v>1</v>
      </c>
      <c r="I116" s="575">
        <v>1</v>
      </c>
      <c r="J116" s="575">
        <v>1</v>
      </c>
      <c r="K116" s="575">
        <v>1</v>
      </c>
      <c r="L116" s="575">
        <v>1</v>
      </c>
      <c r="M116" s="575">
        <v>1</v>
      </c>
      <c r="N116" s="575">
        <v>1</v>
      </c>
      <c r="O116" s="575">
        <v>1</v>
      </c>
      <c r="P116" s="575">
        <v>1</v>
      </c>
      <c r="Q116" s="575">
        <v>1</v>
      </c>
      <c r="R116" s="575">
        <v>1</v>
      </c>
      <c r="T116" s="136">
        <f t="shared" si="176"/>
        <v>1</v>
      </c>
      <c r="U116" s="134"/>
      <c r="V116" s="35"/>
      <c r="W116" s="35"/>
      <c r="X116" s="35"/>
      <c r="Y116" s="135"/>
      <c r="Z116" s="135">
        <f>VLOOKUP(B116,'Manuell filtrering og justering'!$A$7:$H$253,'Manuell filtrering og justering'!$H$1,FALSE)</f>
        <v>1</v>
      </c>
      <c r="AA116" s="136">
        <f t="shared" si="177"/>
        <v>0</v>
      </c>
      <c r="AB116" s="137">
        <f>IF($AC$5='Manuell filtrering og justering'!$J$2,Z116,(T116-AA116))</f>
        <v>1</v>
      </c>
      <c r="AC116" s="496">
        <v>116</v>
      </c>
      <c r="AD116" s="138">
        <f t="shared" si="178"/>
        <v>4.4444444444444444E-3</v>
      </c>
      <c r="AE116" s="138">
        <f t="shared" si="185"/>
        <v>0</v>
      </c>
      <c r="AF116" s="138">
        <f t="shared" si="186"/>
        <v>0</v>
      </c>
      <c r="AG116" s="138">
        <f t="shared" si="187"/>
        <v>0</v>
      </c>
      <c r="AI116" s="139">
        <f t="shared" ref="AI116" si="192">IF(CO116&gt;$AB116,$AB116,CO116)</f>
        <v>0</v>
      </c>
      <c r="AJ116" s="139">
        <f t="shared" ref="AJ116" si="193">IF(CP116&gt;$AB116,$AB116,CP116)</f>
        <v>0</v>
      </c>
      <c r="AK116" s="139">
        <f t="shared" ref="AK116" si="194">IF(CQ116&gt;$AB116,$AB116,CQ116)</f>
        <v>0</v>
      </c>
      <c r="AM116" s="236"/>
      <c r="AN116" s="237"/>
      <c r="AO116" s="237"/>
      <c r="AP116" s="237"/>
      <c r="AQ116" s="238"/>
      <c r="AR116" s="111"/>
      <c r="AS116" s="236"/>
      <c r="AT116" s="237"/>
      <c r="AU116" s="237"/>
      <c r="AV116" s="237"/>
      <c r="AW116" s="238"/>
      <c r="AY116" s="134"/>
      <c r="AZ116" s="35"/>
      <c r="BA116" s="35"/>
      <c r="BB116" s="35"/>
      <c r="BC116" s="135"/>
      <c r="BD116" s="148">
        <f t="shared" si="179"/>
        <v>9</v>
      </c>
      <c r="BE116" s="35" t="str">
        <f t="shared" si="180"/>
        <v>N/A</v>
      </c>
      <c r="BF116" s="151"/>
      <c r="BG116" s="148">
        <f t="shared" si="181"/>
        <v>9</v>
      </c>
      <c r="BH116" s="35" t="str">
        <f t="shared" si="182"/>
        <v>N/A</v>
      </c>
      <c r="BI116" s="151"/>
      <c r="BJ116" s="148">
        <f t="shared" si="183"/>
        <v>9</v>
      </c>
      <c r="BK116" s="35" t="str">
        <f t="shared" si="184"/>
        <v>N/A</v>
      </c>
      <c r="BL116" s="151"/>
      <c r="BO116" s="35"/>
      <c r="BP116" s="35"/>
      <c r="BQ116" s="35" t="str">
        <f t="shared" si="111"/>
        <v/>
      </c>
      <c r="BR116" s="35">
        <f t="shared" si="144"/>
        <v>9</v>
      </c>
      <c r="BS116" s="35">
        <f t="shared" si="145"/>
        <v>9</v>
      </c>
      <c r="BT116" s="35">
        <f t="shared" si="146"/>
        <v>9</v>
      </c>
      <c r="BW116" s="35"/>
      <c r="BX116" s="35"/>
      <c r="BY116" s="53"/>
      <c r="BZ116" s="35"/>
      <c r="CA116" s="507"/>
      <c r="CB116" s="35"/>
      <c r="CE116" s="35"/>
      <c r="CG116" s="54"/>
      <c r="CO116" s="35">
        <f>'Pre-analyseverktøy'!H108</f>
        <v>0</v>
      </c>
      <c r="CP116" s="35">
        <f>'Pre-analyseverktøy'!O108</f>
        <v>0</v>
      </c>
      <c r="CQ116" s="35">
        <f>'Pre-analyseverktøy'!V108</f>
        <v>0</v>
      </c>
      <c r="CR116" s="35" t="str">
        <f>'Pre-analyseverktøy'!F108</f>
        <v>Vannmåler og delmåler</v>
      </c>
      <c r="CS116" s="35" t="b">
        <f t="shared" si="170"/>
        <v>1</v>
      </c>
    </row>
    <row r="117" spans="1:97">
      <c r="A117">
        <v>109</v>
      </c>
      <c r="B117" s="109" t="str">
        <f>D117</f>
        <v>Wat 03</v>
      </c>
      <c r="C117" s="109" t="str">
        <f>B117</f>
        <v>Wat 03</v>
      </c>
      <c r="D117" s="631" t="s">
        <v>422</v>
      </c>
      <c r="E117" s="629" t="s">
        <v>1028</v>
      </c>
      <c r="F117" s="711">
        <f>SUM(F118:F120)</f>
        <v>2</v>
      </c>
      <c r="G117" s="711">
        <f t="shared" ref="G117:R117" si="195">SUM(G118:G120)</f>
        <v>2</v>
      </c>
      <c r="H117" s="711">
        <f t="shared" si="195"/>
        <v>2</v>
      </c>
      <c r="I117" s="711">
        <f t="shared" si="195"/>
        <v>2</v>
      </c>
      <c r="J117" s="711">
        <f t="shared" si="195"/>
        <v>2</v>
      </c>
      <c r="K117" s="711">
        <f t="shared" si="195"/>
        <v>2</v>
      </c>
      <c r="L117" s="711">
        <f t="shared" si="195"/>
        <v>2</v>
      </c>
      <c r="M117" s="711">
        <f t="shared" si="195"/>
        <v>2</v>
      </c>
      <c r="N117" s="711">
        <f t="shared" si="195"/>
        <v>2</v>
      </c>
      <c r="O117" s="711">
        <f t="shared" si="195"/>
        <v>2</v>
      </c>
      <c r="P117" s="711">
        <f t="shared" si="195"/>
        <v>2</v>
      </c>
      <c r="Q117" s="711">
        <f>SUM(Q118:Q120)</f>
        <v>2</v>
      </c>
      <c r="R117" s="711">
        <f t="shared" si="195"/>
        <v>2</v>
      </c>
      <c r="T117" s="731">
        <f t="shared" si="176"/>
        <v>2</v>
      </c>
      <c r="U117" s="179"/>
      <c r="V117" s="53"/>
      <c r="W117" s="53"/>
      <c r="X117" s="53">
        <f>'Manuell filtrering og justering'!E54</f>
        <v>0</v>
      </c>
      <c r="Y117" s="53"/>
      <c r="Z117" s="726">
        <f>SUM(Z118:Z120)</f>
        <v>0</v>
      </c>
      <c r="AA117" s="731">
        <f t="shared" si="177"/>
        <v>0</v>
      </c>
      <c r="AB117" s="782">
        <f>SUM(AB118:AB120)</f>
        <v>2</v>
      </c>
      <c r="AC117" s="496">
        <v>117</v>
      </c>
      <c r="AD117" s="138">
        <f t="shared" si="178"/>
        <v>8.8888888888888889E-3</v>
      </c>
      <c r="AE117" s="701">
        <f>SUM(AE118:AE120)</f>
        <v>0</v>
      </c>
      <c r="AF117" s="701">
        <f>SUM(AF118:AF120)</f>
        <v>0</v>
      </c>
      <c r="AG117" s="701">
        <f>SUM(AG118:AG120)</f>
        <v>0</v>
      </c>
      <c r="AI117" s="726">
        <f>SUM(AI118:AI120)</f>
        <v>0</v>
      </c>
      <c r="AJ117" s="726">
        <f>SUM(AJ118:AJ120)</f>
        <v>0</v>
      </c>
      <c r="AK117" s="726">
        <f>SUM(AK118:AK120)</f>
        <v>0</v>
      </c>
      <c r="AL117" t="s">
        <v>216</v>
      </c>
      <c r="AM117" s="236"/>
      <c r="AN117" s="237"/>
      <c r="AO117" s="237"/>
      <c r="AP117" s="237"/>
      <c r="AQ117" s="238"/>
      <c r="AR117" s="111"/>
      <c r="AS117" s="236"/>
      <c r="AT117" s="237"/>
      <c r="AU117" s="237"/>
      <c r="AV117" s="237"/>
      <c r="AW117" s="238"/>
      <c r="AY117" s="134"/>
      <c r="AZ117" s="35"/>
      <c r="BA117" s="35"/>
      <c r="BB117" s="35"/>
      <c r="BC117" s="135"/>
      <c r="BD117" s="148">
        <f t="shared" si="179"/>
        <v>9</v>
      </c>
      <c r="BE117" s="35" t="str">
        <f t="shared" si="180"/>
        <v>N/A</v>
      </c>
      <c r="BF117" s="151"/>
      <c r="BG117" s="148">
        <f t="shared" si="181"/>
        <v>9</v>
      </c>
      <c r="BH117" s="35" t="str">
        <f t="shared" si="182"/>
        <v>N/A</v>
      </c>
      <c r="BI117" s="151"/>
      <c r="BJ117" s="148">
        <f t="shared" si="183"/>
        <v>9</v>
      </c>
      <c r="BK117" s="35" t="str">
        <f t="shared" si="184"/>
        <v>N/A</v>
      </c>
      <c r="BL117" s="151"/>
      <c r="BO117" s="35"/>
      <c r="BP117" s="35"/>
      <c r="BQ117" s="35" t="str">
        <f t="shared" si="111"/>
        <v/>
      </c>
      <c r="BR117" s="35">
        <f t="shared" si="144"/>
        <v>9</v>
      </c>
      <c r="BS117" s="35">
        <f t="shared" si="145"/>
        <v>9</v>
      </c>
      <c r="BT117" s="35">
        <f t="shared" si="146"/>
        <v>9</v>
      </c>
      <c r="BW117" s="35" t="str">
        <f>D117</f>
        <v>Wat 03</v>
      </c>
      <c r="BX117" s="35" t="str">
        <f>IFERROR(VLOOKUP($E117,'Pre-analyseverktøy'!$F$11:$AC$226,'Pre-analyseverktøy'!AC$2,FALSE),"")</f>
        <v>No</v>
      </c>
      <c r="BY117" s="53" t="str">
        <f>IFERROR(VLOOKUP($E117,'Pre-analyseverktøy'!$F$11:$AJ$226,'Pre-analyseverktøy'!AJ$2,FALSE),"")</f>
        <v>Ja</v>
      </c>
      <c r="BZ117" s="35">
        <f>IFERROR(VLOOKUP($BX117,$E$293:$H$326,F$291,FALSE),"")</f>
        <v>1</v>
      </c>
      <c r="CA117" s="501" t="s">
        <v>895</v>
      </c>
      <c r="CB117" s="35">
        <f>H312</f>
        <v>1</v>
      </c>
      <c r="CC117" t="str">
        <f>IFERROR(VLOOKUP($BX117,$E$293:$H$326,I$291,FALSE),"")</f>
        <v/>
      </c>
      <c r="CD117" t="s">
        <v>892</v>
      </c>
      <c r="CE117" s="35">
        <f>VLOOKUP(CA117,$CA$4:$CB$5,2,FALSE)</f>
        <v>0</v>
      </c>
      <c r="CG117" s="54">
        <f>IF($BX$5=ais_nei,CE117,IF(AND(CA117=$CA$4,BX117=$CC$4),0,BZ117))</f>
        <v>0</v>
      </c>
    </row>
    <row r="118" spans="1:97">
      <c r="A118">
        <v>110</v>
      </c>
      <c r="B118" t="str">
        <f>$D$117&amp;D118</f>
        <v>Wat 03a</v>
      </c>
      <c r="C118" t="str">
        <f t="shared" si="112"/>
        <v>Wat 03</v>
      </c>
      <c r="D118" s="132" t="s">
        <v>775</v>
      </c>
      <c r="E118" s="827" t="s">
        <v>1029</v>
      </c>
      <c r="F118" s="575">
        <v>1</v>
      </c>
      <c r="G118" s="575">
        <v>1</v>
      </c>
      <c r="H118" s="575">
        <v>1</v>
      </c>
      <c r="I118" s="575">
        <v>1</v>
      </c>
      <c r="J118" s="575">
        <v>1</v>
      </c>
      <c r="K118" s="575">
        <v>1</v>
      </c>
      <c r="L118" s="575">
        <v>1</v>
      </c>
      <c r="M118" s="575">
        <v>1</v>
      </c>
      <c r="N118" s="575">
        <v>1</v>
      </c>
      <c r="O118" s="575">
        <v>1</v>
      </c>
      <c r="P118" s="575">
        <v>1</v>
      </c>
      <c r="Q118" s="575">
        <v>1</v>
      </c>
      <c r="R118" s="575">
        <v>1</v>
      </c>
      <c r="T118" s="136">
        <f t="shared" si="176"/>
        <v>1</v>
      </c>
      <c r="U118" s="179">
        <f>IF(AND(ADBT0=ADBT12,OR(Prosjektdetaljer!F6=Prosjektdetaljer!V6,Prosjektdetaljer!F6=Prosjektdetaljer!V7)),Poeng!T118,0)</f>
        <v>0</v>
      </c>
      <c r="V118" s="35"/>
      <c r="W118" s="35"/>
      <c r="X118" s="35"/>
      <c r="Y118" s="135"/>
      <c r="Z118" s="135">
        <f>VLOOKUP(B118,'Manuell filtrering og justering'!$A$7:$H$253,'Manuell filtrering og justering'!$H$1,FALSE)</f>
        <v>0</v>
      </c>
      <c r="AA118" s="136">
        <f t="shared" si="177"/>
        <v>0</v>
      </c>
      <c r="AB118" s="137">
        <f>IF($AC$5='Manuell filtrering og justering'!$J$2,Z118,(T118-AA118))</f>
        <v>1</v>
      </c>
      <c r="AC118" s="496">
        <v>118</v>
      </c>
      <c r="AD118" s="138">
        <f t="shared" si="178"/>
        <v>4.4444444444444444E-3</v>
      </c>
      <c r="AE118" s="138">
        <f t="shared" si="185"/>
        <v>0</v>
      </c>
      <c r="AF118" s="138">
        <f t="shared" si="186"/>
        <v>0</v>
      </c>
      <c r="AG118" s="138">
        <f t="shared" si="187"/>
        <v>0</v>
      </c>
      <c r="AI118" s="139">
        <f t="shared" ref="AI118:AI120" si="196">IF(CO118&gt;$AB118,$AB118,CO118)</f>
        <v>0</v>
      </c>
      <c r="AJ118" s="139">
        <f t="shared" ref="AJ118:AJ120" si="197">IF(CP118&gt;$AB118,$AB118,CP118)</f>
        <v>0</v>
      </c>
      <c r="AK118" s="139">
        <f t="shared" ref="AK118:AK120" si="198">IF(CQ118&gt;$AB118,$AB118,CQ118)</f>
        <v>0</v>
      </c>
      <c r="AM118" s="646"/>
      <c r="AN118" s="647"/>
      <c r="AO118" s="647"/>
      <c r="AP118" s="647"/>
      <c r="AQ118" s="639"/>
      <c r="AR118" s="111"/>
      <c r="AS118" s="646"/>
      <c r="AT118" s="647"/>
      <c r="AU118" s="647"/>
      <c r="AV118" s="647"/>
      <c r="AW118" s="639"/>
      <c r="AY118" s="155"/>
      <c r="AZ118" s="40"/>
      <c r="BA118" s="40"/>
      <c r="BB118" s="40"/>
      <c r="BC118" s="648"/>
      <c r="BD118" s="148">
        <f t="shared" si="179"/>
        <v>9</v>
      </c>
      <c r="BE118" s="35" t="str">
        <f t="shared" si="180"/>
        <v>N/A</v>
      </c>
      <c r="BF118" s="151"/>
      <c r="BG118" s="148">
        <f t="shared" si="181"/>
        <v>9</v>
      </c>
      <c r="BH118" s="35" t="str">
        <f t="shared" si="182"/>
        <v>N/A</v>
      </c>
      <c r="BI118" s="151"/>
      <c r="BJ118" s="148">
        <f t="shared" si="183"/>
        <v>9</v>
      </c>
      <c r="BK118" s="35" t="str">
        <f t="shared" si="184"/>
        <v>N/A</v>
      </c>
      <c r="BL118" s="643"/>
      <c r="BO118" s="35"/>
      <c r="BP118" s="35"/>
      <c r="BQ118" s="35" t="str">
        <f t="shared" si="111"/>
        <v/>
      </c>
      <c r="BR118" s="35">
        <f t="shared" si="144"/>
        <v>9</v>
      </c>
      <c r="BS118" s="35">
        <f t="shared" si="145"/>
        <v>9</v>
      </c>
      <c r="BT118" s="35">
        <f t="shared" si="146"/>
        <v>9</v>
      </c>
      <c r="BW118" s="35"/>
      <c r="BX118" s="35"/>
      <c r="BY118" s="53"/>
      <c r="BZ118" s="35"/>
      <c r="CA118" s="501"/>
      <c r="CB118" s="35"/>
      <c r="CG118" s="54"/>
      <c r="CO118" s="35">
        <f>'Pre-analyseverktøy'!H110</f>
        <v>0</v>
      </c>
      <c r="CP118" s="35">
        <f>'Pre-analyseverktøy'!O110</f>
        <v>0</v>
      </c>
      <c r="CQ118" s="35">
        <f>'Pre-analyseverktøy'!V110</f>
        <v>0</v>
      </c>
      <c r="CR118" s="35" t="str">
        <f>'Pre-analyseverktøy'!F110</f>
        <v>Lekkasjedetekteringssystem</v>
      </c>
      <c r="CS118" s="35" t="b">
        <f t="shared" ref="CS118:CS122" si="199">CR118=E118</f>
        <v>1</v>
      </c>
    </row>
    <row r="119" spans="1:97">
      <c r="A119">
        <v>111</v>
      </c>
      <c r="B119" t="str">
        <f>$D$117&amp;D119</f>
        <v>Wat 03b</v>
      </c>
      <c r="C119" t="str">
        <f t="shared" si="112"/>
        <v>Wat 03</v>
      </c>
      <c r="D119" s="132" t="s">
        <v>776</v>
      </c>
      <c r="E119" s="827" t="s">
        <v>1030</v>
      </c>
      <c r="F119" s="575">
        <v>1</v>
      </c>
      <c r="G119" s="575">
        <v>1</v>
      </c>
      <c r="H119" s="763">
        <v>0</v>
      </c>
      <c r="I119" s="575">
        <v>1</v>
      </c>
      <c r="J119" s="575">
        <v>1</v>
      </c>
      <c r="K119" s="575">
        <v>1</v>
      </c>
      <c r="L119" s="575">
        <v>1</v>
      </c>
      <c r="M119" s="575">
        <v>1</v>
      </c>
      <c r="N119" s="575">
        <v>1</v>
      </c>
      <c r="O119" s="575">
        <v>1</v>
      </c>
      <c r="P119" s="575">
        <v>1</v>
      </c>
      <c r="Q119" s="575">
        <v>1</v>
      </c>
      <c r="R119" s="575">
        <v>1</v>
      </c>
      <c r="T119" s="136">
        <f t="shared" si="176"/>
        <v>1</v>
      </c>
      <c r="U119" s="179">
        <f>IF(AND(Prosjektdetaljer!I15=1,AD_heat=Prosjektdetaljer!R22),Poeng!T119,0)</f>
        <v>0</v>
      </c>
      <c r="V119" s="35"/>
      <c r="W119" s="35"/>
      <c r="X119" s="35"/>
      <c r="Y119" s="136">
        <f>IF($Y$4=$Y$6,T119,0)</f>
        <v>0</v>
      </c>
      <c r="Z119" s="135">
        <f>VLOOKUP(B119,'Manuell filtrering og justering'!$A$7:$H$253,'Manuell filtrering og justering'!$H$1,FALSE)</f>
        <v>0</v>
      </c>
      <c r="AA119" s="136">
        <f t="shared" si="177"/>
        <v>0</v>
      </c>
      <c r="AB119" s="137">
        <f>IF($AC$5='Manuell filtrering og justering'!$J$2,Z119,(T119-AA119))</f>
        <v>1</v>
      </c>
      <c r="AC119" s="496">
        <v>119</v>
      </c>
      <c r="AD119" s="138">
        <f t="shared" si="178"/>
        <v>4.4444444444444444E-3</v>
      </c>
      <c r="AE119" s="138">
        <f t="shared" si="185"/>
        <v>0</v>
      </c>
      <c r="AF119" s="138">
        <f t="shared" si="186"/>
        <v>0</v>
      </c>
      <c r="AG119" s="138">
        <f t="shared" si="187"/>
        <v>0</v>
      </c>
      <c r="AI119" s="139">
        <f t="shared" si="196"/>
        <v>0</v>
      </c>
      <c r="AJ119" s="139">
        <f t="shared" si="197"/>
        <v>0</v>
      </c>
      <c r="AK119" s="139">
        <f t="shared" si="198"/>
        <v>0</v>
      </c>
      <c r="AM119" s="646"/>
      <c r="AN119" s="647"/>
      <c r="AO119" s="647"/>
      <c r="AP119" s="647"/>
      <c r="AQ119" s="639"/>
      <c r="AR119" s="111"/>
      <c r="AS119" s="646"/>
      <c r="AT119" s="647"/>
      <c r="AU119" s="647"/>
      <c r="AV119" s="647"/>
      <c r="AW119" s="639"/>
      <c r="AY119" s="155"/>
      <c r="AZ119" s="40"/>
      <c r="BA119" s="40"/>
      <c r="BB119" s="40"/>
      <c r="BC119" s="648"/>
      <c r="BD119" s="148">
        <f t="shared" si="179"/>
        <v>9</v>
      </c>
      <c r="BE119" s="35" t="str">
        <f t="shared" si="180"/>
        <v>N/A</v>
      </c>
      <c r="BF119" s="151"/>
      <c r="BG119" s="148">
        <f t="shared" si="181"/>
        <v>9</v>
      </c>
      <c r="BH119" s="35" t="str">
        <f t="shared" si="182"/>
        <v>N/A</v>
      </c>
      <c r="BI119" s="151"/>
      <c r="BJ119" s="148">
        <f t="shared" si="183"/>
        <v>9</v>
      </c>
      <c r="BK119" s="35" t="str">
        <f t="shared" si="184"/>
        <v>N/A</v>
      </c>
      <c r="BL119" s="643"/>
      <c r="BO119" s="35"/>
      <c r="BP119" s="35"/>
      <c r="BQ119" s="35" t="str">
        <f t="shared" si="111"/>
        <v/>
      </c>
      <c r="BR119" s="35">
        <f t="shared" si="144"/>
        <v>9</v>
      </c>
      <c r="BS119" s="35">
        <f t="shared" si="145"/>
        <v>9</v>
      </c>
      <c r="BT119" s="35">
        <f t="shared" si="146"/>
        <v>9</v>
      </c>
      <c r="BW119" s="35"/>
      <c r="BX119" s="35"/>
      <c r="BY119" s="53"/>
      <c r="BZ119" s="35"/>
      <c r="CA119" s="501"/>
      <c r="CB119" s="35"/>
      <c r="CG119" s="54"/>
      <c r="CO119" s="35">
        <f>'Pre-analyseverktøy'!H111</f>
        <v>0</v>
      </c>
      <c r="CP119" s="35">
        <f>'Pre-analyseverktøy'!O111</f>
        <v>0</v>
      </c>
      <c r="CQ119" s="35">
        <f>'Pre-analyseverktøy'!V111</f>
        <v>0</v>
      </c>
      <c r="CR119" s="35" t="str">
        <f>'Pre-analyseverktøy'!F111</f>
        <v>Vannmengderegulator i toalettkjerne</v>
      </c>
      <c r="CS119" s="35" t="b">
        <f t="shared" si="199"/>
        <v>1</v>
      </c>
    </row>
    <row r="120" spans="1:97">
      <c r="A120">
        <v>112</v>
      </c>
      <c r="B120" t="str">
        <f>$D$117&amp;D120</f>
        <v>Wat 03c</v>
      </c>
      <c r="C120" t="str">
        <f t="shared" si="112"/>
        <v>Wat 03</v>
      </c>
      <c r="D120" s="134" t="s">
        <v>777</v>
      </c>
      <c r="E120" s="827" t="s">
        <v>1031</v>
      </c>
      <c r="F120" s="575">
        <v>0</v>
      </c>
      <c r="G120" s="575">
        <v>0</v>
      </c>
      <c r="H120" s="763">
        <v>1</v>
      </c>
      <c r="I120" s="575">
        <v>0</v>
      </c>
      <c r="J120" s="575">
        <v>0</v>
      </c>
      <c r="K120" s="575">
        <v>0</v>
      </c>
      <c r="L120" s="575">
        <v>0</v>
      </c>
      <c r="M120" s="575">
        <v>0</v>
      </c>
      <c r="N120" s="575">
        <v>0</v>
      </c>
      <c r="O120" s="575">
        <v>0</v>
      </c>
      <c r="P120" s="575">
        <v>0</v>
      </c>
      <c r="Q120" s="575">
        <v>0</v>
      </c>
      <c r="R120" s="575">
        <v>0</v>
      </c>
      <c r="T120" s="136">
        <f t="shared" si="176"/>
        <v>0</v>
      </c>
      <c r="U120" s="134"/>
      <c r="V120" s="35"/>
      <c r="W120" s="35"/>
      <c r="X120" s="35"/>
      <c r="Y120" s="135"/>
      <c r="Z120" s="135">
        <f>VLOOKUP(B120,'Manuell filtrering og justering'!$A$7:$H$253,'Manuell filtrering og justering'!$H$1,FALSE)</f>
        <v>0</v>
      </c>
      <c r="AA120" s="136">
        <f t="shared" si="177"/>
        <v>0</v>
      </c>
      <c r="AB120" s="137">
        <f>IF($AC$5='Manuell filtrering og justering'!$J$2,Z120,(T120-AA120))</f>
        <v>0</v>
      </c>
      <c r="AC120" s="496">
        <v>120</v>
      </c>
      <c r="AD120" s="138">
        <f t="shared" si="178"/>
        <v>0</v>
      </c>
      <c r="AE120" s="138">
        <f t="shared" si="185"/>
        <v>0</v>
      </c>
      <c r="AF120" s="138">
        <f t="shared" si="186"/>
        <v>0</v>
      </c>
      <c r="AG120" s="138">
        <f t="shared" si="187"/>
        <v>0</v>
      </c>
      <c r="AI120" s="139">
        <f t="shared" si="196"/>
        <v>0</v>
      </c>
      <c r="AJ120" s="139">
        <f t="shared" si="197"/>
        <v>0</v>
      </c>
      <c r="AK120" s="139">
        <f t="shared" si="198"/>
        <v>0</v>
      </c>
      <c r="AM120" s="646"/>
      <c r="AN120" s="647"/>
      <c r="AO120" s="647"/>
      <c r="AP120" s="647"/>
      <c r="AQ120" s="639"/>
      <c r="AR120" s="111"/>
      <c r="AS120" s="646"/>
      <c r="AT120" s="647"/>
      <c r="AU120" s="647"/>
      <c r="AV120" s="647"/>
      <c r="AW120" s="639"/>
      <c r="AY120" s="155"/>
      <c r="AZ120" s="40"/>
      <c r="BA120" s="40"/>
      <c r="BB120" s="40"/>
      <c r="BC120" s="648"/>
      <c r="BD120" s="148">
        <f t="shared" si="179"/>
        <v>9</v>
      </c>
      <c r="BE120" s="35" t="str">
        <f t="shared" si="180"/>
        <v>N/A</v>
      </c>
      <c r="BF120" s="151"/>
      <c r="BG120" s="148">
        <f t="shared" si="181"/>
        <v>9</v>
      </c>
      <c r="BH120" s="35" t="str">
        <f t="shared" si="182"/>
        <v>N/A</v>
      </c>
      <c r="BI120" s="151"/>
      <c r="BJ120" s="148">
        <f t="shared" si="183"/>
        <v>9</v>
      </c>
      <c r="BK120" s="35" t="str">
        <f t="shared" si="184"/>
        <v>N/A</v>
      </c>
      <c r="BL120" s="643"/>
      <c r="BO120" s="35"/>
      <c r="BP120" s="35"/>
      <c r="BQ120" s="35" t="str">
        <f t="shared" si="111"/>
        <v/>
      </c>
      <c r="BR120" s="35">
        <f t="shared" si="144"/>
        <v>9</v>
      </c>
      <c r="BS120" s="35">
        <f t="shared" si="145"/>
        <v>9</v>
      </c>
      <c r="BT120" s="35">
        <f t="shared" si="146"/>
        <v>9</v>
      </c>
      <c r="BW120" s="35"/>
      <c r="BX120" s="35"/>
      <c r="BY120" s="53"/>
      <c r="BZ120" s="35"/>
      <c r="CA120" s="501"/>
      <c r="CB120" s="35"/>
      <c r="CG120" s="54"/>
      <c r="CO120" s="35">
        <f>'Pre-analyseverktøy'!H112</f>
        <v>0</v>
      </c>
      <c r="CP120" s="35">
        <f>'Pre-analyseverktøy'!O112</f>
        <v>0</v>
      </c>
      <c r="CQ120" s="35">
        <f>'Pre-analyseverktøy'!V112</f>
        <v>0</v>
      </c>
      <c r="CR120" s="35" t="str">
        <f>'Pre-analyseverktøy'!F112</f>
        <v>Lekkasjeisolering</v>
      </c>
      <c r="CS120" s="35" t="b">
        <f t="shared" si="199"/>
        <v>1</v>
      </c>
    </row>
    <row r="121" spans="1:97" ht="15.75" thickBot="1">
      <c r="A121">
        <v>113</v>
      </c>
      <c r="B121" s="109" t="str">
        <f>D121</f>
        <v>Wat 04</v>
      </c>
      <c r="C121" s="109" t="str">
        <f>B121</f>
        <v>Wat 04</v>
      </c>
      <c r="D121" s="631" t="s">
        <v>431</v>
      </c>
      <c r="E121" s="629" t="s">
        <v>1032</v>
      </c>
      <c r="F121" s="711">
        <f>SUM(F122)</f>
        <v>1</v>
      </c>
      <c r="G121" s="711">
        <f t="shared" ref="G121:R121" si="200">SUM(G122)</f>
        <v>1</v>
      </c>
      <c r="H121" s="711">
        <f t="shared" si="200"/>
        <v>1</v>
      </c>
      <c r="I121" s="711">
        <f t="shared" si="200"/>
        <v>1</v>
      </c>
      <c r="J121" s="711">
        <f t="shared" si="200"/>
        <v>1</v>
      </c>
      <c r="K121" s="711">
        <f t="shared" si="200"/>
        <v>1</v>
      </c>
      <c r="L121" s="711">
        <f t="shared" si="200"/>
        <v>1</v>
      </c>
      <c r="M121" s="711">
        <f t="shared" si="200"/>
        <v>1</v>
      </c>
      <c r="N121" s="711">
        <f t="shared" si="200"/>
        <v>1</v>
      </c>
      <c r="O121" s="711">
        <f t="shared" si="200"/>
        <v>1</v>
      </c>
      <c r="P121" s="711">
        <f t="shared" si="200"/>
        <v>1</v>
      </c>
      <c r="Q121" s="711">
        <f t="shared" si="200"/>
        <v>1</v>
      </c>
      <c r="R121" s="711">
        <f t="shared" si="200"/>
        <v>1</v>
      </c>
      <c r="T121" s="731">
        <f t="shared" si="176"/>
        <v>1</v>
      </c>
      <c r="U121" s="179">
        <f>U122</f>
        <v>0</v>
      </c>
      <c r="V121" s="53"/>
      <c r="W121" s="53"/>
      <c r="X121" s="53">
        <f>'Manuell filtrering og justering'!E55</f>
        <v>0</v>
      </c>
      <c r="Y121" s="53"/>
      <c r="Z121" s="726">
        <f>SUM(Z122)</f>
        <v>1</v>
      </c>
      <c r="AA121" s="731">
        <f t="shared" si="177"/>
        <v>0</v>
      </c>
      <c r="AB121" s="700">
        <f>AB122</f>
        <v>1</v>
      </c>
      <c r="AC121" s="496">
        <v>121</v>
      </c>
      <c r="AD121" s="138">
        <f t="shared" si="178"/>
        <v>4.4444444444444444E-3</v>
      </c>
      <c r="AE121" s="701">
        <f>SUM(AE122)</f>
        <v>0</v>
      </c>
      <c r="AF121" s="701">
        <f>SUM(AF122)</f>
        <v>0</v>
      </c>
      <c r="AG121" s="701">
        <f>SUM(AG122)</f>
        <v>0</v>
      </c>
      <c r="AI121" s="726">
        <f>SUM(AI122)</f>
        <v>0</v>
      </c>
      <c r="AJ121" s="726">
        <f>SUM(AJ122)</f>
        <v>0</v>
      </c>
      <c r="AK121" s="726">
        <f>SUM(AK122)</f>
        <v>0</v>
      </c>
      <c r="AM121" s="239"/>
      <c r="AN121" s="240"/>
      <c r="AO121" s="240"/>
      <c r="AP121" s="240"/>
      <c r="AQ121" s="241"/>
      <c r="AR121" s="111"/>
      <c r="AS121" s="239"/>
      <c r="AT121" s="240"/>
      <c r="AU121" s="240"/>
      <c r="AV121" s="240"/>
      <c r="AW121" s="241"/>
      <c r="AY121" s="156"/>
      <c r="AZ121" s="158"/>
      <c r="BA121" s="158"/>
      <c r="BB121" s="158"/>
      <c r="BC121" s="159"/>
      <c r="BD121" s="160">
        <f t="shared" si="179"/>
        <v>9</v>
      </c>
      <c r="BE121" s="35" t="str">
        <f t="shared" si="180"/>
        <v>N/A</v>
      </c>
      <c r="BF121" s="161"/>
      <c r="BG121" s="160">
        <f t="shared" si="181"/>
        <v>9</v>
      </c>
      <c r="BH121" s="35" t="str">
        <f t="shared" si="182"/>
        <v>N/A</v>
      </c>
      <c r="BI121" s="161"/>
      <c r="BJ121" s="160">
        <f t="shared" si="183"/>
        <v>9</v>
      </c>
      <c r="BK121" s="35" t="str">
        <f t="shared" si="184"/>
        <v>N/A</v>
      </c>
      <c r="BL121" s="161"/>
      <c r="BO121" s="35"/>
      <c r="BP121" s="35"/>
      <c r="BQ121" s="35" t="str">
        <f t="shared" si="111"/>
        <v/>
      </c>
      <c r="BR121" s="35">
        <f t="shared" si="144"/>
        <v>9</v>
      </c>
      <c r="BS121" s="35">
        <f t="shared" si="145"/>
        <v>9</v>
      </c>
      <c r="BT121" s="35">
        <f t="shared" si="146"/>
        <v>9</v>
      </c>
      <c r="BW121" s="35" t="str">
        <f>D121</f>
        <v>Wat 04</v>
      </c>
      <c r="BX121" s="35" t="str">
        <f>IFERROR(VLOOKUP($E121,'Pre-analyseverktøy'!$F$11:$AC$226,'Pre-analyseverktøy'!AC$2,FALSE),"")</f>
        <v>N/A</v>
      </c>
      <c r="BY121" s="35">
        <f>IFERROR(VLOOKUP($E121,'Pre-analyseverktøy'!$F$11:$AJ$226,'Pre-analyseverktøy'!AJ$2,FALSE),"")</f>
        <v>0</v>
      </c>
      <c r="BZ121" s="35">
        <f>IFERROR(VLOOKUP($BX121,$E$293:$H$326,F$291,FALSE),"")</f>
        <v>1</v>
      </c>
      <c r="CA121" s="35">
        <f>IFERROR(VLOOKUP($BX121,$E$293:$H$326,G$291,FALSE),"")</f>
        <v>0</v>
      </c>
      <c r="CB121" s="35"/>
      <c r="CC121" t="str">
        <f>IFERROR(VLOOKUP($BX121,$E$293:$H$326,I$291,FALSE),"")</f>
        <v/>
      </c>
    </row>
    <row r="122" spans="1:97" ht="15.75" thickBot="1">
      <c r="A122">
        <v>114</v>
      </c>
      <c r="B122" t="str">
        <f>$D$121&amp;D122</f>
        <v>Wat 04a</v>
      </c>
      <c r="C122" t="str">
        <f t="shared" si="112"/>
        <v>Wat 04</v>
      </c>
      <c r="D122" s="186" t="s">
        <v>775</v>
      </c>
      <c r="E122" s="827" t="s">
        <v>1033</v>
      </c>
      <c r="F122" s="719">
        <v>1</v>
      </c>
      <c r="G122" s="719">
        <v>1</v>
      </c>
      <c r="H122" s="719">
        <v>1</v>
      </c>
      <c r="I122" s="719">
        <v>1</v>
      </c>
      <c r="J122" s="719">
        <v>1</v>
      </c>
      <c r="K122" s="719">
        <v>1</v>
      </c>
      <c r="L122" s="719">
        <v>1</v>
      </c>
      <c r="M122" s="719">
        <v>1</v>
      </c>
      <c r="N122" s="719">
        <v>1</v>
      </c>
      <c r="O122" s="719">
        <v>1</v>
      </c>
      <c r="P122" s="719">
        <v>1</v>
      </c>
      <c r="Q122" s="719">
        <v>1</v>
      </c>
      <c r="R122" s="719">
        <v>1</v>
      </c>
      <c r="T122" s="136">
        <f t="shared" si="176"/>
        <v>1</v>
      </c>
      <c r="U122" s="155">
        <f>IF(Prosjektdetaljer!F23=AD_no,Poeng!T122,0)</f>
        <v>0</v>
      </c>
      <c r="V122" s="40"/>
      <c r="W122" s="40"/>
      <c r="X122" s="40"/>
      <c r="Y122" s="648"/>
      <c r="Z122" s="135">
        <f>VLOOKUP(B122,'Manuell filtrering og justering'!$A$7:$H$253,'Manuell filtrering og justering'!$H$1,FALSE)</f>
        <v>1</v>
      </c>
      <c r="AA122" s="136">
        <f t="shared" si="177"/>
        <v>0</v>
      </c>
      <c r="AB122" s="137">
        <f>IF($AC$5='Manuell filtrering og justering'!$J$2,Z122,(T122-AA122))</f>
        <v>1</v>
      </c>
      <c r="AC122" s="496">
        <v>122</v>
      </c>
      <c r="AD122" s="138">
        <f t="shared" si="178"/>
        <v>4.4444444444444444E-3</v>
      </c>
      <c r="AE122" s="138">
        <f t="shared" si="185"/>
        <v>0</v>
      </c>
      <c r="AF122" s="138">
        <f t="shared" si="186"/>
        <v>0</v>
      </c>
      <c r="AG122" s="138">
        <f t="shared" si="187"/>
        <v>0</v>
      </c>
      <c r="AI122" s="139">
        <f t="shared" ref="AI122" si="201">IF(CO122&gt;$AB122,$AB122,CO122)</f>
        <v>0</v>
      </c>
      <c r="AJ122" s="139">
        <f t="shared" ref="AJ122" si="202">IF(CP122&gt;$AB122,$AB122,CP122)</f>
        <v>0</v>
      </c>
      <c r="AK122" s="139">
        <f t="shared" ref="AK122" si="203">IF(CQ122&gt;$AB122,$AB122,CQ122)</f>
        <v>0</v>
      </c>
      <c r="AM122" s="239"/>
      <c r="AN122" s="240"/>
      <c r="AO122" s="240"/>
      <c r="AP122" s="240"/>
      <c r="AQ122" s="241"/>
      <c r="AR122" s="111"/>
      <c r="AS122" s="239"/>
      <c r="AT122" s="240"/>
      <c r="AU122" s="240"/>
      <c r="AV122" s="240"/>
      <c r="AW122" s="241"/>
      <c r="AY122" s="156"/>
      <c r="AZ122" s="158"/>
      <c r="BA122" s="158"/>
      <c r="BB122" s="158"/>
      <c r="BC122" s="159"/>
      <c r="BD122" s="160">
        <f t="shared" si="179"/>
        <v>9</v>
      </c>
      <c r="BE122" s="35" t="str">
        <f t="shared" si="180"/>
        <v>N/A</v>
      </c>
      <c r="BF122" s="161"/>
      <c r="BG122" s="160">
        <f t="shared" si="181"/>
        <v>9</v>
      </c>
      <c r="BH122" s="35" t="str">
        <f t="shared" si="182"/>
        <v>N/A</v>
      </c>
      <c r="BI122" s="161"/>
      <c r="BJ122" s="160">
        <f t="shared" si="183"/>
        <v>9</v>
      </c>
      <c r="BK122" s="35" t="str">
        <f t="shared" si="184"/>
        <v>N/A</v>
      </c>
      <c r="BL122" s="161"/>
      <c r="BO122" s="35"/>
      <c r="BP122" s="35"/>
      <c r="BQ122" s="35" t="str">
        <f t="shared" si="111"/>
        <v/>
      </c>
      <c r="BR122" s="35">
        <f t="shared" si="144"/>
        <v>9</v>
      </c>
      <c r="BS122" s="35">
        <f t="shared" si="145"/>
        <v>9</v>
      </c>
      <c r="BT122" s="35">
        <f t="shared" si="146"/>
        <v>9</v>
      </c>
      <c r="BW122" s="55"/>
      <c r="BX122" s="55"/>
      <c r="BY122" s="55"/>
      <c r="BZ122" s="55"/>
      <c r="CA122" s="55"/>
      <c r="CB122" s="55"/>
      <c r="CO122" s="35">
        <f>'Pre-analyseverktøy'!H114</f>
        <v>0</v>
      </c>
      <c r="CP122" s="35">
        <f>'Pre-analyseverktøy'!O114</f>
        <v>0</v>
      </c>
      <c r="CQ122" s="35">
        <f>'Pre-analyseverktøy'!V114</f>
        <v>0</v>
      </c>
      <c r="CR122" s="35" t="str">
        <f>'Pre-analyseverktøy'!F114</f>
        <v>Reduksjon av vannforbruk</v>
      </c>
      <c r="CS122" s="35" t="b">
        <f t="shared" si="199"/>
        <v>1</v>
      </c>
    </row>
    <row r="123" spans="1:97" ht="15.75" thickBot="1">
      <c r="A123">
        <v>115</v>
      </c>
      <c r="B123" t="s">
        <v>434</v>
      </c>
      <c r="D123" s="162"/>
      <c r="E123" s="42" t="s">
        <v>771</v>
      </c>
      <c r="F123" s="579">
        <f>F113+F115+F117+F121</f>
        <v>9</v>
      </c>
      <c r="G123" s="579">
        <f t="shared" ref="G123:R123" si="204">G113+G115+G117+G121</f>
        <v>9</v>
      </c>
      <c r="H123" s="579">
        <f t="shared" si="204"/>
        <v>9</v>
      </c>
      <c r="I123" s="579">
        <f t="shared" si="204"/>
        <v>9</v>
      </c>
      <c r="J123" s="579">
        <f t="shared" si="204"/>
        <v>9</v>
      </c>
      <c r="K123" s="579">
        <f t="shared" si="204"/>
        <v>9</v>
      </c>
      <c r="L123" s="579">
        <f t="shared" si="204"/>
        <v>9</v>
      </c>
      <c r="M123" s="579">
        <f t="shared" si="204"/>
        <v>9</v>
      </c>
      <c r="N123" s="579">
        <f t="shared" si="204"/>
        <v>9</v>
      </c>
      <c r="O123" s="579">
        <f t="shared" si="204"/>
        <v>9</v>
      </c>
      <c r="P123" s="579">
        <f t="shared" si="204"/>
        <v>9</v>
      </c>
      <c r="Q123" s="579">
        <f>Q113+Q115+Q117+Q121</f>
        <v>9</v>
      </c>
      <c r="R123" s="579">
        <f t="shared" si="204"/>
        <v>9</v>
      </c>
      <c r="T123" s="183">
        <f t="shared" si="176"/>
        <v>9</v>
      </c>
      <c r="U123" s="164"/>
      <c r="V123" s="165"/>
      <c r="W123" s="165"/>
      <c r="X123" s="165"/>
      <c r="Y123" s="166"/>
      <c r="Z123" s="166"/>
      <c r="AA123" s="579">
        <f t="shared" ref="AA123:AG123" si="205">AA113+AA115+AA117+AA121</f>
        <v>0</v>
      </c>
      <c r="AB123" s="579">
        <f t="shared" si="205"/>
        <v>9</v>
      </c>
      <c r="AC123" s="496">
        <v>123</v>
      </c>
      <c r="AD123" s="168">
        <f t="shared" si="205"/>
        <v>0.04</v>
      </c>
      <c r="AE123" s="168">
        <f t="shared" si="205"/>
        <v>0</v>
      </c>
      <c r="AF123" s="168">
        <f t="shared" si="205"/>
        <v>0</v>
      </c>
      <c r="AG123" s="168">
        <f t="shared" si="205"/>
        <v>0</v>
      </c>
      <c r="AI123" s="64">
        <f>AI113+AI115+AI117+AI121</f>
        <v>0</v>
      </c>
      <c r="AJ123" s="64">
        <f>AJ113+AJ115+AJ117+AJ121</f>
        <v>0</v>
      </c>
      <c r="AK123" s="64">
        <f>AK113+AK115+AK117+AK121</f>
        <v>0</v>
      </c>
      <c r="AM123" s="111"/>
      <c r="AN123" s="111"/>
      <c r="AO123" s="111"/>
      <c r="AP123" s="111"/>
      <c r="AQ123" s="111"/>
      <c r="AR123" s="111"/>
      <c r="AS123" s="111"/>
      <c r="AT123" s="111"/>
      <c r="AU123" s="111"/>
      <c r="AV123" s="111"/>
      <c r="AW123" s="111"/>
      <c r="AZ123" s="169"/>
      <c r="BW123" s="42"/>
      <c r="BX123" s="42" t="str">
        <f>IFERROR(VLOOKUP($E123,'Pre-analyseverktøy'!$F$11:$AC$226,'Pre-analyseverktøy'!AC$2,FALSE),"")</f>
        <v/>
      </c>
      <c r="BY123" s="42" t="str">
        <f>IFERROR(VLOOKUP($E123,'Pre-analyseverktøy'!$F$11:$AJ$226,'Pre-analyseverktøy'!AJ$2,FALSE),"")</f>
        <v/>
      </c>
      <c r="BZ123" s="42" t="str">
        <f t="shared" ref="BZ123:CA126" si="206">IFERROR(VLOOKUP($BX123,$E$293:$H$326,F$291,FALSE),"")</f>
        <v/>
      </c>
      <c r="CA123" s="42" t="str">
        <f t="shared" si="206"/>
        <v/>
      </c>
      <c r="CB123" s="42"/>
      <c r="CC123" t="str">
        <f>IFERROR(VLOOKUP($BX123,$E$293:$H$326,I$291,FALSE),"")</f>
        <v/>
      </c>
    </row>
    <row r="124" spans="1:97" ht="15.75" thickBot="1">
      <c r="A124">
        <v>116</v>
      </c>
      <c r="AC124" s="496">
        <v>124</v>
      </c>
      <c r="AI124" s="1"/>
      <c r="AJ124" s="1"/>
      <c r="AK124" s="1"/>
      <c r="AM124" s="111"/>
      <c r="AN124" s="111"/>
      <c r="AO124" s="111"/>
      <c r="AP124" s="111"/>
      <c r="AQ124" s="111"/>
      <c r="AR124" s="111"/>
      <c r="AS124" s="111"/>
      <c r="AT124" s="111"/>
      <c r="AU124" s="111"/>
      <c r="AV124" s="111"/>
      <c r="AW124" s="111"/>
      <c r="BX124" t="str">
        <f>IFERROR(VLOOKUP($E124,'Pre-analyseverktøy'!$F$11:$AC$226,'Pre-analyseverktøy'!AC$2,FALSE),"")</f>
        <v/>
      </c>
      <c r="BY124" t="str">
        <f>IFERROR(VLOOKUP($E124,'Pre-analyseverktøy'!$F$11:$AJ$226,'Pre-analyseverktøy'!AJ$2,FALSE),"")</f>
        <v/>
      </c>
      <c r="BZ124" t="str">
        <f t="shared" si="206"/>
        <v/>
      </c>
      <c r="CA124" t="str">
        <f t="shared" si="206"/>
        <v/>
      </c>
      <c r="CC124" t="str">
        <f>IFERROR(VLOOKUP($BX124,$E$293:$H$326,I$291,FALSE),"")</f>
        <v/>
      </c>
    </row>
    <row r="125" spans="1:97" ht="60.75" thickBot="1">
      <c r="A125">
        <v>117</v>
      </c>
      <c r="D125" s="120"/>
      <c r="E125" s="121" t="s">
        <v>1034</v>
      </c>
      <c r="F125" s="917" t="str">
        <f>$F$9</f>
        <v>Kontorbygg</v>
      </c>
      <c r="G125" s="917" t="str">
        <f>$G$9</f>
        <v>Handelsbygg</v>
      </c>
      <c r="H125" s="921" t="str">
        <f>$H$9</f>
        <v>Boligbygg</v>
      </c>
      <c r="I125" s="917" t="str">
        <f>$I$9</f>
        <v>Industribygg</v>
      </c>
      <c r="J125" s="919" t="str">
        <f>$J$9</f>
        <v>Helseinstitusjoner</v>
      </c>
      <c r="K125" s="919" t="str">
        <f>$K$9</f>
        <v>Fengsel</v>
      </c>
      <c r="L125" s="919" t="str">
        <f>$L$9</f>
        <v>Tinghus</v>
      </c>
      <c r="M125" s="923" t="str">
        <f>$M$9</f>
        <v>Døgninstitusjonsbygg (langtidsopphold)</v>
      </c>
      <c r="N125" s="698" t="str">
        <f>$N$9</f>
        <v>Døgninstitusjonsbygg (korttidsopphold)</v>
      </c>
      <c r="O125" s="698" t="str">
        <f>$O$9</f>
        <v>Institusjoner ikke til boligbruk</v>
      </c>
      <c r="P125" s="698" t="str">
        <f>$P$9</f>
        <v>Møtesteder og fritid</v>
      </c>
      <c r="Q125" s="919" t="str">
        <f>$Q$9</f>
        <v>Undervisningsbygg</v>
      </c>
      <c r="R125" s="651" t="str">
        <f>$R$9</f>
        <v>Annet</v>
      </c>
      <c r="T125" s="110" t="str">
        <f>$E$6</f>
        <v>Kontorbygg</v>
      </c>
      <c r="U125" s="170"/>
      <c r="V125" s="171"/>
      <c r="W125" s="171"/>
      <c r="X125" s="171"/>
      <c r="Y125" s="855" t="s">
        <v>920</v>
      </c>
      <c r="Z125" s="287" t="s">
        <v>23</v>
      </c>
      <c r="AA125" s="119" t="s">
        <v>771</v>
      </c>
      <c r="AB125" s="45" t="s">
        <v>908</v>
      </c>
      <c r="AC125" s="496">
        <v>125</v>
      </c>
      <c r="AI125" s="28"/>
      <c r="AJ125" s="46"/>
      <c r="AK125" s="46"/>
      <c r="AM125" s="111"/>
      <c r="AN125" s="111"/>
      <c r="AO125" s="111"/>
      <c r="AP125" s="111"/>
      <c r="AQ125" s="111"/>
      <c r="AR125" s="111"/>
      <c r="AS125" s="111"/>
      <c r="AT125" s="111"/>
      <c r="AU125" s="111"/>
      <c r="AV125" s="111"/>
      <c r="AW125" s="111"/>
      <c r="BO125" s="46"/>
      <c r="BP125" s="46"/>
      <c r="BQ125" s="46"/>
      <c r="BR125" s="46"/>
      <c r="BS125" s="46"/>
      <c r="BT125" s="46"/>
      <c r="BW125" s="39"/>
      <c r="BX125" s="39" t="str">
        <f>E125</f>
        <v>Materialer</v>
      </c>
      <c r="BY125" s="39">
        <f>IFERROR(VLOOKUP($E125,'Pre-analyseverktøy'!$F$11:$AJ$226,'Pre-analyseverktøy'!AJ$2,FALSE),"")</f>
        <v>0</v>
      </c>
      <c r="BZ125" s="39" t="str">
        <f t="shared" si="206"/>
        <v/>
      </c>
      <c r="CA125" s="39" t="str">
        <f t="shared" si="206"/>
        <v/>
      </c>
      <c r="CB125" s="39"/>
      <c r="CC125" t="str">
        <f>IFERROR(VLOOKUP($BX125,$E$293:$H$326,I$291,FALSE),"")</f>
        <v/>
      </c>
    </row>
    <row r="126" spans="1:97">
      <c r="A126">
        <v>118</v>
      </c>
      <c r="B126" s="109" t="str">
        <f>D126</f>
        <v>Mat 01</v>
      </c>
      <c r="C126" s="109" t="str">
        <f>B126</f>
        <v>Mat 01</v>
      </c>
      <c r="D126" s="652" t="s">
        <v>440</v>
      </c>
      <c r="E126" s="985" t="s">
        <v>1035</v>
      </c>
      <c r="F126" s="711">
        <f>SUM(F127:F129)</f>
        <v>5</v>
      </c>
      <c r="G126" s="711">
        <f t="shared" ref="G126:R126" si="207">SUM(G127:G129)</f>
        <v>5</v>
      </c>
      <c r="H126" s="711">
        <f t="shared" si="207"/>
        <v>5</v>
      </c>
      <c r="I126" s="711">
        <f t="shared" si="207"/>
        <v>5</v>
      </c>
      <c r="J126" s="711">
        <f t="shared" si="207"/>
        <v>5</v>
      </c>
      <c r="K126" s="711">
        <f t="shared" si="207"/>
        <v>5</v>
      </c>
      <c r="L126" s="711">
        <f t="shared" si="207"/>
        <v>5</v>
      </c>
      <c r="M126" s="711">
        <f t="shared" si="207"/>
        <v>5</v>
      </c>
      <c r="N126" s="711">
        <f t="shared" si="207"/>
        <v>5</v>
      </c>
      <c r="O126" s="711">
        <f t="shared" si="207"/>
        <v>5</v>
      </c>
      <c r="P126" s="711">
        <f t="shared" si="207"/>
        <v>5</v>
      </c>
      <c r="Q126" s="711">
        <f>SUM(Q127:Q129)</f>
        <v>5</v>
      </c>
      <c r="R126" s="711">
        <f t="shared" si="207"/>
        <v>5</v>
      </c>
      <c r="T126" s="729">
        <f t="shared" ref="T126:T152" si="208">HLOOKUP($E$6,$F$9:$R$231,$A126,FALSE)</f>
        <v>5</v>
      </c>
      <c r="U126" s="179"/>
      <c r="V126" s="53"/>
      <c r="W126" s="53"/>
      <c r="X126" s="53">
        <f>'Manuell filtrering og justering'!E59</f>
        <v>0</v>
      </c>
      <c r="Y126" s="53"/>
      <c r="Z126" s="726">
        <f>SUM(Z127:Z129)</f>
        <v>5</v>
      </c>
      <c r="AA126" s="731">
        <f t="shared" ref="AA126:AA151" si="209">IF(SUM(U126:Y126)&gt;T126,T126,SUM(U126:Y126))</f>
        <v>0</v>
      </c>
      <c r="AB126" s="782">
        <f>SUM(AB127:AB129)</f>
        <v>5</v>
      </c>
      <c r="AC126" s="496">
        <v>126</v>
      </c>
      <c r="AD126" s="138">
        <f t="shared" ref="AD126:AD151" si="210">(Mat_Weight/Mat_Credits)*AB126</f>
        <v>4.0476190476190485E-2</v>
      </c>
      <c r="AE126" s="701">
        <f>SUM(AE127:AE129)</f>
        <v>0</v>
      </c>
      <c r="AF126" s="701">
        <f>SUM(AF127:AF129)</f>
        <v>0</v>
      </c>
      <c r="AG126" s="701">
        <f>SUM(AG127:AG129)</f>
        <v>0</v>
      </c>
      <c r="AI126" s="726">
        <f>SUM(AI127:AI129)</f>
        <v>0</v>
      </c>
      <c r="AJ126" s="726">
        <f>SUM(AJ127:AJ129)</f>
        <v>0</v>
      </c>
      <c r="AK126" s="726">
        <f>SUM(AK127:AK129)</f>
        <v>0</v>
      </c>
      <c r="AM126" s="242"/>
      <c r="AN126" s="243"/>
      <c r="AO126" s="243"/>
      <c r="AP126" s="243"/>
      <c r="AQ126" s="244"/>
      <c r="AR126" s="111"/>
      <c r="AS126" s="242"/>
      <c r="AT126" s="243"/>
      <c r="AU126" s="243"/>
      <c r="AV126" s="243"/>
      <c r="AW126" s="244"/>
      <c r="AY126" s="177"/>
      <c r="AZ126" s="144"/>
      <c r="BA126" s="144"/>
      <c r="BB126" s="144"/>
      <c r="BC126" s="145"/>
      <c r="BD126" s="141">
        <f t="shared" ref="BD126:BD133" si="211">IF(BC126=0,9,IF(AI126&gt;=BC126,5,IF(AI126&gt;=BB126,4,IF(AI126&gt;=BA126,3,IF(AI126&gt;=AZ126,2,IF(AI126&lt;AY126,0,1))))))</f>
        <v>9</v>
      </c>
      <c r="BE126" s="35" t="str">
        <f t="shared" ref="BE126:BE151" si="212">IF(BD126=$BO$290,$BT$290,IF(BD126=$BO$289,$BT$289,IF(BD126=$BO$288,$BT$288,IF(BD126=$BO$287,$BT$287,IF(BD126=$BO$286,$BT$286,IF(BD126=$BO$285,$BT$285,$BT$284))))))</f>
        <v>N/A</v>
      </c>
      <c r="BF126" s="145"/>
      <c r="BG126" s="141">
        <f t="shared" ref="BG126:BG133" si="213">IF(BC126=0,9,IF(AJ126&gt;=BC126,5,IF(AJ126&gt;=BB126,4,IF(AJ126&gt;=BA126,3,IF(AJ126&gt;=AZ126,2,IF(AJ126&lt;AY126,0,1))))))</f>
        <v>9</v>
      </c>
      <c r="BH126" s="35" t="str">
        <f t="shared" ref="BH126:BH151" si="214">IF(BG126=$BO$290,$BT$290,IF(BG126=$BO$289,$BT$289,IF(BG126=$BO$288,$BT$288,IF(BG126=$BO$287,$BT$287,IF(BG126=$BO$286,$BT$286,IF(BG126=$BO$285,$BT$285,$BT$284))))))</f>
        <v>N/A</v>
      </c>
      <c r="BI126" s="145"/>
      <c r="BJ126" s="141">
        <f t="shared" ref="BJ126:BJ133" si="215">IF(BC126=0,9,IF(AK126&gt;=BC126,5,IF(AK126&gt;=BB126,4,IF(AK126&gt;=BA126,3,IF(AK126&gt;=AZ126,2,IF(AK126&lt;AY126,0,1))))))</f>
        <v>9</v>
      </c>
      <c r="BK126" s="35" t="str">
        <f t="shared" ref="BK126:BK151" si="216">IF(BJ126=$BO$290,$BT$290,IF(BJ126=$BO$289,$BT$289,IF(BJ126=$BO$288,$BT$288,IF(BJ126=$BO$287,$BT$287,IF(BJ126=$BO$286,$BT$286,IF(BJ126=$BO$285,$BT$285,$BT$284))))))</f>
        <v>N/A</v>
      </c>
      <c r="BL126" s="145"/>
      <c r="BO126" s="35"/>
      <c r="BP126" s="35"/>
      <c r="BQ126" s="35" t="str">
        <f t="shared" si="111"/>
        <v/>
      </c>
      <c r="BR126" s="35">
        <f t="shared" si="144"/>
        <v>9</v>
      </c>
      <c r="BS126" s="35">
        <f t="shared" si="145"/>
        <v>9</v>
      </c>
      <c r="BT126" s="35">
        <f t="shared" si="146"/>
        <v>9</v>
      </c>
      <c r="BW126" s="37" t="str">
        <f>D126</f>
        <v>Mat 01</v>
      </c>
      <c r="BX126" s="37" t="str">
        <f>IFERROR(VLOOKUP($E126,'Pre-analyseverktøy'!$F$11:$AC$226,'Pre-analyseverktøy'!AC$2,FALSE),"")</f>
        <v>N/A</v>
      </c>
      <c r="BY126" s="37">
        <f>IFERROR(VLOOKUP($E126,'Pre-analyseverktøy'!$F$11:$AJ$226,'Pre-analyseverktøy'!AJ$2,FALSE),"")</f>
        <v>0</v>
      </c>
      <c r="BZ126" s="37">
        <f t="shared" si="206"/>
        <v>1</v>
      </c>
      <c r="CA126" s="37">
        <f t="shared" si="206"/>
        <v>0</v>
      </c>
      <c r="CB126" s="37"/>
      <c r="CC126" t="s">
        <v>958</v>
      </c>
    </row>
    <row r="127" spans="1:97">
      <c r="A127">
        <v>119</v>
      </c>
      <c r="B127" s="109"/>
      <c r="C127" t="str">
        <f t="shared" si="112"/>
        <v>Mat 01</v>
      </c>
      <c r="D127" s="134" t="s">
        <v>775</v>
      </c>
      <c r="E127" s="717" t="s">
        <v>1036</v>
      </c>
      <c r="F127" s="575"/>
      <c r="G127" s="575"/>
      <c r="H127" s="575"/>
      <c r="I127" s="575"/>
      <c r="J127" s="575"/>
      <c r="K127" s="575"/>
      <c r="L127" s="575"/>
      <c r="M127" s="575"/>
      <c r="N127" s="575"/>
      <c r="O127" s="575"/>
      <c r="P127" s="575"/>
      <c r="Q127" s="575"/>
      <c r="R127" s="575"/>
      <c r="T127" s="136">
        <f t="shared" si="208"/>
        <v>0</v>
      </c>
      <c r="U127" s="134"/>
      <c r="V127" s="35"/>
      <c r="W127" s="35"/>
      <c r="X127" s="35"/>
      <c r="Y127" s="135"/>
      <c r="Z127" s="135"/>
      <c r="AA127" s="136">
        <f t="shared" si="209"/>
        <v>0</v>
      </c>
      <c r="AB127" s="137">
        <f>IF($AC$5='Manuell filtrering og justering'!$J$2,Z127,(T127-AA127))</f>
        <v>0</v>
      </c>
      <c r="AC127" s="496">
        <v>127</v>
      </c>
      <c r="AD127" s="138">
        <f t="shared" si="210"/>
        <v>0</v>
      </c>
      <c r="AE127" s="138">
        <f t="shared" ref="AE127:AE151" si="217">IF(AB127=0,0,(AD127/AB127)*AI127)</f>
        <v>0</v>
      </c>
      <c r="AF127" s="138">
        <f t="shared" ref="AF127:AF151" si="218">IF(AB127=0,0,(AD127/AB127)*AJ127)</f>
        <v>0</v>
      </c>
      <c r="AG127" s="138">
        <f t="shared" ref="AG127:AG151" si="219">IF(AB127=0,0,(AD127/AB127)*AK127)</f>
        <v>0</v>
      </c>
      <c r="AI127" s="139">
        <f t="shared" ref="AI127:AI129" si="220">IF(CO127&gt;$AB127,$AB127,CO127)</f>
        <v>0</v>
      </c>
      <c r="AJ127" s="139">
        <f t="shared" ref="AJ127:AJ129" si="221">IF(CP127&gt;$AB127,$AB127,CP127)</f>
        <v>0</v>
      </c>
      <c r="AK127" s="139">
        <f t="shared" ref="AK127:AK129" si="222">IF(CQ127&gt;$AB127,$AB127,CQ127)</f>
        <v>0</v>
      </c>
      <c r="AM127" s="632"/>
      <c r="AN127" s="633"/>
      <c r="AO127" s="633"/>
      <c r="AP127" s="633"/>
      <c r="AQ127" s="634"/>
      <c r="AR127" s="111"/>
      <c r="AS127" s="632"/>
      <c r="AT127" s="633"/>
      <c r="AU127" s="633"/>
      <c r="AV127" s="633"/>
      <c r="AW127" s="634"/>
      <c r="AY127" s="132"/>
      <c r="AZ127" s="37"/>
      <c r="BA127" s="37"/>
      <c r="BB127" s="37"/>
      <c r="BC127" s="627"/>
      <c r="BD127" s="148">
        <f t="shared" si="211"/>
        <v>9</v>
      </c>
      <c r="BE127" s="35" t="str">
        <f t="shared" si="212"/>
        <v>N/A</v>
      </c>
      <c r="BF127" s="151"/>
      <c r="BG127" s="148">
        <f>IF(BC127=0,9,IF(AJ127&gt;=BC127,5,IF(AJ127&gt;=BB127,4,IF(AJ127&gt;=BA127,3,IF(AJ127&gt;=AZ127,2,IF(AJ127&lt;AY127,0,1))))))</f>
        <v>9</v>
      </c>
      <c r="BH127" s="35" t="str">
        <f t="shared" si="214"/>
        <v>N/A</v>
      </c>
      <c r="BI127" s="151"/>
      <c r="BJ127" s="148">
        <f t="shared" si="215"/>
        <v>9</v>
      </c>
      <c r="BK127" s="35" t="str">
        <f t="shared" si="216"/>
        <v>N/A</v>
      </c>
      <c r="BL127" s="627"/>
      <c r="BO127" s="35"/>
      <c r="BP127" s="35"/>
      <c r="BQ127" s="35" t="str">
        <f t="shared" si="111"/>
        <v/>
      </c>
      <c r="BR127" s="35">
        <f t="shared" si="144"/>
        <v>9</v>
      </c>
      <c r="BS127" s="35">
        <f t="shared" si="145"/>
        <v>9</v>
      </c>
      <c r="BT127" s="35">
        <f t="shared" si="146"/>
        <v>9</v>
      </c>
      <c r="BW127" s="37"/>
      <c r="BX127" s="37"/>
      <c r="BY127" s="37"/>
      <c r="BZ127" s="37"/>
      <c r="CA127" s="37"/>
      <c r="CB127" s="37"/>
      <c r="CO127" s="35">
        <f>'Pre-analyseverktøy'!H119</f>
        <v>0</v>
      </c>
      <c r="CP127" s="35">
        <f>'Pre-analyseverktøy'!O119</f>
        <v>0</v>
      </c>
      <c r="CQ127" s="35">
        <f>'Pre-analyseverktøy'!V119</f>
        <v>0</v>
      </c>
      <c r="CR127" s="35" t="str">
        <f>'Pre-analyseverktøy'!F119</f>
        <v>Forkrav: Tidligfase klimagassberegninger</v>
      </c>
      <c r="CS127" s="35" t="b">
        <f t="shared" ref="CS127:CS143" si="223">CR127=E127</f>
        <v>1</v>
      </c>
    </row>
    <row r="128" spans="1:97">
      <c r="A128">
        <v>120</v>
      </c>
      <c r="B128" t="str">
        <f>$D$126&amp;D128</f>
        <v>Mat 01b</v>
      </c>
      <c r="C128" t="str">
        <f t="shared" si="112"/>
        <v>Mat 01</v>
      </c>
      <c r="D128" s="134" t="s">
        <v>776</v>
      </c>
      <c r="E128" s="827" t="s">
        <v>1037</v>
      </c>
      <c r="F128" s="575">
        <v>3</v>
      </c>
      <c r="G128" s="575">
        <v>3</v>
      </c>
      <c r="H128" s="575">
        <v>3</v>
      </c>
      <c r="I128" s="575">
        <v>3</v>
      </c>
      <c r="J128" s="575">
        <v>3</v>
      </c>
      <c r="K128" s="575">
        <v>3</v>
      </c>
      <c r="L128" s="575">
        <v>3</v>
      </c>
      <c r="M128" s="575">
        <v>3</v>
      </c>
      <c r="N128" s="575">
        <v>3</v>
      </c>
      <c r="O128" s="575">
        <v>3</v>
      </c>
      <c r="P128" s="575">
        <v>3</v>
      </c>
      <c r="Q128" s="575">
        <v>3</v>
      </c>
      <c r="R128" s="575">
        <v>3</v>
      </c>
      <c r="T128" s="136">
        <f t="shared" si="208"/>
        <v>3</v>
      </c>
      <c r="U128" s="134"/>
      <c r="V128" s="35"/>
      <c r="W128" s="35"/>
      <c r="X128" s="35"/>
      <c r="Y128" s="135"/>
      <c r="Z128" s="135">
        <f>VLOOKUP(B128,'Manuell filtrering og justering'!$A$7:$H$253,'Manuell filtrering og justering'!$H$1,FALSE)</f>
        <v>3</v>
      </c>
      <c r="AA128" s="136">
        <f t="shared" si="209"/>
        <v>0</v>
      </c>
      <c r="AB128" s="137">
        <f>IF($AC$5='Manuell filtrering og justering'!$J$2,Z128,(T128-AA128))</f>
        <v>3</v>
      </c>
      <c r="AC128" s="496">
        <v>128</v>
      </c>
      <c r="AD128" s="138">
        <f t="shared" si="210"/>
        <v>2.4285714285714289E-2</v>
      </c>
      <c r="AE128" s="138">
        <f t="shared" si="217"/>
        <v>0</v>
      </c>
      <c r="AF128" s="138">
        <f t="shared" si="218"/>
        <v>0</v>
      </c>
      <c r="AG128" s="138">
        <f t="shared" si="219"/>
        <v>0</v>
      </c>
      <c r="AI128" s="139">
        <f t="shared" si="220"/>
        <v>0</v>
      </c>
      <c r="AJ128" s="139">
        <f t="shared" si="221"/>
        <v>0</v>
      </c>
      <c r="AK128" s="139">
        <f t="shared" si="222"/>
        <v>0</v>
      </c>
      <c r="AM128" s="632"/>
      <c r="AN128" s="633"/>
      <c r="AO128" s="633">
        <v>1</v>
      </c>
      <c r="AP128" s="633">
        <v>1</v>
      </c>
      <c r="AQ128" s="634">
        <v>2</v>
      </c>
      <c r="AR128" s="111"/>
      <c r="AS128" s="632"/>
      <c r="AT128" s="633"/>
      <c r="AU128" s="633">
        <v>1</v>
      </c>
      <c r="AV128" s="633">
        <v>1</v>
      </c>
      <c r="AW128" s="634">
        <v>2</v>
      </c>
      <c r="AY128" s="132"/>
      <c r="AZ128" s="37"/>
      <c r="BA128" s="149">
        <f>IF($AB128=0,0,IF($E$6=$H$9,AU128,AO128))</f>
        <v>1</v>
      </c>
      <c r="BB128" s="149">
        <f>IF($AB128=0,0,IF($E$6=$H$9,AV128,AP128))</f>
        <v>1</v>
      </c>
      <c r="BC128" s="149">
        <f>IF($AB128=0,0,IF($E$6=$H$9,AW128,AQ128))</f>
        <v>2</v>
      </c>
      <c r="BD128" s="148">
        <f t="shared" si="211"/>
        <v>2</v>
      </c>
      <c r="BE128" s="35" t="str">
        <f t="shared" si="212"/>
        <v>Good</v>
      </c>
      <c r="BF128" s="151"/>
      <c r="BG128" s="148">
        <f>IF(BC128=0,9,IF(AJ128&gt;=BC128,5,IF(AJ128&gt;=BB128,4,IF(AJ128&gt;=BA128,3,IF(AJ128&gt;=AZ128,2,IF(AJ128&lt;AY128,0,1))))))</f>
        <v>2</v>
      </c>
      <c r="BH128" s="35" t="str">
        <f t="shared" si="214"/>
        <v>Good</v>
      </c>
      <c r="BI128" s="151"/>
      <c r="BJ128" s="148">
        <f t="shared" si="215"/>
        <v>2</v>
      </c>
      <c r="BK128" s="35" t="str">
        <f t="shared" si="216"/>
        <v>Good</v>
      </c>
      <c r="BL128" s="627"/>
      <c r="BO128" s="35"/>
      <c r="BP128" s="35"/>
      <c r="BQ128" s="35" t="str">
        <f t="shared" si="111"/>
        <v/>
      </c>
      <c r="BR128" s="35">
        <f t="shared" si="144"/>
        <v>9</v>
      </c>
      <c r="BS128" s="35">
        <f t="shared" si="145"/>
        <v>9</v>
      </c>
      <c r="BT128" s="35">
        <f t="shared" si="146"/>
        <v>9</v>
      </c>
      <c r="BW128" s="37"/>
      <c r="BX128" s="37"/>
      <c r="BY128" s="37"/>
      <c r="BZ128" s="37"/>
      <c r="CA128" s="37"/>
      <c r="CB128" s="37"/>
      <c r="CO128" s="35">
        <f>'Pre-analyseverktøy'!H120</f>
        <v>0</v>
      </c>
      <c r="CP128" s="35">
        <f>'Pre-analyseverktøy'!O120</f>
        <v>0</v>
      </c>
      <c r="CQ128" s="35">
        <f>'Pre-analyseverktøy'!V120</f>
        <v>0</v>
      </c>
      <c r="CR128" s="35" t="str">
        <f>'Pre-analyseverktøy'!F120</f>
        <v>Reduksjon av klimagassutslipp</v>
      </c>
      <c r="CS128" s="35" t="b">
        <f t="shared" si="223"/>
        <v>1</v>
      </c>
    </row>
    <row r="129" spans="1:97">
      <c r="A129">
        <v>121</v>
      </c>
      <c r="B129" t="str">
        <f>$D$126&amp;D129</f>
        <v>Mat 01c</v>
      </c>
      <c r="C129" t="str">
        <f t="shared" si="112"/>
        <v>Mat 01</v>
      </c>
      <c r="D129" s="134" t="s">
        <v>777</v>
      </c>
      <c r="E129" s="827" t="s">
        <v>1038</v>
      </c>
      <c r="F129" s="575">
        <v>2</v>
      </c>
      <c r="G129" s="575">
        <v>2</v>
      </c>
      <c r="H129" s="575">
        <v>2</v>
      </c>
      <c r="I129" s="575">
        <v>2</v>
      </c>
      <c r="J129" s="575">
        <v>2</v>
      </c>
      <c r="K129" s="575">
        <v>2</v>
      </c>
      <c r="L129" s="575">
        <v>2</v>
      </c>
      <c r="M129" s="575">
        <v>2</v>
      </c>
      <c r="N129" s="575">
        <v>2</v>
      </c>
      <c r="O129" s="575">
        <v>2</v>
      </c>
      <c r="P129" s="575">
        <v>2</v>
      </c>
      <c r="Q129" s="575">
        <v>2</v>
      </c>
      <c r="R129" s="575">
        <v>2</v>
      </c>
      <c r="T129" s="136">
        <f t="shared" si="208"/>
        <v>2</v>
      </c>
      <c r="U129" s="134"/>
      <c r="V129" s="35"/>
      <c r="W129" s="35"/>
      <c r="X129" s="35"/>
      <c r="Y129" s="135"/>
      <c r="Z129" s="135">
        <f>VLOOKUP(B129,'Manuell filtrering og justering'!$A$7:$H$253,'Manuell filtrering og justering'!$H$1,FALSE)</f>
        <v>2</v>
      </c>
      <c r="AA129" s="136">
        <f t="shared" si="209"/>
        <v>0</v>
      </c>
      <c r="AB129" s="137">
        <f>IF($AC$5='Manuell filtrering og justering'!$J$2,Z129,(T129-AA129))</f>
        <v>2</v>
      </c>
      <c r="AC129" s="496">
        <v>129</v>
      </c>
      <c r="AD129" s="138">
        <f t="shared" si="210"/>
        <v>1.6190476190476193E-2</v>
      </c>
      <c r="AE129" s="138">
        <f t="shared" si="217"/>
        <v>0</v>
      </c>
      <c r="AF129" s="138">
        <f t="shared" si="218"/>
        <v>0</v>
      </c>
      <c r="AG129" s="138">
        <f t="shared" si="219"/>
        <v>0</v>
      </c>
      <c r="AI129" s="139">
        <f t="shared" si="220"/>
        <v>0</v>
      </c>
      <c r="AJ129" s="139">
        <f t="shared" si="221"/>
        <v>0</v>
      </c>
      <c r="AK129" s="139">
        <f t="shared" si="222"/>
        <v>0</v>
      </c>
      <c r="AM129" s="632"/>
      <c r="AN129" s="633"/>
      <c r="AO129" s="633"/>
      <c r="AP129" s="633"/>
      <c r="AQ129" s="634"/>
      <c r="AR129" s="111"/>
      <c r="AS129" s="632"/>
      <c r="AT129" s="633"/>
      <c r="AU129" s="633"/>
      <c r="AV129" s="633"/>
      <c r="AW129" s="634"/>
      <c r="AY129" s="132"/>
      <c r="AZ129" s="37"/>
      <c r="BA129" s="37"/>
      <c r="BB129" s="37"/>
      <c r="BC129" s="627"/>
      <c r="BD129" s="148">
        <f t="shared" si="211"/>
        <v>9</v>
      </c>
      <c r="BE129" s="35" t="str">
        <f t="shared" si="212"/>
        <v>N/A</v>
      </c>
      <c r="BF129" s="151"/>
      <c r="BG129" s="148">
        <f>IF(BC129=0,9,IF(AJ129&gt;=BC129,5,IF(AJ129&gt;=BB129,4,IF(AJ129&gt;=BA129,3,IF(AJ129&gt;=AZ129,2,IF(AJ129&lt;AY129,0,1))))))</f>
        <v>9</v>
      </c>
      <c r="BH129" s="35" t="str">
        <f t="shared" si="214"/>
        <v>N/A</v>
      </c>
      <c r="BI129" s="151"/>
      <c r="BJ129" s="148">
        <f t="shared" si="215"/>
        <v>9</v>
      </c>
      <c r="BK129" s="35" t="str">
        <f t="shared" si="216"/>
        <v>N/A</v>
      </c>
      <c r="BL129" s="627"/>
      <c r="BO129" s="35"/>
      <c r="BP129" s="35"/>
      <c r="BQ129" s="35" t="str">
        <f t="shared" si="111"/>
        <v/>
      </c>
      <c r="BR129" s="35">
        <f t="shared" si="144"/>
        <v>9</v>
      </c>
      <c r="BS129" s="35">
        <f t="shared" si="145"/>
        <v>9</v>
      </c>
      <c r="BT129" s="35">
        <f t="shared" si="146"/>
        <v>9</v>
      </c>
      <c r="BW129" s="37"/>
      <c r="BX129" s="37"/>
      <c r="BY129" s="37"/>
      <c r="BZ129" s="37"/>
      <c r="CA129" s="37"/>
      <c r="CB129" s="37"/>
      <c r="CO129" s="35">
        <f>'Pre-analyseverktøy'!H121</f>
        <v>0</v>
      </c>
      <c r="CP129" s="35">
        <f>'Pre-analyseverktøy'!O121</f>
        <v>0</v>
      </c>
      <c r="CQ129" s="35">
        <f>'Pre-analyseverktøy'!V121</f>
        <v>0</v>
      </c>
      <c r="CR129" s="35" t="str">
        <f>'Pre-analyseverktøy'!F121</f>
        <v>Livsløpsvurderinger av bygget</v>
      </c>
      <c r="CS129" s="35" t="b">
        <f t="shared" si="223"/>
        <v>1</v>
      </c>
    </row>
    <row r="130" spans="1:97">
      <c r="A130">
        <v>122</v>
      </c>
      <c r="B130" s="109" t="str">
        <f>D130</f>
        <v>Mat 02</v>
      </c>
      <c r="C130" s="109" t="str">
        <f>B130</f>
        <v>Mat 02</v>
      </c>
      <c r="D130" s="631" t="s">
        <v>445</v>
      </c>
      <c r="E130" s="629" t="s">
        <v>1039</v>
      </c>
      <c r="F130" s="711">
        <f>SUM(F131:F133)</f>
        <v>3</v>
      </c>
      <c r="G130" s="711">
        <f t="shared" ref="G130:R130" si="224">SUM(G131:G133)</f>
        <v>3</v>
      </c>
      <c r="H130" s="711">
        <f t="shared" si="224"/>
        <v>3</v>
      </c>
      <c r="I130" s="711">
        <f t="shared" si="224"/>
        <v>3</v>
      </c>
      <c r="J130" s="711">
        <f t="shared" si="224"/>
        <v>3</v>
      </c>
      <c r="K130" s="711">
        <f t="shared" si="224"/>
        <v>3</v>
      </c>
      <c r="L130" s="711">
        <f t="shared" si="224"/>
        <v>3</v>
      </c>
      <c r="M130" s="711">
        <f t="shared" si="224"/>
        <v>3</v>
      </c>
      <c r="N130" s="711">
        <f t="shared" si="224"/>
        <v>3</v>
      </c>
      <c r="O130" s="711">
        <f t="shared" si="224"/>
        <v>3</v>
      </c>
      <c r="P130" s="711">
        <f t="shared" si="224"/>
        <v>3</v>
      </c>
      <c r="Q130" s="711">
        <f>SUM(Q131:Q133)</f>
        <v>3</v>
      </c>
      <c r="R130" s="711">
        <f t="shared" si="224"/>
        <v>3</v>
      </c>
      <c r="T130" s="731">
        <f t="shared" si="208"/>
        <v>3</v>
      </c>
      <c r="U130" s="179"/>
      <c r="V130" s="53"/>
      <c r="W130" s="53"/>
      <c r="X130" s="53">
        <f>'Manuell filtrering og justering'!E60</f>
        <v>0</v>
      </c>
      <c r="Y130" s="53"/>
      <c r="Z130" s="726">
        <f>SUM(Z131:Z133)</f>
        <v>3</v>
      </c>
      <c r="AA130" s="731">
        <f t="shared" si="209"/>
        <v>0</v>
      </c>
      <c r="AB130" s="782">
        <f>SUM(AB131:AB133)</f>
        <v>3</v>
      </c>
      <c r="AC130" s="496">
        <v>130</v>
      </c>
      <c r="AD130" s="138">
        <f t="shared" si="210"/>
        <v>2.4285714285714289E-2</v>
      </c>
      <c r="AE130" s="701">
        <f>SUM(AE131:AE133)</f>
        <v>0</v>
      </c>
      <c r="AF130" s="701">
        <f>SUM(AF131:AF133)</f>
        <v>0</v>
      </c>
      <c r="AG130" s="701">
        <f>SUM(AG131:AG133)</f>
        <v>0</v>
      </c>
      <c r="AI130" s="726">
        <f>SUM(AI131:AI133)</f>
        <v>0</v>
      </c>
      <c r="AJ130" s="726">
        <f>SUM(AJ131:AJ133)</f>
        <v>0</v>
      </c>
      <c r="AK130" s="726">
        <f>SUM(AK131:AK133)</f>
        <v>0</v>
      </c>
      <c r="AM130" s="236"/>
      <c r="AN130" s="237"/>
      <c r="AO130" s="237"/>
      <c r="AP130" s="237"/>
      <c r="AQ130" s="238"/>
      <c r="AR130" s="111"/>
      <c r="AS130" s="236"/>
      <c r="AT130" s="237"/>
      <c r="AU130" s="237"/>
      <c r="AV130" s="237"/>
      <c r="AW130" s="238"/>
      <c r="AY130" s="132"/>
      <c r="AZ130" s="37"/>
      <c r="BA130" s="37"/>
      <c r="BB130" s="37"/>
      <c r="BC130" s="151"/>
      <c r="BD130" s="148">
        <f t="shared" si="211"/>
        <v>9</v>
      </c>
      <c r="BE130" s="35" t="str">
        <f t="shared" si="212"/>
        <v>N/A</v>
      </c>
      <c r="BF130" s="151"/>
      <c r="BG130" s="148">
        <f t="shared" si="213"/>
        <v>9</v>
      </c>
      <c r="BH130" s="35" t="str">
        <f t="shared" si="214"/>
        <v>N/A</v>
      </c>
      <c r="BI130" s="151"/>
      <c r="BJ130" s="148">
        <f t="shared" si="215"/>
        <v>9</v>
      </c>
      <c r="BK130" s="35" t="str">
        <f t="shared" si="216"/>
        <v>N/A</v>
      </c>
      <c r="BL130" s="151"/>
      <c r="BO130" s="35"/>
      <c r="BP130" s="35"/>
      <c r="BQ130" s="35" t="str">
        <f t="shared" si="111"/>
        <v/>
      </c>
      <c r="BR130" s="35">
        <f t="shared" si="144"/>
        <v>9</v>
      </c>
      <c r="BS130" s="35">
        <f t="shared" si="145"/>
        <v>9</v>
      </c>
      <c r="BT130" s="35">
        <f t="shared" si="146"/>
        <v>9</v>
      </c>
      <c r="BW130" s="37"/>
      <c r="BX130" s="37"/>
      <c r="BY130" s="37"/>
      <c r="BZ130" s="37"/>
      <c r="CA130" s="37"/>
      <c r="CB130" s="37"/>
    </row>
    <row r="131" spans="1:97">
      <c r="A131">
        <v>123</v>
      </c>
      <c r="B131" s="109"/>
      <c r="C131" t="str">
        <f t="shared" si="112"/>
        <v>Mat 02</v>
      </c>
      <c r="D131" s="134" t="s">
        <v>775</v>
      </c>
      <c r="E131" s="717" t="s">
        <v>1040</v>
      </c>
      <c r="F131" s="575"/>
      <c r="G131" s="575"/>
      <c r="H131" s="575"/>
      <c r="I131" s="575"/>
      <c r="J131" s="575"/>
      <c r="K131" s="575"/>
      <c r="L131" s="575"/>
      <c r="M131" s="575"/>
      <c r="N131" s="575"/>
      <c r="O131" s="575"/>
      <c r="P131" s="575"/>
      <c r="Q131" s="575"/>
      <c r="R131" s="575"/>
      <c r="T131" s="136">
        <f t="shared" si="208"/>
        <v>0</v>
      </c>
      <c r="U131" s="134"/>
      <c r="V131" s="35"/>
      <c r="W131" s="35"/>
      <c r="X131" s="35"/>
      <c r="Y131" s="135"/>
      <c r="Z131" s="135"/>
      <c r="AA131" s="136">
        <f t="shared" si="209"/>
        <v>0</v>
      </c>
      <c r="AB131" s="137">
        <f>IF($AC$5='Manuell filtrering og justering'!$J$2,Z131,(T131-AA131))</f>
        <v>0</v>
      </c>
      <c r="AC131" s="496">
        <v>131</v>
      </c>
      <c r="AD131" s="138">
        <f t="shared" si="210"/>
        <v>0</v>
      </c>
      <c r="AE131" s="138">
        <f t="shared" si="217"/>
        <v>0</v>
      </c>
      <c r="AF131" s="138">
        <f t="shared" si="218"/>
        <v>0</v>
      </c>
      <c r="AG131" s="138">
        <f t="shared" si="219"/>
        <v>0</v>
      </c>
      <c r="AI131" s="139">
        <f t="shared" ref="AI131:AI133" si="225">IF(CO131&gt;$AB131,$AB131,CO131)</f>
        <v>0</v>
      </c>
      <c r="AJ131" s="139">
        <f t="shared" ref="AJ131:AJ133" si="226">IF(CP131&gt;$AB131,$AB131,CP131)</f>
        <v>0</v>
      </c>
      <c r="AK131" s="139">
        <f t="shared" ref="AK131:AK133" si="227">IF(CQ131&gt;$AB131,$AB131,CQ131)</f>
        <v>0</v>
      </c>
      <c r="AM131" s="236"/>
      <c r="AN131" s="237"/>
      <c r="AO131" s="237"/>
      <c r="AP131" s="237"/>
      <c r="AQ131" s="238"/>
      <c r="AR131" s="111"/>
      <c r="AS131" s="236"/>
      <c r="AT131" s="237"/>
      <c r="AU131" s="237"/>
      <c r="AV131" s="237"/>
      <c r="AW131" s="238"/>
      <c r="AY131" s="132"/>
      <c r="AZ131" s="37"/>
      <c r="BA131" s="37"/>
      <c r="BB131" s="37"/>
      <c r="BC131" s="151"/>
      <c r="BD131" s="148">
        <f t="shared" si="211"/>
        <v>9</v>
      </c>
      <c r="BE131" s="35" t="str">
        <f t="shared" si="212"/>
        <v>N/A</v>
      </c>
      <c r="BF131" s="151"/>
      <c r="BG131" s="148">
        <f t="shared" si="213"/>
        <v>9</v>
      </c>
      <c r="BH131" s="35" t="str">
        <f t="shared" si="214"/>
        <v>N/A</v>
      </c>
      <c r="BI131" s="151"/>
      <c r="BJ131" s="148">
        <f t="shared" si="215"/>
        <v>9</v>
      </c>
      <c r="BK131" s="35" t="str">
        <f t="shared" si="216"/>
        <v>N/A</v>
      </c>
      <c r="BL131" s="151"/>
      <c r="BO131" s="35"/>
      <c r="BP131" s="35"/>
      <c r="BQ131" s="35" t="str">
        <f t="shared" si="111"/>
        <v/>
      </c>
      <c r="BR131" s="35">
        <f t="shared" si="144"/>
        <v>9</v>
      </c>
      <c r="BS131" s="35">
        <f t="shared" si="145"/>
        <v>9</v>
      </c>
      <c r="BT131" s="35">
        <f t="shared" si="146"/>
        <v>9</v>
      </c>
      <c r="BW131" s="37"/>
      <c r="BX131" s="37"/>
      <c r="BY131" s="37"/>
      <c r="BZ131" s="37"/>
      <c r="CA131" s="37"/>
      <c r="CB131" s="37"/>
      <c r="CO131" s="35">
        <f>'Pre-analyseverktøy'!H123</f>
        <v>0</v>
      </c>
      <c r="CP131" s="35">
        <f>'Pre-analyseverktøy'!O123</f>
        <v>0</v>
      </c>
      <c r="CQ131" s="35">
        <f>'Pre-analyseverktøy'!V123</f>
        <v>0</v>
      </c>
      <c r="CR131" s="35" t="str">
        <f>'Pre-analyseverktøy'!F123</f>
        <v>Minstekrav: Fravær av miljøgifter (EU taksonomi: krit. 1)</v>
      </c>
      <c r="CS131" s="35" t="b">
        <f t="shared" si="223"/>
        <v>1</v>
      </c>
    </row>
    <row r="132" spans="1:97">
      <c r="A132">
        <v>124</v>
      </c>
      <c r="B132" t="str">
        <f>$D$130&amp;D132</f>
        <v>Mat 02b</v>
      </c>
      <c r="C132" t="str">
        <f t="shared" si="112"/>
        <v>Mat 02</v>
      </c>
      <c r="D132" s="134" t="s">
        <v>776</v>
      </c>
      <c r="E132" s="827" t="s">
        <v>1041</v>
      </c>
      <c r="F132" s="575">
        <v>1</v>
      </c>
      <c r="G132" s="575">
        <v>1</v>
      </c>
      <c r="H132" s="575">
        <v>1</v>
      </c>
      <c r="I132" s="575">
        <v>1</v>
      </c>
      <c r="J132" s="575">
        <v>1</v>
      </c>
      <c r="K132" s="575">
        <v>1</v>
      </c>
      <c r="L132" s="575">
        <v>1</v>
      </c>
      <c r="M132" s="575">
        <v>1</v>
      </c>
      <c r="N132" s="575">
        <v>1</v>
      </c>
      <c r="O132" s="575">
        <v>1</v>
      </c>
      <c r="P132" s="575">
        <v>1</v>
      </c>
      <c r="Q132" s="575">
        <v>1</v>
      </c>
      <c r="R132" s="575">
        <v>1</v>
      </c>
      <c r="T132" s="136">
        <f t="shared" si="208"/>
        <v>1</v>
      </c>
      <c r="U132" s="134"/>
      <c r="V132" s="35"/>
      <c r="W132" s="35"/>
      <c r="X132" s="35"/>
      <c r="Y132" s="135"/>
      <c r="Z132" s="135">
        <f>VLOOKUP(B132,'Manuell filtrering og justering'!$A$7:$H$253,'Manuell filtrering og justering'!$H$1,FALSE)</f>
        <v>1</v>
      </c>
      <c r="AA132" s="136">
        <f t="shared" si="209"/>
        <v>0</v>
      </c>
      <c r="AB132" s="137">
        <f>IF($AC$5='Manuell filtrering og justering'!$J$2,Z132,(T132-AA132))</f>
        <v>1</v>
      </c>
      <c r="AC132" s="496">
        <v>132</v>
      </c>
      <c r="AD132" s="138">
        <f t="shared" si="210"/>
        <v>8.0952380952380963E-3</v>
      </c>
      <c r="AE132" s="138">
        <f t="shared" si="217"/>
        <v>0</v>
      </c>
      <c r="AF132" s="138">
        <f t="shared" si="218"/>
        <v>0</v>
      </c>
      <c r="AG132" s="138">
        <f t="shared" si="219"/>
        <v>0</v>
      </c>
      <c r="AI132" s="139">
        <f t="shared" si="225"/>
        <v>0</v>
      </c>
      <c r="AJ132" s="139">
        <f t="shared" si="226"/>
        <v>0</v>
      </c>
      <c r="AK132" s="139">
        <f t="shared" si="227"/>
        <v>0</v>
      </c>
      <c r="AM132" s="236"/>
      <c r="AN132" s="237"/>
      <c r="AO132" s="237"/>
      <c r="AP132" s="237"/>
      <c r="AQ132" s="238"/>
      <c r="AR132" s="111"/>
      <c r="AS132" s="236"/>
      <c r="AT132" s="237"/>
      <c r="AU132" s="237"/>
      <c r="AV132" s="237"/>
      <c r="AW132" s="238"/>
      <c r="AY132" s="132"/>
      <c r="AZ132" s="37"/>
      <c r="BA132" s="37"/>
      <c r="BB132" s="37"/>
      <c r="BC132" s="151"/>
      <c r="BD132" s="148">
        <f t="shared" si="211"/>
        <v>9</v>
      </c>
      <c r="BE132" s="35" t="str">
        <f t="shared" si="212"/>
        <v>N/A</v>
      </c>
      <c r="BF132" s="151"/>
      <c r="BG132" s="148">
        <f t="shared" si="213"/>
        <v>9</v>
      </c>
      <c r="BH132" s="35" t="str">
        <f t="shared" si="214"/>
        <v>N/A</v>
      </c>
      <c r="BI132" s="151"/>
      <c r="BJ132" s="148">
        <f t="shared" si="215"/>
        <v>9</v>
      </c>
      <c r="BK132" s="35" t="str">
        <f t="shared" si="216"/>
        <v>N/A</v>
      </c>
      <c r="BL132" s="151"/>
      <c r="BO132" s="35"/>
      <c r="BP132" s="35"/>
      <c r="BQ132" s="35" t="str">
        <f t="shared" si="111"/>
        <v/>
      </c>
      <c r="BR132" s="35">
        <f t="shared" si="144"/>
        <v>9</v>
      </c>
      <c r="BS132" s="35">
        <f t="shared" si="145"/>
        <v>9</v>
      </c>
      <c r="BT132" s="35">
        <f t="shared" si="146"/>
        <v>9</v>
      </c>
      <c r="BW132" s="37"/>
      <c r="BX132" s="37"/>
      <c r="BY132" s="37"/>
      <c r="BZ132" s="37"/>
      <c r="CA132" s="37"/>
      <c r="CB132" s="37"/>
      <c r="CO132" s="35">
        <f>'Pre-analyseverktøy'!H124</f>
        <v>0</v>
      </c>
      <c r="CP132" s="35">
        <f>'Pre-analyseverktøy'!O124</f>
        <v>0</v>
      </c>
      <c r="CQ132" s="35">
        <f>'Pre-analyseverktøy'!V124</f>
        <v>0</v>
      </c>
      <c r="CR132" s="35" t="str">
        <f>'Pre-analyseverktøy'!F124</f>
        <v>EPD for bygningsprodukter</v>
      </c>
      <c r="CS132" s="35" t="b">
        <f t="shared" si="223"/>
        <v>1</v>
      </c>
    </row>
    <row r="133" spans="1:97">
      <c r="A133">
        <v>125</v>
      </c>
      <c r="B133" t="str">
        <f>$D$130&amp;D133</f>
        <v>Mat 02c</v>
      </c>
      <c r="C133" t="str">
        <f t="shared" si="112"/>
        <v>Mat 02</v>
      </c>
      <c r="D133" s="134" t="s">
        <v>777</v>
      </c>
      <c r="E133" s="827" t="s">
        <v>1042</v>
      </c>
      <c r="F133" s="575">
        <v>2</v>
      </c>
      <c r="G133" s="575">
        <v>2</v>
      </c>
      <c r="H133" s="575">
        <v>2</v>
      </c>
      <c r="I133" s="575">
        <v>2</v>
      </c>
      <c r="J133" s="575">
        <v>2</v>
      </c>
      <c r="K133" s="575">
        <v>2</v>
      </c>
      <c r="L133" s="575">
        <v>2</v>
      </c>
      <c r="M133" s="575">
        <v>2</v>
      </c>
      <c r="N133" s="575">
        <v>2</v>
      </c>
      <c r="O133" s="575">
        <v>2</v>
      </c>
      <c r="P133" s="575">
        <v>2</v>
      </c>
      <c r="Q133" s="575">
        <v>2</v>
      </c>
      <c r="R133" s="575">
        <v>2</v>
      </c>
      <c r="T133" s="136">
        <f t="shared" si="208"/>
        <v>2</v>
      </c>
      <c r="U133" s="134"/>
      <c r="V133" s="35"/>
      <c r="W133" s="35"/>
      <c r="X133" s="35"/>
      <c r="Y133" s="135"/>
      <c r="Z133" s="135">
        <f>VLOOKUP(B133,'Manuell filtrering og justering'!$A$7:$H$253,'Manuell filtrering og justering'!$H$1,FALSE)</f>
        <v>2</v>
      </c>
      <c r="AA133" s="136">
        <f t="shared" si="209"/>
        <v>0</v>
      </c>
      <c r="AB133" s="137">
        <f>IF($AC$5='Manuell filtrering og justering'!$J$2,Z133,(T133-AA133))</f>
        <v>2</v>
      </c>
      <c r="AC133" s="496">
        <v>133</v>
      </c>
      <c r="AD133" s="138">
        <f t="shared" si="210"/>
        <v>1.6190476190476193E-2</v>
      </c>
      <c r="AE133" s="138">
        <f t="shared" si="217"/>
        <v>0</v>
      </c>
      <c r="AF133" s="138">
        <f t="shared" si="218"/>
        <v>0</v>
      </c>
      <c r="AG133" s="138">
        <f t="shared" si="219"/>
        <v>0</v>
      </c>
      <c r="AI133" s="139">
        <f t="shared" si="225"/>
        <v>0</v>
      </c>
      <c r="AJ133" s="139">
        <f t="shared" si="226"/>
        <v>0</v>
      </c>
      <c r="AK133" s="139">
        <f t="shared" si="227"/>
        <v>0</v>
      </c>
      <c r="AM133" s="236"/>
      <c r="AN133" s="237"/>
      <c r="AO133" s="237"/>
      <c r="AP133" s="237"/>
      <c r="AQ133" s="238"/>
      <c r="AR133" s="111"/>
      <c r="AS133" s="236"/>
      <c r="AT133" s="237"/>
      <c r="AU133" s="237"/>
      <c r="AV133" s="237"/>
      <c r="AW133" s="238"/>
      <c r="AY133" s="132"/>
      <c r="AZ133" s="37"/>
      <c r="BA133" s="37"/>
      <c r="BB133" s="37"/>
      <c r="BC133" s="151"/>
      <c r="BD133" s="148">
        <f t="shared" si="211"/>
        <v>9</v>
      </c>
      <c r="BE133" s="35" t="str">
        <f t="shared" si="212"/>
        <v>N/A</v>
      </c>
      <c r="BF133" s="151"/>
      <c r="BG133" s="148">
        <f t="shared" si="213"/>
        <v>9</v>
      </c>
      <c r="BH133" s="35" t="str">
        <f t="shared" si="214"/>
        <v>N/A</v>
      </c>
      <c r="BI133" s="151"/>
      <c r="BJ133" s="148">
        <f t="shared" si="215"/>
        <v>9</v>
      </c>
      <c r="BK133" s="35" t="str">
        <f t="shared" si="216"/>
        <v>N/A</v>
      </c>
      <c r="BL133" s="151"/>
      <c r="BO133" s="35"/>
      <c r="BP133" s="35"/>
      <c r="BQ133" s="35" t="str">
        <f t="shared" si="111"/>
        <v/>
      </c>
      <c r="BR133" s="35">
        <f t="shared" si="144"/>
        <v>9</v>
      </c>
      <c r="BS133" s="35">
        <f t="shared" si="145"/>
        <v>9</v>
      </c>
      <c r="BT133" s="35">
        <f t="shared" si="146"/>
        <v>9</v>
      </c>
      <c r="BW133" s="37"/>
      <c r="BX133" s="37"/>
      <c r="BY133" s="37"/>
      <c r="BZ133" s="37"/>
      <c r="CA133" s="37"/>
      <c r="CB133" s="37"/>
      <c r="CO133" s="35">
        <f>'Pre-analyseverktøy'!H125</f>
        <v>0</v>
      </c>
      <c r="CP133" s="35">
        <f>'Pre-analyseverktøy'!O125</f>
        <v>0</v>
      </c>
      <c r="CQ133" s="35">
        <f>'Pre-analyseverktøy'!V125</f>
        <v>0</v>
      </c>
      <c r="CR133" s="35" t="str">
        <f>'Pre-analyseverktøy'!F125</f>
        <v>Ytelseskrav til bygningsprodukter</v>
      </c>
      <c r="CS133" s="35" t="b">
        <f t="shared" si="223"/>
        <v>1</v>
      </c>
    </row>
    <row r="134" spans="1:97">
      <c r="A134">
        <v>126</v>
      </c>
      <c r="B134" s="109" t="str">
        <f>D134</f>
        <v>Mat 03</v>
      </c>
      <c r="C134" s="109" t="str">
        <f>B134</f>
        <v>Mat 03</v>
      </c>
      <c r="D134" s="631" t="s">
        <v>449</v>
      </c>
      <c r="E134" s="629" t="s">
        <v>1043</v>
      </c>
      <c r="F134" s="711">
        <f>SUM(F135:F137)</f>
        <v>3</v>
      </c>
      <c r="G134" s="711">
        <f t="shared" ref="G134:R134" si="228">SUM(G135:G137)</f>
        <v>3</v>
      </c>
      <c r="H134" s="711">
        <f t="shared" si="228"/>
        <v>3</v>
      </c>
      <c r="I134" s="711">
        <f t="shared" si="228"/>
        <v>3</v>
      </c>
      <c r="J134" s="711">
        <f t="shared" si="228"/>
        <v>3</v>
      </c>
      <c r="K134" s="711">
        <f t="shared" si="228"/>
        <v>3</v>
      </c>
      <c r="L134" s="711">
        <f t="shared" si="228"/>
        <v>3</v>
      </c>
      <c r="M134" s="711">
        <f t="shared" si="228"/>
        <v>3</v>
      </c>
      <c r="N134" s="711">
        <f t="shared" si="228"/>
        <v>3</v>
      </c>
      <c r="O134" s="711">
        <f t="shared" si="228"/>
        <v>3</v>
      </c>
      <c r="P134" s="711">
        <f t="shared" si="228"/>
        <v>3</v>
      </c>
      <c r="Q134" s="711">
        <f>SUM(Q135:Q137)</f>
        <v>3</v>
      </c>
      <c r="R134" s="711">
        <f t="shared" si="228"/>
        <v>3</v>
      </c>
      <c r="S134" s="496"/>
      <c r="T134" s="731">
        <f t="shared" si="208"/>
        <v>3</v>
      </c>
      <c r="U134" s="179"/>
      <c r="V134" s="53"/>
      <c r="W134" s="53"/>
      <c r="X134" s="53">
        <f>'Manuell filtrering og justering'!E61</f>
        <v>0</v>
      </c>
      <c r="Y134" s="53"/>
      <c r="Z134" s="726">
        <f>SUM(Z135:Z137)</f>
        <v>3</v>
      </c>
      <c r="AA134" s="731">
        <f t="shared" si="209"/>
        <v>0</v>
      </c>
      <c r="AB134" s="782">
        <f>SUM(AB135:AB137)</f>
        <v>3</v>
      </c>
      <c r="AC134" s="496">
        <v>134</v>
      </c>
      <c r="AD134" s="138">
        <f t="shared" si="210"/>
        <v>2.4285714285714289E-2</v>
      </c>
      <c r="AE134" s="701">
        <f>SUM(AE135:AE137)</f>
        <v>0</v>
      </c>
      <c r="AF134" s="701">
        <f>SUM(AF135:AF137)</f>
        <v>0</v>
      </c>
      <c r="AG134" s="701">
        <f>SUM(AG135:AG137)</f>
        <v>0</v>
      </c>
      <c r="AI134" s="726">
        <f>SUM(AI135:AI137)</f>
        <v>0</v>
      </c>
      <c r="AJ134" s="726">
        <f>SUM(AJ135:AJ137)</f>
        <v>0</v>
      </c>
      <c r="AK134" s="726">
        <f>SUM(AK135:AK137)</f>
        <v>0</v>
      </c>
      <c r="AM134" s="236"/>
      <c r="AN134" s="237"/>
      <c r="AO134" s="237"/>
      <c r="AP134" s="237"/>
      <c r="AQ134" s="238"/>
      <c r="AR134" s="111"/>
      <c r="AS134" s="236"/>
      <c r="AT134" s="237"/>
      <c r="AU134" s="237"/>
      <c r="AV134" s="237"/>
      <c r="AW134" s="238"/>
      <c r="AY134" s="134"/>
      <c r="AZ134" s="35"/>
      <c r="BA134" s="35"/>
      <c r="BB134" s="35"/>
      <c r="BC134" s="151"/>
      <c r="BD134" s="148">
        <f t="shared" ref="BD134:BD147" si="229">IF(BC134=0,9,IF(AI134&gt;=BC134,5,IF(AI134&gt;=BB134,4,IF(AI134&gt;=BA134,3,IF(AI134&gt;=AZ134,2,IF(AI134&lt;AY134,0,1))))))</f>
        <v>9</v>
      </c>
      <c r="BE134" s="35" t="str">
        <f t="shared" si="212"/>
        <v>N/A</v>
      </c>
      <c r="BF134" s="151"/>
      <c r="BG134" s="148">
        <f t="shared" ref="BG134:BG147" si="230">IF(BC134=0,9,IF(AJ134&gt;=BC134,5,IF(AJ134&gt;=BB134,4,IF(AJ134&gt;=BA134,3,IF(AJ134&gt;=AZ134,2,IF(AJ134&lt;AY134,0,1))))))</f>
        <v>9</v>
      </c>
      <c r="BH134" s="35" t="str">
        <f t="shared" si="214"/>
        <v>N/A</v>
      </c>
      <c r="BI134" s="151"/>
      <c r="BJ134" s="148">
        <f t="shared" ref="BJ134:BJ147" si="231">IF(BC134=0,9,IF(AK134&gt;=BC134,5,IF(AK134&gt;=BB134,4,IF(AK134&gt;=BA134,3,IF(AK134&gt;=AZ134,2,IF(AK134&lt;AY134,0,1))))))</f>
        <v>9</v>
      </c>
      <c r="BK134" s="35" t="str">
        <f t="shared" si="216"/>
        <v>N/A</v>
      </c>
      <c r="BL134" s="151"/>
      <c r="BO134" s="35"/>
      <c r="BP134" s="35"/>
      <c r="BQ134" s="35" t="str">
        <f t="shared" si="111"/>
        <v/>
      </c>
      <c r="BR134" s="35">
        <f t="shared" si="144"/>
        <v>9</v>
      </c>
      <c r="BS134" s="35">
        <f t="shared" si="145"/>
        <v>9</v>
      </c>
      <c r="BT134" s="35">
        <f t="shared" si="146"/>
        <v>9</v>
      </c>
      <c r="BW134" s="35" t="str">
        <f>D134</f>
        <v>Mat 03</v>
      </c>
      <c r="BX134" s="35" t="str">
        <f>IFERROR(VLOOKUP($E134,'Pre-analyseverktøy'!$F$11:$AC$226,'Pre-analyseverktøy'!AC$2,FALSE),"")</f>
        <v>N/A</v>
      </c>
      <c r="BY134" s="35">
        <f>IFERROR(VLOOKUP($E134,'Pre-analyseverktøy'!$F$11:$AJ$226,'Pre-analyseverktøy'!AJ$2,FALSE),"")</f>
        <v>0</v>
      </c>
      <c r="BZ134" s="35">
        <f>IFERROR(VLOOKUP($BX134,$E$293:$H$326,F$291,FALSE),"")</f>
        <v>1</v>
      </c>
      <c r="CA134" s="35">
        <f>IFERROR(VLOOKUP($BX134,$E$293:$H$326,G$291,FALSE),"")</f>
        <v>0</v>
      </c>
      <c r="CB134" s="35"/>
      <c r="CC134" t="s">
        <v>958</v>
      </c>
    </row>
    <row r="135" spans="1:97">
      <c r="A135">
        <v>127</v>
      </c>
      <c r="C135" t="str">
        <f t="shared" si="112"/>
        <v>Mat 03</v>
      </c>
      <c r="D135" s="134" t="s">
        <v>775</v>
      </c>
      <c r="E135" s="717" t="s">
        <v>1044</v>
      </c>
      <c r="F135" s="575"/>
      <c r="G135" s="575"/>
      <c r="H135" s="575"/>
      <c r="I135" s="575"/>
      <c r="J135" s="575"/>
      <c r="K135" s="575"/>
      <c r="L135" s="575"/>
      <c r="M135" s="575"/>
      <c r="N135" s="575"/>
      <c r="O135" s="575"/>
      <c r="P135" s="575"/>
      <c r="Q135" s="575"/>
      <c r="R135" s="575"/>
      <c r="S135" s="496"/>
      <c r="T135" s="136">
        <f t="shared" si="208"/>
        <v>0</v>
      </c>
      <c r="U135" s="134"/>
      <c r="V135" s="35"/>
      <c r="W135" s="35"/>
      <c r="X135" s="35"/>
      <c r="Y135" s="135"/>
      <c r="Z135" s="135"/>
      <c r="AA135" s="136">
        <f t="shared" si="209"/>
        <v>0</v>
      </c>
      <c r="AB135" s="137">
        <f>IF($AC$5='Manuell filtrering og justering'!$J$2,Z135,(T135-AA135))</f>
        <v>0</v>
      </c>
      <c r="AC135" s="496">
        <v>135</v>
      </c>
      <c r="AD135" s="138">
        <f t="shared" si="210"/>
        <v>0</v>
      </c>
      <c r="AE135" s="138">
        <f t="shared" si="217"/>
        <v>0</v>
      </c>
      <c r="AF135" s="138">
        <f t="shared" si="218"/>
        <v>0</v>
      </c>
      <c r="AG135" s="138">
        <f t="shared" si="219"/>
        <v>0</v>
      </c>
      <c r="AI135" s="139">
        <f t="shared" ref="AI135:AI137" si="232">IF(CO135&gt;$AB135,$AB135,CO135)</f>
        <v>0</v>
      </c>
      <c r="AJ135" s="139">
        <f t="shared" ref="AJ135:AJ137" si="233">IF(CP135&gt;$AB135,$AB135,CP135)</f>
        <v>0</v>
      </c>
      <c r="AK135" s="139">
        <f t="shared" ref="AK135:AK137" si="234">IF(CQ135&gt;$AB135,$AB135,CQ135)</f>
        <v>0</v>
      </c>
      <c r="AM135" s="236"/>
      <c r="AN135" s="237"/>
      <c r="AO135" s="237"/>
      <c r="AP135" s="237"/>
      <c r="AQ135" s="238"/>
      <c r="AR135" s="111"/>
      <c r="AS135" s="236"/>
      <c r="AT135" s="237"/>
      <c r="AU135" s="237"/>
      <c r="AV135" s="237"/>
      <c r="AW135" s="238"/>
      <c r="AY135" s="134"/>
      <c r="AZ135" s="35"/>
      <c r="BA135" s="35"/>
      <c r="BB135" s="35"/>
      <c r="BC135" s="151"/>
      <c r="BD135" s="148">
        <f t="shared" si="229"/>
        <v>9</v>
      </c>
      <c r="BE135" s="35" t="str">
        <f t="shared" si="212"/>
        <v>N/A</v>
      </c>
      <c r="BF135" s="151"/>
      <c r="BG135" s="148">
        <f t="shared" si="230"/>
        <v>9</v>
      </c>
      <c r="BH135" s="35" t="str">
        <f t="shared" si="214"/>
        <v>N/A</v>
      </c>
      <c r="BI135" s="151"/>
      <c r="BJ135" s="148">
        <f t="shared" si="231"/>
        <v>9</v>
      </c>
      <c r="BK135" s="35" t="str">
        <f t="shared" si="216"/>
        <v>N/A</v>
      </c>
      <c r="BL135" s="151"/>
      <c r="BO135" s="35"/>
      <c r="BP135" s="35"/>
      <c r="BQ135" s="35" t="str">
        <f t="shared" si="111"/>
        <v/>
      </c>
      <c r="BR135" s="35">
        <f t="shared" si="144"/>
        <v>9</v>
      </c>
      <c r="BS135" s="35">
        <f t="shared" si="145"/>
        <v>9</v>
      </c>
      <c r="BT135" s="35">
        <f t="shared" si="146"/>
        <v>9</v>
      </c>
      <c r="BW135" s="35"/>
      <c r="BX135" s="35"/>
      <c r="BY135" s="35"/>
      <c r="BZ135" s="35"/>
      <c r="CB135" s="35"/>
      <c r="CO135" s="35">
        <f>'Pre-analyseverktøy'!H127</f>
        <v>0</v>
      </c>
      <c r="CP135" s="35">
        <f>'Pre-analyseverktøy'!O127</f>
        <v>0</v>
      </c>
      <c r="CQ135" s="35">
        <f>'Pre-analyseverktøy'!V127</f>
        <v>0</v>
      </c>
      <c r="CR135" s="35" t="str">
        <f>'Pre-analyseverktøy'!F127</f>
        <v>Minstekrav: Lovlig hugget og bærekraftig tre</v>
      </c>
      <c r="CS135" s="35" t="b">
        <f t="shared" si="223"/>
        <v>1</v>
      </c>
    </row>
    <row r="136" spans="1:97" ht="30">
      <c r="A136">
        <v>128</v>
      </c>
      <c r="B136" t="str">
        <f>$D$134&amp;D136</f>
        <v>Mat 03b</v>
      </c>
      <c r="C136" t="str">
        <f t="shared" si="112"/>
        <v>Mat 03</v>
      </c>
      <c r="D136" s="134" t="s">
        <v>776</v>
      </c>
      <c r="E136" s="986" t="s">
        <v>1045</v>
      </c>
      <c r="F136" s="575">
        <v>1</v>
      </c>
      <c r="G136" s="575">
        <v>1</v>
      </c>
      <c r="H136" s="575">
        <v>1</v>
      </c>
      <c r="I136" s="575">
        <v>1</v>
      </c>
      <c r="J136" s="575">
        <v>1</v>
      </c>
      <c r="K136" s="575">
        <v>1</v>
      </c>
      <c r="L136" s="575">
        <v>1</v>
      </c>
      <c r="M136" s="575">
        <v>1</v>
      </c>
      <c r="N136" s="575">
        <v>1</v>
      </c>
      <c r="O136" s="575">
        <v>1</v>
      </c>
      <c r="P136" s="575">
        <v>1</v>
      </c>
      <c r="Q136" s="575">
        <v>1</v>
      </c>
      <c r="R136" s="575">
        <v>1</v>
      </c>
      <c r="S136" s="496"/>
      <c r="T136" s="136">
        <f t="shared" si="208"/>
        <v>1</v>
      </c>
      <c r="U136" s="134"/>
      <c r="V136" s="35"/>
      <c r="W136" s="35"/>
      <c r="X136" s="35"/>
      <c r="Y136" s="135"/>
      <c r="Z136" s="135">
        <f>VLOOKUP(B136,'Manuell filtrering og justering'!$A$7:$H$253,'Manuell filtrering og justering'!$H$1,FALSE)</f>
        <v>1</v>
      </c>
      <c r="AA136" s="136">
        <f t="shared" si="209"/>
        <v>0</v>
      </c>
      <c r="AB136" s="137">
        <f>IF($AC$5='Manuell filtrering og justering'!$J$2,Z136,(T136-AA136))</f>
        <v>1</v>
      </c>
      <c r="AC136" s="496">
        <v>136</v>
      </c>
      <c r="AD136" s="138">
        <f t="shared" si="210"/>
        <v>8.0952380952380963E-3</v>
      </c>
      <c r="AE136" s="138">
        <f t="shared" si="217"/>
        <v>0</v>
      </c>
      <c r="AF136" s="138">
        <f t="shared" si="218"/>
        <v>0</v>
      </c>
      <c r="AG136" s="138">
        <f t="shared" si="219"/>
        <v>0</v>
      </c>
      <c r="AI136" s="139">
        <f t="shared" si="232"/>
        <v>0</v>
      </c>
      <c r="AJ136" s="139">
        <f t="shared" si="233"/>
        <v>0</v>
      </c>
      <c r="AK136" s="139">
        <f t="shared" si="234"/>
        <v>0</v>
      </c>
      <c r="AM136" s="236"/>
      <c r="AN136" s="237"/>
      <c r="AO136" s="237"/>
      <c r="AP136" s="237"/>
      <c r="AQ136" s="238"/>
      <c r="AR136" s="111"/>
      <c r="AS136" s="236"/>
      <c r="AT136" s="237"/>
      <c r="AU136" s="237"/>
      <c r="AV136" s="237"/>
      <c r="AW136" s="238"/>
      <c r="AY136" s="134"/>
      <c r="AZ136" s="35"/>
      <c r="BA136" s="35"/>
      <c r="BB136" s="35"/>
      <c r="BC136" s="151"/>
      <c r="BD136" s="148">
        <f t="shared" si="229"/>
        <v>9</v>
      </c>
      <c r="BE136" s="35" t="str">
        <f t="shared" si="212"/>
        <v>N/A</v>
      </c>
      <c r="BF136" s="151"/>
      <c r="BG136" s="148">
        <f t="shared" si="230"/>
        <v>9</v>
      </c>
      <c r="BH136" s="35" t="str">
        <f t="shared" si="214"/>
        <v>N/A</v>
      </c>
      <c r="BI136" s="151"/>
      <c r="BJ136" s="148">
        <f t="shared" si="231"/>
        <v>9</v>
      </c>
      <c r="BK136" s="35" t="str">
        <f t="shared" si="216"/>
        <v>N/A</v>
      </c>
      <c r="BL136" s="151"/>
      <c r="BO136" s="35"/>
      <c r="BP136" s="35"/>
      <c r="BQ136" s="35" t="str">
        <f t="shared" si="111"/>
        <v/>
      </c>
      <c r="BR136" s="35">
        <f t="shared" si="144"/>
        <v>9</v>
      </c>
      <c r="BS136" s="35">
        <f t="shared" si="145"/>
        <v>9</v>
      </c>
      <c r="BT136" s="35">
        <f t="shared" si="146"/>
        <v>9</v>
      </c>
      <c r="BW136" s="35"/>
      <c r="BX136" s="35"/>
      <c r="BY136" s="35"/>
      <c r="BZ136" s="35"/>
      <c r="CB136" s="35"/>
      <c r="CO136" s="35">
        <f>'Pre-analyseverktøy'!H128</f>
        <v>0</v>
      </c>
      <c r="CP136" s="35">
        <f>'Pre-analyseverktøy'!O128</f>
        <v>0</v>
      </c>
      <c r="CQ136" s="35">
        <f>'Pre-analyseverktøy'!V128</f>
        <v>0</v>
      </c>
      <c r="CR136" s="35" t="str">
        <f>'Pre-analyseverktøy'!F128</f>
        <v xml:space="preserve">	
Tilrettelegge for bærekraftig innkjøp</v>
      </c>
      <c r="CS136" s="35" t="b">
        <f t="shared" si="223"/>
        <v>1</v>
      </c>
    </row>
    <row r="137" spans="1:97">
      <c r="A137">
        <v>129</v>
      </c>
      <c r="B137" t="str">
        <f>$D$134&amp;D137</f>
        <v>Mat 03c</v>
      </c>
      <c r="C137" t="str">
        <f t="shared" si="112"/>
        <v>Mat 03</v>
      </c>
      <c r="D137" s="134" t="s">
        <v>777</v>
      </c>
      <c r="E137" s="827" t="s">
        <v>1046</v>
      </c>
      <c r="F137" s="575">
        <v>2</v>
      </c>
      <c r="G137" s="575">
        <v>2</v>
      </c>
      <c r="H137" s="575">
        <v>2</v>
      </c>
      <c r="I137" s="575">
        <v>2</v>
      </c>
      <c r="J137" s="575">
        <v>2</v>
      </c>
      <c r="K137" s="575">
        <v>2</v>
      </c>
      <c r="L137" s="575">
        <v>2</v>
      </c>
      <c r="M137" s="575">
        <v>2</v>
      </c>
      <c r="N137" s="575">
        <v>2</v>
      </c>
      <c r="O137" s="575">
        <v>2</v>
      </c>
      <c r="P137" s="575">
        <v>2</v>
      </c>
      <c r="Q137" s="575">
        <v>2</v>
      </c>
      <c r="R137" s="575">
        <v>2</v>
      </c>
      <c r="S137" s="496"/>
      <c r="T137" s="136">
        <f t="shared" si="208"/>
        <v>2</v>
      </c>
      <c r="U137" s="134"/>
      <c r="V137" s="35"/>
      <c r="W137" s="35"/>
      <c r="X137" s="35"/>
      <c r="Y137" s="135"/>
      <c r="Z137" s="135">
        <f>VLOOKUP(B137,'Manuell filtrering og justering'!$A$7:$H$253,'Manuell filtrering og justering'!$H$1,FALSE)</f>
        <v>2</v>
      </c>
      <c r="AA137" s="136">
        <f t="shared" si="209"/>
        <v>0</v>
      </c>
      <c r="AB137" s="137">
        <f>IF($AC$5='Manuell filtrering og justering'!$J$2,Z137,(T137-AA137))</f>
        <v>2</v>
      </c>
      <c r="AC137" s="496">
        <v>137</v>
      </c>
      <c r="AD137" s="138">
        <f t="shared" si="210"/>
        <v>1.6190476190476193E-2</v>
      </c>
      <c r="AE137" s="138">
        <f t="shared" si="217"/>
        <v>0</v>
      </c>
      <c r="AF137" s="138">
        <f t="shared" si="218"/>
        <v>0</v>
      </c>
      <c r="AG137" s="138">
        <f t="shared" si="219"/>
        <v>0</v>
      </c>
      <c r="AI137" s="139">
        <f t="shared" si="232"/>
        <v>0</v>
      </c>
      <c r="AJ137" s="139">
        <f t="shared" si="233"/>
        <v>0</v>
      </c>
      <c r="AK137" s="139">
        <f t="shared" si="234"/>
        <v>0</v>
      </c>
      <c r="AM137" s="236"/>
      <c r="AN137" s="237"/>
      <c r="AO137" s="237"/>
      <c r="AP137" s="237"/>
      <c r="AQ137" s="238"/>
      <c r="AR137" s="111"/>
      <c r="AS137" s="236"/>
      <c r="AT137" s="237"/>
      <c r="AU137" s="237"/>
      <c r="AV137" s="237"/>
      <c r="AW137" s="238"/>
      <c r="AY137" s="134"/>
      <c r="AZ137" s="35"/>
      <c r="BA137" s="35"/>
      <c r="BB137" s="35"/>
      <c r="BC137" s="151"/>
      <c r="BD137" s="148">
        <f t="shared" si="229"/>
        <v>9</v>
      </c>
      <c r="BE137" s="35" t="str">
        <f t="shared" si="212"/>
        <v>N/A</v>
      </c>
      <c r="BF137" s="151"/>
      <c r="BG137" s="148">
        <f t="shared" si="230"/>
        <v>9</v>
      </c>
      <c r="BH137" s="35" t="str">
        <f t="shared" si="214"/>
        <v>N/A</v>
      </c>
      <c r="BI137" s="151"/>
      <c r="BJ137" s="148">
        <f t="shared" si="231"/>
        <v>9</v>
      </c>
      <c r="BK137" s="35" t="str">
        <f t="shared" si="216"/>
        <v>N/A</v>
      </c>
      <c r="BL137" s="151"/>
      <c r="BO137" s="35"/>
      <c r="BP137" s="35"/>
      <c r="BQ137" s="35" t="str">
        <f t="shared" si="111"/>
        <v/>
      </c>
      <c r="BR137" s="35">
        <f t="shared" si="144"/>
        <v>9</v>
      </c>
      <c r="BS137" s="35">
        <f t="shared" si="145"/>
        <v>9</v>
      </c>
      <c r="BT137" s="35">
        <f t="shared" si="146"/>
        <v>9</v>
      </c>
      <c r="BW137" s="35"/>
      <c r="BX137" s="35"/>
      <c r="BY137" s="35"/>
      <c r="BZ137" s="35"/>
      <c r="CB137" s="35"/>
      <c r="CO137" s="35">
        <f>'Pre-analyseverktøy'!H129</f>
        <v>0</v>
      </c>
      <c r="CP137" s="35">
        <f>'Pre-analyseverktøy'!O129</f>
        <v>0</v>
      </c>
      <c r="CQ137" s="35">
        <f>'Pre-analyseverktøy'!V129</f>
        <v>0</v>
      </c>
      <c r="CR137" s="35" t="str">
        <f>'Pre-analyseverktøy'!F129</f>
        <v>Ansvarlig innkjøp av relevante materialer</v>
      </c>
      <c r="CS137" s="35" t="b">
        <f t="shared" si="223"/>
        <v>1</v>
      </c>
    </row>
    <row r="138" spans="1:97">
      <c r="A138">
        <v>130</v>
      </c>
      <c r="B138" s="109" t="str">
        <f>D138</f>
        <v>Mat 05</v>
      </c>
      <c r="C138" s="109" t="str">
        <f>B138</f>
        <v>Mat 05</v>
      </c>
      <c r="D138" s="631" t="s">
        <v>454</v>
      </c>
      <c r="E138" s="629" t="s">
        <v>1047</v>
      </c>
      <c r="F138" s="711">
        <f>SUM(F139:F143)</f>
        <v>4</v>
      </c>
      <c r="G138" s="711">
        <f t="shared" ref="G138:R138" si="235">SUM(G139:G143)</f>
        <v>4</v>
      </c>
      <c r="H138" s="711">
        <f t="shared" si="235"/>
        <v>4</v>
      </c>
      <c r="I138" s="711">
        <f t="shared" si="235"/>
        <v>4</v>
      </c>
      <c r="J138" s="711">
        <f t="shared" si="235"/>
        <v>4</v>
      </c>
      <c r="K138" s="711">
        <f t="shared" si="235"/>
        <v>4</v>
      </c>
      <c r="L138" s="711">
        <f t="shared" si="235"/>
        <v>4</v>
      </c>
      <c r="M138" s="711">
        <f t="shared" si="235"/>
        <v>4</v>
      </c>
      <c r="N138" s="711">
        <f t="shared" si="235"/>
        <v>4</v>
      </c>
      <c r="O138" s="711">
        <f t="shared" si="235"/>
        <v>4</v>
      </c>
      <c r="P138" s="711">
        <f t="shared" si="235"/>
        <v>4</v>
      </c>
      <c r="Q138" s="711">
        <f>SUM(Q139:Q143)</f>
        <v>4</v>
      </c>
      <c r="R138" s="711">
        <f t="shared" si="235"/>
        <v>4</v>
      </c>
      <c r="S138" s="496"/>
      <c r="T138" s="731">
        <f t="shared" si="208"/>
        <v>4</v>
      </c>
      <c r="U138" s="179"/>
      <c r="V138" s="53"/>
      <c r="W138" s="53"/>
      <c r="X138" s="53">
        <f>'Manuell filtrering og justering'!E62</f>
        <v>0</v>
      </c>
      <c r="Y138" s="53"/>
      <c r="Z138" s="726">
        <f>SUM(Z139:Z143)</f>
        <v>4</v>
      </c>
      <c r="AA138" s="731">
        <f t="shared" si="209"/>
        <v>0</v>
      </c>
      <c r="AB138" s="782">
        <f>SUM(AB139:AB143)</f>
        <v>4</v>
      </c>
      <c r="AC138" s="496">
        <v>138</v>
      </c>
      <c r="AD138" s="138">
        <f t="shared" si="210"/>
        <v>3.2380952380952385E-2</v>
      </c>
      <c r="AE138" s="701">
        <f>SUM(AE139:AE143)</f>
        <v>0</v>
      </c>
      <c r="AF138" s="701">
        <f>SUM(AF139:AF143)</f>
        <v>0</v>
      </c>
      <c r="AG138" s="701">
        <f>SUM(AG139:AG143)</f>
        <v>0</v>
      </c>
      <c r="AI138" s="726">
        <f>SUM(AI139:AI143)</f>
        <v>0</v>
      </c>
      <c r="AJ138" s="726">
        <f>SUM(AJ139:AJ143)</f>
        <v>0</v>
      </c>
      <c r="AK138" s="726">
        <f>SUM(AK139:AK143)</f>
        <v>0</v>
      </c>
      <c r="AL138" t="s">
        <v>216</v>
      </c>
      <c r="AM138" s="236"/>
      <c r="AN138" s="237"/>
      <c r="AO138" s="237"/>
      <c r="AP138" s="237"/>
      <c r="AQ138" s="238"/>
      <c r="AR138" s="111"/>
      <c r="AS138" s="236"/>
      <c r="AT138" s="237"/>
      <c r="AU138" s="237"/>
      <c r="AV138" s="237"/>
      <c r="AW138" s="238"/>
      <c r="AY138" s="134"/>
      <c r="AZ138" s="35"/>
      <c r="BA138" s="35"/>
      <c r="BB138" s="35"/>
      <c r="BC138" s="151"/>
      <c r="BD138" s="148">
        <f t="shared" si="229"/>
        <v>9</v>
      </c>
      <c r="BE138" s="35" t="str">
        <f t="shared" si="212"/>
        <v>N/A</v>
      </c>
      <c r="BF138" s="151"/>
      <c r="BG138" s="148">
        <f t="shared" si="230"/>
        <v>9</v>
      </c>
      <c r="BH138" s="35" t="str">
        <f t="shared" si="214"/>
        <v>N/A</v>
      </c>
      <c r="BI138" s="151"/>
      <c r="BJ138" s="148">
        <f t="shared" si="231"/>
        <v>9</v>
      </c>
      <c r="BK138" s="35" t="str">
        <f t="shared" si="216"/>
        <v>N/A</v>
      </c>
      <c r="BL138" s="151"/>
      <c r="BO138" s="35"/>
      <c r="BP138" s="35"/>
      <c r="BQ138" s="35" t="str">
        <f t="shared" si="111"/>
        <v/>
      </c>
      <c r="BR138" s="35">
        <f t="shared" si="144"/>
        <v>9</v>
      </c>
      <c r="BS138" s="35">
        <f t="shared" si="145"/>
        <v>9</v>
      </c>
      <c r="BT138" s="35">
        <f t="shared" si="146"/>
        <v>9</v>
      </c>
      <c r="BW138" s="35" t="str">
        <f>D138</f>
        <v>Mat 05</v>
      </c>
      <c r="BX138" s="35" t="str">
        <f>IFERROR(VLOOKUP($E138,'Pre-analyseverktøy'!$F$11:$AC$226,'Pre-analyseverktøy'!AC$2,FALSE),"")</f>
        <v>No</v>
      </c>
      <c r="BY138" s="53" t="str">
        <f>IFERROR(VLOOKUP($E138,'Pre-analyseverktøy'!$F$11:$AJ$226,'Pre-analyseverktøy'!AJ$2,FALSE),"")</f>
        <v>Ja</v>
      </c>
      <c r="BZ138" s="35">
        <f>IFERROR(VLOOKUP($BX138,$E$293:$H$326,F$291,FALSE),"")</f>
        <v>1</v>
      </c>
      <c r="CA138" s="507" t="s">
        <v>899</v>
      </c>
      <c r="CB138" s="35"/>
      <c r="CC138" t="str">
        <f>IFERROR(VLOOKUP($BX138,$E$293:$H$326,I$291,FALSE),"")</f>
        <v/>
      </c>
      <c r="CD138" t="s">
        <v>972</v>
      </c>
      <c r="CE138" s="35">
        <f>VLOOKUP(CA138,$CA$4:$CB$5,2,FALSE)</f>
        <v>1</v>
      </c>
      <c r="CG138" s="54">
        <f>IF($BX$5=ais_nei,CE138,IF(AND(CA138=$CA$4,BX138=$CC$4),0,BZ138))</f>
        <v>1</v>
      </c>
    </row>
    <row r="139" spans="1:97">
      <c r="A139">
        <v>131</v>
      </c>
      <c r="C139" t="str">
        <f t="shared" si="112"/>
        <v>Mat 05</v>
      </c>
      <c r="D139" s="134" t="s">
        <v>775</v>
      </c>
      <c r="E139" s="717" t="s">
        <v>1048</v>
      </c>
      <c r="F139" s="575"/>
      <c r="G139" s="575"/>
      <c r="H139" s="575"/>
      <c r="I139" s="575"/>
      <c r="J139" s="575"/>
      <c r="K139" s="575"/>
      <c r="L139" s="575"/>
      <c r="M139" s="575"/>
      <c r="N139" s="575"/>
      <c r="O139" s="575"/>
      <c r="P139" s="575"/>
      <c r="Q139" s="575"/>
      <c r="R139" s="575"/>
      <c r="S139" s="496"/>
      <c r="T139" s="136">
        <f t="shared" si="208"/>
        <v>0</v>
      </c>
      <c r="U139" s="134"/>
      <c r="V139" s="35"/>
      <c r="W139" s="35"/>
      <c r="X139" s="35"/>
      <c r="Y139" s="135"/>
      <c r="Z139" s="135"/>
      <c r="AA139" s="136">
        <f t="shared" si="209"/>
        <v>0</v>
      </c>
      <c r="AB139" s="137">
        <f>IF($AC$5='Manuell filtrering og justering'!$J$2,Z139,(T139-AA139))</f>
        <v>0</v>
      </c>
      <c r="AC139" s="496">
        <v>139</v>
      </c>
      <c r="AD139" s="138">
        <f t="shared" si="210"/>
        <v>0</v>
      </c>
      <c r="AE139" s="138">
        <f t="shared" si="217"/>
        <v>0</v>
      </c>
      <c r="AF139" s="138">
        <f t="shared" si="218"/>
        <v>0</v>
      </c>
      <c r="AG139" s="138">
        <f t="shared" si="219"/>
        <v>0</v>
      </c>
      <c r="AI139" s="139">
        <f t="shared" ref="AI139" si="236">IF(CO139&gt;$AB139,$AB139,CO139)</f>
        <v>0</v>
      </c>
      <c r="AJ139" s="139">
        <f t="shared" ref="AJ139" si="237">IF(CP139&gt;$AB139,$AB139,CP139)</f>
        <v>0</v>
      </c>
      <c r="AK139" s="139">
        <f t="shared" ref="AK139" si="238">IF(CQ139&gt;$AB139,$AB139,CQ139)</f>
        <v>0</v>
      </c>
      <c r="AM139" s="236"/>
      <c r="AN139" s="237"/>
      <c r="AO139" s="237"/>
      <c r="AP139" s="237"/>
      <c r="AQ139" s="238"/>
      <c r="AR139" s="111"/>
      <c r="AS139" s="236"/>
      <c r="AT139" s="237"/>
      <c r="AU139" s="237"/>
      <c r="AV139" s="237"/>
      <c r="AW139" s="238"/>
      <c r="AY139" s="134"/>
      <c r="AZ139" s="35"/>
      <c r="BA139" s="35"/>
      <c r="BB139" s="35"/>
      <c r="BC139" s="151"/>
      <c r="BD139" s="148">
        <f t="shared" si="229"/>
        <v>9</v>
      </c>
      <c r="BE139" s="35" t="str">
        <f t="shared" si="212"/>
        <v>N/A</v>
      </c>
      <c r="BF139" s="151"/>
      <c r="BG139" s="148">
        <f t="shared" si="230"/>
        <v>9</v>
      </c>
      <c r="BH139" s="35" t="str">
        <f t="shared" si="214"/>
        <v>N/A</v>
      </c>
      <c r="BI139" s="151"/>
      <c r="BJ139" s="148">
        <f t="shared" si="231"/>
        <v>9</v>
      </c>
      <c r="BK139" s="35" t="str">
        <f t="shared" si="216"/>
        <v>N/A</v>
      </c>
      <c r="BL139" s="151"/>
      <c r="BO139" s="35"/>
      <c r="BP139" s="35"/>
      <c r="BQ139" s="35" t="str">
        <f t="shared" ref="BQ139:BQ202" si="239">IF(BO139&lt;&gt;"",BO139,IF(BP139&lt;&gt;"",BP139,""))</f>
        <v/>
      </c>
      <c r="BR139" s="35">
        <f t="shared" si="144"/>
        <v>9</v>
      </c>
      <c r="BS139" s="35">
        <f t="shared" si="145"/>
        <v>9</v>
      </c>
      <c r="BT139" s="35">
        <f t="shared" si="146"/>
        <v>9</v>
      </c>
      <c r="BW139" s="35"/>
      <c r="BX139" s="35"/>
      <c r="BY139" s="53"/>
      <c r="BZ139" s="35"/>
      <c r="CA139" s="507"/>
      <c r="CB139" s="35"/>
      <c r="CG139" s="54"/>
      <c r="CO139" s="35">
        <f>'Pre-analyseverktøy'!H131</f>
        <v>0</v>
      </c>
      <c r="CP139" s="35">
        <f>'Pre-analyseverktøy'!O131</f>
        <v>0</v>
      </c>
      <c r="CQ139" s="35">
        <f>'Pre-analyseverktøy'!V131</f>
        <v>0</v>
      </c>
      <c r="CR139" s="35" t="str">
        <f>'Pre-analyseverktøy'!F131</f>
        <v>Forkrav: Risikoanalyse</v>
      </c>
      <c r="CS139" s="35" t="b">
        <f t="shared" si="223"/>
        <v>1</v>
      </c>
    </row>
    <row r="140" spans="1:97">
      <c r="A140">
        <v>132</v>
      </c>
      <c r="B140" t="str">
        <f>$D$138&amp;D140</f>
        <v>Mat 05b</v>
      </c>
      <c r="C140" t="str">
        <f t="shared" ref="C140:C203" si="240">C139</f>
        <v>Mat 05</v>
      </c>
      <c r="D140" s="134" t="s">
        <v>776</v>
      </c>
      <c r="E140" s="827" t="s">
        <v>1049</v>
      </c>
      <c r="F140" s="575">
        <v>1</v>
      </c>
      <c r="G140" s="575">
        <v>1</v>
      </c>
      <c r="H140" s="575">
        <v>1</v>
      </c>
      <c r="I140" s="575">
        <v>1</v>
      </c>
      <c r="J140" s="575">
        <v>1</v>
      </c>
      <c r="K140" s="575">
        <v>1</v>
      </c>
      <c r="L140" s="575">
        <v>1</v>
      </c>
      <c r="M140" s="575">
        <v>1</v>
      </c>
      <c r="N140" s="575">
        <v>1</v>
      </c>
      <c r="O140" s="575">
        <v>1</v>
      </c>
      <c r="P140" s="575">
        <v>1</v>
      </c>
      <c r="Q140" s="575">
        <v>1</v>
      </c>
      <c r="R140" s="575">
        <v>1</v>
      </c>
      <c r="S140" s="496"/>
      <c r="T140" s="136">
        <f t="shared" si="208"/>
        <v>1</v>
      </c>
      <c r="U140" s="134"/>
      <c r="V140" s="35"/>
      <c r="W140" s="35"/>
      <c r="X140" s="35"/>
      <c r="Y140" s="135"/>
      <c r="Z140" s="135">
        <f>VLOOKUP(B140,'Manuell filtrering og justering'!$A$7:$H$253,'Manuell filtrering og justering'!$H$1,FALSE)</f>
        <v>1</v>
      </c>
      <c r="AA140" s="136">
        <f t="shared" si="209"/>
        <v>0</v>
      </c>
      <c r="AB140" s="137">
        <f>IF($AC$5='Manuell filtrering og justering'!$J$2,Z140,(T140-AA140))</f>
        <v>1</v>
      </c>
      <c r="AC140" s="496">
        <v>140</v>
      </c>
      <c r="AD140" s="138">
        <f t="shared" si="210"/>
        <v>8.0952380952380963E-3</v>
      </c>
      <c r="AE140" s="138">
        <f t="shared" si="217"/>
        <v>0</v>
      </c>
      <c r="AF140" s="138">
        <f t="shared" si="218"/>
        <v>0</v>
      </c>
      <c r="AG140" s="138">
        <f t="shared" si="219"/>
        <v>0</v>
      </c>
      <c r="AI140" s="783">
        <f>IF(AI241=AD_no,0,IF(VLOOKUP(E140,'Pre-analyseverktøy'!$F$11:$AA$226,'Pre-analyseverktøy'!$H$2,FALSE)&gt;AB140,AB140,VLOOKUP(E140,'Pre-analyseverktøy'!$F$11:$AA$226,'Pre-analyseverktøy'!$H$2,FALSE)))</f>
        <v>0</v>
      </c>
      <c r="AJ140" s="783">
        <f>IF(AJ241=AD_no,0,IF(VLOOKUP(E140,'Pre-analyseverktøy'!$F$11:$AA$226,'Pre-analyseverktøy'!$O$2,FALSE)&gt;AB140,AB140,VLOOKUP(E140,'Pre-analyseverktøy'!$F$11:$AA$226,'Pre-analyseverktøy'!$O$2,FALSE)))</f>
        <v>0</v>
      </c>
      <c r="AK140" s="783">
        <f>IF(AK241=AD_no,0,IF(VLOOKUP(E140,'Pre-analyseverktøy'!$F$11:$AA$226,'Pre-analyseverktøy'!$V$2,FALSE)&gt;AB140,AB140,VLOOKUP(E140,'Pre-analyseverktøy'!$F$11:$AA$226,'Pre-analyseverktøy'!$V$2,FALSE)))</f>
        <v>0</v>
      </c>
      <c r="AM140" s="236"/>
      <c r="AN140" s="237"/>
      <c r="AO140" s="237"/>
      <c r="AP140" s="237"/>
      <c r="AQ140" s="238"/>
      <c r="AR140" s="111"/>
      <c r="AS140" s="236"/>
      <c r="AT140" s="237"/>
      <c r="AU140" s="237"/>
      <c r="AV140" s="237"/>
      <c r="AW140" s="238"/>
      <c r="AY140" s="134"/>
      <c r="AZ140" s="35"/>
      <c r="BA140" s="35"/>
      <c r="BB140" s="35"/>
      <c r="BC140" s="151"/>
      <c r="BD140" s="148">
        <f t="shared" si="229"/>
        <v>9</v>
      </c>
      <c r="BE140" s="35" t="str">
        <f t="shared" si="212"/>
        <v>N/A</v>
      </c>
      <c r="BF140" s="151"/>
      <c r="BG140" s="148">
        <f t="shared" si="230"/>
        <v>9</v>
      </c>
      <c r="BH140" s="35" t="str">
        <f t="shared" si="214"/>
        <v>N/A</v>
      </c>
      <c r="BI140" s="151"/>
      <c r="BJ140" s="148">
        <f t="shared" si="231"/>
        <v>9</v>
      </c>
      <c r="BK140" s="35" t="str">
        <f t="shared" si="216"/>
        <v>N/A</v>
      </c>
      <c r="BL140" s="151"/>
      <c r="BO140" s="35"/>
      <c r="BP140" s="35"/>
      <c r="BQ140" s="35" t="str">
        <f t="shared" si="239"/>
        <v/>
      </c>
      <c r="BR140" s="35">
        <f t="shared" si="144"/>
        <v>9</v>
      </c>
      <c r="BS140" s="35">
        <f t="shared" si="145"/>
        <v>9</v>
      </c>
      <c r="BT140" s="35">
        <f t="shared" si="146"/>
        <v>9</v>
      </c>
      <c r="BW140" s="35"/>
      <c r="BX140" s="35"/>
      <c r="BY140" s="53"/>
      <c r="BZ140" s="35"/>
      <c r="CA140" s="507"/>
      <c r="CB140" s="35"/>
      <c r="CG140" s="54"/>
      <c r="CO140" s="35">
        <f>'Pre-analyseverktøy'!H132</f>
        <v>0</v>
      </c>
      <c r="CP140" s="35">
        <f>'Pre-analyseverktøy'!O132</f>
        <v>0</v>
      </c>
      <c r="CQ140" s="35">
        <f>'Pre-analyseverktøy'!V132</f>
        <v>0</v>
      </c>
      <c r="CR140" s="35" t="str">
        <f>'Pre-analyseverktøy'!F132</f>
        <v>Beskytte utsatte deler av bygget mot skade</v>
      </c>
      <c r="CS140" s="35" t="b">
        <f t="shared" si="223"/>
        <v>1</v>
      </c>
    </row>
    <row r="141" spans="1:97">
      <c r="A141">
        <v>133</v>
      </c>
      <c r="B141" t="str">
        <f>$D$138&amp;D141</f>
        <v>Mat 05c</v>
      </c>
      <c r="C141" t="str">
        <f t="shared" si="240"/>
        <v>Mat 05</v>
      </c>
      <c r="D141" s="134" t="s">
        <v>777</v>
      </c>
      <c r="E141" s="827" t="s">
        <v>1050</v>
      </c>
      <c r="F141" s="575">
        <v>1</v>
      </c>
      <c r="G141" s="575">
        <v>1</v>
      </c>
      <c r="H141" s="575">
        <v>1</v>
      </c>
      <c r="I141" s="575">
        <v>1</v>
      </c>
      <c r="J141" s="575">
        <v>1</v>
      </c>
      <c r="K141" s="575">
        <v>1</v>
      </c>
      <c r="L141" s="575">
        <v>1</v>
      </c>
      <c r="M141" s="575">
        <v>1</v>
      </c>
      <c r="N141" s="575">
        <v>1</v>
      </c>
      <c r="O141" s="575">
        <v>1</v>
      </c>
      <c r="P141" s="575">
        <v>1</v>
      </c>
      <c r="Q141" s="575">
        <v>1</v>
      </c>
      <c r="R141" s="575">
        <v>1</v>
      </c>
      <c r="S141" s="496"/>
      <c r="T141" s="136">
        <f t="shared" si="208"/>
        <v>1</v>
      </c>
      <c r="U141" s="134"/>
      <c r="V141" s="35"/>
      <c r="W141" s="35"/>
      <c r="X141" s="35"/>
      <c r="Y141" s="135"/>
      <c r="Z141" s="135">
        <f>VLOOKUP(B141,'Manuell filtrering og justering'!$A$7:$H$253,'Manuell filtrering og justering'!$H$1,FALSE)</f>
        <v>1</v>
      </c>
      <c r="AA141" s="136">
        <f t="shared" si="209"/>
        <v>0</v>
      </c>
      <c r="AB141" s="137">
        <f>IF($AC$5='Manuell filtrering og justering'!$J$2,Z141,(T141-AA141))</f>
        <v>1</v>
      </c>
      <c r="AC141" s="496">
        <v>141</v>
      </c>
      <c r="AD141" s="138">
        <f t="shared" si="210"/>
        <v>8.0952380952380963E-3</v>
      </c>
      <c r="AE141" s="138">
        <f t="shared" si="217"/>
        <v>0</v>
      </c>
      <c r="AF141" s="138">
        <f t="shared" si="218"/>
        <v>0</v>
      </c>
      <c r="AG141" s="138">
        <f t="shared" si="219"/>
        <v>0</v>
      </c>
      <c r="AI141" s="783">
        <f>IF(AI241=AD_no,0,IF(VLOOKUP(E141,'Pre-analyseverktøy'!$F$11:$AA$226,'Pre-analyseverktøy'!$H$2,FALSE)&gt;AB141,AB141,VLOOKUP(E141,'Pre-analyseverktøy'!$F$11:$AA$226,'Pre-analyseverktøy'!$H$2,FALSE)))</f>
        <v>0</v>
      </c>
      <c r="AJ141" s="783">
        <f>IF(AJ241=AD_no,0,IF(VLOOKUP(E141,'Pre-analyseverktøy'!$F$11:$AA$226,'Pre-analyseverktøy'!$O$2,FALSE)&gt;AB141,AB141,VLOOKUP(E141,'Pre-analyseverktøy'!$F$11:$AA$226,'Pre-analyseverktøy'!$O$2,FALSE)))</f>
        <v>0</v>
      </c>
      <c r="AK141" s="783">
        <f>IF(AK241=AD_no,0,IF(VLOOKUP(E141,'Pre-analyseverktøy'!$F$11:$AA$226,'Pre-analyseverktøy'!$V$2,FALSE)&gt;AB141,AB141,VLOOKUP(E141,'Pre-analyseverktøy'!$F$11:$AA$226,'Pre-analyseverktøy'!$V$2,FALSE)))</f>
        <v>0</v>
      </c>
      <c r="AM141" s="236"/>
      <c r="AN141" s="237"/>
      <c r="AO141" s="237"/>
      <c r="AP141" s="237"/>
      <c r="AQ141" s="238"/>
      <c r="AR141" s="111"/>
      <c r="AS141" s="236"/>
      <c r="AT141" s="237"/>
      <c r="AU141" s="237"/>
      <c r="AV141" s="237"/>
      <c r="AW141" s="238"/>
      <c r="AY141" s="134"/>
      <c r="AZ141" s="35"/>
      <c r="BA141" s="35"/>
      <c r="BB141" s="35"/>
      <c r="BC141" s="151"/>
      <c r="BD141" s="148">
        <f t="shared" si="229"/>
        <v>9</v>
      </c>
      <c r="BE141" s="35" t="str">
        <f t="shared" si="212"/>
        <v>N/A</v>
      </c>
      <c r="BF141" s="151"/>
      <c r="BG141" s="148">
        <f t="shared" si="230"/>
        <v>9</v>
      </c>
      <c r="BH141" s="35" t="str">
        <f t="shared" si="214"/>
        <v>N/A</v>
      </c>
      <c r="BI141" s="151"/>
      <c r="BJ141" s="148">
        <f t="shared" si="231"/>
        <v>9</v>
      </c>
      <c r="BK141" s="35" t="str">
        <f t="shared" si="216"/>
        <v>N/A</v>
      </c>
      <c r="BL141" s="151"/>
      <c r="BO141" s="35"/>
      <c r="BP141" s="35"/>
      <c r="BQ141" s="35" t="str">
        <f t="shared" si="239"/>
        <v/>
      </c>
      <c r="BR141" s="35">
        <f t="shared" si="144"/>
        <v>9</v>
      </c>
      <c r="BS141" s="35">
        <f t="shared" si="145"/>
        <v>9</v>
      </c>
      <c r="BT141" s="35">
        <f t="shared" si="146"/>
        <v>9</v>
      </c>
      <c r="BW141" s="35"/>
      <c r="BX141" s="35"/>
      <c r="BY141" s="53"/>
      <c r="BZ141" s="35"/>
      <c r="CA141" s="507"/>
      <c r="CB141" s="35"/>
      <c r="CG141" s="54"/>
      <c r="CO141" s="35">
        <f>'Pre-analyseverktøy'!H133</f>
        <v>0</v>
      </c>
      <c r="CP141" s="35">
        <f>'Pre-analyseverktøy'!O133</f>
        <v>0</v>
      </c>
      <c r="CQ141" s="35">
        <f>'Pre-analyseverktøy'!V133</f>
        <v>0</v>
      </c>
      <c r="CR141" s="35" t="str">
        <f>'Pre-analyseverktøy'!F133</f>
        <v>Beskytte utsatte deler av bygget mot materialnedbrytelse</v>
      </c>
      <c r="CS141" s="35" t="b">
        <f t="shared" si="223"/>
        <v>1</v>
      </c>
    </row>
    <row r="142" spans="1:97">
      <c r="A142">
        <v>134</v>
      </c>
      <c r="B142" t="str">
        <f>$D$138&amp;D142</f>
        <v>Mat 05d</v>
      </c>
      <c r="C142" t="str">
        <f t="shared" si="240"/>
        <v>Mat 05</v>
      </c>
      <c r="D142" s="134" t="s">
        <v>778</v>
      </c>
      <c r="E142" s="827" t="s">
        <v>1051</v>
      </c>
      <c r="F142" s="575">
        <v>1</v>
      </c>
      <c r="G142" s="575">
        <v>1</v>
      </c>
      <c r="H142" s="575">
        <v>1</v>
      </c>
      <c r="I142" s="575">
        <v>1</v>
      </c>
      <c r="J142" s="575">
        <v>1</v>
      </c>
      <c r="K142" s="575">
        <v>1</v>
      </c>
      <c r="L142" s="575">
        <v>1</v>
      </c>
      <c r="M142" s="575">
        <v>1</v>
      </c>
      <c r="N142" s="575">
        <v>1</v>
      </c>
      <c r="O142" s="575">
        <v>1</v>
      </c>
      <c r="P142" s="575">
        <v>1</v>
      </c>
      <c r="Q142" s="575">
        <v>1</v>
      </c>
      <c r="R142" s="575">
        <v>1</v>
      </c>
      <c r="S142" s="496"/>
      <c r="T142" s="136">
        <f t="shared" si="208"/>
        <v>1</v>
      </c>
      <c r="U142" s="134"/>
      <c r="V142" s="35"/>
      <c r="W142" s="35"/>
      <c r="X142" s="35"/>
      <c r="Y142" s="135"/>
      <c r="Z142" s="135">
        <f>VLOOKUP(B142,'Manuell filtrering og justering'!$A$7:$H$253,'Manuell filtrering og justering'!$H$1,FALSE)</f>
        <v>1</v>
      </c>
      <c r="AA142" s="136">
        <f t="shared" si="209"/>
        <v>0</v>
      </c>
      <c r="AB142" s="137">
        <f>IF($AC$5='Manuell filtrering og justering'!$J$2,Z142,(T142-AA142))</f>
        <v>1</v>
      </c>
      <c r="AC142" s="496">
        <v>142</v>
      </c>
      <c r="AD142" s="138">
        <f t="shared" si="210"/>
        <v>8.0952380952380963E-3</v>
      </c>
      <c r="AE142" s="138">
        <f t="shared" si="217"/>
        <v>0</v>
      </c>
      <c r="AF142" s="138">
        <f t="shared" si="218"/>
        <v>0</v>
      </c>
      <c r="AG142" s="138">
        <f t="shared" si="219"/>
        <v>0</v>
      </c>
      <c r="AI142" s="783">
        <f>IF(OR(AI241=0,AI241=AD_no),0,IF(VLOOKUP(E142,'Pre-analyseverktøy'!$F$11:$AA$226,'Pre-analyseverktøy'!$H$2,FALSE)&gt;AB142,AB142,VLOOKUP(E142,'Pre-analyseverktøy'!$F$11:$AA$226,'Pre-analyseverktøy'!$H$2,FALSE)))</f>
        <v>0</v>
      </c>
      <c r="AJ142" s="783">
        <f>IF(OR(AJ241=0,AJ241=AD_no),0,IF(VLOOKUP(E142,'Pre-analyseverktøy'!$F$11:$AA$226,'Pre-analyseverktøy'!$O$2,FALSE)&gt;AB142,AB142,VLOOKUP(E142,'Pre-analyseverktøy'!$F$11:$AA$226,'Pre-analyseverktøy'!$O$2,FALSE)))</f>
        <v>0</v>
      </c>
      <c r="AK142" s="783">
        <f>IF(OR(AK241=0,AK241=AD_no),0,IF(VLOOKUP(E142,'Pre-analyseverktøy'!$F$11:$AA$226,'Pre-analyseverktøy'!$V$2,FALSE)&gt;AB142,AB142,VLOOKUP(E142,'Pre-analyseverktøy'!$F$11:$AA$226,'Pre-analyseverktøy'!$V$2,FALSE)))</f>
        <v>0</v>
      </c>
      <c r="AM142" s="879">
        <v>1</v>
      </c>
      <c r="AN142" s="876">
        <v>1</v>
      </c>
      <c r="AO142" s="876">
        <v>1</v>
      </c>
      <c r="AP142" s="237">
        <v>1</v>
      </c>
      <c r="AQ142" s="238">
        <v>1</v>
      </c>
      <c r="AR142" s="111"/>
      <c r="AS142" s="879">
        <v>1</v>
      </c>
      <c r="AT142" s="876">
        <v>1</v>
      </c>
      <c r="AU142" s="876">
        <v>1</v>
      </c>
      <c r="AV142" s="237">
        <v>1</v>
      </c>
      <c r="AW142" s="238">
        <v>1</v>
      </c>
      <c r="AY142" s="134"/>
      <c r="AZ142" s="35"/>
      <c r="BA142" s="35"/>
      <c r="BB142" s="149">
        <f>IF($AB142=0,0,IF($E$6=$H$9,AV142,AP142))</f>
        <v>1</v>
      </c>
      <c r="BC142" s="149">
        <f>IF($AB142=0,0,IF($E$6=$H$9,AW142,AQ142))</f>
        <v>1</v>
      </c>
      <c r="BD142" s="148">
        <f t="shared" si="229"/>
        <v>3</v>
      </c>
      <c r="BE142" s="35" t="str">
        <f t="shared" si="212"/>
        <v>Very Good</v>
      </c>
      <c r="BF142" s="151"/>
      <c r="BG142" s="148">
        <f t="shared" si="230"/>
        <v>3</v>
      </c>
      <c r="BH142" s="35" t="str">
        <f t="shared" si="214"/>
        <v>Very Good</v>
      </c>
      <c r="BI142" s="151"/>
      <c r="BJ142" s="148">
        <f t="shared" si="231"/>
        <v>3</v>
      </c>
      <c r="BK142" s="35" t="str">
        <f t="shared" si="216"/>
        <v>Very Good</v>
      </c>
      <c r="BL142" s="151"/>
      <c r="BO142" s="35"/>
      <c r="BP142" s="35"/>
      <c r="BQ142" s="35" t="str">
        <f t="shared" si="239"/>
        <v/>
      </c>
      <c r="BR142" s="35">
        <f t="shared" si="144"/>
        <v>9</v>
      </c>
      <c r="BS142" s="35">
        <f t="shared" si="145"/>
        <v>9</v>
      </c>
      <c r="BT142" s="35">
        <f t="shared" si="146"/>
        <v>9</v>
      </c>
      <c r="BW142" s="35"/>
      <c r="BX142" s="35"/>
      <c r="BY142" s="53"/>
      <c r="BZ142" s="35"/>
      <c r="CA142" s="507"/>
      <c r="CB142" s="35"/>
      <c r="CG142" s="54"/>
      <c r="CO142" s="35">
        <f>'Pre-analyseverktøy'!H134</f>
        <v>0</v>
      </c>
      <c r="CP142" s="35">
        <f>'Pre-analyseverktøy'!O134</f>
        <v>0</v>
      </c>
      <c r="CQ142" s="35">
        <f>'Pre-analyseverktøy'!V134</f>
        <v>0</v>
      </c>
      <c r="CR142" s="35" t="str">
        <f>'Pre-analyseverktøy'!F134</f>
        <v>Fuktsikkerhet i byggeperioden: kontrollplan og fuktmåling</v>
      </c>
      <c r="CS142" s="35" t="b">
        <f t="shared" si="223"/>
        <v>1</v>
      </c>
    </row>
    <row r="143" spans="1:97">
      <c r="A143">
        <v>135</v>
      </c>
      <c r="B143" t="str">
        <f>$D$138&amp;D143</f>
        <v>Mat 05e</v>
      </c>
      <c r="C143" t="str">
        <f t="shared" si="240"/>
        <v>Mat 05</v>
      </c>
      <c r="D143" s="134" t="s">
        <v>779</v>
      </c>
      <c r="E143" s="827" t="s">
        <v>1052</v>
      </c>
      <c r="F143" s="575">
        <v>1</v>
      </c>
      <c r="G143" s="575">
        <v>1</v>
      </c>
      <c r="H143" s="575">
        <v>1</v>
      </c>
      <c r="I143" s="575">
        <v>1</v>
      </c>
      <c r="J143" s="575">
        <v>1</v>
      </c>
      <c r="K143" s="575">
        <v>1</v>
      </c>
      <c r="L143" s="575">
        <v>1</v>
      </c>
      <c r="M143" s="575">
        <v>1</v>
      </c>
      <c r="N143" s="575">
        <v>1</v>
      </c>
      <c r="O143" s="575">
        <v>1</v>
      </c>
      <c r="P143" s="575">
        <v>1</v>
      </c>
      <c r="Q143" s="575">
        <v>1</v>
      </c>
      <c r="R143" s="575">
        <v>1</v>
      </c>
      <c r="S143" s="496"/>
      <c r="T143" s="136">
        <f t="shared" si="208"/>
        <v>1</v>
      </c>
      <c r="U143" s="134"/>
      <c r="V143" s="35"/>
      <c r="W143" s="35"/>
      <c r="X143" s="35"/>
      <c r="Y143" s="135"/>
      <c r="Z143" s="135">
        <f>VLOOKUP(B143,'Manuell filtrering og justering'!$A$7:$H$253,'Manuell filtrering og justering'!$H$1,FALSE)</f>
        <v>1</v>
      </c>
      <c r="AA143" s="136">
        <f t="shared" si="209"/>
        <v>0</v>
      </c>
      <c r="AB143" s="137">
        <f>IF($AC$5='Manuell filtrering og justering'!$J$2,Z143,(T143-AA143))</f>
        <v>1</v>
      </c>
      <c r="AC143" s="496">
        <v>143</v>
      </c>
      <c r="AD143" s="138">
        <f t="shared" si="210"/>
        <v>8.0952380952380963E-3</v>
      </c>
      <c r="AE143" s="138">
        <f>IF(AB143=0,0,(AD143/AB143)*AI143)</f>
        <v>0</v>
      </c>
      <c r="AF143" s="138">
        <f>IF(AB143=0,0,(AD143/AB143)*AJ143)</f>
        <v>0</v>
      </c>
      <c r="AG143" s="138">
        <f>IF(AB143=0,0,(AD143/AB143)*AK143)</f>
        <v>0</v>
      </c>
      <c r="AI143" s="783">
        <f>IF(AI241=AD_no,0,IF(VLOOKUP(E143,'Pre-analyseverktøy'!$F$11:$AA$226,'Pre-analyseverktøy'!$H$2,FALSE)&gt;AB143,AB143,VLOOKUP(E143,'Pre-analyseverktøy'!$F$11:$AA$226,'Pre-analyseverktøy'!$H$2,FALSE)))</f>
        <v>0</v>
      </c>
      <c r="AJ143" s="783">
        <f>IF(AJ241=AD_no,0,IF(VLOOKUP(E143,'Pre-analyseverktøy'!$F$11:$AA$226,'Pre-analyseverktøy'!$O$2,FALSE)&gt;AB143,AB143,VLOOKUP(E143,'Pre-analyseverktøy'!$F$11:$AA$226,'Pre-analyseverktøy'!$O$2,FALSE)))</f>
        <v>0</v>
      </c>
      <c r="AK143" s="783">
        <f>IF(AK241=AD_no,0,IF(VLOOKUP(E143,'Pre-analyseverktøy'!$F$11:$AA$226,'Pre-analyseverktøy'!$V$2,FALSE)&gt;AB143,AB143,VLOOKUP(E143,'Pre-analyseverktøy'!$F$11:$AA$226,'Pre-analyseverktøy'!$V$2,FALSE)))</f>
        <v>0</v>
      </c>
      <c r="AM143" s="236"/>
      <c r="AN143" s="237"/>
      <c r="AO143" s="237"/>
      <c r="AP143" s="237"/>
      <c r="AQ143" s="238"/>
      <c r="AR143" s="111"/>
      <c r="AS143" s="236"/>
      <c r="AT143" s="237"/>
      <c r="AU143" s="237"/>
      <c r="AV143" s="237"/>
      <c r="AW143" s="238"/>
      <c r="AY143" s="134"/>
      <c r="AZ143" s="35"/>
      <c r="BA143" s="35"/>
      <c r="BB143" s="35"/>
      <c r="BC143" s="151"/>
      <c r="BD143" s="148">
        <f>IF(BC143=0,9,IF(AI143&gt;=BC143,5,IF(AI143&gt;=BB143,4,IF(AI143&gt;=BA143,3,IF(AI143&gt;=AZ143,2,IF(AI143&lt;AY143,0,1))))))</f>
        <v>9</v>
      </c>
      <c r="BE143" s="35" t="str">
        <f t="shared" si="212"/>
        <v>N/A</v>
      </c>
      <c r="BF143" s="151"/>
      <c r="BG143" s="148">
        <f>IF(BC143=0,9,IF(AJ143&gt;=BC143,5,IF(AJ143&gt;=BB143,4,IF(AJ143&gt;=BA143,3,IF(AJ143&gt;=AZ143,2,IF(AJ143&lt;AY143,0,1))))))</f>
        <v>9</v>
      </c>
      <c r="BH143" s="35" t="str">
        <f t="shared" si="214"/>
        <v>N/A</v>
      </c>
      <c r="BI143" s="151"/>
      <c r="BJ143" s="148">
        <f>IF(BC143=0,9,IF(AK143&gt;=BC143,5,IF(AK143&gt;=BB143,4,IF(AK143&gt;=BA143,3,IF(AK143&gt;=AZ143,2,IF(AK143&lt;AY143,0,1))))))</f>
        <v>9</v>
      </c>
      <c r="BK143" s="35" t="str">
        <f t="shared" si="216"/>
        <v>N/A</v>
      </c>
      <c r="BL143" s="151"/>
      <c r="BO143" s="35"/>
      <c r="BP143" s="35"/>
      <c r="BQ143" s="35" t="str">
        <f t="shared" si="239"/>
        <v/>
      </c>
      <c r="BR143" s="35">
        <f t="shared" si="144"/>
        <v>9</v>
      </c>
      <c r="BS143" s="35">
        <f t="shared" si="145"/>
        <v>9</v>
      </c>
      <c r="BT143" s="35">
        <f t="shared" si="146"/>
        <v>9</v>
      </c>
      <c r="BW143" s="35"/>
      <c r="BX143" s="35"/>
      <c r="BY143" s="53"/>
      <c r="BZ143" s="35"/>
      <c r="CA143" s="507"/>
      <c r="CB143" s="35"/>
      <c r="CG143" s="54"/>
      <c r="CO143" s="35">
        <f>'Pre-analyseverktøy'!H135</f>
        <v>0</v>
      </c>
      <c r="CP143" s="35">
        <f>'Pre-analyseverktøy'!O135</f>
        <v>0</v>
      </c>
      <c r="CQ143" s="35">
        <f>'Pre-analyseverktøy'!V135</f>
        <v>0</v>
      </c>
      <c r="CR143" s="35" t="str">
        <f>'Pre-analyseverktøy'!F135</f>
        <v>Fuktsikkerhet i byggeperioden: bygge under tak</v>
      </c>
      <c r="CS143" s="35" t="b">
        <f t="shared" si="223"/>
        <v>1</v>
      </c>
    </row>
    <row r="144" spans="1:97">
      <c r="A144">
        <v>136</v>
      </c>
      <c r="B144" s="109" t="str">
        <f>D144</f>
        <v>Mat 06</v>
      </c>
      <c r="C144" s="109" t="str">
        <f>B144</f>
        <v>Mat 06</v>
      </c>
      <c r="D144" s="631" t="s">
        <v>463</v>
      </c>
      <c r="E144" s="629" t="s">
        <v>1053</v>
      </c>
      <c r="F144" s="711">
        <f>SUM(F145:F147)</f>
        <v>3</v>
      </c>
      <c r="G144" s="711">
        <f t="shared" ref="G144:R144" si="241">SUM(G145:G147)</f>
        <v>3</v>
      </c>
      <c r="H144" s="711">
        <f t="shared" si="241"/>
        <v>3</v>
      </c>
      <c r="I144" s="711">
        <f t="shared" si="241"/>
        <v>3</v>
      </c>
      <c r="J144" s="711">
        <f t="shared" si="241"/>
        <v>3</v>
      </c>
      <c r="K144" s="711">
        <f t="shared" si="241"/>
        <v>3</v>
      </c>
      <c r="L144" s="711">
        <f t="shared" si="241"/>
        <v>3</v>
      </c>
      <c r="M144" s="711">
        <f t="shared" si="241"/>
        <v>3</v>
      </c>
      <c r="N144" s="711">
        <f t="shared" si="241"/>
        <v>3</v>
      </c>
      <c r="O144" s="711">
        <f t="shared" si="241"/>
        <v>3</v>
      </c>
      <c r="P144" s="711">
        <f t="shared" si="241"/>
        <v>3</v>
      </c>
      <c r="Q144" s="711">
        <f>SUM(Q145:Q147)</f>
        <v>3</v>
      </c>
      <c r="R144" s="711">
        <f t="shared" si="241"/>
        <v>3</v>
      </c>
      <c r="S144" s="109"/>
      <c r="T144" s="731">
        <f t="shared" si="208"/>
        <v>3</v>
      </c>
      <c r="U144" s="179">
        <f>U145</f>
        <v>0</v>
      </c>
      <c r="V144" s="53"/>
      <c r="W144" s="53"/>
      <c r="X144" s="53">
        <f>'Manuell filtrering og justering'!E63</f>
        <v>0</v>
      </c>
      <c r="Y144" s="53"/>
      <c r="Z144" s="726">
        <f>SUM(Z145:Z147)</f>
        <v>3</v>
      </c>
      <c r="AA144" s="731">
        <f t="shared" si="209"/>
        <v>0</v>
      </c>
      <c r="AB144" s="782">
        <f>SUM(AB145:AB147)</f>
        <v>3</v>
      </c>
      <c r="AC144" s="496">
        <v>144</v>
      </c>
      <c r="AD144" s="138">
        <f t="shared" si="210"/>
        <v>2.4285714285714289E-2</v>
      </c>
      <c r="AE144" s="701">
        <f>SUM(AE145:AE147)</f>
        <v>0</v>
      </c>
      <c r="AF144" s="701">
        <f>SUM(AF145:AF147)</f>
        <v>0</v>
      </c>
      <c r="AG144" s="701">
        <f>SUM(AG145:AG147)</f>
        <v>0</v>
      </c>
      <c r="AI144" s="726">
        <f>SUM(AI145:AI147)</f>
        <v>0</v>
      </c>
      <c r="AJ144" s="726">
        <f>SUM(AJ145:AJ147)</f>
        <v>0</v>
      </c>
      <c r="AK144" s="726">
        <f>SUM(AK145:AK147)</f>
        <v>0</v>
      </c>
      <c r="AM144" s="236"/>
      <c r="AN144" s="237"/>
      <c r="AO144" s="237"/>
      <c r="AP144" s="237"/>
      <c r="AQ144" s="238"/>
      <c r="AR144" s="111"/>
      <c r="AS144" s="236"/>
      <c r="AT144" s="237"/>
      <c r="AU144" s="237"/>
      <c r="AV144" s="237"/>
      <c r="AW144" s="238"/>
      <c r="AY144" s="134"/>
      <c r="AZ144" s="35"/>
      <c r="BA144" s="35"/>
      <c r="BB144" s="35"/>
      <c r="BC144" s="151"/>
      <c r="BD144" s="148">
        <f t="shared" si="229"/>
        <v>9</v>
      </c>
      <c r="BE144" s="35" t="str">
        <f t="shared" si="212"/>
        <v>N/A</v>
      </c>
      <c r="BF144" s="151"/>
      <c r="BG144" s="148">
        <f t="shared" si="230"/>
        <v>9</v>
      </c>
      <c r="BH144" s="35" t="str">
        <f t="shared" si="214"/>
        <v>N/A</v>
      </c>
      <c r="BI144" s="151"/>
      <c r="BJ144" s="148">
        <f t="shared" si="231"/>
        <v>9</v>
      </c>
      <c r="BK144" s="35" t="str">
        <f t="shared" si="216"/>
        <v>N/A</v>
      </c>
      <c r="BL144" s="151"/>
      <c r="BO144" s="35"/>
      <c r="BP144" s="35"/>
      <c r="BQ144" s="35" t="str">
        <f t="shared" si="239"/>
        <v/>
      </c>
      <c r="BR144" s="35">
        <f t="shared" si="144"/>
        <v>9</v>
      </c>
      <c r="BS144" s="35">
        <f t="shared" si="145"/>
        <v>9</v>
      </c>
      <c r="BT144" s="35">
        <f t="shared" si="146"/>
        <v>9</v>
      </c>
      <c r="BW144" s="232" t="str">
        <f>D144</f>
        <v>Mat 06</v>
      </c>
      <c r="BX144" s="232">
        <f>IFERROR(VLOOKUP($E144,'Pre-analyseverktøy'!$F$11:$AC$226,'Pre-analyseverktøy'!AC$2,FALSE),"")</f>
        <v>0</v>
      </c>
      <c r="BY144" s="232">
        <f>IFERROR(VLOOKUP($E144,'Pre-analyseverktøy'!$F$11:$AJ$226,'Pre-analyseverktøy'!AJ$2,FALSE),"")</f>
        <v>0</v>
      </c>
      <c r="BZ144" s="232" t="str">
        <f>IFERROR(VLOOKUP($BX144,$E$293:$H$326,F$291,FALSE),"")</f>
        <v/>
      </c>
      <c r="CA144" s="232" t="str">
        <f>IFERROR(VLOOKUP($BX144,$E$293:$H$326,G$291,FALSE),"")</f>
        <v/>
      </c>
      <c r="CB144" s="232"/>
      <c r="CC144" t="str">
        <f>IFERROR(VLOOKUP($BX144,$E$293:$H$326,I$291,FALSE),"")</f>
        <v/>
      </c>
    </row>
    <row r="145" spans="1:97">
      <c r="A145">
        <v>137</v>
      </c>
      <c r="B145" t="str">
        <f>$D$144&amp;D145</f>
        <v>Mat 06a</v>
      </c>
      <c r="C145" t="str">
        <f t="shared" si="240"/>
        <v>Mat 06</v>
      </c>
      <c r="D145" s="134" t="s">
        <v>775</v>
      </c>
      <c r="E145" s="929" t="s">
        <v>1054</v>
      </c>
      <c r="F145" s="575">
        <v>1</v>
      </c>
      <c r="G145" s="575">
        <v>1</v>
      </c>
      <c r="H145" s="575">
        <v>1</v>
      </c>
      <c r="I145" s="575">
        <v>1</v>
      </c>
      <c r="J145" s="575">
        <v>1</v>
      </c>
      <c r="K145" s="575">
        <v>1</v>
      </c>
      <c r="L145" s="575">
        <v>1</v>
      </c>
      <c r="M145" s="575">
        <v>1</v>
      </c>
      <c r="N145" s="575">
        <v>1</v>
      </c>
      <c r="O145" s="575">
        <v>1</v>
      </c>
      <c r="P145" s="575">
        <v>1</v>
      </c>
      <c r="Q145" s="575">
        <v>1</v>
      </c>
      <c r="R145" s="575">
        <v>1</v>
      </c>
      <c r="S145" s="109"/>
      <c r="T145" s="136">
        <f t="shared" si="208"/>
        <v>1</v>
      </c>
      <c r="U145" s="155">
        <f>IF(Prosjektdetaljer!F26=AD_no,Poeng!T145,0)</f>
        <v>0</v>
      </c>
      <c r="V145" s="40"/>
      <c r="W145" s="40"/>
      <c r="X145" s="35"/>
      <c r="Y145" s="135"/>
      <c r="Z145" s="135">
        <f>VLOOKUP(B145,'Manuell filtrering og justering'!$A$7:$H$253,'Manuell filtrering og justering'!$H$1,FALSE)</f>
        <v>1</v>
      </c>
      <c r="AA145" s="136">
        <f t="shared" si="209"/>
        <v>0</v>
      </c>
      <c r="AB145" s="137">
        <f>IF($AC$5='Manuell filtrering og justering'!$J$2,Z145,(T145-AA145))</f>
        <v>1</v>
      </c>
      <c r="AC145" s="496">
        <v>145</v>
      </c>
      <c r="AD145" s="138">
        <f t="shared" si="210"/>
        <v>8.0952380952380963E-3</v>
      </c>
      <c r="AE145" s="138">
        <f t="shared" si="217"/>
        <v>0</v>
      </c>
      <c r="AF145" s="138">
        <f t="shared" si="218"/>
        <v>0</v>
      </c>
      <c r="AG145" s="138">
        <f t="shared" si="219"/>
        <v>0</v>
      </c>
      <c r="AI145" s="139">
        <f t="shared" ref="AI145:AI147" si="242">IF(CO145&gt;$AB145,$AB145,CO145)</f>
        <v>0</v>
      </c>
      <c r="AJ145" s="139">
        <f t="shared" ref="AJ145:AJ147" si="243">IF(CP145&gt;$AB145,$AB145,CP145)</f>
        <v>0</v>
      </c>
      <c r="AK145" s="139">
        <f t="shared" ref="AK145:AK147" si="244">IF(CQ145&gt;$AB145,$AB145,CQ145)</f>
        <v>0</v>
      </c>
      <c r="AM145" s="646">
        <v>1</v>
      </c>
      <c r="AN145" s="647">
        <v>1</v>
      </c>
      <c r="AO145" s="647">
        <v>1</v>
      </c>
      <c r="AP145" s="647">
        <v>1</v>
      </c>
      <c r="AQ145" s="639">
        <v>1</v>
      </c>
      <c r="AR145" s="111"/>
      <c r="AS145" s="646"/>
      <c r="AT145" s="647"/>
      <c r="AU145" s="647"/>
      <c r="AV145" s="647">
        <v>1</v>
      </c>
      <c r="AW145" s="639">
        <v>1</v>
      </c>
      <c r="AY145" s="149">
        <f>IF($AB145=0,0,IF($E$6=$H$9,AS145,AM145))</f>
        <v>1</v>
      </c>
      <c r="AZ145" s="149">
        <f>IF($AB145=0,0,IF($E$6=$H$9,AT145,AN145))</f>
        <v>1</v>
      </c>
      <c r="BA145" s="149">
        <f>IF($AB145=0,0,IF($E$6=$H$9,AU145,AO145))</f>
        <v>1</v>
      </c>
      <c r="BB145" s="149">
        <f>IF($AB145=0,0,IF($E$6=$H$9,AV145,AP145))</f>
        <v>1</v>
      </c>
      <c r="BC145" s="149">
        <f>IF($AB145=0,0,IF($E$6=$H$9,AW145,AQ145))</f>
        <v>1</v>
      </c>
      <c r="BD145" s="750">
        <f>IF(Prosjektdetaljer!F26=AD_no,9,IF(AND(AI145=1,AI250=AD_Yes),5,IF(AI250=AD_Yes,3,0)))</f>
        <v>0</v>
      </c>
      <c r="BE145" s="35" t="str">
        <f t="shared" si="212"/>
        <v>Unclassified</v>
      </c>
      <c r="BF145" s="151"/>
      <c r="BG145" s="750">
        <f>IF(Prosjektdetaljer!F26=AD_no,9,IF(AND(AJ145=1,AJ250=AD_Yes),5,IF(AJ250=AD_Yes,3,0)))</f>
        <v>0</v>
      </c>
      <c r="BH145" s="35" t="str">
        <f t="shared" si="214"/>
        <v>Unclassified</v>
      </c>
      <c r="BI145" s="151"/>
      <c r="BJ145" s="750">
        <f>IF(Prosjektdetaljer!F26=AD_no,9,IF(AND(AK145=1,AK250=AD_Yes),5,IF(AK250=AD_Yes,3,0)))</f>
        <v>0</v>
      </c>
      <c r="BK145" s="35" t="str">
        <f t="shared" si="216"/>
        <v>Unclassified</v>
      </c>
      <c r="BL145" s="643"/>
      <c r="BO145" s="35"/>
      <c r="BP145" s="35"/>
      <c r="BQ145" s="35"/>
      <c r="BR145" s="35">
        <f>IF(BQ145="",9,(IF(AI145&gt;=BQ145,5,0)))</f>
        <v>9</v>
      </c>
      <c r="BS145" s="35">
        <f>IF(BQ145="",9,(IF(AJ145&gt;=BQ145,5,0)))</f>
        <v>9</v>
      </c>
      <c r="BT145" s="35">
        <f>IF(BQ145="",9,(IF(AK145&gt;=BQ145,5,0)))</f>
        <v>9</v>
      </c>
      <c r="BW145" s="522"/>
      <c r="BX145" s="522"/>
      <c r="BY145" s="522"/>
      <c r="BZ145" s="522"/>
      <c r="CA145" s="522"/>
      <c r="CB145" s="522"/>
      <c r="CO145" s="35">
        <f>'Pre-analyseverktøy'!H138</f>
        <v>0</v>
      </c>
      <c r="CP145" s="35">
        <f>'Pre-analyseverktøy'!O138</f>
        <v>0</v>
      </c>
      <c r="CQ145" s="35">
        <f>'Pre-analyseverktøy'!V138</f>
        <v>0</v>
      </c>
      <c r="CR145" s="35" t="str">
        <f>'Pre-analyseverktøy'!F138</f>
        <v>Minstekrav: ombrukskartlegging og ombruk</v>
      </c>
      <c r="CS145" s="35" t="b">
        <f t="shared" ref="CS145:CS206" si="245">CR145=E145</f>
        <v>1</v>
      </c>
    </row>
    <row r="146" spans="1:97">
      <c r="A146">
        <v>138</v>
      </c>
      <c r="B146" t="str">
        <f>$D$144&amp;D146</f>
        <v>Mat 06b</v>
      </c>
      <c r="C146" t="str">
        <f t="shared" si="240"/>
        <v>Mat 06</v>
      </c>
      <c r="D146" s="134" t="s">
        <v>776</v>
      </c>
      <c r="E146" s="827" t="s">
        <v>1055</v>
      </c>
      <c r="F146" s="575">
        <v>1</v>
      </c>
      <c r="G146" s="575">
        <v>1</v>
      </c>
      <c r="H146" s="575">
        <v>1</v>
      </c>
      <c r="I146" s="575">
        <v>1</v>
      </c>
      <c r="J146" s="575">
        <v>1</v>
      </c>
      <c r="K146" s="575">
        <v>1</v>
      </c>
      <c r="L146" s="575">
        <v>1</v>
      </c>
      <c r="M146" s="575">
        <v>1</v>
      </c>
      <c r="N146" s="575">
        <v>1</v>
      </c>
      <c r="O146" s="575">
        <v>1</v>
      </c>
      <c r="P146" s="575">
        <v>1</v>
      </c>
      <c r="Q146" s="575">
        <v>1</v>
      </c>
      <c r="R146" s="575">
        <v>1</v>
      </c>
      <c r="S146" s="109"/>
      <c r="T146" s="136">
        <f t="shared" si="208"/>
        <v>1</v>
      </c>
      <c r="U146" s="155"/>
      <c r="V146" s="40"/>
      <c r="W146" s="40"/>
      <c r="X146" s="35"/>
      <c r="Y146" s="135"/>
      <c r="Z146" s="135">
        <f>VLOOKUP(B146,'Manuell filtrering og justering'!$A$7:$H$253,'Manuell filtrering og justering'!$H$1,FALSE)</f>
        <v>1</v>
      </c>
      <c r="AA146" s="136">
        <f t="shared" si="209"/>
        <v>0</v>
      </c>
      <c r="AB146" s="137">
        <f>IF($AC$5='Manuell filtrering og justering'!$J$2,Z146,(T146-AA146))</f>
        <v>1</v>
      </c>
      <c r="AC146" s="496">
        <v>146</v>
      </c>
      <c r="AD146" s="138">
        <f t="shared" si="210"/>
        <v>8.0952380952380963E-3</v>
      </c>
      <c r="AE146" s="138">
        <f t="shared" si="217"/>
        <v>0</v>
      </c>
      <c r="AF146" s="138">
        <f t="shared" si="218"/>
        <v>0</v>
      </c>
      <c r="AG146" s="138">
        <f t="shared" si="219"/>
        <v>0</v>
      </c>
      <c r="AI146" s="139">
        <f t="shared" si="242"/>
        <v>0</v>
      </c>
      <c r="AJ146" s="139">
        <f t="shared" si="243"/>
        <v>0</v>
      </c>
      <c r="AK146" s="139">
        <f t="shared" si="244"/>
        <v>0</v>
      </c>
      <c r="AM146" s="646"/>
      <c r="AN146" s="647"/>
      <c r="AO146" s="647"/>
      <c r="AP146" s="647"/>
      <c r="AQ146" s="639"/>
      <c r="AR146" s="111"/>
      <c r="AS146" s="646"/>
      <c r="AT146" s="647"/>
      <c r="AU146" s="647"/>
      <c r="AV146" s="647"/>
      <c r="AW146" s="639"/>
      <c r="AY146" s="155"/>
      <c r="AZ146" s="40"/>
      <c r="BA146" s="40"/>
      <c r="BB146" s="40"/>
      <c r="BC146" s="643"/>
      <c r="BD146" s="148">
        <f t="shared" si="229"/>
        <v>9</v>
      </c>
      <c r="BE146" s="35" t="str">
        <f t="shared" si="212"/>
        <v>N/A</v>
      </c>
      <c r="BF146" s="151"/>
      <c r="BG146" s="148">
        <f t="shared" si="230"/>
        <v>9</v>
      </c>
      <c r="BH146" s="35" t="str">
        <f t="shared" si="214"/>
        <v>N/A</v>
      </c>
      <c r="BI146" s="151"/>
      <c r="BJ146" s="148">
        <f t="shared" si="231"/>
        <v>9</v>
      </c>
      <c r="BK146" s="35" t="str">
        <f t="shared" si="216"/>
        <v>N/A</v>
      </c>
      <c r="BL146" s="643"/>
      <c r="BO146" s="35"/>
      <c r="BP146" s="35"/>
      <c r="BQ146" s="35"/>
      <c r="BR146" s="35">
        <f t="shared" si="144"/>
        <v>9</v>
      </c>
      <c r="BS146" s="35">
        <f t="shared" si="145"/>
        <v>9</v>
      </c>
      <c r="BT146" s="35">
        <f t="shared" si="146"/>
        <v>9</v>
      </c>
      <c r="BW146" s="522"/>
      <c r="BX146" s="522"/>
      <c r="BY146" s="522"/>
      <c r="BZ146" s="522"/>
      <c r="CA146" s="522"/>
      <c r="CB146" s="522"/>
      <c r="CO146" s="35">
        <f>'Pre-analyseverktøy'!H139</f>
        <v>0</v>
      </c>
      <c r="CP146" s="35">
        <f>'Pre-analyseverktøy'!O139</f>
        <v>0</v>
      </c>
      <c r="CQ146" s="35">
        <f>'Pre-analyseverktøy'!V139</f>
        <v>0</v>
      </c>
      <c r="CR146" s="35" t="str">
        <f>'Pre-analyseverktøy'!F139</f>
        <v>Materialeffektivitet</v>
      </c>
      <c r="CS146" s="35" t="b">
        <f t="shared" si="245"/>
        <v>1</v>
      </c>
    </row>
    <row r="147" spans="1:97">
      <c r="A147">
        <v>139</v>
      </c>
      <c r="B147" t="str">
        <f>$D$144&amp;D147</f>
        <v>Mat 06c</v>
      </c>
      <c r="C147" t="str">
        <f t="shared" si="240"/>
        <v>Mat 06</v>
      </c>
      <c r="D147" s="134" t="s">
        <v>777</v>
      </c>
      <c r="E147" s="827" t="s">
        <v>1056</v>
      </c>
      <c r="F147" s="575">
        <v>1</v>
      </c>
      <c r="G147" s="575">
        <v>1</v>
      </c>
      <c r="H147" s="575">
        <v>1</v>
      </c>
      <c r="I147" s="575">
        <v>1</v>
      </c>
      <c r="J147" s="575">
        <v>1</v>
      </c>
      <c r="K147" s="575">
        <v>1</v>
      </c>
      <c r="L147" s="575">
        <v>1</v>
      </c>
      <c r="M147" s="575">
        <v>1</v>
      </c>
      <c r="N147" s="575">
        <v>1</v>
      </c>
      <c r="O147" s="575">
        <v>1</v>
      </c>
      <c r="P147" s="575">
        <v>1</v>
      </c>
      <c r="Q147" s="575">
        <v>1</v>
      </c>
      <c r="R147" s="575">
        <v>1</v>
      </c>
      <c r="S147" s="109"/>
      <c r="T147" s="136">
        <f t="shared" si="208"/>
        <v>1</v>
      </c>
      <c r="U147" s="155"/>
      <c r="V147" s="40"/>
      <c r="W147" s="40"/>
      <c r="X147" s="35"/>
      <c r="Y147" s="135"/>
      <c r="Z147" s="135">
        <f>VLOOKUP(B147,'Manuell filtrering og justering'!$A$7:$H$253,'Manuell filtrering og justering'!$H$1,FALSE)</f>
        <v>1</v>
      </c>
      <c r="AA147" s="136">
        <f t="shared" si="209"/>
        <v>0</v>
      </c>
      <c r="AB147" s="137">
        <f>IF($AC$5='Manuell filtrering og justering'!$J$2,Z147,(T147-AA147))</f>
        <v>1</v>
      </c>
      <c r="AC147" s="496">
        <v>147</v>
      </c>
      <c r="AD147" s="138">
        <f t="shared" si="210"/>
        <v>8.0952380952380963E-3</v>
      </c>
      <c r="AE147" s="138">
        <f t="shared" si="217"/>
        <v>0</v>
      </c>
      <c r="AF147" s="138">
        <f t="shared" si="218"/>
        <v>0</v>
      </c>
      <c r="AG147" s="138">
        <f t="shared" si="219"/>
        <v>0</v>
      </c>
      <c r="AI147" s="139">
        <f t="shared" si="242"/>
        <v>0</v>
      </c>
      <c r="AJ147" s="139">
        <f t="shared" si="243"/>
        <v>0</v>
      </c>
      <c r="AK147" s="139">
        <f t="shared" si="244"/>
        <v>0</v>
      </c>
      <c r="AM147" s="646"/>
      <c r="AN147" s="647"/>
      <c r="AO147" s="647"/>
      <c r="AP147" s="647"/>
      <c r="AQ147" s="639"/>
      <c r="AR147" s="111"/>
      <c r="AS147" s="646"/>
      <c r="AT147" s="647"/>
      <c r="AU147" s="647"/>
      <c r="AV147" s="647"/>
      <c r="AW147" s="639"/>
      <c r="AY147" s="155"/>
      <c r="AZ147" s="40"/>
      <c r="BA147" s="40"/>
      <c r="BB147" s="40"/>
      <c r="BC147" s="643"/>
      <c r="BD147" s="148">
        <f t="shared" si="229"/>
        <v>9</v>
      </c>
      <c r="BE147" s="35" t="str">
        <f t="shared" si="212"/>
        <v>N/A</v>
      </c>
      <c r="BF147" s="151"/>
      <c r="BG147" s="148">
        <f t="shared" si="230"/>
        <v>9</v>
      </c>
      <c r="BH147" s="35" t="str">
        <f t="shared" si="214"/>
        <v>N/A</v>
      </c>
      <c r="BI147" s="151"/>
      <c r="BJ147" s="148">
        <f t="shared" si="231"/>
        <v>9</v>
      </c>
      <c r="BK147" s="35" t="str">
        <f t="shared" si="216"/>
        <v>N/A</v>
      </c>
      <c r="BL147" s="643"/>
      <c r="BO147" s="35"/>
      <c r="BP147" s="35"/>
      <c r="BQ147" s="35" t="str">
        <f t="shared" si="239"/>
        <v/>
      </c>
      <c r="BR147" s="35">
        <f t="shared" si="144"/>
        <v>9</v>
      </c>
      <c r="BS147" s="35">
        <f t="shared" si="145"/>
        <v>9</v>
      </c>
      <c r="BT147" s="35">
        <f t="shared" si="146"/>
        <v>9</v>
      </c>
      <c r="BW147" s="522"/>
      <c r="BX147" s="522"/>
      <c r="BY147" s="522"/>
      <c r="BZ147" s="522"/>
      <c r="CA147" s="522"/>
      <c r="CB147" s="522"/>
      <c r="CO147" s="35">
        <f>'Pre-analyseverktøy'!H140</f>
        <v>0</v>
      </c>
      <c r="CP147" s="35">
        <f>'Pre-analyseverktøy'!O140</f>
        <v>0</v>
      </c>
      <c r="CQ147" s="35">
        <f>'Pre-analyseverktøy'!V140</f>
        <v>0</v>
      </c>
      <c r="CR147" s="35" t="str">
        <f>'Pre-analyseverktøy'!F140</f>
        <v>Ombruk av eksterne bygningskomponenter</v>
      </c>
      <c r="CS147" s="35" t="b">
        <f t="shared" si="245"/>
        <v>1</v>
      </c>
    </row>
    <row r="148" spans="1:97">
      <c r="A148">
        <v>140</v>
      </c>
      <c r="B148" s="109" t="str">
        <f>D148</f>
        <v>Mat 07</v>
      </c>
      <c r="C148" s="109" t="str">
        <f>B148</f>
        <v>Mat 07</v>
      </c>
      <c r="D148" s="631" t="s">
        <v>468</v>
      </c>
      <c r="E148" s="629" t="s">
        <v>835</v>
      </c>
      <c r="F148" s="711">
        <f>SUM(F149:F151)</f>
        <v>3</v>
      </c>
      <c r="G148" s="711">
        <f t="shared" ref="G148:R148" si="246">SUM(G149:G151)</f>
        <v>3</v>
      </c>
      <c r="H148" s="711">
        <f t="shared" si="246"/>
        <v>3</v>
      </c>
      <c r="I148" s="711">
        <f t="shared" si="246"/>
        <v>3</v>
      </c>
      <c r="J148" s="711">
        <f t="shared" si="246"/>
        <v>3</v>
      </c>
      <c r="K148" s="711">
        <f t="shared" si="246"/>
        <v>3</v>
      </c>
      <c r="L148" s="711">
        <f t="shared" si="246"/>
        <v>3</v>
      </c>
      <c r="M148" s="711">
        <f t="shared" si="246"/>
        <v>3</v>
      </c>
      <c r="N148" s="711">
        <f t="shared" si="246"/>
        <v>3</v>
      </c>
      <c r="O148" s="711">
        <f t="shared" si="246"/>
        <v>3</v>
      </c>
      <c r="P148" s="711">
        <f t="shared" si="246"/>
        <v>3</v>
      </c>
      <c r="Q148" s="711">
        <f>SUM(Q149:Q151)</f>
        <v>3</v>
      </c>
      <c r="R148" s="711">
        <f t="shared" si="246"/>
        <v>3</v>
      </c>
      <c r="T148" s="731">
        <f t="shared" si="208"/>
        <v>3</v>
      </c>
      <c r="U148" s="538"/>
      <c r="V148" s="732"/>
      <c r="W148" s="732"/>
      <c r="X148" s="53">
        <f>'Manuell filtrering og justering'!E64</f>
        <v>0</v>
      </c>
      <c r="Y148" s="53"/>
      <c r="Z148" s="726">
        <f>SUM(Z149:Z151)</f>
        <v>3</v>
      </c>
      <c r="AA148" s="731">
        <f t="shared" si="209"/>
        <v>0</v>
      </c>
      <c r="AB148" s="782">
        <f>SUM(AB149:AB151)</f>
        <v>3</v>
      </c>
      <c r="AC148" s="496">
        <v>148</v>
      </c>
      <c r="AD148" s="138">
        <f t="shared" si="210"/>
        <v>2.4285714285714289E-2</v>
      </c>
      <c r="AE148" s="701">
        <f>SUM(AE149:AE151)</f>
        <v>0</v>
      </c>
      <c r="AF148" s="701">
        <f>SUM(AF149:AF151)</f>
        <v>0</v>
      </c>
      <c r="AG148" s="701">
        <f>SUM(AG149:AG151)</f>
        <v>0</v>
      </c>
      <c r="AI148" s="726">
        <f>SUM(AI149:AI151)</f>
        <v>0</v>
      </c>
      <c r="AJ148" s="726">
        <f>SUM(AJ149:AJ151)</f>
        <v>0</v>
      </c>
      <c r="AK148" s="726">
        <f>SUM(AK149:AK151)</f>
        <v>0</v>
      </c>
      <c r="AM148" s="646"/>
      <c r="AN148" s="647"/>
      <c r="AO148" s="647"/>
      <c r="AP148" s="647"/>
      <c r="AQ148" s="639"/>
      <c r="AR148" s="111"/>
      <c r="AS148" s="646"/>
      <c r="AT148" s="647"/>
      <c r="AU148" s="647"/>
      <c r="AV148" s="647"/>
      <c r="AW148" s="639"/>
      <c r="AY148" s="155"/>
      <c r="AZ148" s="40"/>
      <c r="BA148" s="40"/>
      <c r="BB148" s="40"/>
      <c r="BC148" s="151"/>
      <c r="BD148" s="148">
        <f>IF(BC148=0,9,IF(AI148&gt;=BC148,5,IF(AI148&gt;=BB148,4,IF(AI148&gt;=BA148,3,IF(AI148&gt;=AZ148,2,IF(AI148&lt;AY148,0,1))))))</f>
        <v>9</v>
      </c>
      <c r="BE148" s="35" t="str">
        <f t="shared" si="212"/>
        <v>N/A</v>
      </c>
      <c r="BF148" s="151"/>
      <c r="BG148" s="148">
        <f>IF(BC148=0,9,IF(AJ148&gt;=BC148,5,IF(AJ148&gt;=BB148,4,IF(AJ148&gt;=BA148,3,IF(AJ148&gt;=AZ148,2,IF(AJ148&lt;AY148,0,1))))))</f>
        <v>9</v>
      </c>
      <c r="BH148" s="35" t="str">
        <f t="shared" si="214"/>
        <v>N/A</v>
      </c>
      <c r="BI148" s="151"/>
      <c r="BJ148" s="148">
        <f>IF(BC148=0,9,IF(AK148&gt;=BC148,5,IF(AK148&gt;=BB148,4,IF(AK148&gt;=BA148,3,IF(AK148&gt;=AZ148,2,IF(AK148&lt;AY148,0,1))))))</f>
        <v>9</v>
      </c>
      <c r="BK148" s="35" t="str">
        <f t="shared" si="216"/>
        <v>N/A</v>
      </c>
      <c r="BL148" s="643"/>
      <c r="BO148" s="35"/>
      <c r="BP148" s="35"/>
      <c r="BQ148" s="35" t="str">
        <f t="shared" si="239"/>
        <v/>
      </c>
      <c r="BR148" s="35">
        <f t="shared" si="144"/>
        <v>9</v>
      </c>
      <c r="BS148" s="35">
        <f t="shared" si="145"/>
        <v>9</v>
      </c>
      <c r="BT148" s="35">
        <f t="shared" si="146"/>
        <v>9</v>
      </c>
      <c r="BW148" s="522" t="str">
        <f>D148</f>
        <v>Mat 07</v>
      </c>
      <c r="BX148" s="522"/>
      <c r="BY148" s="522"/>
      <c r="BZ148" s="522"/>
      <c r="CA148" s="522"/>
      <c r="CB148" s="522"/>
    </row>
    <row r="149" spans="1:97">
      <c r="A149">
        <v>141</v>
      </c>
      <c r="B149" t="str">
        <f>$D$148&amp;D149</f>
        <v>Mat 07a</v>
      </c>
      <c r="C149" t="str">
        <f t="shared" si="240"/>
        <v>Mat 07</v>
      </c>
      <c r="D149" s="134" t="s">
        <v>775</v>
      </c>
      <c r="E149" s="827" t="s">
        <v>1057</v>
      </c>
      <c r="F149" s="575">
        <v>1</v>
      </c>
      <c r="G149" s="575">
        <v>1</v>
      </c>
      <c r="H149" s="575">
        <v>1</v>
      </c>
      <c r="I149" s="575">
        <v>1</v>
      </c>
      <c r="J149" s="575">
        <v>1</v>
      </c>
      <c r="K149" s="575">
        <v>1</v>
      </c>
      <c r="L149" s="575">
        <v>1</v>
      </c>
      <c r="M149" s="575">
        <v>1</v>
      </c>
      <c r="N149" s="575">
        <v>1</v>
      </c>
      <c r="O149" s="575">
        <v>1</v>
      </c>
      <c r="P149" s="575">
        <v>1</v>
      </c>
      <c r="Q149" s="575">
        <v>1</v>
      </c>
      <c r="R149" s="575">
        <v>1</v>
      </c>
      <c r="T149" s="136">
        <f t="shared" si="208"/>
        <v>1</v>
      </c>
      <c r="U149" s="155"/>
      <c r="V149" s="40"/>
      <c r="W149" s="40"/>
      <c r="X149" s="40"/>
      <c r="Y149" s="648"/>
      <c r="Z149" s="135">
        <f>VLOOKUP(B149,'Manuell filtrering og justering'!$A$7:$H$253,'Manuell filtrering og justering'!$H$1,FALSE)</f>
        <v>1</v>
      </c>
      <c r="AA149" s="136">
        <f t="shared" si="209"/>
        <v>0</v>
      </c>
      <c r="AB149" s="137">
        <f>IF($AC$5='Manuell filtrering og justering'!$J$2,Z149,(T149-AA149))</f>
        <v>1</v>
      </c>
      <c r="AC149" s="496">
        <v>149</v>
      </c>
      <c r="AD149" s="138">
        <f t="shared" si="210"/>
        <v>8.0952380952380963E-3</v>
      </c>
      <c r="AE149" s="138">
        <f t="shared" si="217"/>
        <v>0</v>
      </c>
      <c r="AF149" s="138">
        <f t="shared" si="218"/>
        <v>0</v>
      </c>
      <c r="AG149" s="138">
        <f t="shared" si="219"/>
        <v>0</v>
      </c>
      <c r="AI149" s="139">
        <f t="shared" ref="AI149:AI151" si="247">IF(CO149&gt;$AB149,$AB149,CO149)</f>
        <v>0</v>
      </c>
      <c r="AJ149" s="139">
        <f t="shared" ref="AJ149:AJ151" si="248">IF(CP149&gt;$AB149,$AB149,CP149)</f>
        <v>0</v>
      </c>
      <c r="AK149" s="139">
        <f t="shared" ref="AK149:AK151" si="249">IF(CQ149&gt;$AB149,$AB149,CQ149)</f>
        <v>0</v>
      </c>
      <c r="AM149" s="646"/>
      <c r="AN149" s="647"/>
      <c r="AO149" s="647"/>
      <c r="AP149" s="647"/>
      <c r="AQ149" s="639"/>
      <c r="AR149" s="111"/>
      <c r="AS149" s="646"/>
      <c r="AT149" s="647"/>
      <c r="AU149" s="647"/>
      <c r="AV149" s="647"/>
      <c r="AW149" s="639"/>
      <c r="AY149" s="155"/>
      <c r="AZ149" s="40"/>
      <c r="BA149" s="40"/>
      <c r="BB149" s="40"/>
      <c r="BC149" s="643"/>
      <c r="BD149" s="148">
        <f>IF(BC149=0,9,IF(AI149&gt;=BC149,5,IF(AI149&gt;=BB149,4,IF(AI149&gt;=BA149,3,IF(AI149&gt;=AZ149,2,IF(AI149&lt;AY149,0,1))))))</f>
        <v>9</v>
      </c>
      <c r="BE149" s="35" t="str">
        <f t="shared" si="212"/>
        <v>N/A</v>
      </c>
      <c r="BF149" s="151"/>
      <c r="BG149" s="148">
        <f>IF(BC149=0,9,IF(AJ149&gt;=BC149,5,IF(AJ149&gt;=BB149,4,IF(AJ149&gt;=BA149,3,IF(AJ149&gt;=AZ149,2,IF(AJ149&lt;AY149,0,1))))))</f>
        <v>9</v>
      </c>
      <c r="BH149" s="35" t="str">
        <f t="shared" si="214"/>
        <v>N/A</v>
      </c>
      <c r="BI149" s="151"/>
      <c r="BJ149" s="148">
        <f>IF(BC149=0,9,IF(AK149&gt;=BC149,5,IF(AK149&gt;=BB149,4,IF(AK149&gt;=BA149,3,IF(AK149&gt;=AZ149,2,IF(AK149&lt;AY149,0,1))))))</f>
        <v>9</v>
      </c>
      <c r="BK149" s="35" t="str">
        <f t="shared" si="216"/>
        <v>N/A</v>
      </c>
      <c r="BL149" s="643"/>
      <c r="BO149" s="35"/>
      <c r="BP149" s="35"/>
      <c r="BQ149" s="35"/>
      <c r="BR149" s="35">
        <f t="shared" si="144"/>
        <v>9</v>
      </c>
      <c r="BS149" s="35">
        <f t="shared" si="145"/>
        <v>9</v>
      </c>
      <c r="BT149" s="35">
        <f t="shared" si="146"/>
        <v>9</v>
      </c>
      <c r="BW149" s="522"/>
      <c r="BX149" s="522"/>
      <c r="BY149" s="522"/>
      <c r="BZ149" s="522"/>
      <c r="CA149" s="522"/>
      <c r="CB149" s="522"/>
      <c r="CO149" s="35">
        <f>'Pre-analyseverktøy'!H142</f>
        <v>0</v>
      </c>
      <c r="CP149" s="35">
        <f>'Pre-analyseverktøy'!O142</f>
        <v>0</v>
      </c>
      <c r="CQ149" s="35">
        <f>'Pre-analyseverktøy'!V142</f>
        <v>0</v>
      </c>
      <c r="CR149" s="35" t="str">
        <f>'Pre-analyseverktøy'!F142</f>
        <v>Ressursoversikt</v>
      </c>
      <c r="CS149" s="35" t="b">
        <f t="shared" si="245"/>
        <v>1</v>
      </c>
    </row>
    <row r="150" spans="1:97">
      <c r="A150">
        <v>142</v>
      </c>
      <c r="B150" t="str">
        <f>$D$148&amp;D150</f>
        <v>Mat 07b</v>
      </c>
      <c r="C150" t="str">
        <f t="shared" si="240"/>
        <v>Mat 07</v>
      </c>
      <c r="D150" s="134" t="s">
        <v>776</v>
      </c>
      <c r="E150" s="929" t="s">
        <v>1058</v>
      </c>
      <c r="F150" s="575">
        <v>1</v>
      </c>
      <c r="G150" s="575">
        <v>1</v>
      </c>
      <c r="H150" s="575">
        <v>1</v>
      </c>
      <c r="I150" s="575">
        <v>1</v>
      </c>
      <c r="J150" s="575">
        <v>1</v>
      </c>
      <c r="K150" s="575">
        <v>1</v>
      </c>
      <c r="L150" s="575">
        <v>1</v>
      </c>
      <c r="M150" s="575">
        <v>1</v>
      </c>
      <c r="N150" s="575">
        <v>1</v>
      </c>
      <c r="O150" s="575">
        <v>1</v>
      </c>
      <c r="P150" s="575">
        <v>1</v>
      </c>
      <c r="Q150" s="575">
        <v>1</v>
      </c>
      <c r="R150" s="575">
        <v>1</v>
      </c>
      <c r="T150" s="136">
        <f t="shared" si="208"/>
        <v>1</v>
      </c>
      <c r="U150" s="155"/>
      <c r="V150" s="40"/>
      <c r="W150" s="40"/>
      <c r="X150" s="40"/>
      <c r="Y150" s="648"/>
      <c r="Z150" s="135">
        <f>VLOOKUP(B150,'Manuell filtrering og justering'!$A$7:$H$253,'Manuell filtrering og justering'!$H$1,FALSE)</f>
        <v>1</v>
      </c>
      <c r="AA150" s="136">
        <f t="shared" si="209"/>
        <v>0</v>
      </c>
      <c r="AB150" s="137">
        <f>IF($AC$5='Manuell filtrering og justering'!$J$2,Z150,(T150-AA150))</f>
        <v>1</v>
      </c>
      <c r="AC150" s="496">
        <v>150</v>
      </c>
      <c r="AD150" s="138">
        <f t="shared" si="210"/>
        <v>8.0952380952380963E-3</v>
      </c>
      <c r="AE150" s="138">
        <f t="shared" si="217"/>
        <v>0</v>
      </c>
      <c r="AF150" s="138">
        <f t="shared" si="218"/>
        <v>0</v>
      </c>
      <c r="AG150" s="138">
        <f t="shared" si="219"/>
        <v>0</v>
      </c>
      <c r="AI150" s="139">
        <f t="shared" si="247"/>
        <v>0</v>
      </c>
      <c r="AJ150" s="139">
        <f t="shared" si="248"/>
        <v>0</v>
      </c>
      <c r="AK150" s="139">
        <f t="shared" si="249"/>
        <v>0</v>
      </c>
      <c r="AM150" s="646"/>
      <c r="AN150" s="647"/>
      <c r="AO150" s="647"/>
      <c r="AP150" s="647">
        <v>1</v>
      </c>
      <c r="AQ150" s="639">
        <v>1</v>
      </c>
      <c r="AR150" s="111"/>
      <c r="AS150" s="646"/>
      <c r="AT150" s="647"/>
      <c r="AU150" s="647"/>
      <c r="AV150" s="647">
        <v>1</v>
      </c>
      <c r="AW150" s="639">
        <v>1</v>
      </c>
      <c r="AY150" s="155"/>
      <c r="AZ150" s="40"/>
      <c r="BA150" s="40"/>
      <c r="BB150" s="149">
        <f>IF($AB150=0,0,IF($E$6=$H$9,AV150,AP150))</f>
        <v>1</v>
      </c>
      <c r="BC150" s="149">
        <f>IF($AB150=0,0,IF($E$6=$H$9,AW150,AQ150))</f>
        <v>1</v>
      </c>
      <c r="BD150" s="148">
        <f>IF(BC150=0,9,IF(AI150&gt;=BC150,5,IF(AI150&gt;=BB150,4,IF(AI150&gt;=BA150,3,IF(AI150&gt;=AZ150,2,IF(AI150&lt;AY150,0,1))))))</f>
        <v>3</v>
      </c>
      <c r="BE150" s="35" t="str">
        <f t="shared" si="212"/>
        <v>Very Good</v>
      </c>
      <c r="BF150" s="151"/>
      <c r="BG150" s="148">
        <f>IF(BC150=0,9,IF(AJ150&gt;=BC150,5,IF(AJ150&gt;=BB150,4,IF(AJ150&gt;=BA150,3,IF(AJ150&gt;=AZ150,2,IF(AJ150&lt;AY150,0,1))))))</f>
        <v>3</v>
      </c>
      <c r="BH150" s="35" t="str">
        <f t="shared" si="214"/>
        <v>Very Good</v>
      </c>
      <c r="BI150" s="151"/>
      <c r="BJ150" s="148">
        <f>IF(BC150=0,9,IF(AK150&gt;=BC150,5,IF(AK150&gt;=BB150,4,IF(AK150&gt;=BA150,3,IF(AK150&gt;=AZ150,2,IF(AK150&lt;AY150,0,1))))))</f>
        <v>3</v>
      </c>
      <c r="BK150" s="35" t="str">
        <f t="shared" si="216"/>
        <v>Very Good</v>
      </c>
      <c r="BL150" s="643"/>
      <c r="BO150" s="35"/>
      <c r="BP150" s="35">
        <v>1</v>
      </c>
      <c r="BQ150" s="35">
        <f t="shared" si="239"/>
        <v>1</v>
      </c>
      <c r="BR150" s="35">
        <f t="shared" si="144"/>
        <v>0</v>
      </c>
      <c r="BS150" s="35">
        <f t="shared" si="145"/>
        <v>0</v>
      </c>
      <c r="BT150" s="35">
        <f t="shared" si="146"/>
        <v>0</v>
      </c>
      <c r="BW150" s="522"/>
      <c r="BX150" s="522"/>
      <c r="BY150" s="522"/>
      <c r="BZ150" s="522"/>
      <c r="CA150" s="522"/>
      <c r="CB150" s="522"/>
      <c r="CO150" s="35">
        <f>'Pre-analyseverktøy'!H143</f>
        <v>0</v>
      </c>
      <c r="CP150" s="35">
        <f>'Pre-analyseverktøy'!O143</f>
        <v>0</v>
      </c>
      <c r="CQ150" s="35">
        <f>'Pre-analyseverktøy'!V143</f>
        <v>0</v>
      </c>
      <c r="CR150" s="35" t="str">
        <f>'Pre-analyseverktøy'!F143</f>
        <v>Endringsdyktighet og ombrukbarhet - anbefalinger (EU taksonomi: krit 2-3)</v>
      </c>
      <c r="CS150" s="35" t="b">
        <f t="shared" si="245"/>
        <v>1</v>
      </c>
    </row>
    <row r="151" spans="1:97" ht="15.75" thickBot="1">
      <c r="A151">
        <v>143</v>
      </c>
      <c r="B151" t="str">
        <f>$D$148&amp;D151</f>
        <v>Mat 07c</v>
      </c>
      <c r="C151" t="str">
        <f t="shared" si="240"/>
        <v>Mat 07</v>
      </c>
      <c r="D151" s="156" t="s">
        <v>777</v>
      </c>
      <c r="E151" s="930" t="s">
        <v>1059</v>
      </c>
      <c r="F151" s="583">
        <v>1</v>
      </c>
      <c r="G151" s="583">
        <v>1</v>
      </c>
      <c r="H151" s="583">
        <v>1</v>
      </c>
      <c r="I151" s="583">
        <v>1</v>
      </c>
      <c r="J151" s="583">
        <v>1</v>
      </c>
      <c r="K151" s="583">
        <v>1</v>
      </c>
      <c r="L151" s="583">
        <v>1</v>
      </c>
      <c r="M151" s="583">
        <v>1</v>
      </c>
      <c r="N151" s="583">
        <v>1</v>
      </c>
      <c r="O151" s="583">
        <v>1</v>
      </c>
      <c r="P151" s="583">
        <v>1</v>
      </c>
      <c r="Q151" s="583">
        <v>1</v>
      </c>
      <c r="R151" s="583">
        <v>1</v>
      </c>
      <c r="T151" s="136">
        <f t="shared" si="208"/>
        <v>1</v>
      </c>
      <c r="U151" s="155"/>
      <c r="V151" s="40"/>
      <c r="W151" s="40"/>
      <c r="X151" s="40"/>
      <c r="Y151" s="648"/>
      <c r="Z151" s="135">
        <f>VLOOKUP(B151,'Manuell filtrering og justering'!$A$7:$H$253,'Manuell filtrering og justering'!$H$1,FALSE)</f>
        <v>1</v>
      </c>
      <c r="AA151" s="136">
        <f t="shared" si="209"/>
        <v>0</v>
      </c>
      <c r="AB151" s="137">
        <f>IF($AC$5='Manuell filtrering og justering'!$J$2,Z151,(T151-AA151))</f>
        <v>1</v>
      </c>
      <c r="AC151" s="496">
        <v>151</v>
      </c>
      <c r="AD151" s="138">
        <f t="shared" si="210"/>
        <v>8.0952380952380963E-3</v>
      </c>
      <c r="AE151" s="138">
        <f t="shared" si="217"/>
        <v>0</v>
      </c>
      <c r="AF151" s="138">
        <f t="shared" si="218"/>
        <v>0</v>
      </c>
      <c r="AG151" s="138">
        <f t="shared" si="219"/>
        <v>0</v>
      </c>
      <c r="AI151" s="139">
        <f t="shared" si="247"/>
        <v>0</v>
      </c>
      <c r="AJ151" s="139">
        <f t="shared" si="248"/>
        <v>0</v>
      </c>
      <c r="AK151" s="139">
        <f t="shared" si="249"/>
        <v>0</v>
      </c>
      <c r="AM151" s="646"/>
      <c r="AN151" s="647"/>
      <c r="AO151" s="647"/>
      <c r="AP151" s="647">
        <v>1</v>
      </c>
      <c r="AQ151" s="639">
        <v>1</v>
      </c>
      <c r="AR151" s="111"/>
      <c r="AS151" s="646"/>
      <c r="AT151" s="647"/>
      <c r="AU151" s="647"/>
      <c r="AV151" s="647">
        <v>1</v>
      </c>
      <c r="AW151" s="639">
        <v>1</v>
      </c>
      <c r="AY151" s="155"/>
      <c r="AZ151" s="40"/>
      <c r="BA151" s="40"/>
      <c r="BB151" s="149">
        <f>IF($AB151=0,0,IF($E$6=$H$9,AV151,AP151))</f>
        <v>1</v>
      </c>
      <c r="BC151" s="149">
        <f>IF($AB151=0,0,IF($E$6=$H$9,AW151,AQ151))</f>
        <v>1</v>
      </c>
      <c r="BD151" s="148">
        <f>IF(BC151=0,9,IF(AI151&gt;=BC151,5,IF(AI151&gt;=BB151,4,IF(AI151&gt;=BA151,3,IF(AI151&gt;=AZ151,2,IF(AI151&lt;AY151,0,1))))))</f>
        <v>3</v>
      </c>
      <c r="BE151" s="35" t="str">
        <f t="shared" si="212"/>
        <v>Very Good</v>
      </c>
      <c r="BF151" s="151"/>
      <c r="BG151" s="148">
        <f>IF(BC151=0,9,IF(AJ151&gt;=BC151,5,IF(AJ151&gt;=BB151,4,IF(AJ151&gt;=BA151,3,IF(AJ151&gt;=AZ151,2,IF(AJ151&lt;AY151,0,1))))))</f>
        <v>3</v>
      </c>
      <c r="BH151" s="35" t="str">
        <f t="shared" si="214"/>
        <v>Very Good</v>
      </c>
      <c r="BI151" s="151"/>
      <c r="BJ151" s="148">
        <f>IF(BC151=0,9,IF(AK151&gt;=BC151,5,IF(AK151&gt;=BB151,4,IF(AK151&gt;=BA151,3,IF(AK151&gt;=AZ151,2,IF(AK151&lt;AY151,0,1))))))</f>
        <v>3</v>
      </c>
      <c r="BK151" s="35" t="str">
        <f t="shared" si="216"/>
        <v>Very Good</v>
      </c>
      <c r="BL151" s="643"/>
      <c r="BO151" s="35"/>
      <c r="BP151" s="35">
        <v>1</v>
      </c>
      <c r="BQ151" s="35">
        <f t="shared" si="239"/>
        <v>1</v>
      </c>
      <c r="BR151" s="35">
        <f t="shared" si="144"/>
        <v>0</v>
      </c>
      <c r="BS151" s="35">
        <f t="shared" si="145"/>
        <v>0</v>
      </c>
      <c r="BT151" s="35">
        <f t="shared" si="146"/>
        <v>0</v>
      </c>
      <c r="BW151" s="522"/>
      <c r="BX151" s="522"/>
      <c r="BY151" s="522"/>
      <c r="BZ151" s="522"/>
      <c r="CA151" s="522"/>
      <c r="CB151" s="522"/>
      <c r="CO151" s="35">
        <f>'Pre-analyseverktøy'!H144</f>
        <v>0</v>
      </c>
      <c r="CP151" s="35">
        <f>'Pre-analyseverktøy'!O144</f>
        <v>0</v>
      </c>
      <c r="CQ151" s="35">
        <f>'Pre-analyseverktøy'!V144</f>
        <v>0</v>
      </c>
      <c r="CR151" s="35" t="str">
        <f>'Pre-analyseverktøy'!F144</f>
        <v>Endringsdyktighet og ombrukbarhet - gjennomføring (EU taksonomi: krit 4-6)</v>
      </c>
      <c r="CS151" s="35" t="b">
        <f t="shared" si="245"/>
        <v>1</v>
      </c>
    </row>
    <row r="152" spans="1:97" ht="15.75" thickBot="1">
      <c r="A152">
        <v>144</v>
      </c>
      <c r="B152" t="s">
        <v>472</v>
      </c>
      <c r="D152" s="524"/>
      <c r="E152" s="523" t="s">
        <v>771</v>
      </c>
      <c r="F152" s="580">
        <f>F126+F130+F134+F138+F144+F148</f>
        <v>21</v>
      </c>
      <c r="G152" s="580">
        <f t="shared" ref="G152:R152" si="250">G126+G130+G134+G138+G144+G148</f>
        <v>21</v>
      </c>
      <c r="H152" s="580">
        <f t="shared" si="250"/>
        <v>21</v>
      </c>
      <c r="I152" s="580">
        <f t="shared" si="250"/>
        <v>21</v>
      </c>
      <c r="J152" s="580">
        <f t="shared" si="250"/>
        <v>21</v>
      </c>
      <c r="K152" s="580">
        <f t="shared" si="250"/>
        <v>21</v>
      </c>
      <c r="L152" s="580">
        <f t="shared" si="250"/>
        <v>21</v>
      </c>
      <c r="M152" s="580">
        <f t="shared" si="250"/>
        <v>21</v>
      </c>
      <c r="N152" s="580">
        <f t="shared" si="250"/>
        <v>21</v>
      </c>
      <c r="O152" s="580">
        <f t="shared" si="250"/>
        <v>21</v>
      </c>
      <c r="P152" s="580">
        <f t="shared" si="250"/>
        <v>21</v>
      </c>
      <c r="Q152" s="580">
        <f>Q126+Q130+Q134+Q138+Q144+Q148</f>
        <v>21</v>
      </c>
      <c r="R152" s="580">
        <f t="shared" si="250"/>
        <v>21</v>
      </c>
      <c r="T152" s="183">
        <f t="shared" si="208"/>
        <v>21</v>
      </c>
      <c r="U152" s="164"/>
      <c r="V152" s="165"/>
      <c r="W152" s="165"/>
      <c r="X152" s="165"/>
      <c r="Y152" s="166"/>
      <c r="Z152" s="166"/>
      <c r="AA152" s="580">
        <f t="shared" ref="AA152:AG152" si="251">AA126+AA130+AA134+AA138+AA144+AA148</f>
        <v>0</v>
      </c>
      <c r="AB152" s="580">
        <f t="shared" si="251"/>
        <v>21</v>
      </c>
      <c r="AC152" s="496">
        <v>152</v>
      </c>
      <c r="AD152" s="168">
        <f t="shared" si="251"/>
        <v>0.17000000000000004</v>
      </c>
      <c r="AE152" s="168">
        <f t="shared" si="251"/>
        <v>0</v>
      </c>
      <c r="AF152" s="168">
        <f t="shared" si="251"/>
        <v>0</v>
      </c>
      <c r="AG152" s="168">
        <f t="shared" si="251"/>
        <v>0</v>
      </c>
      <c r="AI152" s="64">
        <f>AI126+AI130+AI134+AI138+AI144+AI148</f>
        <v>0</v>
      </c>
      <c r="AJ152" s="64">
        <f>AJ126+AJ130+AJ134+AJ138+AJ144+AJ148</f>
        <v>0</v>
      </c>
      <c r="AK152" s="64">
        <f>AK126+AK130+AK134+AK138+AK144+AK148</f>
        <v>0</v>
      </c>
      <c r="AM152" s="111"/>
      <c r="AN152" s="111"/>
      <c r="AO152" s="111"/>
      <c r="AP152" s="111"/>
      <c r="AQ152" s="111"/>
      <c r="AR152" s="111"/>
      <c r="AS152" s="111"/>
      <c r="AT152" s="111"/>
      <c r="AU152" s="111"/>
      <c r="AV152" s="111"/>
      <c r="AW152" s="111"/>
      <c r="AZ152" s="169"/>
      <c r="BW152" s="42"/>
      <c r="BX152" s="42" t="str">
        <f>IFERROR(VLOOKUP($E152,'Pre-analyseverktøy'!$F$11:$AC$226,'Pre-analyseverktøy'!AC$2,FALSE),"")</f>
        <v/>
      </c>
      <c r="BY152" s="42" t="str">
        <f>IFERROR(VLOOKUP($E152,'Pre-analyseverktøy'!$F$11:$AJ$226,'Pre-analyseverktøy'!AJ$2,FALSE),"")</f>
        <v/>
      </c>
      <c r="BZ152" s="42" t="str">
        <f t="shared" ref="BZ152:CA155" si="252">IFERROR(VLOOKUP($BX152,$E$293:$H$326,F$291,FALSE),"")</f>
        <v/>
      </c>
      <c r="CA152" s="42" t="str">
        <f t="shared" si="252"/>
        <v/>
      </c>
      <c r="CB152" s="42"/>
      <c r="CC152" t="str">
        <f>IFERROR(VLOOKUP($BX152,$E$293:$H$326,I$291,FALSE),"")</f>
        <v/>
      </c>
    </row>
    <row r="153" spans="1:97" ht="15.75" thickBot="1">
      <c r="A153">
        <v>145</v>
      </c>
      <c r="AC153" s="496">
        <v>153</v>
      </c>
      <c r="AI153" s="1"/>
      <c r="AJ153" s="1"/>
      <c r="AK153" s="1"/>
      <c r="AM153" s="111"/>
      <c r="AN153" s="111"/>
      <c r="AO153" s="111"/>
      <c r="AP153" s="111"/>
      <c r="AQ153" s="111"/>
      <c r="AR153" s="111"/>
      <c r="AS153" s="111"/>
      <c r="AT153" s="111"/>
      <c r="AU153" s="111"/>
      <c r="AV153" s="111"/>
      <c r="AW153" s="111"/>
      <c r="BX153" t="str">
        <f>IFERROR(VLOOKUP($E153,'Pre-analyseverktøy'!$F$11:$AC$226,'Pre-analyseverktøy'!AC$2,FALSE),"")</f>
        <v/>
      </c>
      <c r="BY153" t="str">
        <f>IFERROR(VLOOKUP($E153,'Pre-analyseverktøy'!$F$11:$AJ$226,'Pre-analyseverktøy'!AJ$2,FALSE),"")</f>
        <v/>
      </c>
      <c r="BZ153" t="str">
        <f t="shared" si="252"/>
        <v/>
      </c>
      <c r="CA153" t="str">
        <f t="shared" si="252"/>
        <v/>
      </c>
      <c r="CC153" t="str">
        <f>IFERROR(VLOOKUP($BX153,$E$293:$H$326,I$291,FALSE),"")</f>
        <v/>
      </c>
    </row>
    <row r="154" spans="1:97" ht="60.75" thickBot="1">
      <c r="A154">
        <v>146</v>
      </c>
      <c r="D154" s="115"/>
      <c r="E154" s="39" t="s">
        <v>1060</v>
      </c>
      <c r="F154" s="917" t="str">
        <f>$F$9</f>
        <v>Kontorbygg</v>
      </c>
      <c r="G154" s="917" t="str">
        <f>$G$9</f>
        <v>Handelsbygg</v>
      </c>
      <c r="H154" s="921" t="str">
        <f>$H$9</f>
        <v>Boligbygg</v>
      </c>
      <c r="I154" s="917" t="str">
        <f>$I$9</f>
        <v>Industribygg</v>
      </c>
      <c r="J154" s="919" t="str">
        <f>$J$9</f>
        <v>Helseinstitusjoner</v>
      </c>
      <c r="K154" s="919" t="str">
        <f>$K$9</f>
        <v>Fengsel</v>
      </c>
      <c r="L154" s="919" t="str">
        <f>$L$9</f>
        <v>Tinghus</v>
      </c>
      <c r="M154" s="923" t="str">
        <f>$M$9</f>
        <v>Døgninstitusjonsbygg (langtidsopphold)</v>
      </c>
      <c r="N154" s="698" t="str">
        <f>$N$9</f>
        <v>Døgninstitusjonsbygg (korttidsopphold)</v>
      </c>
      <c r="O154" s="698" t="str">
        <f>$O$9</f>
        <v>Institusjoner ikke til boligbruk</v>
      </c>
      <c r="P154" s="698" t="str">
        <f>$P$9</f>
        <v>Møtesteder og fritid</v>
      </c>
      <c r="Q154" s="919" t="str">
        <f>$Q$9</f>
        <v>Undervisningsbygg</v>
      </c>
      <c r="R154" s="651" t="str">
        <f>$R$9</f>
        <v>Annet</v>
      </c>
      <c r="T154" s="110" t="str">
        <f>$E$6</f>
        <v>Kontorbygg</v>
      </c>
      <c r="U154" s="170"/>
      <c r="V154" s="171"/>
      <c r="W154" s="171"/>
      <c r="X154" s="171"/>
      <c r="Y154" s="855" t="s">
        <v>920</v>
      </c>
      <c r="Z154" s="287" t="s">
        <v>23</v>
      </c>
      <c r="AA154" s="119" t="s">
        <v>771</v>
      </c>
      <c r="AB154" s="45" t="s">
        <v>908</v>
      </c>
      <c r="AC154" s="496">
        <v>154</v>
      </c>
      <c r="AI154" s="28"/>
      <c r="AJ154" s="46"/>
      <c r="AK154" s="46"/>
      <c r="AM154" s="111"/>
      <c r="AN154" s="111"/>
      <c r="AO154" s="111"/>
      <c r="AP154" s="111"/>
      <c r="AQ154" s="111"/>
      <c r="AR154" s="111"/>
      <c r="AS154" s="111"/>
      <c r="AT154" s="111"/>
      <c r="AU154" s="111"/>
      <c r="AV154" s="111"/>
      <c r="AW154" s="111"/>
      <c r="BO154" s="46"/>
      <c r="BP154" s="46"/>
      <c r="BQ154" s="46"/>
      <c r="BR154" s="46"/>
      <c r="BS154" s="46"/>
      <c r="BT154" s="46"/>
      <c r="BW154" s="39"/>
      <c r="BX154" s="39" t="str">
        <f>E154</f>
        <v>Avfall</v>
      </c>
      <c r="BY154" s="39">
        <f>IFERROR(VLOOKUP($E154,'Pre-analyseverktøy'!$F$11:$AJ$226,'Pre-analyseverktøy'!AJ$2,FALSE),"")</f>
        <v>0</v>
      </c>
      <c r="BZ154" s="39" t="str">
        <f t="shared" si="252"/>
        <v/>
      </c>
      <c r="CA154" s="39" t="str">
        <f t="shared" si="252"/>
        <v/>
      </c>
      <c r="CB154" s="39"/>
      <c r="CC154" t="str">
        <f>IFERROR(VLOOKUP($BX154,$E$293:$H$326,I$291,FALSE),"")</f>
        <v/>
      </c>
    </row>
    <row r="155" spans="1:97" ht="30">
      <c r="A155">
        <v>147</v>
      </c>
      <c r="B155" s="109" t="str">
        <f>D155</f>
        <v>Wst 01</v>
      </c>
      <c r="C155" s="109" t="str">
        <f>B155</f>
        <v>Wst 01</v>
      </c>
      <c r="D155" s="630" t="s">
        <v>478</v>
      </c>
      <c r="E155" s="987" t="s">
        <v>1061</v>
      </c>
      <c r="F155" s="711">
        <f>SUM(F156:F158)</f>
        <v>5</v>
      </c>
      <c r="G155" s="711">
        <f t="shared" ref="G155:R155" si="253">SUM(G156:G158)</f>
        <v>5</v>
      </c>
      <c r="H155" s="711">
        <f t="shared" si="253"/>
        <v>5</v>
      </c>
      <c r="I155" s="711">
        <f t="shared" si="253"/>
        <v>5</v>
      </c>
      <c r="J155" s="711">
        <f t="shared" si="253"/>
        <v>5</v>
      </c>
      <c r="K155" s="711">
        <f t="shared" si="253"/>
        <v>5</v>
      </c>
      <c r="L155" s="711">
        <f t="shared" si="253"/>
        <v>5</v>
      </c>
      <c r="M155" s="711">
        <f t="shared" si="253"/>
        <v>5</v>
      </c>
      <c r="N155" s="711">
        <f t="shared" si="253"/>
        <v>5</v>
      </c>
      <c r="O155" s="711">
        <f t="shared" si="253"/>
        <v>5</v>
      </c>
      <c r="P155" s="711">
        <f t="shared" si="253"/>
        <v>5</v>
      </c>
      <c r="Q155" s="711">
        <f>SUM(Q156:Q158)</f>
        <v>5</v>
      </c>
      <c r="R155" s="711">
        <f t="shared" si="253"/>
        <v>5</v>
      </c>
      <c r="T155" s="729">
        <f>HLOOKUP($E$6,$F$9:$R$231,$A155,FALSE)</f>
        <v>5</v>
      </c>
      <c r="U155" s="179"/>
      <c r="V155" s="53"/>
      <c r="W155" s="53"/>
      <c r="X155" s="53">
        <f>'Manuell filtrering og justering'!E68</f>
        <v>0</v>
      </c>
      <c r="Y155" s="53"/>
      <c r="Z155" s="711">
        <f>SUM(Z156:Z158)</f>
        <v>5</v>
      </c>
      <c r="AA155" s="731">
        <f>IF(SUM(U155:Y155)&gt;T155,T155,SUM(U155:Y155))</f>
        <v>0</v>
      </c>
      <c r="AB155" s="782">
        <f>SUM(AB156:AB158)</f>
        <v>5</v>
      </c>
      <c r="AC155" s="496">
        <v>155</v>
      </c>
      <c r="AD155" s="138">
        <f t="shared" ref="AD155:AD165" si="254">(Wst_Weight/Wst_Credits)*AB155</f>
        <v>0.05</v>
      </c>
      <c r="AE155" s="701">
        <f>SUM(AE156:AE158)</f>
        <v>0</v>
      </c>
      <c r="AF155" s="701">
        <f>SUM(AF156:AF158)</f>
        <v>0</v>
      </c>
      <c r="AG155" s="701">
        <f>SUM(AG156:AG158)</f>
        <v>0</v>
      </c>
      <c r="AI155" s="711">
        <f>SUM(AI156:AI158)</f>
        <v>0</v>
      </c>
      <c r="AJ155" s="711">
        <f>SUM(AJ156:AJ158)</f>
        <v>0</v>
      </c>
      <c r="AK155" s="711">
        <f>SUM(AK156:AK158)</f>
        <v>0</v>
      </c>
      <c r="AM155" s="242"/>
      <c r="AN155" s="243"/>
      <c r="AO155" s="243"/>
      <c r="AP155" s="243"/>
      <c r="AQ155" s="244"/>
      <c r="AR155" s="111"/>
      <c r="AS155" s="242"/>
      <c r="AT155" s="243"/>
      <c r="AU155" s="243"/>
      <c r="AV155" s="243"/>
      <c r="AW155" s="244"/>
      <c r="AY155" s="141"/>
      <c r="AZ155" s="142"/>
      <c r="BA155" s="142"/>
      <c r="BB155" s="142"/>
      <c r="BC155" s="185"/>
      <c r="BD155" s="141">
        <f>IF(BC155=0,9,IF(AI155&gt;=BC155,5,IF(AI155&gt;=BB155,4,IF(AI155&gt;=BA155,3,IF(AI155&gt;=AZ155,2,IF(AI155&lt;AY155,0,1))))))</f>
        <v>9</v>
      </c>
      <c r="BE155" s="35" t="str">
        <f t="shared" ref="BE155:BE165" si="255">IF(BD155=$BO$290,$BT$290,IF(BD155=$BO$289,$BT$289,IF(BD155=$BO$288,$BT$288,IF(BD155=$BO$287,$BT$287,IF(BD155=$BO$286,$BT$286,IF(BD155=$BO$285,$BT$285,$BT$284))))))</f>
        <v>N/A</v>
      </c>
      <c r="BF155" s="145"/>
      <c r="BG155" s="141">
        <f>IF(BC155=0,9,IF(AJ155&gt;=BC155,5,IF(AJ155&gt;=BB155,4,IF(AJ155&gt;=BA155,3,IF(AJ155&gt;=AZ155,2,IF(AJ155&lt;AY155,0,1))))))</f>
        <v>9</v>
      </c>
      <c r="BH155" s="35" t="str">
        <f t="shared" ref="BH155:BH165" si="256">IF(BG155=$BO$290,$BT$290,IF(BG155=$BO$289,$BT$289,IF(BG155=$BO$288,$BT$288,IF(BG155=$BO$287,$BT$287,IF(BG155=$BO$286,$BT$286,IF(BG155=$BO$285,$BT$285,$BT$284))))))</f>
        <v>N/A</v>
      </c>
      <c r="BI155" s="145"/>
      <c r="BJ155" s="141">
        <f>IF(BC155=0,9,IF(AK155&gt;=BC155,5,IF(AK155&gt;=BB155,4,IF(AK155&gt;=BA155,3,IF(AK155&gt;=AZ155,2,IF(AK155&lt;AY155,0,1))))))</f>
        <v>9</v>
      </c>
      <c r="BK155" s="35" t="str">
        <f t="shared" ref="BK155:BK165" si="257">IF(BJ155=$BO$290,$BT$290,IF(BJ155=$BO$289,$BT$289,IF(BJ155=$BO$288,$BT$288,IF(BJ155=$BO$287,$BT$287,IF(BJ155=$BO$286,$BT$286,IF(BJ155=$BO$285,$BT$285,$BT$284))))))</f>
        <v>N/A</v>
      </c>
      <c r="BL155" s="145"/>
      <c r="BO155" s="35"/>
      <c r="BP155" s="35"/>
      <c r="BQ155" s="35" t="str">
        <f t="shared" si="239"/>
        <v/>
      </c>
      <c r="BR155" s="35">
        <f t="shared" si="144"/>
        <v>9</v>
      </c>
      <c r="BS155" s="35">
        <f t="shared" si="145"/>
        <v>9</v>
      </c>
      <c r="BT155" s="35">
        <f t="shared" si="146"/>
        <v>9</v>
      </c>
      <c r="BW155" s="37" t="str">
        <f>D155</f>
        <v>Wst 01</v>
      </c>
      <c r="BX155" s="37" t="str">
        <f>IFERROR(VLOOKUP($E155,'Pre-analyseverktøy'!$F$11:$AC$226,'Pre-analyseverktøy'!AC$2,FALSE),"")</f>
        <v>N/A</v>
      </c>
      <c r="BY155" s="37">
        <f>IFERROR(VLOOKUP($E155,'Pre-analyseverktøy'!$F$11:$AJ$226,'Pre-analyseverktøy'!AJ$2,FALSE),"")</f>
        <v>0</v>
      </c>
      <c r="BZ155" s="37">
        <f t="shared" si="252"/>
        <v>1</v>
      </c>
      <c r="CA155" s="37">
        <f t="shared" si="252"/>
        <v>0</v>
      </c>
      <c r="CB155" s="37"/>
      <c r="CC155" t="s">
        <v>958</v>
      </c>
    </row>
    <row r="156" spans="1:97">
      <c r="A156">
        <v>148</v>
      </c>
      <c r="B156" t="str">
        <f>$D$155&amp;D156</f>
        <v>Wst 01a</v>
      </c>
      <c r="C156" t="str">
        <f t="shared" si="240"/>
        <v>Wst 01</v>
      </c>
      <c r="D156" s="132" t="s">
        <v>775</v>
      </c>
      <c r="E156" s="827" t="s">
        <v>1062</v>
      </c>
      <c r="F156" s="716">
        <v>1</v>
      </c>
      <c r="G156" s="716">
        <v>1</v>
      </c>
      <c r="H156" s="716">
        <v>1</v>
      </c>
      <c r="I156" s="716">
        <v>1</v>
      </c>
      <c r="J156" s="716">
        <v>1</v>
      </c>
      <c r="K156" s="716">
        <v>1</v>
      </c>
      <c r="L156" s="716">
        <v>1</v>
      </c>
      <c r="M156" s="716">
        <v>1</v>
      </c>
      <c r="N156" s="716">
        <v>1</v>
      </c>
      <c r="O156" s="716">
        <v>1</v>
      </c>
      <c r="P156" s="716">
        <v>1</v>
      </c>
      <c r="Q156" s="716">
        <v>1</v>
      </c>
      <c r="R156" s="716">
        <v>1</v>
      </c>
      <c r="T156" s="136">
        <f>HLOOKUP($E$6,$F$9:$R$231,$A156,FALSE)</f>
        <v>1</v>
      </c>
      <c r="U156" s="134"/>
      <c r="V156" s="35"/>
      <c r="W156" s="35"/>
      <c r="X156" s="35"/>
      <c r="Y156" s="135"/>
      <c r="Z156" s="135">
        <f>VLOOKUP(B156,'Manuell filtrering og justering'!$A$7:$H$253,'Manuell filtrering og justering'!$H$1,FALSE)</f>
        <v>1</v>
      </c>
      <c r="AA156" s="136">
        <f>IF(SUM(U156:Y156)&gt;T156,T156,SUM(U156:Y156))</f>
        <v>0</v>
      </c>
      <c r="AB156" s="137">
        <f>IF($AC$5='Manuell filtrering og justering'!$J$2,Z156,(T156-AA156))</f>
        <v>1</v>
      </c>
      <c r="AC156" s="496">
        <v>156</v>
      </c>
      <c r="AD156" s="138">
        <f t="shared" si="254"/>
        <v>0.01</v>
      </c>
      <c r="AE156" s="138">
        <f t="shared" ref="AE156:AE165" si="258">IF(AB156=0,0,(AD156/AB156)*AI156)</f>
        <v>0</v>
      </c>
      <c r="AF156" s="138">
        <f t="shared" ref="AF156:AF165" si="259">IF(AB156=0,0,(AD156/AB156)*AJ156)</f>
        <v>0</v>
      </c>
      <c r="AG156" s="138">
        <f t="shared" ref="AG156:AG165" si="260">IF(AB156=0,0,(AD156/AB156)*AK156)</f>
        <v>0</v>
      </c>
      <c r="AI156" s="139">
        <f t="shared" ref="AI156:AI158" si="261">IF(CO156&gt;$AB156,$AB156,CO156)</f>
        <v>0</v>
      </c>
      <c r="AJ156" s="139">
        <f t="shared" ref="AJ156:AJ158" si="262">IF(CP156&gt;$AB156,$AB156,CP156)</f>
        <v>0</v>
      </c>
      <c r="AK156" s="139">
        <f t="shared" ref="AK156:AK158" si="263">IF(CQ156&gt;$AB156,$AB156,CQ156)</f>
        <v>0</v>
      </c>
      <c r="AM156" s="632"/>
      <c r="AN156" s="633"/>
      <c r="AO156" s="633">
        <v>1</v>
      </c>
      <c r="AP156" s="633">
        <v>1</v>
      </c>
      <c r="AQ156" s="634">
        <v>1</v>
      </c>
      <c r="AR156" s="111"/>
      <c r="AS156" s="632"/>
      <c r="AT156" s="633"/>
      <c r="AU156" s="633">
        <v>1</v>
      </c>
      <c r="AV156" s="633">
        <v>1</v>
      </c>
      <c r="AW156" s="634">
        <v>1</v>
      </c>
      <c r="AY156" s="625"/>
      <c r="AZ156" s="626"/>
      <c r="BA156" s="149">
        <f>IF($AB156=0,0,IF($E$6=$H$9,AU156,AO156))</f>
        <v>1</v>
      </c>
      <c r="BB156" s="149">
        <f>IF($AB156=0,0,IF($E$6=$H$9,AV156,AP156))</f>
        <v>1</v>
      </c>
      <c r="BC156" s="149">
        <f>IF($AB156=0,0,IF($E$6=$H$9,AW156,AQ156))</f>
        <v>1</v>
      </c>
      <c r="BD156" s="148">
        <f>IF(BC156=0,9,IF(AI156&gt;=BC156,5,IF(AI156&gt;=BB156,4,IF(AI156&gt;=BA156,3,IF(AI156&gt;=AZ156,2,IF(AI156&lt;AY156,0,1))))))</f>
        <v>2</v>
      </c>
      <c r="BE156" s="35" t="str">
        <f t="shared" si="255"/>
        <v>Good</v>
      </c>
      <c r="BF156" s="151"/>
      <c r="BG156" s="148">
        <f>IF(BC156=0,9,IF(AJ156&gt;=BC156,5,IF(AJ156&gt;=BB156,4,IF(AJ156&gt;=BA156,3,IF(AJ156&gt;=AZ156,2,IF(AJ156&lt;AY156,0,1))))))</f>
        <v>2</v>
      </c>
      <c r="BH156" s="35" t="str">
        <f t="shared" si="256"/>
        <v>Good</v>
      </c>
      <c r="BI156" s="151"/>
      <c r="BJ156" s="148">
        <f>IF(BC156=0,9,IF(AK156&gt;=BC156,5,IF(AK156&gt;=BB156,4,IF(AK156&gt;=BA156,3,IF(AK156&gt;=AZ156,2,IF(AK156&lt;AY156,0,1))))))</f>
        <v>2</v>
      </c>
      <c r="BK156" s="35" t="str">
        <f t="shared" si="257"/>
        <v>Good</v>
      </c>
      <c r="BL156" s="627"/>
      <c r="BO156" s="35"/>
      <c r="BP156" s="870">
        <f>1*0</f>
        <v>0</v>
      </c>
      <c r="BQ156" s="35">
        <f t="shared" si="239"/>
        <v>0</v>
      </c>
      <c r="BR156" s="35">
        <f t="shared" si="144"/>
        <v>5</v>
      </c>
      <c r="BS156" s="35">
        <f t="shared" si="145"/>
        <v>5</v>
      </c>
      <c r="BT156" s="35">
        <f t="shared" si="146"/>
        <v>5</v>
      </c>
      <c r="BW156" s="37"/>
      <c r="BX156" s="37"/>
      <c r="BY156" s="37"/>
      <c r="BZ156" s="37"/>
      <c r="CA156" s="37"/>
      <c r="CB156" s="37"/>
      <c r="CO156" s="35">
        <f>'Pre-analyseverktøy'!H149</f>
        <v>0</v>
      </c>
      <c r="CP156" s="35">
        <f>'Pre-analyseverktøy'!O149</f>
        <v>0</v>
      </c>
      <c r="CQ156" s="35">
        <f>'Pre-analyseverktøy'!V149</f>
        <v>0</v>
      </c>
      <c r="CR156" s="35" t="str">
        <f>'Pre-analyseverktøy'!F149</f>
        <v>Ressursstyringsplan</v>
      </c>
      <c r="CS156" s="35" t="b">
        <f t="shared" si="245"/>
        <v>1</v>
      </c>
    </row>
    <row r="157" spans="1:97">
      <c r="A157">
        <v>149</v>
      </c>
      <c r="B157" t="str">
        <f>$D$155&amp;D157</f>
        <v>Wst 01b</v>
      </c>
      <c r="C157" t="str">
        <f t="shared" si="240"/>
        <v>Wst 01</v>
      </c>
      <c r="D157" s="132" t="s">
        <v>776</v>
      </c>
      <c r="E157" s="827" t="s">
        <v>1063</v>
      </c>
      <c r="F157" s="716">
        <v>2</v>
      </c>
      <c r="G157" s="716">
        <v>2</v>
      </c>
      <c r="H157" s="716">
        <v>2</v>
      </c>
      <c r="I157" s="716">
        <v>2</v>
      </c>
      <c r="J157" s="716">
        <v>2</v>
      </c>
      <c r="K157" s="716">
        <v>2</v>
      </c>
      <c r="L157" s="716">
        <v>2</v>
      </c>
      <c r="M157" s="716">
        <v>2</v>
      </c>
      <c r="N157" s="716">
        <v>2</v>
      </c>
      <c r="O157" s="716">
        <v>2</v>
      </c>
      <c r="P157" s="716">
        <v>2</v>
      </c>
      <c r="Q157" s="716">
        <v>2</v>
      </c>
      <c r="R157" s="716">
        <v>2</v>
      </c>
      <c r="T157" s="136">
        <f>HLOOKUP($E$6,$F$9:$R$231,$A157,FALSE)</f>
        <v>2</v>
      </c>
      <c r="U157" s="134"/>
      <c r="V157" s="35"/>
      <c r="W157" s="35"/>
      <c r="X157" s="35"/>
      <c r="Y157" s="135"/>
      <c r="Z157" s="135">
        <f>VLOOKUP(B157,'Manuell filtrering og justering'!$A$7:$H$253,'Manuell filtrering og justering'!$H$1,FALSE)</f>
        <v>2</v>
      </c>
      <c r="AA157" s="136">
        <f>IF(SUM(U157:Y157)&gt;T157,T157,SUM(U157:Y157))</f>
        <v>0</v>
      </c>
      <c r="AB157" s="137">
        <f>IF($AC$5='Manuell filtrering og justering'!$J$2,Z157,(T157-AA157))</f>
        <v>2</v>
      </c>
      <c r="AC157" s="496">
        <v>157</v>
      </c>
      <c r="AD157" s="138">
        <f t="shared" si="254"/>
        <v>0.02</v>
      </c>
      <c r="AE157" s="138">
        <f t="shared" si="258"/>
        <v>0</v>
      </c>
      <c r="AF157" s="138">
        <f t="shared" si="259"/>
        <v>0</v>
      </c>
      <c r="AG157" s="138">
        <f t="shared" si="260"/>
        <v>0</v>
      </c>
      <c r="AI157" s="139">
        <f t="shared" si="261"/>
        <v>0</v>
      </c>
      <c r="AJ157" s="139">
        <f t="shared" si="262"/>
        <v>0</v>
      </c>
      <c r="AK157" s="139">
        <f t="shared" si="263"/>
        <v>0</v>
      </c>
      <c r="AM157" s="632"/>
      <c r="AN157" s="633"/>
      <c r="AO157" s="633"/>
      <c r="AP157" s="633"/>
      <c r="AQ157" s="634">
        <v>1</v>
      </c>
      <c r="AR157" s="111"/>
      <c r="AS157" s="632"/>
      <c r="AT157" s="633"/>
      <c r="AU157" s="633"/>
      <c r="AV157" s="633"/>
      <c r="AW157" s="634">
        <v>1</v>
      </c>
      <c r="AY157" s="625"/>
      <c r="AZ157" s="626"/>
      <c r="BA157" s="626"/>
      <c r="BB157" s="626"/>
      <c r="BC157" s="149">
        <f>IF($AB157=0,0,IF($E$6=$H$9,AW157,AQ157))</f>
        <v>1</v>
      </c>
      <c r="BD157" s="148">
        <f>IF(BC157=0,9,IF(AI157&gt;=BC157,5,IF(AI157&gt;=BB157,4,IF(AI157&gt;=BA157,3,IF(AI157&gt;=AZ157,2,IF(AI157&lt;AY157,0,1))))))</f>
        <v>4</v>
      </c>
      <c r="BE157" s="35" t="str">
        <f t="shared" si="255"/>
        <v>Excellent</v>
      </c>
      <c r="BF157" s="151"/>
      <c r="BG157" s="148">
        <f>IF(BC157=0,9,IF(AJ157&gt;=BC157,5,IF(AJ157&gt;=BB157,4,IF(AJ157&gt;=BA157,3,IF(AJ157&gt;=AZ157,2,IF(AJ157&lt;AY157,0,1))))))</f>
        <v>4</v>
      </c>
      <c r="BH157" s="35" t="str">
        <f t="shared" si="256"/>
        <v>Excellent</v>
      </c>
      <c r="BI157" s="151"/>
      <c r="BJ157" s="148">
        <f>IF(BC157=0,9,IF(AK157&gt;=BC157,5,IF(AK157&gt;=BB157,4,IF(AK157&gt;=BA157,3,IF(AK157&gt;=AZ157,2,IF(AK157&lt;AY157,0,1))))))</f>
        <v>4</v>
      </c>
      <c r="BK157" s="35" t="str">
        <f t="shared" si="257"/>
        <v>Excellent</v>
      </c>
      <c r="BL157" s="627"/>
      <c r="BO157" s="35"/>
      <c r="BP157" s="35"/>
      <c r="BQ157" s="35" t="str">
        <f t="shared" si="239"/>
        <v/>
      </c>
      <c r="BR157" s="35">
        <f t="shared" si="144"/>
        <v>9</v>
      </c>
      <c r="BS157" s="35">
        <f t="shared" si="145"/>
        <v>9</v>
      </c>
      <c r="BT157" s="35">
        <f t="shared" si="146"/>
        <v>9</v>
      </c>
      <c r="BW157" s="37"/>
      <c r="BX157" s="37"/>
      <c r="BY157" s="37"/>
      <c r="BZ157" s="37"/>
      <c r="CA157" s="37"/>
      <c r="CB157" s="37"/>
      <c r="CO157" s="35">
        <f>'Pre-analyseverktøy'!H151</f>
        <v>0</v>
      </c>
      <c r="CP157" s="35">
        <f>'Pre-analyseverktøy'!O151</f>
        <v>0</v>
      </c>
      <c r="CQ157" s="35">
        <f>'Pre-analyseverktøy'!V151</f>
        <v>0</v>
      </c>
      <c r="CR157" s="35" t="str">
        <f>'Pre-analyseverktøy'!F151</f>
        <v>Avfallsmengder</v>
      </c>
      <c r="CS157" s="35" t="b">
        <f t="shared" si="245"/>
        <v>1</v>
      </c>
    </row>
    <row r="158" spans="1:97">
      <c r="A158">
        <v>150</v>
      </c>
      <c r="B158" t="str">
        <f>$D$155&amp;D158</f>
        <v>Wst 01c</v>
      </c>
      <c r="C158" t="str">
        <f t="shared" si="240"/>
        <v>Wst 01</v>
      </c>
      <c r="D158" s="132" t="s">
        <v>777</v>
      </c>
      <c r="E158" s="827" t="s">
        <v>1064</v>
      </c>
      <c r="F158" s="716">
        <v>2</v>
      </c>
      <c r="G158" s="716">
        <v>2</v>
      </c>
      <c r="H158" s="716">
        <v>2</v>
      </c>
      <c r="I158" s="716">
        <v>2</v>
      </c>
      <c r="J158" s="716">
        <v>2</v>
      </c>
      <c r="K158" s="716">
        <v>2</v>
      </c>
      <c r="L158" s="716">
        <v>2</v>
      </c>
      <c r="M158" s="716">
        <v>2</v>
      </c>
      <c r="N158" s="716">
        <v>2</v>
      </c>
      <c r="O158" s="716">
        <v>2</v>
      </c>
      <c r="P158" s="716">
        <v>2</v>
      </c>
      <c r="Q158" s="716">
        <v>2</v>
      </c>
      <c r="R158" s="716">
        <v>2</v>
      </c>
      <c r="T158" s="136">
        <f>HLOOKUP($E$6,$F$9:$R$231,$A158,FALSE)</f>
        <v>2</v>
      </c>
      <c r="U158" s="134"/>
      <c r="V158" s="35"/>
      <c r="W158" s="35"/>
      <c r="X158" s="35"/>
      <c r="Y158" s="135"/>
      <c r="Z158" s="135">
        <f>VLOOKUP(B158,'Manuell filtrering og justering'!$A$7:$H$253,'Manuell filtrering og justering'!$H$1,FALSE)</f>
        <v>2</v>
      </c>
      <c r="AA158" s="136">
        <f>IF(SUM(U158:Y158)&gt;T158,T158,SUM(U158:Y158))</f>
        <v>0</v>
      </c>
      <c r="AB158" s="137">
        <f>IF($AC$5='Manuell filtrering og justering'!$J$2,Z158,(T158-AA158))</f>
        <v>2</v>
      </c>
      <c r="AC158" s="496">
        <v>158</v>
      </c>
      <c r="AD158" s="138">
        <f t="shared" si="254"/>
        <v>0.02</v>
      </c>
      <c r="AE158" s="138">
        <f t="shared" si="258"/>
        <v>0</v>
      </c>
      <c r="AF158" s="138">
        <f t="shared" si="259"/>
        <v>0</v>
      </c>
      <c r="AG158" s="138">
        <f t="shared" si="260"/>
        <v>0</v>
      </c>
      <c r="AI158" s="139">
        <f t="shared" si="261"/>
        <v>0</v>
      </c>
      <c r="AJ158" s="139">
        <f t="shared" si="262"/>
        <v>0</v>
      </c>
      <c r="AK158" s="139">
        <f t="shared" si="263"/>
        <v>0</v>
      </c>
      <c r="AM158" s="632"/>
      <c r="AN158" s="633"/>
      <c r="AO158" s="633"/>
      <c r="AP158" s="633">
        <v>2</v>
      </c>
      <c r="AQ158" s="634">
        <v>2</v>
      </c>
      <c r="AR158" s="111"/>
      <c r="AS158" s="632"/>
      <c r="AT158" s="633"/>
      <c r="AU158" s="633"/>
      <c r="AV158" s="633">
        <v>2</v>
      </c>
      <c r="AW158" s="634">
        <v>2</v>
      </c>
      <c r="AY158" s="625"/>
      <c r="AZ158" s="626"/>
      <c r="BA158" s="626"/>
      <c r="BB158" s="149">
        <f>IF($AB158=0,0,IF($E$6=$H$9,AV158,AP158))</f>
        <v>2</v>
      </c>
      <c r="BC158" s="149">
        <f>IF($AB158=0,0,IF($E$6=$H$9,AW158,AQ158))</f>
        <v>2</v>
      </c>
      <c r="BD158" s="845">
        <f>IF(OR(AI158=0,AI158=1),3,IF(AND(AI158=2,BD251=5),5,3))</f>
        <v>3</v>
      </c>
      <c r="BE158" s="35" t="str">
        <f t="shared" si="255"/>
        <v>Very Good</v>
      </c>
      <c r="BF158" s="151"/>
      <c r="BG158" s="845">
        <f>IF(OR(AJ158=0,AJ158=1),3,IF(AND(AJ158=2,BG251=5),5,3))</f>
        <v>3</v>
      </c>
      <c r="BH158" s="35" t="str">
        <f t="shared" si="256"/>
        <v>Very Good</v>
      </c>
      <c r="BI158" s="151"/>
      <c r="BJ158" s="845">
        <f>IF(OR(AK158=0,AK158=1),3,IF(AND(AK158=2,BJ251=5),5,3))</f>
        <v>3</v>
      </c>
      <c r="BK158" s="35" t="str">
        <f t="shared" si="257"/>
        <v>Very Good</v>
      </c>
      <c r="BL158" s="627"/>
      <c r="BO158" s="35"/>
      <c r="BP158" s="870">
        <f>2*0</f>
        <v>0</v>
      </c>
      <c r="BQ158" s="35">
        <f t="shared" si="239"/>
        <v>0</v>
      </c>
      <c r="BR158" s="35">
        <f t="shared" si="144"/>
        <v>5</v>
      </c>
      <c r="BS158" s="35">
        <f t="shared" si="145"/>
        <v>5</v>
      </c>
      <c r="BT158" s="35">
        <f t="shared" si="146"/>
        <v>5</v>
      </c>
      <c r="BW158" s="37"/>
      <c r="BX158" s="37"/>
      <c r="BY158" s="37"/>
      <c r="BZ158" s="37"/>
      <c r="CA158" s="37"/>
      <c r="CB158" s="37"/>
      <c r="CO158" s="35">
        <f>'Pre-analyseverktøy'!H152</f>
        <v>0</v>
      </c>
      <c r="CP158" s="35">
        <f>'Pre-analyseverktøy'!O152</f>
        <v>0</v>
      </c>
      <c r="CQ158" s="35">
        <f>'Pre-analyseverktøy'!V152</f>
        <v>0</v>
      </c>
      <c r="CR158" s="35" t="str">
        <f>'Pre-analyseverktøy'!F152</f>
        <v>Avfallssortering, ombruk og materialgjenvinning</v>
      </c>
      <c r="CS158" s="35" t="b">
        <f t="shared" si="245"/>
        <v>1</v>
      </c>
    </row>
    <row r="159" spans="1:97">
      <c r="A159">
        <v>151</v>
      </c>
      <c r="D159" s="516" t="s">
        <v>806</v>
      </c>
      <c r="E159" s="517"/>
      <c r="F159" s="712"/>
      <c r="G159" s="712"/>
      <c r="H159" s="712"/>
      <c r="I159" s="712"/>
      <c r="J159" s="712"/>
      <c r="K159" s="712"/>
      <c r="L159" s="712"/>
      <c r="M159" s="712"/>
      <c r="N159" s="712"/>
      <c r="O159" s="712"/>
      <c r="P159" s="712"/>
      <c r="Q159" s="712"/>
      <c r="R159" s="712"/>
      <c r="T159" s="724"/>
      <c r="U159" s="516"/>
      <c r="V159" s="515"/>
      <c r="W159" s="515"/>
      <c r="X159" s="515"/>
      <c r="Y159" s="135"/>
      <c r="Z159" s="135"/>
      <c r="AA159" s="724"/>
      <c r="AB159" s="725"/>
      <c r="AC159" s="496">
        <v>159</v>
      </c>
      <c r="AD159" s="138">
        <f t="shared" si="254"/>
        <v>0</v>
      </c>
      <c r="AE159" s="728"/>
      <c r="AF159" s="728"/>
      <c r="AG159" s="728"/>
      <c r="AI159" s="530"/>
      <c r="AJ159" s="530"/>
      <c r="AK159" s="530"/>
      <c r="AM159" s="235"/>
      <c r="AN159" s="147"/>
      <c r="AO159" s="147"/>
      <c r="AP159" s="147"/>
      <c r="AQ159" s="152"/>
      <c r="AR159" s="111"/>
      <c r="AS159" s="235"/>
      <c r="AT159" s="147"/>
      <c r="AU159" s="147"/>
      <c r="AV159" s="147"/>
      <c r="AW159" s="152"/>
      <c r="AY159" s="148"/>
      <c r="AZ159" s="149"/>
      <c r="BA159" s="149"/>
      <c r="BB159" s="149"/>
      <c r="BC159" s="153"/>
      <c r="BD159" s="148">
        <f t="shared" ref="BD159:BD165" si="264">IF(BC159=0,9,IF(AI159&gt;=BC159,5,IF(AI159&gt;=BB159,4,IF(AI159&gt;=BA159,3,IF(AI159&gt;=AZ159,2,IF(AI159&lt;AY159,0,1))))))</f>
        <v>9</v>
      </c>
      <c r="BE159" s="35" t="str">
        <f t="shared" si="255"/>
        <v>N/A</v>
      </c>
      <c r="BF159" s="151"/>
      <c r="BG159" s="148">
        <f t="shared" ref="BG159:BG165" si="265">IF(BC159=0,9,IF(AJ159&gt;=BC159,5,IF(AJ159&gt;=BB159,4,IF(AJ159&gt;=BA159,3,IF(AJ159&gt;=AZ159,2,IF(AJ159&lt;AY159,0,1))))))</f>
        <v>9</v>
      </c>
      <c r="BH159" s="35" t="str">
        <f t="shared" si="256"/>
        <v>N/A</v>
      </c>
      <c r="BI159" s="151"/>
      <c r="BJ159" s="148">
        <f t="shared" ref="BJ159:BJ165" si="266">IF(BC159=0,9,IF(AK159&gt;=BC159,5,IF(AK159&gt;=BB159,4,IF(AK159&gt;=BA159,3,IF(AK159&gt;=AZ159,2,IF(AK159&lt;AY159,0,1))))))</f>
        <v>9</v>
      </c>
      <c r="BK159" s="35" t="str">
        <f t="shared" si="257"/>
        <v>N/A</v>
      </c>
      <c r="BL159" s="151"/>
      <c r="BO159" s="35"/>
      <c r="BP159" s="35"/>
      <c r="BQ159" s="35" t="str">
        <f t="shared" si="239"/>
        <v/>
      </c>
      <c r="BR159" s="35">
        <f t="shared" ref="BR159:BR222" si="267">IF(BQ159="",9,(IF(AI159&gt;=BQ159,5,0)))</f>
        <v>9</v>
      </c>
      <c r="BS159" s="35">
        <f t="shared" ref="BS159:BS222" si="268">IF(BQ159="",9,(IF(AJ159&gt;=BQ159,5,0)))</f>
        <v>9</v>
      </c>
      <c r="BT159" s="35">
        <f t="shared" ref="BT159:BT222" si="269">IF(BQ159="",9,(IF(AK159&gt;=BQ159,5,0)))</f>
        <v>9</v>
      </c>
      <c r="BW159" s="232" t="str">
        <f>D159</f>
        <v>Wst 02</v>
      </c>
      <c r="BX159" s="232" t="str">
        <f>IFERROR(VLOOKUP($E159,'Pre-analyseverktøy'!$F$11:$AC$226,'Pre-analyseverktøy'!AC$2,FALSE),"")</f>
        <v/>
      </c>
      <c r="BY159" s="232" t="str">
        <f>IFERROR(VLOOKUP($E159,'Pre-analyseverktøy'!$F$11:$AJ$226,'Pre-analyseverktøy'!AJ$2,FALSE),"")</f>
        <v/>
      </c>
      <c r="BZ159" s="232" t="str">
        <f>IFERROR(VLOOKUP($BX159,$E$293:$H$326,F$291,FALSE),"")</f>
        <v/>
      </c>
      <c r="CA159" s="232" t="str">
        <f>IFERROR(VLOOKUP($BX159,$E$293:$H$326,G$291,FALSE),"")</f>
        <v/>
      </c>
      <c r="CB159" s="232"/>
      <c r="CC159" t="s">
        <v>958</v>
      </c>
    </row>
    <row r="160" spans="1:97">
      <c r="A160">
        <v>152</v>
      </c>
      <c r="B160" s="109" t="str">
        <f>D160</f>
        <v>Wst 03a</v>
      </c>
      <c r="C160" s="109" t="str">
        <f>B160</f>
        <v>Wst 03a</v>
      </c>
      <c r="D160" s="631" t="s">
        <v>485</v>
      </c>
      <c r="E160" s="629" t="s">
        <v>1065</v>
      </c>
      <c r="F160" s="711">
        <f>SUM(F161)</f>
        <v>1</v>
      </c>
      <c r="G160" s="711">
        <f t="shared" ref="G160:R160" si="270">SUM(G161)</f>
        <v>1</v>
      </c>
      <c r="H160" s="711">
        <f t="shared" si="270"/>
        <v>0</v>
      </c>
      <c r="I160" s="711">
        <f t="shared" si="270"/>
        <v>1</v>
      </c>
      <c r="J160" s="711">
        <f t="shared" si="270"/>
        <v>1</v>
      </c>
      <c r="K160" s="711">
        <f t="shared" si="270"/>
        <v>1</v>
      </c>
      <c r="L160" s="711">
        <f t="shared" si="270"/>
        <v>1</v>
      </c>
      <c r="M160" s="711">
        <f t="shared" si="270"/>
        <v>1</v>
      </c>
      <c r="N160" s="711">
        <f t="shared" si="270"/>
        <v>1</v>
      </c>
      <c r="O160" s="711">
        <f t="shared" si="270"/>
        <v>1</v>
      </c>
      <c r="P160" s="711">
        <f t="shared" si="270"/>
        <v>1</v>
      </c>
      <c r="Q160" s="711">
        <f t="shared" si="270"/>
        <v>1</v>
      </c>
      <c r="R160" s="711">
        <f t="shared" si="270"/>
        <v>1</v>
      </c>
      <c r="T160" s="731">
        <f t="shared" ref="T160:T165" si="271">HLOOKUP($E$6,$F$9:$R$231,$A160,FALSE)</f>
        <v>1</v>
      </c>
      <c r="U160" s="179"/>
      <c r="V160" s="53"/>
      <c r="W160" s="53"/>
      <c r="X160" s="53">
        <f>'Manuell filtrering og justering'!E70</f>
        <v>0</v>
      </c>
      <c r="Y160" s="53"/>
      <c r="Z160" s="711">
        <f>SUM(Z161)</f>
        <v>1</v>
      </c>
      <c r="AA160" s="136">
        <f t="shared" ref="AA160:AA165" si="272">IF(SUM(U160:Y160)&gt;T160,T160,SUM(U160:Y160))</f>
        <v>0</v>
      </c>
      <c r="AB160" s="782">
        <f>SUM(AB161)</f>
        <v>1</v>
      </c>
      <c r="AC160" s="496">
        <v>160</v>
      </c>
      <c r="AD160" s="138">
        <f t="shared" si="254"/>
        <v>0.01</v>
      </c>
      <c r="AE160" s="701">
        <f>SUM(AE161)</f>
        <v>0</v>
      </c>
      <c r="AF160" s="701">
        <f>SUM(AF161)</f>
        <v>0</v>
      </c>
      <c r="AG160" s="701">
        <f>SUM(AG161)</f>
        <v>0</v>
      </c>
      <c r="AI160" s="711">
        <f>SUM(AI161)</f>
        <v>0</v>
      </c>
      <c r="AJ160" s="711">
        <f>SUM(AJ161)</f>
        <v>0</v>
      </c>
      <c r="AK160" s="711">
        <f>SUM(AK161)</f>
        <v>0</v>
      </c>
      <c r="AM160" s="236"/>
      <c r="AN160" s="237"/>
      <c r="AO160" s="237"/>
      <c r="AP160" s="237"/>
      <c r="AQ160" s="238"/>
      <c r="AR160" s="111"/>
      <c r="AS160" s="236"/>
      <c r="AT160" s="237"/>
      <c r="AU160" s="237"/>
      <c r="AV160" s="237"/>
      <c r="AW160" s="238"/>
      <c r="AY160" s="134"/>
      <c r="AZ160" s="35"/>
      <c r="BA160" s="35"/>
      <c r="BB160" s="35"/>
      <c r="BC160" s="135"/>
      <c r="BD160" s="148">
        <f t="shared" si="264"/>
        <v>9</v>
      </c>
      <c r="BE160" s="35" t="str">
        <f t="shared" si="255"/>
        <v>N/A</v>
      </c>
      <c r="BF160" s="151"/>
      <c r="BG160" s="148">
        <f t="shared" si="265"/>
        <v>9</v>
      </c>
      <c r="BH160" s="35" t="str">
        <f t="shared" si="256"/>
        <v>N/A</v>
      </c>
      <c r="BI160" s="151"/>
      <c r="BJ160" s="148">
        <f t="shared" si="266"/>
        <v>9</v>
      </c>
      <c r="BK160" s="35" t="str">
        <f t="shared" si="257"/>
        <v>N/A</v>
      </c>
      <c r="BL160" s="151"/>
      <c r="BO160" s="35"/>
      <c r="BP160" s="35"/>
      <c r="BQ160" s="35" t="str">
        <f t="shared" si="239"/>
        <v/>
      </c>
      <c r="BR160" s="35">
        <f t="shared" si="267"/>
        <v>9</v>
      </c>
      <c r="BS160" s="35">
        <f t="shared" si="268"/>
        <v>9</v>
      </c>
      <c r="BT160" s="35">
        <f t="shared" si="269"/>
        <v>9</v>
      </c>
      <c r="BW160" s="35" t="str">
        <f>D160</f>
        <v>Wst 03a</v>
      </c>
      <c r="BX160" s="35" t="str">
        <f>IFERROR(VLOOKUP($E160,'Pre-analyseverktøy'!$F$11:$AC$226,'Pre-analyseverktøy'!AC$2,FALSE),"")</f>
        <v>No</v>
      </c>
      <c r="BY160" s="35">
        <f>IFERROR(VLOOKUP($E160,'Pre-analyseverktøy'!$F$11:$AJ$226,'Pre-analyseverktøy'!AJ$2,FALSE),"")</f>
        <v>0</v>
      </c>
      <c r="BZ160" s="35">
        <f>IFERROR(VLOOKUP($BX160,$E$293:$H$326,F$291,FALSE),"")</f>
        <v>1</v>
      </c>
      <c r="CA160" s="35">
        <f>IFERROR(VLOOKUP($BX160,$E$293:$H$326,G$291,FALSE),"")</f>
        <v>0</v>
      </c>
      <c r="CB160" s="35"/>
      <c r="CC160" t="str">
        <f>IFERROR(VLOOKUP($BX160,$E$293:$H$326,I$291,FALSE),"")</f>
        <v/>
      </c>
    </row>
    <row r="161" spans="1:97">
      <c r="A161">
        <v>153</v>
      </c>
      <c r="B161" t="str">
        <f>$D$160&amp;D161</f>
        <v>Wst 03aa</v>
      </c>
      <c r="C161" t="str">
        <f t="shared" si="240"/>
        <v>Wst 03a</v>
      </c>
      <c r="D161" s="134" t="s">
        <v>775</v>
      </c>
      <c r="E161" s="813" t="s">
        <v>1066</v>
      </c>
      <c r="F161" s="575">
        <v>1</v>
      </c>
      <c r="G161" s="575">
        <v>1</v>
      </c>
      <c r="H161" s="763">
        <v>0</v>
      </c>
      <c r="I161" s="575">
        <v>1</v>
      </c>
      <c r="J161" s="575">
        <v>1</v>
      </c>
      <c r="K161" s="575">
        <v>1</v>
      </c>
      <c r="L161" s="575">
        <v>1</v>
      </c>
      <c r="M161" s="575">
        <v>1</v>
      </c>
      <c r="N161" s="575">
        <v>1</v>
      </c>
      <c r="O161" s="575">
        <v>1</v>
      </c>
      <c r="P161" s="575">
        <v>1</v>
      </c>
      <c r="Q161" s="575">
        <v>1</v>
      </c>
      <c r="R161" s="575">
        <v>1</v>
      </c>
      <c r="T161" s="136">
        <f t="shared" si="271"/>
        <v>1</v>
      </c>
      <c r="U161" s="134"/>
      <c r="V161" s="35"/>
      <c r="W161" s="35"/>
      <c r="X161" s="35"/>
      <c r="Y161" s="135"/>
      <c r="Z161" s="135">
        <f>VLOOKUP(B161,'Manuell filtrering og justering'!$A$7:$H$253,'Manuell filtrering og justering'!$H$1,FALSE)</f>
        <v>1</v>
      </c>
      <c r="AA161" s="136">
        <f t="shared" si="272"/>
        <v>0</v>
      </c>
      <c r="AB161" s="137">
        <f>IF($AC$5='Manuell filtrering og justering'!$J$2,Z161,(T161-AA161))</f>
        <v>1</v>
      </c>
      <c r="AC161" s="496">
        <v>161</v>
      </c>
      <c r="AD161" s="138">
        <f t="shared" si="254"/>
        <v>0.01</v>
      </c>
      <c r="AE161" s="138">
        <f t="shared" si="258"/>
        <v>0</v>
      </c>
      <c r="AF161" s="138">
        <f t="shared" si="259"/>
        <v>0</v>
      </c>
      <c r="AG161" s="138">
        <f t="shared" si="260"/>
        <v>0</v>
      </c>
      <c r="AI161" s="139">
        <f t="shared" ref="AI161" si="273">IF(CO161&gt;$AB161,$AB161,CO161)</f>
        <v>0</v>
      </c>
      <c r="AJ161" s="139">
        <f t="shared" ref="AJ161" si="274">IF(CP161&gt;$AB161,$AB161,CP161)</f>
        <v>0</v>
      </c>
      <c r="AK161" s="139">
        <f t="shared" ref="AK161" si="275">IF(CQ161&gt;$AB161,$AB161,CQ161)</f>
        <v>0</v>
      </c>
      <c r="AM161" s="646"/>
      <c r="AN161" s="647"/>
      <c r="AO161" s="647"/>
      <c r="AP161" s="647">
        <v>1</v>
      </c>
      <c r="AQ161" s="639">
        <v>1</v>
      </c>
      <c r="AR161" s="111"/>
      <c r="AS161" s="646"/>
      <c r="AT161" s="647"/>
      <c r="AU161" s="647"/>
      <c r="AV161" s="647"/>
      <c r="AW161" s="639"/>
      <c r="AY161" s="155"/>
      <c r="AZ161" s="40"/>
      <c r="BA161" s="40"/>
      <c r="BB161" s="149">
        <f>IF($AB161=0,0,IF($E$6=$H$9,AV161,AP161))</f>
        <v>1</v>
      </c>
      <c r="BC161" s="149">
        <f>IF($AB161=0,0,IF($E$6=$H$9,AW161,AQ161))</f>
        <v>1</v>
      </c>
      <c r="BD161" s="148">
        <f t="shared" si="264"/>
        <v>3</v>
      </c>
      <c r="BE161" s="35" t="str">
        <f t="shared" si="255"/>
        <v>Very Good</v>
      </c>
      <c r="BF161" s="151"/>
      <c r="BG161" s="148">
        <f t="shared" si="265"/>
        <v>3</v>
      </c>
      <c r="BH161" s="35" t="str">
        <f t="shared" si="256"/>
        <v>Very Good</v>
      </c>
      <c r="BI161" s="151"/>
      <c r="BJ161" s="148">
        <f t="shared" si="266"/>
        <v>3</v>
      </c>
      <c r="BK161" s="35" t="str">
        <f t="shared" si="257"/>
        <v>Very Good</v>
      </c>
      <c r="BL161" s="643"/>
      <c r="BO161" s="35"/>
      <c r="BP161" s="35"/>
      <c r="BQ161" s="35" t="str">
        <f t="shared" si="239"/>
        <v/>
      </c>
      <c r="BR161" s="35">
        <f t="shared" si="267"/>
        <v>9</v>
      </c>
      <c r="BS161" s="35">
        <f t="shared" si="268"/>
        <v>9</v>
      </c>
      <c r="BT161" s="35">
        <f t="shared" si="269"/>
        <v>9</v>
      </c>
      <c r="BW161" s="35"/>
      <c r="BX161" s="35"/>
      <c r="BY161" s="35"/>
      <c r="BZ161" s="35"/>
      <c r="CA161" s="35"/>
      <c r="CB161" s="35"/>
      <c r="CO161" s="35">
        <f>'Pre-analyseverktøy'!H155</f>
        <v>0</v>
      </c>
      <c r="CP161" s="35">
        <f>'Pre-analyseverktøy'!O155</f>
        <v>0</v>
      </c>
      <c r="CQ161" s="35">
        <f>'Pre-analyseverktøy'!V155</f>
        <v>0</v>
      </c>
      <c r="CR161" s="35" t="str">
        <f>'Pre-analyseverktøy'!F155</f>
        <v>Avfall i driftsfase</v>
      </c>
      <c r="CS161" s="35" t="b">
        <f t="shared" si="245"/>
        <v>1</v>
      </c>
    </row>
    <row r="162" spans="1:97">
      <c r="A162">
        <v>154</v>
      </c>
      <c r="B162" s="109" t="str">
        <f>D162</f>
        <v>Wst 03b</v>
      </c>
      <c r="C162" s="109" t="str">
        <f>B162</f>
        <v>Wst 03b</v>
      </c>
      <c r="D162" s="631" t="s">
        <v>488</v>
      </c>
      <c r="E162" s="629" t="s">
        <v>1067</v>
      </c>
      <c r="F162" s="711">
        <f>F163</f>
        <v>0</v>
      </c>
      <c r="G162" s="711">
        <f t="shared" ref="G162:R162" si="276">G163</f>
        <v>0</v>
      </c>
      <c r="H162" s="711">
        <f t="shared" si="276"/>
        <v>1</v>
      </c>
      <c r="I162" s="711">
        <f t="shared" si="276"/>
        <v>0</v>
      </c>
      <c r="J162" s="711">
        <f t="shared" si="276"/>
        <v>0</v>
      </c>
      <c r="K162" s="711">
        <f t="shared" si="276"/>
        <v>0</v>
      </c>
      <c r="L162" s="711">
        <f t="shared" si="276"/>
        <v>0</v>
      </c>
      <c r="M162" s="711">
        <f t="shared" si="276"/>
        <v>0</v>
      </c>
      <c r="N162" s="711">
        <f t="shared" si="276"/>
        <v>0</v>
      </c>
      <c r="O162" s="711">
        <f t="shared" si="276"/>
        <v>0</v>
      </c>
      <c r="P162" s="711">
        <f t="shared" si="276"/>
        <v>0</v>
      </c>
      <c r="Q162" s="711">
        <f t="shared" si="276"/>
        <v>0</v>
      </c>
      <c r="R162" s="711">
        <f t="shared" si="276"/>
        <v>0</v>
      </c>
      <c r="T162" s="731">
        <f t="shared" si="271"/>
        <v>0</v>
      </c>
      <c r="U162" s="179"/>
      <c r="V162" s="53"/>
      <c r="W162" s="53"/>
      <c r="X162" s="53"/>
      <c r="Y162" s="53"/>
      <c r="Z162" s="711">
        <f>Z163</f>
        <v>0</v>
      </c>
      <c r="AA162" s="731">
        <f t="shared" si="272"/>
        <v>0</v>
      </c>
      <c r="AB162" s="782">
        <f>SUM(AB163)</f>
        <v>0</v>
      </c>
      <c r="AC162" s="496">
        <v>162</v>
      </c>
      <c r="AD162" s="138">
        <f t="shared" si="254"/>
        <v>0</v>
      </c>
      <c r="AE162" s="701">
        <f>SUM(AE163)</f>
        <v>0</v>
      </c>
      <c r="AF162" s="701">
        <f>SUM(AF163)</f>
        <v>0</v>
      </c>
      <c r="AG162" s="701">
        <f>SUM(AG163)</f>
        <v>0</v>
      </c>
      <c r="AI162" s="711">
        <f>AI163</f>
        <v>0</v>
      </c>
      <c r="AJ162" s="711">
        <f>AJ163</f>
        <v>0</v>
      </c>
      <c r="AK162" s="711">
        <f>AK163</f>
        <v>0</v>
      </c>
      <c r="AM162" s="646"/>
      <c r="AN162" s="647"/>
      <c r="AO162" s="647"/>
      <c r="AP162" s="647"/>
      <c r="AQ162" s="639"/>
      <c r="AR162" s="111"/>
      <c r="AS162" s="646"/>
      <c r="AT162" s="647"/>
      <c r="AU162" s="647"/>
      <c r="AV162" s="647"/>
      <c r="AW162" s="639"/>
      <c r="AY162" s="155"/>
      <c r="AZ162" s="40"/>
      <c r="BA162" s="40"/>
      <c r="BB162" s="40"/>
      <c r="BC162" s="648"/>
      <c r="BD162" s="148">
        <f t="shared" si="264"/>
        <v>9</v>
      </c>
      <c r="BE162" s="35" t="str">
        <f t="shared" si="255"/>
        <v>N/A</v>
      </c>
      <c r="BF162" s="151"/>
      <c r="BG162" s="148">
        <f t="shared" si="265"/>
        <v>9</v>
      </c>
      <c r="BH162" s="35" t="str">
        <f t="shared" si="256"/>
        <v>N/A</v>
      </c>
      <c r="BI162" s="151"/>
      <c r="BJ162" s="148">
        <f t="shared" si="266"/>
        <v>9</v>
      </c>
      <c r="BK162" s="35" t="str">
        <f t="shared" si="257"/>
        <v>N/A</v>
      </c>
      <c r="BL162" s="643"/>
      <c r="BO162" s="35"/>
      <c r="BP162" s="35"/>
      <c r="BQ162" s="35" t="str">
        <f t="shared" si="239"/>
        <v/>
      </c>
      <c r="BR162" s="35">
        <f t="shared" si="267"/>
        <v>9</v>
      </c>
      <c r="BS162" s="35">
        <f t="shared" si="268"/>
        <v>9</v>
      </c>
      <c r="BT162" s="35">
        <f t="shared" si="269"/>
        <v>9</v>
      </c>
      <c r="BW162" s="35"/>
      <c r="BX162" s="35"/>
      <c r="BY162" s="35"/>
      <c r="BZ162" s="35"/>
      <c r="CA162" s="35"/>
      <c r="CB162" s="35"/>
    </row>
    <row r="163" spans="1:97">
      <c r="A163">
        <v>155</v>
      </c>
      <c r="B163" t="str">
        <f>$D$162&amp;D163</f>
        <v>Wst 03ba</v>
      </c>
      <c r="C163" t="str">
        <f t="shared" si="240"/>
        <v>Wst 03b</v>
      </c>
      <c r="D163" s="134" t="s">
        <v>775</v>
      </c>
      <c r="E163" s="813" t="s">
        <v>1068</v>
      </c>
      <c r="F163" s="575">
        <v>0</v>
      </c>
      <c r="G163" s="575">
        <v>0</v>
      </c>
      <c r="H163" s="763">
        <v>1</v>
      </c>
      <c r="I163" s="575">
        <v>0</v>
      </c>
      <c r="J163" s="575">
        <v>0</v>
      </c>
      <c r="K163" s="575">
        <v>0</v>
      </c>
      <c r="L163" s="575">
        <v>0</v>
      </c>
      <c r="M163" s="575">
        <v>0</v>
      </c>
      <c r="N163" s="575">
        <v>0</v>
      </c>
      <c r="O163" s="575">
        <v>0</v>
      </c>
      <c r="P163" s="575">
        <v>0</v>
      </c>
      <c r="Q163" s="575">
        <v>0</v>
      </c>
      <c r="R163" s="575">
        <v>0</v>
      </c>
      <c r="T163" s="136">
        <f t="shared" si="271"/>
        <v>0</v>
      </c>
      <c r="U163" s="134"/>
      <c r="V163" s="35"/>
      <c r="W163" s="35"/>
      <c r="X163" s="35"/>
      <c r="Y163" s="135"/>
      <c r="Z163" s="135">
        <f>VLOOKUP(B163,'Manuell filtrering og justering'!$A$7:$H$253,'Manuell filtrering og justering'!$H$1,FALSE)</f>
        <v>0</v>
      </c>
      <c r="AA163" s="136">
        <f t="shared" si="272"/>
        <v>0</v>
      </c>
      <c r="AB163" s="137">
        <f>IF($AC$5='Manuell filtrering og justering'!$J$2,Z163,(T163-AA163))</f>
        <v>0</v>
      </c>
      <c r="AC163" s="496">
        <v>163</v>
      </c>
      <c r="AD163" s="138">
        <f t="shared" si="254"/>
        <v>0</v>
      </c>
      <c r="AE163" s="138">
        <f t="shared" si="258"/>
        <v>0</v>
      </c>
      <c r="AF163" s="138">
        <f t="shared" si="259"/>
        <v>0</v>
      </c>
      <c r="AG163" s="138">
        <f t="shared" si="260"/>
        <v>0</v>
      </c>
      <c r="AI163" s="139">
        <f t="shared" ref="AI163" si="277">IF(CO163&gt;$AB163,$AB163,CO163)</f>
        <v>0</v>
      </c>
      <c r="AJ163" s="139">
        <f t="shared" ref="AJ163" si="278">IF(CP163&gt;$AB163,$AB163,CP163)</f>
        <v>0</v>
      </c>
      <c r="AK163" s="139">
        <f t="shared" ref="AK163" si="279">IF(CQ163&gt;$AB163,$AB163,CQ163)</f>
        <v>0</v>
      </c>
      <c r="AM163" s="646"/>
      <c r="AN163" s="647"/>
      <c r="AO163" s="647"/>
      <c r="AP163" s="647"/>
      <c r="AQ163" s="639"/>
      <c r="AR163" s="111"/>
      <c r="AS163" s="646"/>
      <c r="AT163" s="647"/>
      <c r="AU163" s="647"/>
      <c r="AV163" s="647">
        <v>1</v>
      </c>
      <c r="AW163" s="639">
        <v>1</v>
      </c>
      <c r="AY163" s="155"/>
      <c r="AZ163" s="40"/>
      <c r="BA163" s="40"/>
      <c r="BB163" s="149">
        <f>IF($AB163=0,0,IF($E$6=$H$9,AV163,AP163))</f>
        <v>0</v>
      </c>
      <c r="BC163" s="149">
        <f>IF($AB163=0,0,IF($E$6=$H$9,AW163,AQ163))</f>
        <v>0</v>
      </c>
      <c r="BD163" s="148">
        <f t="shared" si="264"/>
        <v>9</v>
      </c>
      <c r="BE163" s="35" t="str">
        <f t="shared" si="255"/>
        <v>N/A</v>
      </c>
      <c r="BF163" s="151"/>
      <c r="BG163" s="148">
        <f t="shared" si="265"/>
        <v>9</v>
      </c>
      <c r="BH163" s="35" t="str">
        <f t="shared" si="256"/>
        <v>N/A</v>
      </c>
      <c r="BI163" s="151"/>
      <c r="BJ163" s="148">
        <f t="shared" si="266"/>
        <v>9</v>
      </c>
      <c r="BK163" s="35" t="str">
        <f t="shared" si="257"/>
        <v>N/A</v>
      </c>
      <c r="BL163" s="643"/>
      <c r="BO163" s="35"/>
      <c r="BP163" s="35"/>
      <c r="BQ163" s="35" t="str">
        <f t="shared" si="239"/>
        <v/>
      </c>
      <c r="BR163" s="35">
        <f t="shared" si="267"/>
        <v>9</v>
      </c>
      <c r="BS163" s="35">
        <f t="shared" si="268"/>
        <v>9</v>
      </c>
      <c r="BT163" s="35">
        <f t="shared" si="269"/>
        <v>9</v>
      </c>
      <c r="BW163" s="35"/>
      <c r="BX163" s="35"/>
      <c r="BY163" s="35"/>
      <c r="BZ163" s="35"/>
      <c r="CA163" s="35"/>
      <c r="CB163" s="35"/>
      <c r="CO163" s="35">
        <f>'Pre-analyseverktøy'!H157</f>
        <v>0</v>
      </c>
      <c r="CP163" s="35">
        <f>'Pre-analyseverktøy'!O157</f>
        <v>0</v>
      </c>
      <c r="CQ163" s="35">
        <f>'Pre-analyseverktøy'!V157</f>
        <v>0</v>
      </c>
      <c r="CR163" s="35" t="str">
        <f>'Pre-analyseverktøy'!F157</f>
        <v>Sortering av avfall</v>
      </c>
      <c r="CS163" s="35" t="b">
        <f t="shared" si="245"/>
        <v>1</v>
      </c>
    </row>
    <row r="164" spans="1:97" ht="15.75" thickBot="1">
      <c r="A164">
        <v>156</v>
      </c>
      <c r="B164" s="109" t="str">
        <f>D164</f>
        <v>Wst 04</v>
      </c>
      <c r="C164" s="109" t="str">
        <f>B164</f>
        <v>Wst 04</v>
      </c>
      <c r="D164" s="631" t="s">
        <v>490</v>
      </c>
      <c r="E164" s="629" t="s">
        <v>1069</v>
      </c>
      <c r="F164" s="711">
        <f>F165</f>
        <v>1</v>
      </c>
      <c r="G164" s="711">
        <f t="shared" ref="G164:R164" si="280">G165</f>
        <v>0</v>
      </c>
      <c r="H164" s="711">
        <f t="shared" si="280"/>
        <v>1</v>
      </c>
      <c r="I164" s="711">
        <f t="shared" si="280"/>
        <v>0</v>
      </c>
      <c r="J164" s="711">
        <f t="shared" si="280"/>
        <v>0</v>
      </c>
      <c r="K164" s="711">
        <f t="shared" si="280"/>
        <v>0</v>
      </c>
      <c r="L164" s="711">
        <f t="shared" si="280"/>
        <v>0</v>
      </c>
      <c r="M164" s="711">
        <f t="shared" si="280"/>
        <v>0</v>
      </c>
      <c r="N164" s="711">
        <f t="shared" si="280"/>
        <v>0</v>
      </c>
      <c r="O164" s="711">
        <f t="shared" si="280"/>
        <v>0</v>
      </c>
      <c r="P164" s="711">
        <f t="shared" si="280"/>
        <v>0</v>
      </c>
      <c r="Q164" s="711">
        <f t="shared" si="280"/>
        <v>0</v>
      </c>
      <c r="R164" s="711">
        <f t="shared" si="280"/>
        <v>0</v>
      </c>
      <c r="T164" s="731">
        <f t="shared" si="271"/>
        <v>1</v>
      </c>
      <c r="U164" s="179">
        <f>U165</f>
        <v>0</v>
      </c>
      <c r="V164" s="53"/>
      <c r="W164" s="53"/>
      <c r="X164" s="53">
        <f>'Manuell filtrering og justering'!E71</f>
        <v>0</v>
      </c>
      <c r="Y164" s="53"/>
      <c r="Z164" s="711">
        <f>Z165</f>
        <v>0</v>
      </c>
      <c r="AA164" s="731">
        <f t="shared" si="272"/>
        <v>0</v>
      </c>
      <c r="AB164" s="782">
        <f>SUM(AB165)</f>
        <v>1</v>
      </c>
      <c r="AC164" s="496">
        <v>164</v>
      </c>
      <c r="AD164" s="138">
        <f t="shared" si="254"/>
        <v>0.01</v>
      </c>
      <c r="AE164" s="701">
        <f>SUM(AE165)</f>
        <v>0</v>
      </c>
      <c r="AF164" s="701">
        <f>SUM(AF165)</f>
        <v>0</v>
      </c>
      <c r="AG164" s="701">
        <f>SUM(AG165)</f>
        <v>0</v>
      </c>
      <c r="AI164" s="711">
        <f>AI165</f>
        <v>0</v>
      </c>
      <c r="AJ164" s="711">
        <f>AJ165</f>
        <v>0</v>
      </c>
      <c r="AK164" s="711">
        <f>AK165</f>
        <v>0</v>
      </c>
      <c r="AM164" s="239"/>
      <c r="AN164" s="240"/>
      <c r="AO164" s="240"/>
      <c r="AP164" s="240"/>
      <c r="AQ164" s="241"/>
      <c r="AR164" s="111"/>
      <c r="AS164" s="239"/>
      <c r="AT164" s="240"/>
      <c r="AU164" s="240"/>
      <c r="AV164" s="240"/>
      <c r="AW164" s="241"/>
      <c r="AY164" s="156"/>
      <c r="AZ164" s="158"/>
      <c r="BA164" s="158"/>
      <c r="BB164" s="158"/>
      <c r="BC164" s="159"/>
      <c r="BD164" s="160">
        <f t="shared" si="264"/>
        <v>9</v>
      </c>
      <c r="BE164" s="35" t="str">
        <f t="shared" si="255"/>
        <v>N/A</v>
      </c>
      <c r="BF164" s="161"/>
      <c r="BG164" s="160">
        <f t="shared" si="265"/>
        <v>9</v>
      </c>
      <c r="BH164" s="35" t="str">
        <f t="shared" si="256"/>
        <v>N/A</v>
      </c>
      <c r="BI164" s="161"/>
      <c r="BJ164" s="160">
        <f t="shared" si="266"/>
        <v>9</v>
      </c>
      <c r="BK164" s="35" t="str">
        <f t="shared" si="257"/>
        <v>N/A</v>
      </c>
      <c r="BL164" s="161"/>
      <c r="BO164" s="35"/>
      <c r="BP164" s="35"/>
      <c r="BQ164" s="35" t="str">
        <f t="shared" si="239"/>
        <v/>
      </c>
      <c r="BR164" s="35">
        <f t="shared" si="267"/>
        <v>9</v>
      </c>
      <c r="BS164" s="35">
        <f t="shared" si="268"/>
        <v>9</v>
      </c>
      <c r="BT164" s="35">
        <f t="shared" si="269"/>
        <v>9</v>
      </c>
      <c r="BW164" s="35" t="str">
        <f>D164</f>
        <v>Wst 04</v>
      </c>
      <c r="BX164" s="35" t="str">
        <f>IFERROR(VLOOKUP($E164,'Pre-analyseverktøy'!$F$11:$AC$226,'Pre-analyseverktøy'!AC$2,FALSE),"")</f>
        <v>No</v>
      </c>
      <c r="BY164" s="35">
        <f>IFERROR(VLOOKUP($E164,'Pre-analyseverktøy'!$F$11:$AJ$226,'Pre-analyseverktøy'!AJ$2,FALSE),"")</f>
        <v>0</v>
      </c>
      <c r="BZ164" s="35">
        <f>IFERROR(VLOOKUP($BX164,$E$293:$H$326,F$291,FALSE),"")</f>
        <v>1</v>
      </c>
      <c r="CA164" s="35">
        <f>IFERROR(VLOOKUP($BX164,$E$293:$H$326,G$291,FALSE),"")</f>
        <v>0</v>
      </c>
      <c r="CB164" s="35"/>
      <c r="CC164" t="str">
        <f>IFERROR(VLOOKUP($BX164,$E$293:$H$326,I$291,FALSE),"")</f>
        <v/>
      </c>
    </row>
    <row r="165" spans="1:97" ht="15.75" thickBot="1">
      <c r="A165">
        <v>157</v>
      </c>
      <c r="B165" t="str">
        <f>$D$164&amp;D165</f>
        <v>Wst 04a</v>
      </c>
      <c r="C165" t="str">
        <f t="shared" si="240"/>
        <v>Wst 04</v>
      </c>
      <c r="D165" s="186" t="s">
        <v>775</v>
      </c>
      <c r="E165" s="813" t="s">
        <v>1070</v>
      </c>
      <c r="F165" s="719">
        <v>1</v>
      </c>
      <c r="G165" s="829">
        <v>0</v>
      </c>
      <c r="H165" s="719">
        <v>1</v>
      </c>
      <c r="I165" s="829">
        <v>0</v>
      </c>
      <c r="J165" s="829">
        <v>0</v>
      </c>
      <c r="K165" s="829">
        <v>0</v>
      </c>
      <c r="L165" s="829">
        <v>0</v>
      </c>
      <c r="M165" s="829">
        <v>0</v>
      </c>
      <c r="N165" s="829">
        <v>0</v>
      </c>
      <c r="O165" s="829">
        <v>0</v>
      </c>
      <c r="P165" s="829">
        <v>0</v>
      </c>
      <c r="Q165" s="829">
        <v>0</v>
      </c>
      <c r="R165" s="829">
        <v>0</v>
      </c>
      <c r="T165" s="136">
        <f t="shared" si="271"/>
        <v>1</v>
      </c>
      <c r="U165" s="155">
        <f>IF(AND(ADBT0=ADBT12,Prosjektdetaljer!F6&lt;&gt;Prosjektdetaljer!V8),Poeng!T165,0)</f>
        <v>0</v>
      </c>
      <c r="V165" s="40"/>
      <c r="W165" s="40"/>
      <c r="X165" s="40"/>
      <c r="Y165" s="136">
        <f>IF($Y$4=$Y$6,T165,0)</f>
        <v>0</v>
      </c>
      <c r="Z165" s="135">
        <f>VLOOKUP(B165,'Manuell filtrering og justering'!$A$7:$H$253,'Manuell filtrering og justering'!$H$1,FALSE)</f>
        <v>0</v>
      </c>
      <c r="AA165" s="136">
        <f t="shared" si="272"/>
        <v>0</v>
      </c>
      <c r="AB165" s="137">
        <f>IF($AC$5='Manuell filtrering og justering'!$J$2,Z165,(T165-AA165))</f>
        <v>1</v>
      </c>
      <c r="AC165" s="496">
        <v>165</v>
      </c>
      <c r="AD165" s="138">
        <f t="shared" si="254"/>
        <v>0.01</v>
      </c>
      <c r="AE165" s="138">
        <f t="shared" si="258"/>
        <v>0</v>
      </c>
      <c r="AF165" s="138">
        <f t="shared" si="259"/>
        <v>0</v>
      </c>
      <c r="AG165" s="138">
        <f t="shared" si="260"/>
        <v>0</v>
      </c>
      <c r="AI165" s="139">
        <f t="shared" ref="AI165" si="281">IF(CO165&gt;$AB165,$AB165,CO165)</f>
        <v>0</v>
      </c>
      <c r="AJ165" s="139">
        <f t="shared" ref="AJ165" si="282">IF(CP165&gt;$AB165,$AB165,CP165)</f>
        <v>0</v>
      </c>
      <c r="AK165" s="139">
        <f t="shared" ref="AK165" si="283">IF(CQ165&gt;$AB165,$AB165,CQ165)</f>
        <v>0</v>
      </c>
      <c r="AM165" s="239"/>
      <c r="AN165" s="240"/>
      <c r="AO165" s="240"/>
      <c r="AP165" s="240"/>
      <c r="AQ165" s="241"/>
      <c r="AR165" s="111"/>
      <c r="AS165" s="239"/>
      <c r="AT165" s="240"/>
      <c r="AU165" s="240"/>
      <c r="AV165" s="240"/>
      <c r="AW165" s="241"/>
      <c r="AY165" s="156"/>
      <c r="AZ165" s="158"/>
      <c r="BA165" s="158"/>
      <c r="BB165" s="158"/>
      <c r="BC165" s="159"/>
      <c r="BD165" s="160">
        <f t="shared" si="264"/>
        <v>9</v>
      </c>
      <c r="BE165" s="35" t="str">
        <f t="shared" si="255"/>
        <v>N/A</v>
      </c>
      <c r="BF165" s="161"/>
      <c r="BG165" s="160">
        <f t="shared" si="265"/>
        <v>9</v>
      </c>
      <c r="BH165" s="35" t="str">
        <f t="shared" si="256"/>
        <v>N/A</v>
      </c>
      <c r="BI165" s="161"/>
      <c r="BJ165" s="160">
        <f t="shared" si="266"/>
        <v>9</v>
      </c>
      <c r="BK165" s="35" t="str">
        <f t="shared" si="257"/>
        <v>N/A</v>
      </c>
      <c r="BL165" s="161"/>
      <c r="BO165" s="35"/>
      <c r="BP165" s="35"/>
      <c r="BQ165" s="35" t="str">
        <f t="shared" si="239"/>
        <v/>
      </c>
      <c r="BR165" s="35">
        <f t="shared" si="267"/>
        <v>9</v>
      </c>
      <c r="BS165" s="35">
        <f t="shared" si="268"/>
        <v>9</v>
      </c>
      <c r="BT165" s="35">
        <f t="shared" si="269"/>
        <v>9</v>
      </c>
      <c r="BW165" s="55"/>
      <c r="BX165" s="55"/>
      <c r="BY165" s="55"/>
      <c r="BZ165" s="55"/>
      <c r="CA165" s="55"/>
      <c r="CB165" s="55"/>
      <c r="CO165" s="35">
        <f>'Pre-analyseverktøy'!H159</f>
        <v>0</v>
      </c>
      <c r="CP165" s="35">
        <f>'Pre-analyseverktøy'!O159</f>
        <v>0</v>
      </c>
      <c r="CQ165" s="35">
        <f>'Pre-analyseverktøy'!V159</f>
        <v>0</v>
      </c>
      <c r="CR165" s="35" t="str">
        <f>'Pre-analyseverktøy'!F159</f>
        <v>Brukerinvolvering innvendige overflater</v>
      </c>
      <c r="CS165" s="35" t="b">
        <f t="shared" si="245"/>
        <v>1</v>
      </c>
    </row>
    <row r="166" spans="1:97" ht="15.75" thickBot="1">
      <c r="A166">
        <v>158</v>
      </c>
      <c r="B166" t="s">
        <v>493</v>
      </c>
      <c r="D166" s="162"/>
      <c r="E166" s="42" t="s">
        <v>771</v>
      </c>
      <c r="F166" s="579">
        <f>F155+F160+F162+F164</f>
        <v>7</v>
      </c>
      <c r="G166" s="579">
        <f t="shared" ref="G166:R166" si="284">G155+G160+G162+G164</f>
        <v>6</v>
      </c>
      <c r="H166" s="579">
        <f t="shared" si="284"/>
        <v>7</v>
      </c>
      <c r="I166" s="579">
        <f t="shared" si="284"/>
        <v>6</v>
      </c>
      <c r="J166" s="579">
        <f t="shared" si="284"/>
        <v>6</v>
      </c>
      <c r="K166" s="579">
        <f t="shared" si="284"/>
        <v>6</v>
      </c>
      <c r="L166" s="579">
        <f t="shared" si="284"/>
        <v>6</v>
      </c>
      <c r="M166" s="579">
        <f t="shared" si="284"/>
        <v>6</v>
      </c>
      <c r="N166" s="579">
        <f t="shared" si="284"/>
        <v>6</v>
      </c>
      <c r="O166" s="579">
        <f t="shared" si="284"/>
        <v>6</v>
      </c>
      <c r="P166" s="579">
        <f t="shared" si="284"/>
        <v>6</v>
      </c>
      <c r="Q166" s="579">
        <f>Q155+Q160+Q162+Q164</f>
        <v>6</v>
      </c>
      <c r="R166" s="579">
        <f t="shared" si="284"/>
        <v>6</v>
      </c>
      <c r="T166" s="183">
        <f>HLOOKUP($E$6,$F$9:$R$231,$A166,FALSE)</f>
        <v>7</v>
      </c>
      <c r="U166" s="164"/>
      <c r="V166" s="165"/>
      <c r="W166" s="165"/>
      <c r="X166" s="165"/>
      <c r="Y166" s="166"/>
      <c r="Z166" s="166"/>
      <c r="AA166" s="579">
        <f t="shared" ref="AA166:AG166" si="285">AA155+AA160+AA162+AA164</f>
        <v>0</v>
      </c>
      <c r="AB166" s="579">
        <f t="shared" si="285"/>
        <v>7</v>
      </c>
      <c r="AC166" s="496">
        <v>166</v>
      </c>
      <c r="AD166" s="168">
        <f t="shared" si="285"/>
        <v>7.0000000000000007E-2</v>
      </c>
      <c r="AE166" s="168">
        <f t="shared" si="285"/>
        <v>0</v>
      </c>
      <c r="AF166" s="168">
        <f t="shared" si="285"/>
        <v>0</v>
      </c>
      <c r="AG166" s="168">
        <f t="shared" si="285"/>
        <v>0</v>
      </c>
      <c r="AI166" s="64">
        <f>AI155+AI160+AI162+AI164</f>
        <v>0</v>
      </c>
      <c r="AJ166" s="64">
        <f>AJ155+AJ160+AJ162+AJ164</f>
        <v>0</v>
      </c>
      <c r="AK166" s="64">
        <f>AK155+AK160+AK162+AK164</f>
        <v>0</v>
      </c>
      <c r="AM166" s="111"/>
      <c r="AN166" s="111"/>
      <c r="AO166" s="111"/>
      <c r="AP166" s="111"/>
      <c r="AQ166" s="111"/>
      <c r="AR166" s="111"/>
      <c r="AS166" s="111"/>
      <c r="AT166" s="111"/>
      <c r="AU166" s="111"/>
      <c r="AV166" s="111"/>
      <c r="AW166" s="111"/>
      <c r="AZ166" s="169"/>
      <c r="BW166" s="42"/>
      <c r="BX166" s="42" t="str">
        <f>IFERROR(VLOOKUP($E166,'Pre-analyseverktøy'!$F$11:$AC$226,'Pre-analyseverktøy'!AC$2,FALSE),"")</f>
        <v/>
      </c>
      <c r="BY166" s="42" t="str">
        <f>IFERROR(VLOOKUP($E166,'Pre-analyseverktøy'!$F$11:$AJ$226,'Pre-analyseverktøy'!AJ$2,FALSE),"")</f>
        <v/>
      </c>
      <c r="BZ166" s="42" t="str">
        <f t="shared" ref="BZ166:CA169" si="286">IFERROR(VLOOKUP($BX166,$E$293:$H$326,F$291,FALSE),"")</f>
        <v/>
      </c>
      <c r="CA166" s="42" t="str">
        <f t="shared" si="286"/>
        <v/>
      </c>
      <c r="CB166" s="42"/>
      <c r="CC166" t="str">
        <f>IFERROR(VLOOKUP($BX166,$E$293:$H$326,I$291,FALSE),"")</f>
        <v/>
      </c>
    </row>
    <row r="167" spans="1:97" ht="15.75" thickBot="1">
      <c r="A167">
        <v>159</v>
      </c>
      <c r="AC167" s="496">
        <v>167</v>
      </c>
      <c r="AI167" s="1"/>
      <c r="AJ167" s="1"/>
      <c r="AK167" s="1"/>
      <c r="AM167" s="111"/>
      <c r="AN167" s="111"/>
      <c r="AO167" s="111"/>
      <c r="AP167" s="111"/>
      <c r="AQ167" s="111"/>
      <c r="AR167" s="111"/>
      <c r="AS167" s="111"/>
      <c r="AT167" s="111"/>
      <c r="AU167" s="111"/>
      <c r="AV167" s="111"/>
      <c r="AW167" s="111"/>
      <c r="BX167" t="str">
        <f>IFERROR(VLOOKUP($E167,'Pre-analyseverktøy'!$F$11:$AC$226,'Pre-analyseverktøy'!AC$2,FALSE),"")</f>
        <v/>
      </c>
      <c r="BY167" t="str">
        <f>IFERROR(VLOOKUP($E167,'Pre-analyseverktøy'!$F$11:$AJ$226,'Pre-analyseverktøy'!AJ$2,FALSE),"")</f>
        <v/>
      </c>
      <c r="BZ167" t="str">
        <f t="shared" si="286"/>
        <v/>
      </c>
      <c r="CA167" t="str">
        <f t="shared" si="286"/>
        <v/>
      </c>
      <c r="CC167" t="str">
        <f>IFERROR(VLOOKUP($BX167,$E$293:$H$326,I$291,FALSE),"")</f>
        <v/>
      </c>
    </row>
    <row r="168" spans="1:97" ht="60.75" thickBot="1">
      <c r="A168">
        <v>160</v>
      </c>
      <c r="D168" s="120"/>
      <c r="E168" s="121" t="s">
        <v>1071</v>
      </c>
      <c r="F168" s="917" t="str">
        <f>$F$9</f>
        <v>Kontorbygg</v>
      </c>
      <c r="G168" s="917" t="str">
        <f>$G$9</f>
        <v>Handelsbygg</v>
      </c>
      <c r="H168" s="921" t="str">
        <f>$H$9</f>
        <v>Boligbygg</v>
      </c>
      <c r="I168" s="917" t="str">
        <f>$I$9</f>
        <v>Industribygg</v>
      </c>
      <c r="J168" s="919" t="str">
        <f>$J$9</f>
        <v>Helseinstitusjoner</v>
      </c>
      <c r="K168" s="919" t="str">
        <f>$K$9</f>
        <v>Fengsel</v>
      </c>
      <c r="L168" s="919" t="str">
        <f>$L$9</f>
        <v>Tinghus</v>
      </c>
      <c r="M168" s="923" t="str">
        <f>$M$9</f>
        <v>Døgninstitusjonsbygg (langtidsopphold)</v>
      </c>
      <c r="N168" s="698" t="str">
        <f>$N$9</f>
        <v>Døgninstitusjonsbygg (korttidsopphold)</v>
      </c>
      <c r="O168" s="698" t="str">
        <f>$O$9</f>
        <v>Institusjoner ikke til boligbruk</v>
      </c>
      <c r="P168" s="698" t="str">
        <f>$P$9</f>
        <v>Møtesteder og fritid</v>
      </c>
      <c r="Q168" s="919" t="str">
        <f>$Q$9</f>
        <v>Undervisningsbygg</v>
      </c>
      <c r="R168" s="651" t="str">
        <f>$R$9</f>
        <v>Annet</v>
      </c>
      <c r="T168" s="110" t="str">
        <f>$E$6</f>
        <v>Kontorbygg</v>
      </c>
      <c r="U168" s="170"/>
      <c r="V168" s="171"/>
      <c r="W168" s="171"/>
      <c r="X168" s="171"/>
      <c r="Y168" s="855" t="s">
        <v>920</v>
      </c>
      <c r="Z168" s="287" t="s">
        <v>23</v>
      </c>
      <c r="AA168" s="119" t="s">
        <v>771</v>
      </c>
      <c r="AB168" s="45" t="s">
        <v>908</v>
      </c>
      <c r="AC168" s="496">
        <v>168</v>
      </c>
      <c r="AI168" s="28"/>
      <c r="AJ168" s="46"/>
      <c r="AK168" s="46"/>
      <c r="AM168" s="111"/>
      <c r="AN168" s="111"/>
      <c r="AO168" s="111"/>
      <c r="AP168" s="111"/>
      <c r="AQ168" s="111"/>
      <c r="AR168" s="111"/>
      <c r="AS168" s="111"/>
      <c r="AT168" s="111"/>
      <c r="AU168" s="111"/>
      <c r="AV168" s="111"/>
      <c r="AW168" s="111"/>
      <c r="BO168" s="46"/>
      <c r="BP168" s="46"/>
      <c r="BQ168" s="46"/>
      <c r="BR168" s="46"/>
      <c r="BS168" s="46"/>
      <c r="BT168" s="46"/>
      <c r="BW168" s="39"/>
      <c r="BX168" s="39" t="str">
        <f>E168</f>
        <v>Arealbruk og økologi</v>
      </c>
      <c r="BY168" s="39">
        <f>IFERROR(VLOOKUP($E168,'Pre-analyseverktøy'!$F$11:$AJ$226,'Pre-analyseverktøy'!AJ$2,FALSE),"")</f>
        <v>0</v>
      </c>
      <c r="BZ168" s="39" t="str">
        <f t="shared" si="286"/>
        <v/>
      </c>
      <c r="CA168" s="39" t="str">
        <f t="shared" si="286"/>
        <v/>
      </c>
      <c r="CB168" s="39"/>
      <c r="CC168" t="str">
        <f>IFERROR(VLOOKUP($BX168,$E$293:$H$326,I$291,FALSE),"")</f>
        <v/>
      </c>
    </row>
    <row r="169" spans="1:97">
      <c r="A169">
        <v>161</v>
      </c>
      <c r="B169" s="109" t="str">
        <f>D169</f>
        <v>LE 01</v>
      </c>
      <c r="C169" s="109" t="str">
        <f>B169</f>
        <v>LE 01</v>
      </c>
      <c r="D169" s="652" t="s">
        <v>499</v>
      </c>
      <c r="E169" s="653" t="s">
        <v>1072</v>
      </c>
      <c r="F169" s="711">
        <f>F170</f>
        <v>2</v>
      </c>
      <c r="G169" s="711">
        <f t="shared" ref="G169:R169" si="287">G170</f>
        <v>2</v>
      </c>
      <c r="H169" s="711">
        <f t="shared" si="287"/>
        <v>2</v>
      </c>
      <c r="I169" s="711">
        <f t="shared" si="287"/>
        <v>2</v>
      </c>
      <c r="J169" s="711">
        <f t="shared" si="287"/>
        <v>2</v>
      </c>
      <c r="K169" s="711">
        <f t="shared" si="287"/>
        <v>2</v>
      </c>
      <c r="L169" s="711">
        <f t="shared" si="287"/>
        <v>2</v>
      </c>
      <c r="M169" s="711">
        <f t="shared" si="287"/>
        <v>2</v>
      </c>
      <c r="N169" s="711">
        <f t="shared" si="287"/>
        <v>2</v>
      </c>
      <c r="O169" s="711">
        <f t="shared" si="287"/>
        <v>2</v>
      </c>
      <c r="P169" s="711">
        <f t="shared" si="287"/>
        <v>2</v>
      </c>
      <c r="Q169" s="711">
        <f t="shared" si="287"/>
        <v>2</v>
      </c>
      <c r="R169" s="711">
        <f t="shared" si="287"/>
        <v>2</v>
      </c>
      <c r="T169" s="729">
        <f t="shared" ref="T169:T197" si="288">HLOOKUP($E$6,$F$9:$R$231,$A169,FALSE)</f>
        <v>2</v>
      </c>
      <c r="U169" s="179"/>
      <c r="V169" s="53"/>
      <c r="W169" s="53"/>
      <c r="X169" s="53">
        <f>'Manuell filtrering og justering'!E75</f>
        <v>0</v>
      </c>
      <c r="Y169" s="53"/>
      <c r="Z169" s="726">
        <f>Z170</f>
        <v>2</v>
      </c>
      <c r="AA169" s="731">
        <f t="shared" ref="AA169:AA196" si="289">IF(SUM(U169:Y169)&gt;T169,T169,SUM(U169:Y169))</f>
        <v>0</v>
      </c>
      <c r="AB169" s="782">
        <f>SUM(AB170)</f>
        <v>2</v>
      </c>
      <c r="AC169" s="496">
        <v>169</v>
      </c>
      <c r="AD169" s="138">
        <f t="shared" ref="AD169:AD196" si="290">(LE_Weight/LE_Credits)*AB169</f>
        <v>1.5789473684210527E-2</v>
      </c>
      <c r="AE169" s="701">
        <f>SUM(AE170)</f>
        <v>0</v>
      </c>
      <c r="AF169" s="701">
        <f>SUM(AF170)</f>
        <v>0</v>
      </c>
      <c r="AG169" s="701">
        <f>SUM(AG170)</f>
        <v>0</v>
      </c>
      <c r="AI169" s="726">
        <f>AI170</f>
        <v>0</v>
      </c>
      <c r="AJ169" s="726">
        <f>AJ170</f>
        <v>0</v>
      </c>
      <c r="AK169" s="726">
        <f>AK170</f>
        <v>0</v>
      </c>
      <c r="AM169" s="242"/>
      <c r="AN169" s="243"/>
      <c r="AO169" s="243"/>
      <c r="AP169" s="243"/>
      <c r="AQ169" s="244"/>
      <c r="AR169" s="111"/>
      <c r="AS169" s="242"/>
      <c r="AT169" s="243"/>
      <c r="AU169" s="243"/>
      <c r="AV169" s="243"/>
      <c r="AW169" s="244"/>
      <c r="AY169" s="177"/>
      <c r="AZ169" s="144"/>
      <c r="BA169" s="144"/>
      <c r="BB169" s="144"/>
      <c r="BC169" s="178"/>
      <c r="BD169" s="141">
        <f>IF(BC169=0,9,IF(AI169&gt;=BC169,5,IF(AI169&gt;=BB169,4,IF(AI169&gt;=BA169,3,IF(AI169&gt;=AZ169,2,IF(AI169&lt;AY169,0,1))))))</f>
        <v>9</v>
      </c>
      <c r="BE169" s="35" t="str">
        <f t="shared" ref="BE169:BE196" si="291">IF(BD169=$BO$290,$BT$290,IF(BD169=$BO$289,$BT$289,IF(BD169=$BO$288,$BT$288,IF(BD169=$BO$287,$BT$287,IF(BD169=$BO$286,$BT$286,IF(BD169=$BO$285,$BT$285,$BT$284))))))</f>
        <v>N/A</v>
      </c>
      <c r="BF169" s="145"/>
      <c r="BG169" s="141">
        <f>IF(BC169=0,9,IF(AJ169&gt;=BC169,5,IF(AJ169&gt;=BB169,4,IF(AJ169&gt;=BA169,3,IF(AJ169&gt;=AZ169,2,IF(AJ169&lt;AY169,0,1))))))</f>
        <v>9</v>
      </c>
      <c r="BH169" s="35" t="str">
        <f t="shared" ref="BH169:BH196" si="292">IF(BG169=$BO$290,$BT$290,IF(BG169=$BO$289,$BT$289,IF(BG169=$BO$288,$BT$288,IF(BG169=$BO$287,$BT$287,IF(BG169=$BO$286,$BT$286,IF(BG169=$BO$285,$BT$285,$BT$284))))))</f>
        <v>N/A</v>
      </c>
      <c r="BI169" s="145"/>
      <c r="BJ169" s="141">
        <f>IF(BC169=0,9,IF(AK169&gt;=BC169,5,IF(AK169&gt;=BB169,4,IF(AK169&gt;=BA169,3,IF(AK169&gt;=AZ169,2,IF(AK169&lt;AY169,0,1))))))</f>
        <v>9</v>
      </c>
      <c r="BK169" s="35" t="str">
        <f t="shared" ref="BK169:BK196" si="293">IF(BJ169=$BO$290,$BT$290,IF(BJ169=$BO$289,$BT$289,IF(BJ169=$BO$288,$BT$288,IF(BJ169=$BO$287,$BT$287,IF(BJ169=$BO$286,$BT$286,IF(BJ169=$BO$285,$BT$285,$BT$284))))))</f>
        <v>N/A</v>
      </c>
      <c r="BL169" s="145"/>
      <c r="BO169" s="35"/>
      <c r="BP169" s="35"/>
      <c r="BQ169" s="35" t="str">
        <f t="shared" si="239"/>
        <v/>
      </c>
      <c r="BR169" s="35">
        <f t="shared" si="267"/>
        <v>9</v>
      </c>
      <c r="BS169" s="35">
        <f t="shared" si="268"/>
        <v>9</v>
      </c>
      <c r="BT169" s="35">
        <f t="shared" si="269"/>
        <v>9</v>
      </c>
      <c r="BW169" s="37" t="str">
        <f>D169</f>
        <v>LE 01</v>
      </c>
      <c r="BX169" s="37" t="str">
        <f>IFERROR(VLOOKUP($E169,'Pre-analyseverktøy'!$F$11:$AC$226,'Pre-analyseverktøy'!AC$2,FALSE),"")</f>
        <v>N/A</v>
      </c>
      <c r="BY169" s="37">
        <f>IFERROR(VLOOKUP($E169,'Pre-analyseverktøy'!$F$11:$AJ$226,'Pre-analyseverktøy'!AJ$2,FALSE),"")</f>
        <v>0</v>
      </c>
      <c r="BZ169" s="37">
        <f t="shared" si="286"/>
        <v>1</v>
      </c>
      <c r="CA169" s="37">
        <f t="shared" si="286"/>
        <v>0</v>
      </c>
      <c r="CB169" s="37"/>
      <c r="CC169" t="str">
        <f>IFERROR(VLOOKUP($BX169,$E$293:$H$326,I$291,FALSE),"")</f>
        <v/>
      </c>
    </row>
    <row r="170" spans="1:97">
      <c r="A170">
        <v>162</v>
      </c>
      <c r="B170" t="str">
        <f>$D$169&amp;D170</f>
        <v>LE 01a</v>
      </c>
      <c r="C170" t="str">
        <f t="shared" si="240"/>
        <v>LE 01</v>
      </c>
      <c r="D170" s="134" t="s">
        <v>775</v>
      </c>
      <c r="E170" s="813" t="s">
        <v>1073</v>
      </c>
      <c r="F170" s="575">
        <v>2</v>
      </c>
      <c r="G170" s="575">
        <v>2</v>
      </c>
      <c r="H170" s="575">
        <v>2</v>
      </c>
      <c r="I170" s="575">
        <v>2</v>
      </c>
      <c r="J170" s="575">
        <v>2</v>
      </c>
      <c r="K170" s="575">
        <v>2</v>
      </c>
      <c r="L170" s="575">
        <v>2</v>
      </c>
      <c r="M170" s="575">
        <v>2</v>
      </c>
      <c r="N170" s="575">
        <v>2</v>
      </c>
      <c r="O170" s="575">
        <v>2</v>
      </c>
      <c r="P170" s="575">
        <v>2</v>
      </c>
      <c r="Q170" s="575">
        <v>2</v>
      </c>
      <c r="R170" s="575">
        <v>2</v>
      </c>
      <c r="T170" s="136">
        <f t="shared" si="288"/>
        <v>2</v>
      </c>
      <c r="U170" s="134"/>
      <c r="V170" s="35"/>
      <c r="W170" s="35"/>
      <c r="X170" s="35"/>
      <c r="Y170" s="135"/>
      <c r="Z170" s="135">
        <f>VLOOKUP(B170,'Manuell filtrering og justering'!$A$7:$H$253,'Manuell filtrering og justering'!$H$1,FALSE)</f>
        <v>2</v>
      </c>
      <c r="AA170" s="136">
        <f t="shared" si="289"/>
        <v>0</v>
      </c>
      <c r="AB170" s="137">
        <f>IF($AC$5='Manuell filtrering og justering'!$J$2,Z170,(T170-AA170))</f>
        <v>2</v>
      </c>
      <c r="AC170" s="496">
        <v>170</v>
      </c>
      <c r="AD170" s="138">
        <f t="shared" si="290"/>
        <v>1.5789473684210527E-2</v>
      </c>
      <c r="AE170" s="138">
        <f t="shared" ref="AE170:AE196" si="294">IF(AB170=0,0,(AD170/AB170)*AI170)</f>
        <v>0</v>
      </c>
      <c r="AF170" s="138">
        <f t="shared" ref="AF170:AF196" si="295">IF(AB170=0,0,(AD170/AB170)*AJ170)</f>
        <v>0</v>
      </c>
      <c r="AG170" s="138">
        <f t="shared" ref="AG170:AG196" si="296">IF(AB170=0,0,(AD170/AB170)*AK170)</f>
        <v>0</v>
      </c>
      <c r="AI170" s="139">
        <f t="shared" ref="AI170" si="297">IF(CO170&gt;$AB170,$AB170,CO170)</f>
        <v>0</v>
      </c>
      <c r="AJ170" s="139">
        <f t="shared" ref="AJ170" si="298">IF(CP170&gt;$AB170,$AB170,CP170)</f>
        <v>0</v>
      </c>
      <c r="AK170" s="139">
        <f t="shared" ref="AK170" si="299">IF(CQ170&gt;$AB170,$AB170,CQ170)</f>
        <v>0</v>
      </c>
      <c r="AM170" s="632"/>
      <c r="AN170" s="633"/>
      <c r="AO170" s="633"/>
      <c r="AP170" s="633"/>
      <c r="AQ170" s="634"/>
      <c r="AR170" s="111"/>
      <c r="AS170" s="632"/>
      <c r="AT170" s="633"/>
      <c r="AU170" s="633"/>
      <c r="AV170" s="633"/>
      <c r="AW170" s="634"/>
      <c r="AY170" s="132"/>
      <c r="AZ170" s="37"/>
      <c r="BA170" s="37"/>
      <c r="BB170" s="37"/>
      <c r="BC170" s="635"/>
      <c r="BD170" s="148">
        <f>IF(BC170=0,9,IF(AI170&gt;=BC170,5,IF(AI170&gt;=BB170,4,IF(AI170&gt;=BA170,3,IF(AI170&gt;=AZ170,2,IF(AI170&lt;AY170,0,1))))))</f>
        <v>9</v>
      </c>
      <c r="BE170" s="35" t="str">
        <f t="shared" si="291"/>
        <v>N/A</v>
      </c>
      <c r="BF170" s="151"/>
      <c r="BG170" s="148">
        <f>IF(BC170=0,9,IF(AJ170&gt;=BC170,5,IF(AJ170&gt;=BB170,4,IF(AJ170&gt;=BA170,3,IF(AJ170&gt;=AZ170,2,IF(AJ170&lt;AY170,0,1))))))</f>
        <v>9</v>
      </c>
      <c r="BH170" s="35" t="str">
        <f t="shared" si="292"/>
        <v>N/A</v>
      </c>
      <c r="BI170" s="151"/>
      <c r="BJ170" s="148">
        <f>IF(BC170=0,9,IF(AK170&gt;=BC170,5,IF(AK170&gt;=BB170,4,IF(AK170&gt;=BA170,3,IF(AK170&gt;=AZ170,2,IF(AK170&lt;AY170,0,1))))))</f>
        <v>9</v>
      </c>
      <c r="BK170" s="35" t="str">
        <f t="shared" si="293"/>
        <v>N/A</v>
      </c>
      <c r="BL170" s="627"/>
      <c r="BO170" s="35"/>
      <c r="BP170" s="35"/>
      <c r="BQ170" s="35" t="str">
        <f t="shared" si="239"/>
        <v/>
      </c>
      <c r="BR170" s="35">
        <f t="shared" si="267"/>
        <v>9</v>
      </c>
      <c r="BS170" s="35">
        <f t="shared" si="268"/>
        <v>9</v>
      </c>
      <c r="BT170" s="35">
        <f t="shared" si="269"/>
        <v>9</v>
      </c>
      <c r="BW170" s="37"/>
      <c r="BX170" s="37"/>
      <c r="BY170" s="37"/>
      <c r="BZ170" s="37"/>
      <c r="CA170" s="37"/>
      <c r="CB170" s="37"/>
      <c r="CO170" s="35">
        <f>'Pre-analyseverktøy'!H164</f>
        <v>0</v>
      </c>
      <c r="CP170" s="35">
        <f>'Pre-analyseverktøy'!O164</f>
        <v>0</v>
      </c>
      <c r="CQ170" s="35">
        <f>'Pre-analyseverktøy'!V164</f>
        <v>0</v>
      </c>
      <c r="CR170" s="35" t="str">
        <f>'Pre-analyseverktøy'!F164</f>
        <v>Tidligere utbygget areal</v>
      </c>
      <c r="CS170" s="35" t="b">
        <f t="shared" ref="CS170:CS194" si="300">CR170=E170</f>
        <v>1</v>
      </c>
    </row>
    <row r="171" spans="1:97">
      <c r="A171">
        <v>163</v>
      </c>
      <c r="B171" s="109" t="str">
        <f>D171</f>
        <v>LE 02</v>
      </c>
      <c r="C171" s="109" t="str">
        <f>B171</f>
        <v>LE 02</v>
      </c>
      <c r="D171" s="631" t="s">
        <v>503</v>
      </c>
      <c r="E171" s="629" t="s">
        <v>1074</v>
      </c>
      <c r="F171" s="711">
        <f>SUM(F172:F174)</f>
        <v>2</v>
      </c>
      <c r="G171" s="711">
        <f t="shared" ref="G171:R171" si="301">SUM(G172:G174)</f>
        <v>2</v>
      </c>
      <c r="H171" s="711">
        <f t="shared" si="301"/>
        <v>2</v>
      </c>
      <c r="I171" s="711">
        <f t="shared" si="301"/>
        <v>2</v>
      </c>
      <c r="J171" s="711">
        <f t="shared" si="301"/>
        <v>2</v>
      </c>
      <c r="K171" s="711">
        <f t="shared" si="301"/>
        <v>2</v>
      </c>
      <c r="L171" s="711">
        <f t="shared" si="301"/>
        <v>2</v>
      </c>
      <c r="M171" s="711">
        <f t="shared" si="301"/>
        <v>2</v>
      </c>
      <c r="N171" s="711">
        <f t="shared" si="301"/>
        <v>2</v>
      </c>
      <c r="O171" s="711">
        <f t="shared" si="301"/>
        <v>2</v>
      </c>
      <c r="P171" s="711">
        <f t="shared" si="301"/>
        <v>2</v>
      </c>
      <c r="Q171" s="711">
        <f>SUM(Q172:Q174)</f>
        <v>2</v>
      </c>
      <c r="R171" s="711">
        <f t="shared" si="301"/>
        <v>2</v>
      </c>
      <c r="T171" s="731">
        <f t="shared" si="288"/>
        <v>2</v>
      </c>
      <c r="U171" s="179"/>
      <c r="V171" s="53"/>
      <c r="W171" s="53"/>
      <c r="X171" s="53">
        <f>'Manuell filtrering og justering'!E76</f>
        <v>0</v>
      </c>
      <c r="Y171" s="53"/>
      <c r="Z171" s="726">
        <f>SUM(Z172:Z174)</f>
        <v>2</v>
      </c>
      <c r="AA171" s="731">
        <f t="shared" si="289"/>
        <v>0</v>
      </c>
      <c r="AB171" s="782">
        <f>SUM(AB172:AB174)</f>
        <v>2</v>
      </c>
      <c r="AC171" s="496">
        <v>171</v>
      </c>
      <c r="AD171" s="138">
        <f t="shared" si="290"/>
        <v>1.5789473684210527E-2</v>
      </c>
      <c r="AE171" s="701">
        <f>SUM(AE172:AE174)</f>
        <v>0</v>
      </c>
      <c r="AF171" s="701">
        <f>SUM(AF172:AF174)</f>
        <v>0</v>
      </c>
      <c r="AG171" s="701">
        <f>SUM(AG172:AG174)</f>
        <v>0</v>
      </c>
      <c r="AI171" s="726">
        <f>SUM(AI172:AI174)</f>
        <v>0</v>
      </c>
      <c r="AJ171" s="726">
        <f>SUM(AJ172:AJ174)</f>
        <v>0</v>
      </c>
      <c r="AK171" s="726">
        <f>SUM(AK172:AK174)</f>
        <v>0</v>
      </c>
      <c r="AM171" s="236"/>
      <c r="AN171" s="237"/>
      <c r="AO171" s="237"/>
      <c r="AP171" s="147"/>
      <c r="AQ171" s="152"/>
      <c r="AR171" s="111"/>
      <c r="AS171" s="235"/>
      <c r="AT171" s="147"/>
      <c r="AU171" s="147"/>
      <c r="AV171" s="147"/>
      <c r="AW171" s="152"/>
      <c r="AY171" s="134"/>
      <c r="AZ171" s="35"/>
      <c r="BA171" s="35"/>
      <c r="BB171" s="35"/>
      <c r="BC171" s="135"/>
      <c r="BD171" s="148">
        <f>IF(BC171=0,9,IF(AI171&gt;=BC171,5,IF(AI171&gt;=BB171,4,IF(AI171&gt;=BA171,3,IF(AI171&gt;=AZ171,2,IF(AI171&lt;AY171,0,1))))))</f>
        <v>9</v>
      </c>
      <c r="BE171" s="35" t="str">
        <f t="shared" si="291"/>
        <v>N/A</v>
      </c>
      <c r="BF171" s="151"/>
      <c r="BG171" s="148">
        <f>IF(BC171=0,9,IF(AJ171&gt;=BC171,5,IF(AJ171&gt;=BB171,4,IF(AJ171&gt;=BA171,3,IF(AJ171&gt;=AZ171,2,IF(AJ171&lt;AY171,0,1))))))</f>
        <v>9</v>
      </c>
      <c r="BH171" s="35" t="str">
        <f t="shared" si="292"/>
        <v>N/A</v>
      </c>
      <c r="BI171" s="151"/>
      <c r="BJ171" s="148">
        <f>IF(BC171=0,9,IF(AK171&gt;=BC171,5,IF(AK171&gt;=BB171,4,IF(AK171&gt;=BA171,3,IF(AK171&gt;=AZ171,2,IF(AK171&lt;AY171,0,1))))))</f>
        <v>9</v>
      </c>
      <c r="BK171" s="35" t="str">
        <f t="shared" si="293"/>
        <v>N/A</v>
      </c>
      <c r="BL171" s="151"/>
      <c r="BO171" s="35"/>
      <c r="BP171" s="35"/>
      <c r="BQ171" s="35" t="str">
        <f t="shared" si="239"/>
        <v/>
      </c>
      <c r="BR171" s="35">
        <f t="shared" si="267"/>
        <v>9</v>
      </c>
      <c r="BS171" s="35">
        <f t="shared" si="268"/>
        <v>9</v>
      </c>
      <c r="BT171" s="35">
        <f t="shared" si="269"/>
        <v>9</v>
      </c>
      <c r="BW171" s="35" t="str">
        <f>D171</f>
        <v>LE 02</v>
      </c>
      <c r="BX171" s="35" t="str">
        <f>IFERROR(VLOOKUP($E171,'Pre-analyseverktøy'!$F$11:$AC$226,'Pre-analyseverktøy'!AC$2,FALSE),"")</f>
        <v>N/A</v>
      </c>
      <c r="BY171" s="35">
        <f>IFERROR(VLOOKUP($E171,'Pre-analyseverktøy'!$F$11:$AJ$226,'Pre-analyseverktøy'!AJ$2,FALSE),"")</f>
        <v>0</v>
      </c>
      <c r="BZ171" s="35">
        <f>IFERROR(VLOOKUP($BX171,$E$293:$H$326,F$291,FALSE),"")</f>
        <v>1</v>
      </c>
      <c r="CA171" s="35">
        <f>IFERROR(VLOOKUP($BX171,$E$293:$H$326,G$291,FALSE),"")</f>
        <v>0</v>
      </c>
      <c r="CB171" s="35"/>
      <c r="CC171" t="str">
        <f>IFERROR(VLOOKUP($BX171,$E$293:$H$326,I$291,FALSE),"")</f>
        <v/>
      </c>
    </row>
    <row r="172" spans="1:97">
      <c r="A172">
        <v>164</v>
      </c>
      <c r="C172" t="str">
        <f t="shared" si="240"/>
        <v>LE 02</v>
      </c>
      <c r="D172" s="134" t="s">
        <v>775</v>
      </c>
      <c r="E172" s="717" t="s">
        <v>1075</v>
      </c>
      <c r="F172" s="575"/>
      <c r="G172" s="575"/>
      <c r="H172" s="575"/>
      <c r="I172" s="575"/>
      <c r="J172" s="575"/>
      <c r="K172" s="575"/>
      <c r="L172" s="575"/>
      <c r="M172" s="575"/>
      <c r="N172" s="575"/>
      <c r="O172" s="575"/>
      <c r="P172" s="575"/>
      <c r="Q172" s="575"/>
      <c r="R172" s="575"/>
      <c r="T172" s="136">
        <f t="shared" si="288"/>
        <v>0</v>
      </c>
      <c r="U172" s="134"/>
      <c r="V172" s="35"/>
      <c r="W172" s="35"/>
      <c r="X172" s="35"/>
      <c r="Y172" s="135"/>
      <c r="Z172" s="135"/>
      <c r="AA172" s="136">
        <f t="shared" si="289"/>
        <v>0</v>
      </c>
      <c r="AB172" s="137">
        <f>IF($AC$5='Manuell filtrering og justering'!$J$2,Z172,(T172-AA172))</f>
        <v>0</v>
      </c>
      <c r="AC172" s="496">
        <v>172</v>
      </c>
      <c r="AD172" s="138">
        <f t="shared" si="290"/>
        <v>0</v>
      </c>
      <c r="AE172" s="138">
        <f t="shared" si="294"/>
        <v>0</v>
      </c>
      <c r="AF172" s="138">
        <f t="shared" si="295"/>
        <v>0</v>
      </c>
      <c r="AG172" s="138">
        <f t="shared" si="296"/>
        <v>0</v>
      </c>
      <c r="AI172" s="139">
        <f t="shared" ref="AI172" si="302">IF(CO172&gt;$AB172,$AB172,CO172)</f>
        <v>0</v>
      </c>
      <c r="AJ172" s="139">
        <f t="shared" ref="AJ172" si="303">IF(CP172&gt;$AB172,$AB172,CP172)</f>
        <v>0</v>
      </c>
      <c r="AK172" s="139">
        <f t="shared" ref="AK172" si="304">IF(CQ172&gt;$AB172,$AB172,CQ172)</f>
        <v>0</v>
      </c>
      <c r="AM172" s="236"/>
      <c r="AN172" s="237"/>
      <c r="AO172" s="237"/>
      <c r="AP172" s="147"/>
      <c r="AQ172" s="152"/>
      <c r="AR172" s="111"/>
      <c r="AS172" s="235"/>
      <c r="AT172" s="147"/>
      <c r="AU172" s="147"/>
      <c r="AV172" s="147"/>
      <c r="AW172" s="152"/>
      <c r="AY172" s="134"/>
      <c r="AZ172" s="35"/>
      <c r="BA172" s="35"/>
      <c r="BB172" s="35"/>
      <c r="BC172" s="135"/>
      <c r="BD172" s="148">
        <f>IF(BC172=0,9,IF(AI172&gt;=BC172,5,IF(AI172&gt;=BB172,4,IF(AI172&gt;=BA172,3,IF(AI172&gt;=AZ172,2,IF(AI172&lt;AY172,0,1))))))</f>
        <v>9</v>
      </c>
      <c r="BE172" s="35" t="str">
        <f t="shared" si="291"/>
        <v>N/A</v>
      </c>
      <c r="BF172" s="151"/>
      <c r="BG172" s="148">
        <f>IF(BC172=0,9,IF(AJ172&gt;=BC172,5,IF(AJ172&gt;=BB172,4,IF(AJ172&gt;=BA172,3,IF(AJ172&gt;=AZ172,2,IF(AJ172&lt;AY172,0,1))))))</f>
        <v>9</v>
      </c>
      <c r="BH172" s="35" t="str">
        <f t="shared" si="292"/>
        <v>N/A</v>
      </c>
      <c r="BI172" s="151"/>
      <c r="BJ172" s="148">
        <f>IF(BC172=0,9,IF(AK172&gt;=BC172,5,IF(AK172&gt;=BB172,4,IF(AK172&gt;=BA172,3,IF(AK172&gt;=AZ172,2,IF(AK172&lt;AY172,0,1))))))</f>
        <v>9</v>
      </c>
      <c r="BK172" s="35" t="str">
        <f t="shared" si="293"/>
        <v>N/A</v>
      </c>
      <c r="BL172" s="151"/>
      <c r="BO172" s="35"/>
      <c r="BP172" s="35"/>
      <c r="BQ172" s="35" t="str">
        <f t="shared" si="239"/>
        <v/>
      </c>
      <c r="BR172" s="35">
        <f t="shared" si="267"/>
        <v>9</v>
      </c>
      <c r="BS172" s="35">
        <f t="shared" si="268"/>
        <v>9</v>
      </c>
      <c r="BT172" s="35">
        <f t="shared" si="269"/>
        <v>9</v>
      </c>
      <c r="BW172" s="35"/>
      <c r="BX172" s="35"/>
      <c r="BY172" s="35"/>
      <c r="BZ172" s="35"/>
      <c r="CA172" s="35"/>
      <c r="CB172" s="35"/>
      <c r="CO172" s="35">
        <f>'Pre-analyseverktøy'!H167</f>
        <v>0</v>
      </c>
      <c r="CP172" s="35">
        <f>'Pre-analyseverktøy'!O167</f>
        <v>0</v>
      </c>
      <c r="CQ172" s="35">
        <f>'Pre-analyseverktøy'!V167</f>
        <v>0</v>
      </c>
      <c r="CR172" s="35" t="str">
        <f>'Pre-analyseverktøy'!F167</f>
        <v>Forkrav: Lovfestede plikter</v>
      </c>
      <c r="CS172" s="35" t="b">
        <f t="shared" si="300"/>
        <v>1</v>
      </c>
    </row>
    <row r="173" spans="1:97">
      <c r="A173">
        <v>165</v>
      </c>
      <c r="B173" t="str">
        <f>$D$171&amp;D173</f>
        <v>LE 02b</v>
      </c>
      <c r="C173" t="str">
        <f t="shared" si="240"/>
        <v>LE 02</v>
      </c>
      <c r="D173" s="134" t="s">
        <v>776</v>
      </c>
      <c r="E173" s="924" t="s">
        <v>1076</v>
      </c>
      <c r="F173" s="575">
        <v>1</v>
      </c>
      <c r="G173" s="575">
        <v>1</v>
      </c>
      <c r="H173" s="575">
        <v>1</v>
      </c>
      <c r="I173" s="575">
        <v>1</v>
      </c>
      <c r="J173" s="575">
        <v>1</v>
      </c>
      <c r="K173" s="575">
        <v>1</v>
      </c>
      <c r="L173" s="575">
        <v>1</v>
      </c>
      <c r="M173" s="575">
        <v>1</v>
      </c>
      <c r="N173" s="575">
        <v>1</v>
      </c>
      <c r="O173" s="575">
        <v>1</v>
      </c>
      <c r="P173" s="575">
        <v>1</v>
      </c>
      <c r="Q173" s="575">
        <v>1</v>
      </c>
      <c r="R173" s="575">
        <v>1</v>
      </c>
      <c r="T173" s="136">
        <f t="shared" si="288"/>
        <v>1</v>
      </c>
      <c r="U173" s="134"/>
      <c r="V173" s="35"/>
      <c r="W173" s="35"/>
      <c r="X173" s="35"/>
      <c r="Y173" s="135"/>
      <c r="Z173" s="135">
        <f>VLOOKUP(B173,'Manuell filtrering og justering'!$A$7:$H$253,'Manuell filtrering og justering'!$H$1,FALSE)</f>
        <v>1</v>
      </c>
      <c r="AA173" s="136">
        <f t="shared" si="289"/>
        <v>0</v>
      </c>
      <c r="AB173" s="137">
        <f>IF($AC$5='Manuell filtrering og justering'!$J$2,Z173,(T173-AA173))</f>
        <v>1</v>
      </c>
      <c r="AC173" s="496">
        <v>173</v>
      </c>
      <c r="AD173" s="138">
        <f t="shared" si="290"/>
        <v>7.8947368421052634E-3</v>
      </c>
      <c r="AE173" s="138">
        <f t="shared" si="294"/>
        <v>0</v>
      </c>
      <c r="AF173" s="138">
        <f t="shared" si="295"/>
        <v>0</v>
      </c>
      <c r="AG173" s="138">
        <f t="shared" si="296"/>
        <v>0</v>
      </c>
      <c r="AI173" s="783">
        <f>IF(AI242=AD_no,0,IF(VLOOKUP(E173,'Pre-analyseverktøy'!$F$11:$AA$226,'Pre-analyseverktøy'!$H$2,FALSE)&gt;AB173,AB173,VLOOKUP(E173,'Pre-analyseverktøy'!$F$11:$AA$226,'Pre-analyseverktøy'!$H$2,FALSE)))</f>
        <v>0</v>
      </c>
      <c r="AJ173" s="783">
        <f>IF(AJ242=AD_no,0,IF(VLOOKUP(E173,'Pre-analyseverktøy'!$F$11:$AA$226,'Pre-analyseverktøy'!$O$2,FALSE)&gt;AB173,AB173,VLOOKUP(E173,'Pre-analyseverktøy'!$F$11:$AA$226,'Pre-analyseverktøy'!$O$2,FALSE)))</f>
        <v>0</v>
      </c>
      <c r="AK173" s="783">
        <f>IF(AK242=AD_no,0,IF(VLOOKUP(E173,'Pre-analyseverktøy'!$F$11:$AA$226,'Pre-analyseverktøy'!$V$2,FALSE)&gt;AB173,AB173,VLOOKUP(E173,'Pre-analyseverktøy'!$F$11:$AA$226,'Pre-analyseverktøy'!$V$2,FALSE)))</f>
        <v>0</v>
      </c>
      <c r="AM173" s="236"/>
      <c r="AN173" s="237"/>
      <c r="AO173" s="237">
        <v>1</v>
      </c>
      <c r="AP173" s="147">
        <v>1</v>
      </c>
      <c r="AQ173" s="152">
        <v>1</v>
      </c>
      <c r="AR173" s="111"/>
      <c r="AS173" s="235"/>
      <c r="AT173" s="147"/>
      <c r="AU173" s="147">
        <v>1</v>
      </c>
      <c r="AV173" s="147">
        <v>1</v>
      </c>
      <c r="AW173" s="152">
        <v>1</v>
      </c>
      <c r="AY173" s="134"/>
      <c r="AZ173" s="35"/>
      <c r="BA173" s="149">
        <f>IF($AB173=0,0,IF($E$6=$H$9,AU173,AO173))</f>
        <v>1</v>
      </c>
      <c r="BB173" s="149">
        <f>IF($AB173=0,0,IF($E$6=$H$9,AV173,AP173))</f>
        <v>1</v>
      </c>
      <c r="BC173" s="149">
        <f>IF($AB173=0,0,IF($E$6=$H$9,AW173,AQ173))</f>
        <v>1</v>
      </c>
      <c r="BD173" s="148">
        <f t="shared" ref="BD173:BD191" si="305">IF(BC173=0,9,IF(AI173&gt;=BC173,5,IF(AI173&gt;=BB173,4,IF(AI173&gt;=BA173,3,IF(AI173&gt;=AZ173,2,IF(AI173&lt;AY173,0,1))))))</f>
        <v>2</v>
      </c>
      <c r="BE173" s="35" t="str">
        <f t="shared" si="291"/>
        <v>Good</v>
      </c>
      <c r="BF173" s="151"/>
      <c r="BG173" s="148">
        <f t="shared" ref="BG173:BG191" si="306">IF(BC173=0,9,IF(AJ173&gt;=BC173,5,IF(AJ173&gt;=BB173,4,IF(AJ173&gt;=BA173,3,IF(AJ173&gt;=AZ173,2,IF(AJ173&lt;AY173,0,1))))))</f>
        <v>2</v>
      </c>
      <c r="BH173" s="35" t="str">
        <f t="shared" si="292"/>
        <v>Good</v>
      </c>
      <c r="BI173" s="151"/>
      <c r="BJ173" s="148">
        <f t="shared" ref="BJ173:BJ191" si="307">IF(BC173=0,9,IF(AK173&gt;=BC173,5,IF(AK173&gt;=BB173,4,IF(AK173&gt;=BA173,3,IF(AK173&gt;=AZ173,2,IF(AK173&lt;AY173,0,1))))))</f>
        <v>2</v>
      </c>
      <c r="BK173" s="35" t="str">
        <f t="shared" si="293"/>
        <v>Good</v>
      </c>
      <c r="BL173" s="151"/>
      <c r="BO173" s="35"/>
      <c r="BP173" s="35">
        <v>1</v>
      </c>
      <c r="BQ173" s="35">
        <f t="shared" si="239"/>
        <v>1</v>
      </c>
      <c r="BR173" s="35">
        <f t="shared" si="267"/>
        <v>0</v>
      </c>
      <c r="BS173" s="35">
        <f t="shared" si="268"/>
        <v>0</v>
      </c>
      <c r="BT173" s="35">
        <f t="shared" si="269"/>
        <v>0</v>
      </c>
      <c r="BW173" s="35"/>
      <c r="BX173" s="35"/>
      <c r="BY173" s="35"/>
      <c r="BZ173" s="35"/>
      <c r="CA173" s="35"/>
      <c r="CB173" s="35"/>
      <c r="CO173" s="35">
        <f>'Pre-analyseverktøy'!H168</f>
        <v>0</v>
      </c>
      <c r="CP173" s="35">
        <f>'Pre-analyseverktøy'!O168</f>
        <v>0</v>
      </c>
      <c r="CQ173" s="35">
        <f>'Pre-analyseverktøy'!V168</f>
        <v>0</v>
      </c>
      <c r="CR173" s="35" t="str">
        <f>'Pre-analyseverktøy'!F168</f>
        <v>Kartlegging og vurdering (EU taksonomi: krit 2-4)</v>
      </c>
      <c r="CS173" s="35" t="b">
        <f t="shared" si="300"/>
        <v>1</v>
      </c>
    </row>
    <row r="174" spans="1:97">
      <c r="A174">
        <v>166</v>
      </c>
      <c r="B174" t="str">
        <f>$D$171&amp;D174</f>
        <v>LE 02c</v>
      </c>
      <c r="C174" t="str">
        <f t="shared" si="240"/>
        <v>LE 02</v>
      </c>
      <c r="D174" s="134" t="s">
        <v>777</v>
      </c>
      <c r="E174" s="813" t="s">
        <v>1077</v>
      </c>
      <c r="F174" s="575">
        <v>1</v>
      </c>
      <c r="G174" s="575">
        <v>1</v>
      </c>
      <c r="H174" s="575">
        <v>1</v>
      </c>
      <c r="I174" s="575">
        <v>1</v>
      </c>
      <c r="J174" s="575">
        <v>1</v>
      </c>
      <c r="K174" s="575">
        <v>1</v>
      </c>
      <c r="L174" s="575">
        <v>1</v>
      </c>
      <c r="M174" s="575">
        <v>1</v>
      </c>
      <c r="N174" s="575">
        <v>1</v>
      </c>
      <c r="O174" s="575">
        <v>1</v>
      </c>
      <c r="P174" s="575">
        <v>1</v>
      </c>
      <c r="Q174" s="575">
        <v>1</v>
      </c>
      <c r="R174" s="575">
        <v>1</v>
      </c>
      <c r="T174" s="136">
        <f t="shared" si="288"/>
        <v>1</v>
      </c>
      <c r="U174" s="134"/>
      <c r="V174" s="35"/>
      <c r="W174" s="35"/>
      <c r="X174" s="35"/>
      <c r="Y174" s="135"/>
      <c r="Z174" s="135">
        <f>VLOOKUP(B174,'Manuell filtrering og justering'!$A$7:$H$253,'Manuell filtrering og justering'!$H$1,FALSE)</f>
        <v>1</v>
      </c>
      <c r="AA174" s="136">
        <f t="shared" si="289"/>
        <v>0</v>
      </c>
      <c r="AB174" s="137">
        <f>IF($AC$5='Manuell filtrering og justering'!$J$2,Z174,(T174-AA174))</f>
        <v>1</v>
      </c>
      <c r="AC174" s="496">
        <v>174</v>
      </c>
      <c r="AD174" s="138">
        <f t="shared" si="290"/>
        <v>7.8947368421052634E-3</v>
      </c>
      <c r="AE174" s="138">
        <f t="shared" si="294"/>
        <v>0</v>
      </c>
      <c r="AF174" s="138">
        <f t="shared" si="295"/>
        <v>0</v>
      </c>
      <c r="AG174" s="138">
        <f t="shared" si="296"/>
        <v>0</v>
      </c>
      <c r="AI174" s="783">
        <f>IF(AI242=AD_no,0,IF(VLOOKUP(E174,'Pre-analyseverktøy'!$F$11:$AA$226,'Pre-analyseverktøy'!$H$2,FALSE)&gt;AB174,AB174,VLOOKUP(E174,'Pre-analyseverktøy'!$F$11:$AA$226,'Pre-analyseverktøy'!$H$2,FALSE)))</f>
        <v>0</v>
      </c>
      <c r="AJ174" s="783">
        <f>IF(AJ242=AD_no,0,IF(VLOOKUP(E174,'Pre-analyseverktøy'!$F$11:$AA$226,'Pre-analyseverktøy'!$O$2,FALSE)&gt;AB174,AB174,VLOOKUP(E174,'Pre-analyseverktøy'!$F$11:$AA$226,'Pre-analyseverktøy'!$O$2,FALSE)))</f>
        <v>0</v>
      </c>
      <c r="AK174" s="783">
        <f>IF(AK242=AD_no,0,IF(VLOOKUP(E174,'Pre-analyseverktøy'!$F$11:$AA$226,'Pre-analyseverktøy'!$V$2,FALSE)&gt;AB174,AB174,VLOOKUP(E174,'Pre-analyseverktøy'!$F$11:$AA$226,'Pre-analyseverktøy'!$V$2,FALSE)))</f>
        <v>0</v>
      </c>
      <c r="AM174" s="236"/>
      <c r="AN174" s="237"/>
      <c r="AO174" s="237"/>
      <c r="AP174" s="147"/>
      <c r="AQ174" s="152"/>
      <c r="AR174" s="111"/>
      <c r="AS174" s="235"/>
      <c r="AT174" s="147"/>
      <c r="AU174" s="147"/>
      <c r="AV174" s="147"/>
      <c r="AW174" s="152"/>
      <c r="AY174" s="134"/>
      <c r="AZ174" s="35"/>
      <c r="BA174" s="35"/>
      <c r="BB174" s="35"/>
      <c r="BC174" s="135"/>
      <c r="BD174" s="148">
        <f t="shared" si="305"/>
        <v>9</v>
      </c>
      <c r="BE174" s="35" t="str">
        <f t="shared" si="291"/>
        <v>N/A</v>
      </c>
      <c r="BF174" s="151"/>
      <c r="BG174" s="148">
        <f t="shared" si="306"/>
        <v>9</v>
      </c>
      <c r="BH174" s="35" t="str">
        <f t="shared" si="292"/>
        <v>N/A</v>
      </c>
      <c r="BI174" s="151"/>
      <c r="BJ174" s="148">
        <f t="shared" si="307"/>
        <v>9</v>
      </c>
      <c r="BK174" s="35" t="str">
        <f t="shared" si="293"/>
        <v>N/A</v>
      </c>
      <c r="BL174" s="151"/>
      <c r="BO174" s="35"/>
      <c r="BP174" s="35"/>
      <c r="BQ174" s="35"/>
      <c r="BR174" s="35">
        <f t="shared" si="267"/>
        <v>9</v>
      </c>
      <c r="BS174" s="35">
        <f t="shared" si="268"/>
        <v>9</v>
      </c>
      <c r="BT174" s="35">
        <f t="shared" si="269"/>
        <v>9</v>
      </c>
      <c r="BW174" s="35"/>
      <c r="BX174" s="35"/>
      <c r="BY174" s="35"/>
      <c r="BZ174" s="35"/>
      <c r="CA174" s="35"/>
      <c r="CB174" s="35"/>
      <c r="CO174" s="35">
        <f>'Pre-analyseverktøy'!H169</f>
        <v>0</v>
      </c>
      <c r="CP174" s="35">
        <f>'Pre-analyseverktøy'!O169</f>
        <v>0</v>
      </c>
      <c r="CQ174" s="35">
        <f>'Pre-analyseverktøy'!V169</f>
        <v>0</v>
      </c>
      <c r="CR174" s="35" t="str">
        <f>'Pre-analyseverktøy'!F169</f>
        <v>Fastsette økologiske muligheter</v>
      </c>
      <c r="CS174" s="35" t="b">
        <f t="shared" si="300"/>
        <v>1</v>
      </c>
    </row>
    <row r="175" spans="1:97">
      <c r="A175">
        <v>167</v>
      </c>
      <c r="B175" s="109" t="str">
        <f>D175</f>
        <v>LE 03</v>
      </c>
      <c r="C175" s="109" t="str">
        <f>B175</f>
        <v>LE 03</v>
      </c>
      <c r="D175" s="631" t="s">
        <v>508</v>
      </c>
      <c r="E175" s="629" t="s">
        <v>1078</v>
      </c>
      <c r="F175" s="711">
        <f>SUM(F176:F178)</f>
        <v>3</v>
      </c>
      <c r="G175" s="711">
        <f t="shared" ref="G175:R175" si="308">SUM(G176:G178)</f>
        <v>3</v>
      </c>
      <c r="H175" s="711">
        <f t="shared" si="308"/>
        <v>3</v>
      </c>
      <c r="I175" s="711">
        <f t="shared" si="308"/>
        <v>3</v>
      </c>
      <c r="J175" s="711">
        <f t="shared" si="308"/>
        <v>3</v>
      </c>
      <c r="K175" s="711">
        <f t="shared" si="308"/>
        <v>3</v>
      </c>
      <c r="L175" s="711">
        <f t="shared" si="308"/>
        <v>3</v>
      </c>
      <c r="M175" s="711">
        <f t="shared" si="308"/>
        <v>3</v>
      </c>
      <c r="N175" s="711">
        <f t="shared" si="308"/>
        <v>3</v>
      </c>
      <c r="O175" s="711">
        <f t="shared" si="308"/>
        <v>3</v>
      </c>
      <c r="P175" s="711">
        <f t="shared" si="308"/>
        <v>3</v>
      </c>
      <c r="Q175" s="711">
        <f>SUM(Q176:Q178)</f>
        <v>3</v>
      </c>
      <c r="R175" s="711">
        <f t="shared" si="308"/>
        <v>3</v>
      </c>
      <c r="T175" s="731">
        <f t="shared" si="288"/>
        <v>3</v>
      </c>
      <c r="U175" s="179"/>
      <c r="V175" s="53"/>
      <c r="W175" s="53"/>
      <c r="X175" s="53">
        <f>'Manuell filtrering og justering'!E77</f>
        <v>0</v>
      </c>
      <c r="Y175" s="53"/>
      <c r="Z175" s="726">
        <f>SUM(Z176:Z178)</f>
        <v>0</v>
      </c>
      <c r="AA175" s="731">
        <f t="shared" si="289"/>
        <v>0</v>
      </c>
      <c r="AB175" s="782">
        <f>SUM(AB176:AB178)</f>
        <v>3</v>
      </c>
      <c r="AC175" s="496">
        <v>175</v>
      </c>
      <c r="AD175" s="138">
        <f t="shared" si="290"/>
        <v>2.368421052631579E-2</v>
      </c>
      <c r="AE175" s="701">
        <f>SUM(AE176:AE178)</f>
        <v>0</v>
      </c>
      <c r="AF175" s="701">
        <f>SUM(AF176:AF178)</f>
        <v>0</v>
      </c>
      <c r="AG175" s="701">
        <f>SUM(AG176:AG178)</f>
        <v>0</v>
      </c>
      <c r="AI175" s="726">
        <f>SUM(AI176:AI178)</f>
        <v>0</v>
      </c>
      <c r="AJ175" s="726">
        <f>SUM(AJ176:AJ178)</f>
        <v>0</v>
      </c>
      <c r="AK175" s="726">
        <f>SUM(AK176:AK178)</f>
        <v>0</v>
      </c>
      <c r="AM175" s="236"/>
      <c r="AN175" s="237"/>
      <c r="AO175" s="237"/>
      <c r="AP175" s="147"/>
      <c r="AQ175" s="152"/>
      <c r="AR175" s="111"/>
      <c r="AS175" s="235"/>
      <c r="AT175" s="147"/>
      <c r="AU175" s="147"/>
      <c r="AV175" s="147"/>
      <c r="AW175" s="152"/>
      <c r="AY175" s="134"/>
      <c r="AZ175" s="35"/>
      <c r="BA175" s="35"/>
      <c r="BB175" s="35"/>
      <c r="BC175" s="135"/>
      <c r="BD175" s="148">
        <f t="shared" si="305"/>
        <v>9</v>
      </c>
      <c r="BE175" s="35" t="str">
        <f t="shared" si="291"/>
        <v>N/A</v>
      </c>
      <c r="BF175" s="151"/>
      <c r="BG175" s="148">
        <f t="shared" si="306"/>
        <v>9</v>
      </c>
      <c r="BH175" s="35" t="str">
        <f t="shared" si="292"/>
        <v>N/A</v>
      </c>
      <c r="BI175" s="151"/>
      <c r="BJ175" s="148">
        <f t="shared" si="307"/>
        <v>9</v>
      </c>
      <c r="BK175" s="35" t="str">
        <f t="shared" si="293"/>
        <v>N/A</v>
      </c>
      <c r="BL175" s="151"/>
      <c r="BO175" s="35"/>
      <c r="BP175" s="35"/>
      <c r="BQ175" s="35" t="str">
        <f t="shared" si="239"/>
        <v/>
      </c>
      <c r="BR175" s="35">
        <f t="shared" si="267"/>
        <v>9</v>
      </c>
      <c r="BS175" s="35">
        <f t="shared" si="268"/>
        <v>9</v>
      </c>
      <c r="BT175" s="35">
        <f t="shared" si="269"/>
        <v>9</v>
      </c>
      <c r="BW175" s="35" t="str">
        <f>D175</f>
        <v>LE 03</v>
      </c>
      <c r="BX175" s="35"/>
      <c r="BY175" s="35"/>
      <c r="BZ175" s="35"/>
      <c r="CA175" s="35"/>
      <c r="CB175" s="35"/>
    </row>
    <row r="176" spans="1:97">
      <c r="A176">
        <v>168</v>
      </c>
      <c r="C176" t="str">
        <f t="shared" si="240"/>
        <v>LE 03</v>
      </c>
      <c r="D176" s="134" t="s">
        <v>775</v>
      </c>
      <c r="E176" s="717" t="s">
        <v>1079</v>
      </c>
      <c r="F176" s="575"/>
      <c r="G176" s="575"/>
      <c r="H176" s="575"/>
      <c r="I176" s="575"/>
      <c r="J176" s="575"/>
      <c r="K176" s="575"/>
      <c r="L176" s="575"/>
      <c r="M176" s="575"/>
      <c r="N176" s="575"/>
      <c r="O176" s="575"/>
      <c r="P176" s="575"/>
      <c r="Q176" s="575"/>
      <c r="R176" s="575"/>
      <c r="T176" s="136">
        <f t="shared" si="288"/>
        <v>0</v>
      </c>
      <c r="U176" s="134"/>
      <c r="V176" s="35"/>
      <c r="W176" s="35"/>
      <c r="X176" s="35"/>
      <c r="Y176" s="135"/>
      <c r="Z176" s="135"/>
      <c r="AA176" s="136">
        <f t="shared" si="289"/>
        <v>0</v>
      </c>
      <c r="AB176" s="137">
        <f>IF($AC$5='Manuell filtrering og justering'!$J$2,Z176,(T176-AA176))</f>
        <v>0</v>
      </c>
      <c r="AC176" s="496">
        <v>176</v>
      </c>
      <c r="AD176" s="138">
        <f t="shared" si="290"/>
        <v>0</v>
      </c>
      <c r="AE176" s="138">
        <f t="shared" si="294"/>
        <v>0</v>
      </c>
      <c r="AF176" s="138">
        <f t="shared" si="295"/>
        <v>0</v>
      </c>
      <c r="AG176" s="138">
        <f t="shared" si="296"/>
        <v>0</v>
      </c>
      <c r="AI176" s="139"/>
      <c r="AJ176" s="139"/>
      <c r="AK176" s="139"/>
      <c r="AM176" s="236"/>
      <c r="AN176" s="237"/>
      <c r="AO176" s="237"/>
      <c r="AP176" s="147"/>
      <c r="AQ176" s="152"/>
      <c r="AR176" s="111"/>
      <c r="AS176" s="235"/>
      <c r="AT176" s="147"/>
      <c r="AU176" s="147"/>
      <c r="AV176" s="147"/>
      <c r="AW176" s="152"/>
      <c r="AY176" s="134"/>
      <c r="AZ176" s="35"/>
      <c r="BA176" s="35"/>
      <c r="BB176" s="35"/>
      <c r="BC176" s="135"/>
      <c r="BD176" s="148">
        <f t="shared" si="305"/>
        <v>9</v>
      </c>
      <c r="BE176" s="35" t="str">
        <f t="shared" si="291"/>
        <v>N/A</v>
      </c>
      <c r="BF176" s="151"/>
      <c r="BG176" s="148">
        <f t="shared" si="306"/>
        <v>9</v>
      </c>
      <c r="BH176" s="35" t="str">
        <f t="shared" si="292"/>
        <v>N/A</v>
      </c>
      <c r="BI176" s="151"/>
      <c r="BJ176" s="148">
        <f t="shared" si="307"/>
        <v>9</v>
      </c>
      <c r="BK176" s="35" t="str">
        <f t="shared" si="293"/>
        <v>N/A</v>
      </c>
      <c r="BL176" s="151"/>
      <c r="BO176" s="35"/>
      <c r="BP176" s="35"/>
      <c r="BQ176" s="35" t="str">
        <f t="shared" si="239"/>
        <v/>
      </c>
      <c r="BR176" s="35">
        <f t="shared" si="267"/>
        <v>9</v>
      </c>
      <c r="BS176" s="35">
        <f t="shared" si="268"/>
        <v>9</v>
      </c>
      <c r="BT176" s="35">
        <f t="shared" si="269"/>
        <v>9</v>
      </c>
      <c r="BW176" s="35"/>
      <c r="BX176" s="35"/>
      <c r="BY176" s="35"/>
      <c r="BZ176" s="35"/>
      <c r="CA176" s="35"/>
      <c r="CB176" s="35"/>
      <c r="CO176" s="35">
        <f>'Pre-analyseverktøy'!H171</f>
        <v>0</v>
      </c>
      <c r="CP176" s="35">
        <f>'Pre-analyseverktøy'!O171</f>
        <v>0</v>
      </c>
      <c r="CQ176" s="35">
        <f>'Pre-analyseverktøy'!V171</f>
        <v>0</v>
      </c>
      <c r="CR176" s="35" t="str">
        <f>'Pre-analyseverktøy'!F171</f>
        <v>Forkrav: økologisk risiko og muligheter</v>
      </c>
      <c r="CS176" s="35" t="b">
        <f t="shared" si="300"/>
        <v>1</v>
      </c>
    </row>
    <row r="177" spans="1:97">
      <c r="A177">
        <v>169</v>
      </c>
      <c r="B177" t="str">
        <f>$D$175&amp;D177</f>
        <v>LE 03b</v>
      </c>
      <c r="C177" t="str">
        <f t="shared" si="240"/>
        <v>LE 03</v>
      </c>
      <c r="D177" s="134" t="s">
        <v>776</v>
      </c>
      <c r="E177" s="924" t="s">
        <v>1080</v>
      </c>
      <c r="F177" s="575">
        <v>1</v>
      </c>
      <c r="G177" s="575">
        <v>1</v>
      </c>
      <c r="H177" s="575">
        <v>1</v>
      </c>
      <c r="I177" s="575">
        <v>1</v>
      </c>
      <c r="J177" s="575">
        <v>1</v>
      </c>
      <c r="K177" s="575">
        <v>1</v>
      </c>
      <c r="L177" s="575">
        <v>1</v>
      </c>
      <c r="M177" s="575">
        <v>1</v>
      </c>
      <c r="N177" s="575">
        <v>1</v>
      </c>
      <c r="O177" s="575">
        <v>1</v>
      </c>
      <c r="P177" s="575">
        <v>1</v>
      </c>
      <c r="Q177" s="575">
        <v>1</v>
      </c>
      <c r="R177" s="575">
        <v>1</v>
      </c>
      <c r="T177" s="136">
        <f t="shared" si="288"/>
        <v>1</v>
      </c>
      <c r="U177" s="134"/>
      <c r="V177" s="35"/>
      <c r="W177" s="35"/>
      <c r="X177" s="35"/>
      <c r="Y177" s="135"/>
      <c r="Z177" s="135">
        <f>VLOOKUP(B177,'Manuell filtrering og justering'!$A$7:$H$253,'Manuell filtrering og justering'!$H$1,FALSE)</f>
        <v>0</v>
      </c>
      <c r="AA177" s="136">
        <f t="shared" si="289"/>
        <v>0</v>
      </c>
      <c r="AB177" s="137">
        <f>IF($AC$5='Manuell filtrering og justering'!$J$2,Z177,(T177-AA177))</f>
        <v>1</v>
      </c>
      <c r="AC177" s="496">
        <v>177</v>
      </c>
      <c r="AD177" s="138">
        <f t="shared" si="290"/>
        <v>7.8947368421052634E-3</v>
      </c>
      <c r="AE177" s="138">
        <f t="shared" si="294"/>
        <v>0</v>
      </c>
      <c r="AF177" s="138">
        <f t="shared" si="295"/>
        <v>0</v>
      </c>
      <c r="AG177" s="138">
        <f t="shared" si="296"/>
        <v>0</v>
      </c>
      <c r="AI177" s="783">
        <f>IF(AI243=AD_no,0,IF(VLOOKUP(E177,'Pre-analyseverktøy'!$F$11:$AA$226,'Pre-analyseverktøy'!$H$2,FALSE)&gt;AB177,AB177,VLOOKUP(E177,'Pre-analyseverktøy'!$F$11:$AA$226,'Pre-analyseverktøy'!$H$2,FALSE)))</f>
        <v>0</v>
      </c>
      <c r="AJ177" s="783">
        <f>IF(AJ243=AD_no,0,IF(VLOOKUP(E177,'Pre-analyseverktøy'!$F$11:$AA$226,'Pre-analyseverktøy'!$O$2,FALSE)&gt;AB177,AB177,VLOOKUP(E177,'Pre-analyseverktøy'!$F$11:$AA$226,'Pre-analyseverktøy'!$O$2,FALSE)))</f>
        <v>0</v>
      </c>
      <c r="AK177" s="783">
        <f>IF(AK243=AD_no,0,IF(VLOOKUP(E177,'Pre-analyseverktøy'!$F$11:$AA$226,'Pre-analyseverktøy'!$V$2,FALSE)&gt;AB177,AB177,VLOOKUP(E177,'Pre-analyseverktøy'!$F$11:$AA$226,'Pre-analyseverktøy'!$V$2,FALSE)))</f>
        <v>0</v>
      </c>
      <c r="AM177" s="236"/>
      <c r="AN177" s="237"/>
      <c r="AO177" s="237"/>
      <c r="AP177" s="147"/>
      <c r="AQ177" s="152"/>
      <c r="AR177" s="111"/>
      <c r="AS177" s="235"/>
      <c r="AT177" s="147"/>
      <c r="AU177" s="147"/>
      <c r="AV177" s="147"/>
      <c r="AW177" s="152"/>
      <c r="AY177" s="149"/>
      <c r="AZ177" s="149"/>
      <c r="BA177" s="149"/>
      <c r="BB177" s="149"/>
      <c r="BC177" s="149"/>
      <c r="BD177" s="148">
        <f>IF(BC177=0,9,IF(AI177&gt;=BC177,5,IF(AI177&gt;=BB177,4,IF(AI177&gt;=BA177,3,IF(AI177&gt;=AZ177,2,IF(AI177&lt;AY177,0,1))))))</f>
        <v>9</v>
      </c>
      <c r="BE177" s="35" t="str">
        <f t="shared" si="291"/>
        <v>N/A</v>
      </c>
      <c r="BF177" s="151"/>
      <c r="BG177" s="148">
        <f>IF(BC177=0,9,IF(AJ177&gt;=BC177,5,IF(AJ177&gt;=BB177,4,IF(AJ177&gt;=BA177,3,IF(AJ177&gt;=AZ177,2,IF(AJ177&lt;AY177,0,1))))))</f>
        <v>9</v>
      </c>
      <c r="BH177" s="35" t="str">
        <f t="shared" si="292"/>
        <v>N/A</v>
      </c>
      <c r="BI177" s="151"/>
      <c r="BJ177" s="148">
        <f>IF(BC177=0,9,IF(AK177&gt;=BC177,5,IF(AK177&gt;=BB177,4,IF(AK177&gt;=BA177,3,IF(AK177&gt;=AZ177,2,IF(AK177&lt;AY177,0,1))))))</f>
        <v>9</v>
      </c>
      <c r="BK177" s="35" t="str">
        <f t="shared" si="293"/>
        <v>N/A</v>
      </c>
      <c r="BL177" s="151"/>
      <c r="BO177" s="35"/>
      <c r="BP177" s="35"/>
      <c r="BQ177" s="35" t="str">
        <f t="shared" si="239"/>
        <v/>
      </c>
      <c r="BR177" s="35">
        <f t="shared" si="267"/>
        <v>9</v>
      </c>
      <c r="BS177" s="35">
        <f t="shared" si="268"/>
        <v>9</v>
      </c>
      <c r="BT177" s="35">
        <f t="shared" si="269"/>
        <v>9</v>
      </c>
      <c r="BW177" s="35"/>
      <c r="BX177" s="35"/>
      <c r="BY177" s="35"/>
      <c r="BZ177" s="35"/>
      <c r="CA177" s="35"/>
      <c r="CB177" s="35"/>
      <c r="CO177" s="35">
        <f>'Pre-analyseverktøy'!H172</f>
        <v>0</v>
      </c>
      <c r="CP177" s="35">
        <f>'Pre-analyseverktøy'!O172</f>
        <v>0</v>
      </c>
      <c r="CQ177" s="35">
        <f>'Pre-analyseverktøy'!V172</f>
        <v>0</v>
      </c>
      <c r="CR177" s="35" t="str">
        <f>'Pre-analyseverktøy'!F172</f>
        <v>Planlegging og tiltak på utbyggingsområdet</v>
      </c>
      <c r="CS177" s="35" t="b">
        <f t="shared" si="300"/>
        <v>1</v>
      </c>
    </row>
    <row r="178" spans="1:97">
      <c r="A178">
        <v>170</v>
      </c>
      <c r="B178" t="str">
        <f>$D$175&amp;D178</f>
        <v>LE 03c</v>
      </c>
      <c r="C178" t="str">
        <f t="shared" si="240"/>
        <v>LE 03</v>
      </c>
      <c r="D178" s="134" t="s">
        <v>777</v>
      </c>
      <c r="E178" s="924" t="s">
        <v>1081</v>
      </c>
      <c r="F178" s="575">
        <v>2</v>
      </c>
      <c r="G178" s="575">
        <v>2</v>
      </c>
      <c r="H178" s="575">
        <v>2</v>
      </c>
      <c r="I178" s="575">
        <v>2</v>
      </c>
      <c r="J178" s="575">
        <v>2</v>
      </c>
      <c r="K178" s="575">
        <v>2</v>
      </c>
      <c r="L178" s="575">
        <v>2</v>
      </c>
      <c r="M178" s="575">
        <v>2</v>
      </c>
      <c r="N178" s="575">
        <v>2</v>
      </c>
      <c r="O178" s="575">
        <v>2</v>
      </c>
      <c r="P178" s="575">
        <v>2</v>
      </c>
      <c r="Q178" s="575">
        <v>2</v>
      </c>
      <c r="R178" s="575">
        <v>2</v>
      </c>
      <c r="T178" s="136">
        <f t="shared" si="288"/>
        <v>2</v>
      </c>
      <c r="U178" s="134"/>
      <c r="V178" s="35"/>
      <c r="W178" s="35"/>
      <c r="X178" s="35"/>
      <c r="Y178" s="135"/>
      <c r="Z178" s="135">
        <f>VLOOKUP(B178,'Manuell filtrering og justering'!$A$7:$H$253,'Manuell filtrering og justering'!$H$1,FALSE)</f>
        <v>0</v>
      </c>
      <c r="AA178" s="136">
        <f t="shared" si="289"/>
        <v>0</v>
      </c>
      <c r="AB178" s="137">
        <f>IF($AC$5='Manuell filtrering og justering'!$J$2,Z178,(T178-AA178))</f>
        <v>2</v>
      </c>
      <c r="AC178" s="496">
        <v>178</v>
      </c>
      <c r="AD178" s="138">
        <f t="shared" si="290"/>
        <v>1.5789473684210527E-2</v>
      </c>
      <c r="AE178" s="138">
        <f t="shared" si="294"/>
        <v>0</v>
      </c>
      <c r="AF178" s="138">
        <f t="shared" si="295"/>
        <v>0</v>
      </c>
      <c r="AG178" s="138">
        <f t="shared" si="296"/>
        <v>0</v>
      </c>
      <c r="AI178" s="783">
        <f>IF(AI243=AD_no,0,IF(VLOOKUP(E178,'Pre-analyseverktøy'!$F$11:$AA$226,'Pre-analyseverktøy'!$H$2,FALSE)&gt;AB178,AB178,VLOOKUP(E178,'Pre-analyseverktøy'!$F$11:$AA$226,'Pre-analyseverktøy'!$H$2,FALSE)))</f>
        <v>0</v>
      </c>
      <c r="AJ178" s="783">
        <f>IF(AJ243=AD_no,0,IF(VLOOKUP(E178,'Pre-analyseverktøy'!$F$11:$AA$226,'Pre-analyseverktøy'!$O$2,FALSE)&gt;AB178,AB178,VLOOKUP(E178,'Pre-analyseverktøy'!$F$11:$AA$226,'Pre-analyseverktøy'!$O$2,FALSE)))</f>
        <v>0</v>
      </c>
      <c r="AK178" s="783">
        <f>IF(AK243=AD_no,0,IF(VLOOKUP(E178,'Pre-analyseverktøy'!$F$11:$AA$226,'Pre-analyseverktøy'!$V$2,FALSE)&gt;AB178,AB178,VLOOKUP(E178,'Pre-analyseverktøy'!$F$11:$AA$226,'Pre-analyseverktøy'!$V$2,FALSE)))</f>
        <v>0</v>
      </c>
      <c r="AM178" s="236"/>
      <c r="AN178" s="237"/>
      <c r="AO178" s="237"/>
      <c r="AP178" s="147"/>
      <c r="AQ178" s="152"/>
      <c r="AR178" s="111"/>
      <c r="AS178" s="235"/>
      <c r="AT178" s="147"/>
      <c r="AU178" s="147"/>
      <c r="AV178" s="147"/>
      <c r="AW178" s="152"/>
      <c r="AY178" s="134"/>
      <c r="AZ178" s="35"/>
      <c r="BA178" s="35"/>
      <c r="BB178" s="35"/>
      <c r="BC178" s="135"/>
      <c r="BD178" s="148">
        <f>IF(BC178=0,9,IF(AI178&gt;=BC178,5,IF(AI178&gt;=BB178,4,IF(AI178&gt;=BA178,3,IF(AI178&gt;=AZ178,2,IF(AI178&lt;AY178,0,1))))))</f>
        <v>9</v>
      </c>
      <c r="BE178" s="35" t="str">
        <f t="shared" si="291"/>
        <v>N/A</v>
      </c>
      <c r="BF178" s="151"/>
      <c r="BG178" s="148">
        <f>IF(BC178=0,9,IF(AJ178&gt;=BC178,5,IF(AJ178&gt;=BB178,4,IF(AJ178&gt;=BA178,3,IF(AJ178&gt;=AZ178,2,IF(AJ178&lt;AY178,0,1))))))</f>
        <v>9</v>
      </c>
      <c r="BH178" s="35" t="str">
        <f t="shared" si="292"/>
        <v>N/A</v>
      </c>
      <c r="BI178" s="151"/>
      <c r="BJ178" s="148">
        <f>IF(BC178=0,9,IF(AK178&gt;=BC178,5,IF(AK178&gt;=BB178,4,IF(AK178&gt;=BA178,3,IF(AK178&gt;=AZ178,2,IF(AK178&lt;AY178,0,1))))))</f>
        <v>9</v>
      </c>
      <c r="BK178" s="35" t="str">
        <f t="shared" si="293"/>
        <v>N/A</v>
      </c>
      <c r="BL178" s="151"/>
      <c r="BO178" s="35"/>
      <c r="BP178" s="35"/>
      <c r="BQ178" s="35" t="str">
        <f t="shared" si="239"/>
        <v/>
      </c>
      <c r="BR178" s="35">
        <f t="shared" si="267"/>
        <v>9</v>
      </c>
      <c r="BS178" s="35">
        <f t="shared" si="268"/>
        <v>9</v>
      </c>
      <c r="BT178" s="35">
        <f t="shared" si="269"/>
        <v>9</v>
      </c>
      <c r="BW178" s="35"/>
      <c r="BX178" s="35"/>
      <c r="BY178" s="35"/>
      <c r="BZ178" s="35"/>
      <c r="CA178" s="35"/>
      <c r="CB178" s="35"/>
      <c r="CO178" s="35">
        <f>'Pre-analyseverktøy'!H173</f>
        <v>0</v>
      </c>
      <c r="CP178" s="35">
        <f>'Pre-analyseverktøy'!O173</f>
        <v>0</v>
      </c>
      <c r="CQ178" s="35">
        <f>'Pre-analyseverktøy'!V173</f>
        <v>0</v>
      </c>
      <c r="CR178" s="35" t="str">
        <f>'Pre-analyseverktøy'!F173</f>
        <v>Håndtering av negativ påvirkning</v>
      </c>
      <c r="CS178" s="35" t="b">
        <f t="shared" si="300"/>
        <v>1</v>
      </c>
    </row>
    <row r="179" spans="1:97">
      <c r="A179">
        <v>171</v>
      </c>
      <c r="B179" s="109" t="str">
        <f>D179</f>
        <v>LE 04</v>
      </c>
      <c r="C179" s="109" t="str">
        <f>B179</f>
        <v>LE 04</v>
      </c>
      <c r="D179" s="631" t="s">
        <v>512</v>
      </c>
      <c r="E179" s="629" t="s">
        <v>1082</v>
      </c>
      <c r="F179" s="711">
        <f>SUM(F180:F182)</f>
        <v>4</v>
      </c>
      <c r="G179" s="711">
        <f t="shared" ref="G179:R179" si="309">SUM(G180:G182)</f>
        <v>4</v>
      </c>
      <c r="H179" s="711">
        <f t="shared" si="309"/>
        <v>4</v>
      </c>
      <c r="I179" s="711">
        <f t="shared" si="309"/>
        <v>4</v>
      </c>
      <c r="J179" s="711">
        <f t="shared" si="309"/>
        <v>4</v>
      </c>
      <c r="K179" s="711">
        <f t="shared" si="309"/>
        <v>4</v>
      </c>
      <c r="L179" s="711">
        <f t="shared" si="309"/>
        <v>4</v>
      </c>
      <c r="M179" s="711">
        <f t="shared" si="309"/>
        <v>4</v>
      </c>
      <c r="N179" s="711">
        <f t="shared" si="309"/>
        <v>4</v>
      </c>
      <c r="O179" s="711">
        <f t="shared" si="309"/>
        <v>4</v>
      </c>
      <c r="P179" s="711">
        <f t="shared" si="309"/>
        <v>4</v>
      </c>
      <c r="Q179" s="711">
        <f>SUM(Q180:Q182)</f>
        <v>4</v>
      </c>
      <c r="R179" s="711">
        <f t="shared" si="309"/>
        <v>4</v>
      </c>
      <c r="T179" s="731">
        <f t="shared" si="288"/>
        <v>4</v>
      </c>
      <c r="U179" s="179"/>
      <c r="V179" s="53"/>
      <c r="W179" s="53"/>
      <c r="X179" s="53">
        <f>'Manuell filtrering og justering'!E78</f>
        <v>0</v>
      </c>
      <c r="Y179" s="53"/>
      <c r="Z179" s="726">
        <f>SUM(Z180:Z182)</f>
        <v>4</v>
      </c>
      <c r="AA179" s="731">
        <f t="shared" si="289"/>
        <v>0</v>
      </c>
      <c r="AB179" s="782">
        <f>SUM(AB180:AB182)</f>
        <v>4</v>
      </c>
      <c r="AC179" s="496">
        <v>179</v>
      </c>
      <c r="AD179" s="138">
        <f t="shared" si="290"/>
        <v>3.1578947368421054E-2</v>
      </c>
      <c r="AE179" s="701">
        <f>SUM(AE180:AE182)</f>
        <v>0</v>
      </c>
      <c r="AF179" s="701">
        <f>SUM(AF180:AF182)</f>
        <v>0</v>
      </c>
      <c r="AG179" s="701">
        <f>SUM(AG180:AG182)</f>
        <v>0</v>
      </c>
      <c r="AI179" s="726">
        <f>SUM(AI180:AI182)</f>
        <v>0</v>
      </c>
      <c r="AJ179" s="726">
        <f>SUM(AJ180:AJ182)</f>
        <v>0</v>
      </c>
      <c r="AK179" s="726">
        <f>SUM(AK180:AK182)</f>
        <v>0</v>
      </c>
      <c r="AM179" s="236"/>
      <c r="AN179" s="237"/>
      <c r="AO179" s="237"/>
      <c r="AP179" s="147"/>
      <c r="AQ179" s="152"/>
      <c r="AR179" s="111"/>
      <c r="AS179" s="235"/>
      <c r="AT179" s="147"/>
      <c r="AU179" s="147"/>
      <c r="AV179" s="147"/>
      <c r="AW179" s="152"/>
      <c r="AY179" s="134"/>
      <c r="AZ179" s="35"/>
      <c r="BA179" s="35"/>
      <c r="BB179" s="35"/>
      <c r="BC179" s="135"/>
      <c r="BD179" s="148">
        <f t="shared" si="305"/>
        <v>9</v>
      </c>
      <c r="BE179" s="35" t="str">
        <f t="shared" si="291"/>
        <v>N/A</v>
      </c>
      <c r="BF179" s="151"/>
      <c r="BG179" s="148">
        <f t="shared" si="306"/>
        <v>9</v>
      </c>
      <c r="BH179" s="35" t="str">
        <f t="shared" si="292"/>
        <v>N/A</v>
      </c>
      <c r="BI179" s="151"/>
      <c r="BJ179" s="148">
        <f t="shared" si="307"/>
        <v>9</v>
      </c>
      <c r="BK179" s="35" t="str">
        <f t="shared" si="293"/>
        <v>N/A</v>
      </c>
      <c r="BL179" s="151"/>
      <c r="BO179" s="35"/>
      <c r="BP179" s="35"/>
      <c r="BQ179" s="35" t="str">
        <f t="shared" si="239"/>
        <v/>
      </c>
      <c r="BR179" s="35">
        <f t="shared" si="267"/>
        <v>9</v>
      </c>
      <c r="BS179" s="35">
        <f t="shared" si="268"/>
        <v>9</v>
      </c>
      <c r="BT179" s="35">
        <f t="shared" si="269"/>
        <v>9</v>
      </c>
      <c r="BW179" s="35" t="str">
        <f>D179</f>
        <v>LE 04</v>
      </c>
      <c r="BX179" s="35" t="str">
        <f>IFERROR(VLOOKUP($E179,'Pre-analyseverktøy'!$F$11:$AC$226,'Pre-analyseverktøy'!AC$2,FALSE),"")</f>
        <v>N/A</v>
      </c>
      <c r="BY179" s="35">
        <f>IFERROR(VLOOKUP($E179,'Pre-analyseverktøy'!$F$11:$AJ$226,'Pre-analyseverktøy'!AJ$2,FALSE),"")</f>
        <v>0</v>
      </c>
      <c r="BZ179" s="35">
        <f>IFERROR(VLOOKUP($BX179,$E$293:$H$326,F$291,FALSE),"")</f>
        <v>1</v>
      </c>
      <c r="CA179" s="35">
        <f>IFERROR(VLOOKUP($BX179,$E$293:$H$326,G$291,FALSE),"")</f>
        <v>0</v>
      </c>
      <c r="CB179" s="35"/>
      <c r="CC179" t="str">
        <f>IFERROR(VLOOKUP($BX179,$E$293:$H$326,I$291,FALSE),"")</f>
        <v/>
      </c>
    </row>
    <row r="180" spans="1:97">
      <c r="A180">
        <v>172</v>
      </c>
      <c r="C180" t="str">
        <f t="shared" si="240"/>
        <v>LE 04</v>
      </c>
      <c r="D180" s="134" t="s">
        <v>775</v>
      </c>
      <c r="E180" s="717" t="s">
        <v>1083</v>
      </c>
      <c r="F180" s="575"/>
      <c r="G180" s="575"/>
      <c r="H180" s="575"/>
      <c r="I180" s="575"/>
      <c r="J180" s="575"/>
      <c r="K180" s="575"/>
      <c r="L180" s="575"/>
      <c r="M180" s="575"/>
      <c r="N180" s="575"/>
      <c r="O180" s="575"/>
      <c r="P180" s="575"/>
      <c r="Q180" s="575"/>
      <c r="R180" s="575"/>
      <c r="T180" s="136">
        <f t="shared" si="288"/>
        <v>0</v>
      </c>
      <c r="U180" s="134"/>
      <c r="V180" s="35"/>
      <c r="W180" s="35"/>
      <c r="X180" s="35"/>
      <c r="Y180" s="135"/>
      <c r="Z180" s="135"/>
      <c r="AA180" s="136">
        <f t="shared" si="289"/>
        <v>0</v>
      </c>
      <c r="AB180" s="137">
        <f>IF($AC$5='Manuell filtrering og justering'!$J$2,Z180,(T180-AA180))</f>
        <v>0</v>
      </c>
      <c r="AC180" s="496">
        <v>180</v>
      </c>
      <c r="AD180" s="138">
        <f t="shared" si="290"/>
        <v>0</v>
      </c>
      <c r="AE180" s="138">
        <f t="shared" si="294"/>
        <v>0</v>
      </c>
      <c r="AF180" s="138">
        <f t="shared" si="295"/>
        <v>0</v>
      </c>
      <c r="AG180" s="138">
        <f t="shared" si="296"/>
        <v>0</v>
      </c>
      <c r="AI180" s="139">
        <f t="shared" ref="AI180" si="310">IF(CO180&gt;$AB180,$AB180,CO180)</f>
        <v>0</v>
      </c>
      <c r="AJ180" s="139">
        <f t="shared" ref="AJ180" si="311">IF(CP180&gt;$AB180,$AB180,CP180)</f>
        <v>0</v>
      </c>
      <c r="AK180" s="139">
        <f t="shared" ref="AK180" si="312">IF(CQ180&gt;$AB180,$AB180,CQ180)</f>
        <v>0</v>
      </c>
      <c r="AM180" s="236"/>
      <c r="AN180" s="237"/>
      <c r="AO180" s="237"/>
      <c r="AP180" s="147"/>
      <c r="AQ180" s="152"/>
      <c r="AR180" s="111"/>
      <c r="AS180" s="235"/>
      <c r="AT180" s="147"/>
      <c r="AU180" s="147"/>
      <c r="AV180" s="147"/>
      <c r="AW180" s="152"/>
      <c r="AY180" s="134"/>
      <c r="AZ180" s="35"/>
      <c r="BA180" s="35"/>
      <c r="BB180" s="35"/>
      <c r="BC180" s="135"/>
      <c r="BD180" s="148">
        <f t="shared" si="305"/>
        <v>9</v>
      </c>
      <c r="BE180" s="35" t="str">
        <f t="shared" si="291"/>
        <v>N/A</v>
      </c>
      <c r="BF180" s="151"/>
      <c r="BG180" s="148">
        <f t="shared" si="306"/>
        <v>9</v>
      </c>
      <c r="BH180" s="35" t="str">
        <f t="shared" si="292"/>
        <v>N/A</v>
      </c>
      <c r="BI180" s="151"/>
      <c r="BJ180" s="148">
        <f t="shared" si="307"/>
        <v>9</v>
      </c>
      <c r="BK180" s="35" t="str">
        <f t="shared" si="293"/>
        <v>N/A</v>
      </c>
      <c r="BL180" s="151"/>
      <c r="BO180" s="35"/>
      <c r="BP180" s="35"/>
      <c r="BQ180" s="35" t="str">
        <f t="shared" si="239"/>
        <v/>
      </c>
      <c r="BR180" s="35">
        <f t="shared" si="267"/>
        <v>9</v>
      </c>
      <c r="BS180" s="35">
        <f t="shared" si="268"/>
        <v>9</v>
      </c>
      <c r="BT180" s="35">
        <f t="shared" si="269"/>
        <v>9</v>
      </c>
      <c r="BW180" s="35"/>
      <c r="BX180" s="35"/>
      <c r="BY180" s="35"/>
      <c r="BZ180" s="35"/>
      <c r="CA180" s="35"/>
      <c r="CB180" s="35"/>
      <c r="CO180" s="35">
        <f>'Pre-analyseverktøy'!H175</f>
        <v>0</v>
      </c>
      <c r="CP180" s="35">
        <f>'Pre-analyseverktøy'!O175</f>
        <v>0</v>
      </c>
      <c r="CQ180" s="35">
        <f>'Pre-analyseverktøy'!V175</f>
        <v>0</v>
      </c>
      <c r="CR180" s="35" t="str">
        <f>'Pre-analyseverktøy'!F175</f>
        <v>Forkrav: håndtering av negativ påvirkning på økologi</v>
      </c>
      <c r="CS180" s="35" t="b">
        <f t="shared" si="300"/>
        <v>1</v>
      </c>
    </row>
    <row r="181" spans="1:97">
      <c r="A181">
        <v>173</v>
      </c>
      <c r="B181" t="str">
        <f>$D$179&amp;D181</f>
        <v>LE 04b</v>
      </c>
      <c r="C181" t="str">
        <f t="shared" si="240"/>
        <v>LE 04</v>
      </c>
      <c r="D181" s="134" t="s">
        <v>776</v>
      </c>
      <c r="E181" s="813" t="s">
        <v>1084</v>
      </c>
      <c r="F181" s="575">
        <v>1</v>
      </c>
      <c r="G181" s="575">
        <v>1</v>
      </c>
      <c r="H181" s="575">
        <v>1</v>
      </c>
      <c r="I181" s="575">
        <v>1</v>
      </c>
      <c r="J181" s="575">
        <v>1</v>
      </c>
      <c r="K181" s="575">
        <v>1</v>
      </c>
      <c r="L181" s="575">
        <v>1</v>
      </c>
      <c r="M181" s="575">
        <v>1</v>
      </c>
      <c r="N181" s="575">
        <v>1</v>
      </c>
      <c r="O181" s="575">
        <v>1</v>
      </c>
      <c r="P181" s="575">
        <v>1</v>
      </c>
      <c r="Q181" s="575">
        <v>1</v>
      </c>
      <c r="R181" s="575">
        <v>1</v>
      </c>
      <c r="T181" s="136">
        <f t="shared" si="288"/>
        <v>1</v>
      </c>
      <c r="U181" s="134"/>
      <c r="V181" s="35"/>
      <c r="W181" s="35"/>
      <c r="X181" s="35"/>
      <c r="Y181" s="135"/>
      <c r="Z181" s="135">
        <f>VLOOKUP(B181,'Manuell filtrering og justering'!$A$7:$H$253,'Manuell filtrering og justering'!$H$1,FALSE)</f>
        <v>1</v>
      </c>
      <c r="AA181" s="136">
        <f t="shared" si="289"/>
        <v>0</v>
      </c>
      <c r="AB181" s="137">
        <f>IF($AC$5='Manuell filtrering og justering'!$J$2,Z181,(T181-AA181))</f>
        <v>1</v>
      </c>
      <c r="AC181" s="496">
        <v>181</v>
      </c>
      <c r="AD181" s="138">
        <f t="shared" si="290"/>
        <v>7.8947368421052634E-3</v>
      </c>
      <c r="AE181" s="138">
        <f t="shared" si="294"/>
        <v>0</v>
      </c>
      <c r="AF181" s="138">
        <f t="shared" si="295"/>
        <v>0</v>
      </c>
      <c r="AG181" s="138">
        <f t="shared" si="296"/>
        <v>0</v>
      </c>
      <c r="AI181" s="783">
        <f>IF(AI244=AD_no,0,IF(VLOOKUP(E181,'Pre-analyseverktøy'!$F$11:$AA$226,'Pre-analyseverktøy'!$H$2,FALSE)&gt;AB181,AB181,VLOOKUP(E181,'Pre-analyseverktøy'!$F$11:$AA$226,'Pre-analyseverktøy'!$H$2,FALSE)))</f>
        <v>0</v>
      </c>
      <c r="AJ181" s="783">
        <f>IF(AJ244=AD_no,0,IF(VLOOKUP(E181,'Pre-analyseverktøy'!$F$11:$AA$226,'Pre-analyseverktøy'!$O$2,FALSE)&gt;AB181,AB181,VLOOKUP(E181,'Pre-analyseverktøy'!$F$11:$AA$226,'Pre-analyseverktøy'!$O$2,FALSE)))</f>
        <v>0</v>
      </c>
      <c r="AK181" s="783">
        <f>IF(AK244=AD_no,0,IF(VLOOKUP(E181,'Pre-analyseverktøy'!$F$11:$AA$226,'Pre-analyseverktøy'!$V$2,FALSE)&gt;AB181,AB181,VLOOKUP(E181,'Pre-analyseverktøy'!$F$11:$AA$226,'Pre-analyseverktøy'!$V$2,FALSE)))</f>
        <v>0</v>
      </c>
      <c r="AM181" s="236"/>
      <c r="AN181" s="237"/>
      <c r="AO181" s="237"/>
      <c r="AP181" s="147"/>
      <c r="AQ181" s="152">
        <v>1</v>
      </c>
      <c r="AR181" s="111"/>
      <c r="AS181" s="235"/>
      <c r="AT181" s="147"/>
      <c r="AU181" s="147"/>
      <c r="AV181" s="147"/>
      <c r="AW181" s="152">
        <v>1</v>
      </c>
      <c r="AY181" s="134"/>
      <c r="AZ181" s="35"/>
      <c r="BA181" s="35"/>
      <c r="BB181" s="35"/>
      <c r="BC181" s="149">
        <f>IF($AB181=0,0,IF($E$6=$H$9,AW181,AQ181))</f>
        <v>1</v>
      </c>
      <c r="BD181" s="148">
        <f t="shared" si="305"/>
        <v>4</v>
      </c>
      <c r="BE181" s="35" t="str">
        <f t="shared" si="291"/>
        <v>Excellent</v>
      </c>
      <c r="BF181" s="151"/>
      <c r="BG181" s="148">
        <f t="shared" si="306"/>
        <v>4</v>
      </c>
      <c r="BH181" s="35" t="str">
        <f t="shared" si="292"/>
        <v>Excellent</v>
      </c>
      <c r="BI181" s="151"/>
      <c r="BJ181" s="148">
        <f t="shared" si="307"/>
        <v>4</v>
      </c>
      <c r="BK181" s="35" t="str">
        <f t="shared" si="293"/>
        <v>Excellent</v>
      </c>
      <c r="BL181" s="151"/>
      <c r="BO181" s="35"/>
      <c r="BP181" s="35"/>
      <c r="BQ181" s="35" t="str">
        <f t="shared" si="239"/>
        <v/>
      </c>
      <c r="BR181" s="35">
        <f t="shared" si="267"/>
        <v>9</v>
      </c>
      <c r="BS181" s="35">
        <f t="shared" si="268"/>
        <v>9</v>
      </c>
      <c r="BT181" s="35">
        <f t="shared" si="269"/>
        <v>9</v>
      </c>
      <c r="BW181" s="35"/>
      <c r="BX181" s="35"/>
      <c r="BY181" s="35"/>
      <c r="BZ181" s="35"/>
      <c r="CA181" s="35"/>
      <c r="CB181" s="35"/>
      <c r="CO181" s="35">
        <f>'Pre-analyseverktøy'!H176</f>
        <v>0</v>
      </c>
      <c r="CP181" s="35">
        <f>'Pre-analyseverktøy'!O176</f>
        <v>0</v>
      </c>
      <c r="CQ181" s="35">
        <f>'Pre-analyseverktøy'!V176</f>
        <v>0</v>
      </c>
      <c r="CR181" s="35" t="str">
        <f>'Pre-analyseverktøy'!F176</f>
        <v>Økologisk forbedring</v>
      </c>
      <c r="CS181" s="35" t="b">
        <f t="shared" si="300"/>
        <v>1</v>
      </c>
    </row>
    <row r="182" spans="1:97">
      <c r="A182">
        <v>174</v>
      </c>
      <c r="B182" t="str">
        <f>$D$179&amp;D182</f>
        <v>LE 04c</v>
      </c>
      <c r="C182" t="str">
        <f t="shared" si="240"/>
        <v>LE 04</v>
      </c>
      <c r="D182" s="134" t="s">
        <v>777</v>
      </c>
      <c r="E182" s="813" t="s">
        <v>1085</v>
      </c>
      <c r="F182" s="575">
        <v>3</v>
      </c>
      <c r="G182" s="575">
        <v>3</v>
      </c>
      <c r="H182" s="575">
        <v>3</v>
      </c>
      <c r="I182" s="575">
        <v>3</v>
      </c>
      <c r="J182" s="575">
        <v>3</v>
      </c>
      <c r="K182" s="575">
        <v>3</v>
      </c>
      <c r="L182" s="575">
        <v>3</v>
      </c>
      <c r="M182" s="575">
        <v>3</v>
      </c>
      <c r="N182" s="575">
        <v>3</v>
      </c>
      <c r="O182" s="575">
        <v>3</v>
      </c>
      <c r="P182" s="575">
        <v>3</v>
      </c>
      <c r="Q182" s="575">
        <v>3</v>
      </c>
      <c r="R182" s="575">
        <v>3</v>
      </c>
      <c r="T182" s="136">
        <f t="shared" si="288"/>
        <v>3</v>
      </c>
      <c r="U182" s="134"/>
      <c r="V182" s="35"/>
      <c r="W182" s="35"/>
      <c r="X182" s="35"/>
      <c r="Y182" s="135"/>
      <c r="Z182" s="135">
        <f>VLOOKUP(B182,'Manuell filtrering og justering'!$A$7:$H$253,'Manuell filtrering og justering'!$H$1,FALSE)</f>
        <v>3</v>
      </c>
      <c r="AA182" s="136">
        <f t="shared" si="289"/>
        <v>0</v>
      </c>
      <c r="AB182" s="137">
        <f>IF($AC$5='Manuell filtrering og justering'!$J$2,Z182,(T182-AA182))</f>
        <v>3</v>
      </c>
      <c r="AC182" s="496">
        <v>182</v>
      </c>
      <c r="AD182" s="138">
        <f t="shared" si="290"/>
        <v>2.368421052631579E-2</v>
      </c>
      <c r="AE182" s="138">
        <f t="shared" si="294"/>
        <v>0</v>
      </c>
      <c r="AF182" s="138">
        <f t="shared" si="295"/>
        <v>0</v>
      </c>
      <c r="AG182" s="138">
        <f t="shared" si="296"/>
        <v>0</v>
      </c>
      <c r="AI182" s="783">
        <f>IF(AI244=AD_no,0,IF(VLOOKUP(E182,'Pre-analyseverktøy'!$F$11:$AA$226,'Pre-analyseverktøy'!$H$2,FALSE)&gt;AB182,AB182,VLOOKUP(E182,'Pre-analyseverktøy'!$F$11:$AA$226,'Pre-analyseverktøy'!$H$2,FALSE)))</f>
        <v>0</v>
      </c>
      <c r="AJ182" s="783">
        <f>IF(AJ244=AD_no,0,IF(VLOOKUP(E182,'Pre-analyseverktøy'!$F$11:$AA$226,'Pre-analyseverktøy'!$O$2,FALSE)&gt;AB182,AB182,VLOOKUP(E182,'Pre-analyseverktøy'!$F$11:$AA$226,'Pre-analyseverktøy'!$O$2,FALSE)))</f>
        <v>0</v>
      </c>
      <c r="AK182" s="783">
        <f>IF(AK244=AD_no,0,IF(VLOOKUP(E182,'Pre-analyseverktøy'!$F$11:$AA$226,'Pre-analyseverktøy'!$V$2,FALSE)&gt;AB182,AB182,VLOOKUP(E182,'Pre-analyseverktøy'!$F$11:$AA$226,'Pre-analyseverktøy'!$V$2,FALSE)))</f>
        <v>0</v>
      </c>
      <c r="AM182" s="236"/>
      <c r="AN182" s="237"/>
      <c r="AO182" s="237"/>
      <c r="AP182" s="147"/>
      <c r="AQ182" s="152"/>
      <c r="AR182" s="111"/>
      <c r="AS182" s="235"/>
      <c r="AT182" s="147"/>
      <c r="AU182" s="147"/>
      <c r="AV182" s="147"/>
      <c r="AW182" s="152"/>
      <c r="AY182" s="134"/>
      <c r="AZ182" s="35"/>
      <c r="BA182" s="35"/>
      <c r="BB182" s="35"/>
      <c r="BC182" s="135"/>
      <c r="BD182" s="148">
        <f t="shared" si="305"/>
        <v>9</v>
      </c>
      <c r="BE182" s="35" t="str">
        <f t="shared" si="291"/>
        <v>N/A</v>
      </c>
      <c r="BF182" s="151"/>
      <c r="BG182" s="148">
        <f t="shared" si="306"/>
        <v>9</v>
      </c>
      <c r="BH182" s="35" t="str">
        <f t="shared" si="292"/>
        <v>N/A</v>
      </c>
      <c r="BI182" s="151"/>
      <c r="BJ182" s="148">
        <f t="shared" si="307"/>
        <v>9</v>
      </c>
      <c r="BK182" s="35" t="str">
        <f t="shared" si="293"/>
        <v>N/A</v>
      </c>
      <c r="BL182" s="151"/>
      <c r="BO182" s="35"/>
      <c r="BP182" s="35"/>
      <c r="BQ182" s="35" t="str">
        <f t="shared" si="239"/>
        <v/>
      </c>
      <c r="BR182" s="35">
        <f t="shared" si="267"/>
        <v>9</v>
      </c>
      <c r="BS182" s="35">
        <f t="shared" si="268"/>
        <v>9</v>
      </c>
      <c r="BT182" s="35">
        <f t="shared" si="269"/>
        <v>9</v>
      </c>
      <c r="BW182" s="35"/>
      <c r="BX182" s="35"/>
      <c r="BY182" s="35"/>
      <c r="BZ182" s="35"/>
      <c r="CA182" s="35"/>
      <c r="CB182" s="35"/>
      <c r="CO182" s="35">
        <f>'Pre-analyseverktøy'!H177</f>
        <v>0</v>
      </c>
      <c r="CP182" s="35">
        <f>'Pre-analyseverktøy'!O177</f>
        <v>0</v>
      </c>
      <c r="CQ182" s="35">
        <f>'Pre-analyseverktøy'!V177</f>
        <v>0</v>
      </c>
      <c r="CR182" s="35" t="str">
        <f>'Pre-analyseverktøy'!F177</f>
        <v>Beregning av endring i biologisk mangfold</v>
      </c>
      <c r="CS182" s="35" t="b">
        <f t="shared" si="300"/>
        <v>1</v>
      </c>
    </row>
    <row r="183" spans="1:97">
      <c r="A183">
        <v>175</v>
      </c>
      <c r="B183" s="109" t="str">
        <f>D183</f>
        <v>LE 05</v>
      </c>
      <c r="C183" s="109" t="str">
        <f>B183</f>
        <v>LE 05</v>
      </c>
      <c r="D183" s="631" t="s">
        <v>517</v>
      </c>
      <c r="E183" s="629" t="s">
        <v>1086</v>
      </c>
      <c r="F183" s="711">
        <f>SUM(F184:F186)</f>
        <v>2</v>
      </c>
      <c r="G183" s="711">
        <f t="shared" ref="G183:R183" si="313">SUM(G184:G186)</f>
        <v>2</v>
      </c>
      <c r="H183" s="711">
        <f t="shared" si="313"/>
        <v>2</v>
      </c>
      <c r="I183" s="711">
        <f t="shared" si="313"/>
        <v>2</v>
      </c>
      <c r="J183" s="711">
        <f t="shared" si="313"/>
        <v>2</v>
      </c>
      <c r="K183" s="711">
        <f t="shared" si="313"/>
        <v>2</v>
      </c>
      <c r="L183" s="711">
        <f t="shared" si="313"/>
        <v>2</v>
      </c>
      <c r="M183" s="711">
        <f t="shared" si="313"/>
        <v>2</v>
      </c>
      <c r="N183" s="711">
        <f t="shared" si="313"/>
        <v>2</v>
      </c>
      <c r="O183" s="711">
        <f t="shared" si="313"/>
        <v>2</v>
      </c>
      <c r="P183" s="711">
        <f t="shared" si="313"/>
        <v>2</v>
      </c>
      <c r="Q183" s="711">
        <f>SUM(Q184:Q186)</f>
        <v>2</v>
      </c>
      <c r="R183" s="711">
        <f t="shared" si="313"/>
        <v>2</v>
      </c>
      <c r="T183" s="731">
        <f t="shared" si="288"/>
        <v>2</v>
      </c>
      <c r="U183" s="179"/>
      <c r="V183" s="53"/>
      <c r="W183" s="53"/>
      <c r="X183" s="53">
        <f>'Manuell filtrering og justering'!E79</f>
        <v>0</v>
      </c>
      <c r="Y183" s="53"/>
      <c r="Z183" s="726">
        <f>SUM(Z184:Z186)</f>
        <v>2</v>
      </c>
      <c r="AA183" s="731">
        <f t="shared" si="289"/>
        <v>0</v>
      </c>
      <c r="AB183" s="782">
        <f>SUM(AB184:AB186)</f>
        <v>2</v>
      </c>
      <c r="AC183" s="496">
        <v>183</v>
      </c>
      <c r="AD183" s="138">
        <f t="shared" si="290"/>
        <v>1.5789473684210527E-2</v>
      </c>
      <c r="AE183" s="701">
        <f>SUM(AE184:AE186)</f>
        <v>0</v>
      </c>
      <c r="AF183" s="701">
        <f>SUM(AF184:AF186)</f>
        <v>0</v>
      </c>
      <c r="AG183" s="701">
        <f>SUM(AG184:AG186)</f>
        <v>0</v>
      </c>
      <c r="AI183" s="726">
        <f>SUM(AI184:AI186)</f>
        <v>0</v>
      </c>
      <c r="AJ183" s="726">
        <f>SUM(AJ184:AJ186)</f>
        <v>0</v>
      </c>
      <c r="AK183" s="726">
        <f>SUM(AK184:AK186)</f>
        <v>0</v>
      </c>
      <c r="AM183" s="236"/>
      <c r="AN183" s="237"/>
      <c r="AO183" s="237"/>
      <c r="AP183" s="147"/>
      <c r="AQ183" s="152"/>
      <c r="AR183" s="111"/>
      <c r="AS183" s="235"/>
      <c r="AT183" s="147"/>
      <c r="AU183" s="147"/>
      <c r="AV183" s="147"/>
      <c r="AW183" s="152"/>
      <c r="AY183" s="134"/>
      <c r="AZ183" s="35"/>
      <c r="BA183" s="35"/>
      <c r="BB183" s="35"/>
      <c r="BC183" s="135"/>
      <c r="BD183" s="148">
        <f t="shared" si="305"/>
        <v>9</v>
      </c>
      <c r="BE183" s="35" t="str">
        <f t="shared" si="291"/>
        <v>N/A</v>
      </c>
      <c r="BF183" s="151"/>
      <c r="BG183" s="148">
        <f t="shared" si="306"/>
        <v>9</v>
      </c>
      <c r="BH183" s="35" t="str">
        <f t="shared" si="292"/>
        <v>N/A</v>
      </c>
      <c r="BI183" s="151"/>
      <c r="BJ183" s="148">
        <f t="shared" si="307"/>
        <v>9</v>
      </c>
      <c r="BK183" s="35" t="str">
        <f t="shared" si="293"/>
        <v>N/A</v>
      </c>
      <c r="BL183" s="151"/>
      <c r="BO183" s="35"/>
      <c r="BP183" s="35"/>
      <c r="BQ183" s="35" t="str">
        <f t="shared" si="239"/>
        <v/>
      </c>
      <c r="BR183" s="35">
        <f t="shared" si="267"/>
        <v>9</v>
      </c>
      <c r="BS183" s="35">
        <f t="shared" si="268"/>
        <v>9</v>
      </c>
      <c r="BT183" s="35">
        <f t="shared" si="269"/>
        <v>9</v>
      </c>
      <c r="BW183" s="35" t="str">
        <f>D183</f>
        <v>LE 05</v>
      </c>
      <c r="BX183" s="35" t="str">
        <f>IFERROR(VLOOKUP($E183,'Pre-analyseverktøy'!$F$11:$AC$226,'Pre-analyseverktøy'!AC$2,FALSE),"")</f>
        <v>N/A</v>
      </c>
      <c r="BY183" s="35">
        <f>IFERROR(VLOOKUP($E183,'Pre-analyseverktøy'!$F$11:$AJ$226,'Pre-analyseverktøy'!AJ$2,FALSE),"")</f>
        <v>0</v>
      </c>
      <c r="BZ183" s="35">
        <f>IFERROR(VLOOKUP($BX183,$E$293:$H$326,F$291,FALSE),"")</f>
        <v>1</v>
      </c>
      <c r="CA183" s="35">
        <f>IFERROR(VLOOKUP($BX183,$E$293:$H$326,G$291,FALSE),"")</f>
        <v>0</v>
      </c>
      <c r="CB183" s="35"/>
      <c r="CC183" t="str">
        <f>IFERROR(VLOOKUP($BX183,$E$293:$H$326,I$291,FALSE),"")</f>
        <v/>
      </c>
    </row>
    <row r="184" spans="1:97">
      <c r="A184">
        <v>176</v>
      </c>
      <c r="C184" t="str">
        <f t="shared" si="240"/>
        <v>LE 05</v>
      </c>
      <c r="D184" s="134" t="s">
        <v>775</v>
      </c>
      <c r="E184" s="717" t="s">
        <v>1087</v>
      </c>
      <c r="F184" s="575"/>
      <c r="G184" s="575"/>
      <c r="H184" s="575"/>
      <c r="I184" s="575"/>
      <c r="J184" s="575"/>
      <c r="K184" s="575"/>
      <c r="L184" s="575"/>
      <c r="M184" s="575"/>
      <c r="N184" s="575"/>
      <c r="O184" s="575"/>
      <c r="P184" s="575"/>
      <c r="Q184" s="575"/>
      <c r="R184" s="575"/>
      <c r="T184" s="136">
        <f t="shared" si="288"/>
        <v>0</v>
      </c>
      <c r="U184" s="134"/>
      <c r="V184" s="35"/>
      <c r="W184" s="35"/>
      <c r="X184" s="35"/>
      <c r="Y184" s="135"/>
      <c r="Z184" s="135"/>
      <c r="AA184" s="136">
        <f t="shared" si="289"/>
        <v>0</v>
      </c>
      <c r="AB184" s="137">
        <f>IF($AC$5='Manuell filtrering og justering'!$J$2,Z184,(T184-AA184))</f>
        <v>0</v>
      </c>
      <c r="AC184" s="496">
        <v>184</v>
      </c>
      <c r="AD184" s="138">
        <f t="shared" si="290"/>
        <v>0</v>
      </c>
      <c r="AE184" s="138">
        <f t="shared" si="294"/>
        <v>0</v>
      </c>
      <c r="AF184" s="138">
        <f t="shared" si="295"/>
        <v>0</v>
      </c>
      <c r="AG184" s="138">
        <f t="shared" si="296"/>
        <v>0</v>
      </c>
      <c r="AI184" s="139">
        <f t="shared" ref="AI184" si="314">IF(CO184&gt;$AB184,$AB184,CO184)</f>
        <v>0</v>
      </c>
      <c r="AJ184" s="139">
        <f t="shared" ref="AJ184" si="315">IF(CP184&gt;$AB184,$AB184,CP184)</f>
        <v>0</v>
      </c>
      <c r="AK184" s="139">
        <f t="shared" ref="AK184" si="316">IF(CQ184&gt;$AB184,$AB184,CQ184)</f>
        <v>0</v>
      </c>
      <c r="AM184" s="236"/>
      <c r="AN184" s="237"/>
      <c r="AO184" s="237"/>
      <c r="AP184" s="147"/>
      <c r="AQ184" s="152"/>
      <c r="AR184" s="111"/>
      <c r="AS184" s="235"/>
      <c r="AT184" s="147"/>
      <c r="AU184" s="147"/>
      <c r="AV184" s="147"/>
      <c r="AW184" s="152"/>
      <c r="AY184" s="134"/>
      <c r="AZ184" s="35"/>
      <c r="BA184" s="35"/>
      <c r="BB184" s="135"/>
      <c r="BC184" s="135"/>
      <c r="BD184" s="148">
        <f t="shared" si="305"/>
        <v>9</v>
      </c>
      <c r="BE184" s="35" t="str">
        <f t="shared" si="291"/>
        <v>N/A</v>
      </c>
      <c r="BF184" s="151"/>
      <c r="BG184" s="148">
        <f t="shared" si="306"/>
        <v>9</v>
      </c>
      <c r="BH184" s="35" t="str">
        <f t="shared" si="292"/>
        <v>N/A</v>
      </c>
      <c r="BI184" s="151"/>
      <c r="BJ184" s="148">
        <f t="shared" si="307"/>
        <v>9</v>
      </c>
      <c r="BK184" s="35" t="str">
        <f t="shared" si="293"/>
        <v>N/A</v>
      </c>
      <c r="BL184" s="151"/>
      <c r="BO184" s="35"/>
      <c r="BP184" s="35"/>
      <c r="BQ184" s="35" t="str">
        <f t="shared" si="239"/>
        <v/>
      </c>
      <c r="BR184" s="35">
        <f t="shared" si="267"/>
        <v>9</v>
      </c>
      <c r="BS184" s="35">
        <f t="shared" si="268"/>
        <v>9</v>
      </c>
      <c r="BT184" s="35">
        <f t="shared" si="269"/>
        <v>9</v>
      </c>
      <c r="BW184" s="35"/>
      <c r="BX184" s="35"/>
      <c r="BY184" s="35"/>
      <c r="BZ184" s="35"/>
      <c r="CA184" s="35"/>
      <c r="CB184" s="35"/>
      <c r="CO184" s="35">
        <f>'Pre-analyseverktøy'!H179</f>
        <v>0</v>
      </c>
      <c r="CP184" s="35">
        <f>'Pre-analyseverktøy'!O179</f>
        <v>0</v>
      </c>
      <c r="CQ184" s="35">
        <f>'Pre-analyseverktøy'!V179</f>
        <v>0</v>
      </c>
      <c r="CR184" s="35" t="str">
        <f>'Pre-analyseverktøy'!F179</f>
        <v>Forkrav: Lovkrav, planlegging og iverksettelse i utbyggingsområdet</v>
      </c>
      <c r="CS184" s="35" t="b">
        <f t="shared" si="300"/>
        <v>1</v>
      </c>
    </row>
    <row r="185" spans="1:97">
      <c r="A185">
        <v>177</v>
      </c>
      <c r="B185" t="str">
        <f>$D$183&amp;D185</f>
        <v>LE 05b</v>
      </c>
      <c r="C185" t="str">
        <f t="shared" si="240"/>
        <v>LE 05</v>
      </c>
      <c r="D185" s="134" t="s">
        <v>776</v>
      </c>
      <c r="E185" s="813" t="s">
        <v>1088</v>
      </c>
      <c r="F185" s="575">
        <v>1</v>
      </c>
      <c r="G185" s="575">
        <v>1</v>
      </c>
      <c r="H185" s="575">
        <v>1</v>
      </c>
      <c r="I185" s="575">
        <v>1</v>
      </c>
      <c r="J185" s="575">
        <v>1</v>
      </c>
      <c r="K185" s="575">
        <v>1</v>
      </c>
      <c r="L185" s="575">
        <v>1</v>
      </c>
      <c r="M185" s="575">
        <v>1</v>
      </c>
      <c r="N185" s="575">
        <v>1</v>
      </c>
      <c r="O185" s="575">
        <v>1</v>
      </c>
      <c r="P185" s="575">
        <v>1</v>
      </c>
      <c r="Q185" s="575">
        <v>1</v>
      </c>
      <c r="R185" s="575">
        <v>1</v>
      </c>
      <c r="T185" s="136">
        <f t="shared" si="288"/>
        <v>1</v>
      </c>
      <c r="U185" s="134"/>
      <c r="V185" s="35"/>
      <c r="W185" s="35"/>
      <c r="X185" s="35"/>
      <c r="Y185" s="135"/>
      <c r="Z185" s="135">
        <f>VLOOKUP(B185,'Manuell filtrering og justering'!$A$7:$H$253,'Manuell filtrering og justering'!$H$1,FALSE)</f>
        <v>1</v>
      </c>
      <c r="AA185" s="136">
        <f t="shared" si="289"/>
        <v>0</v>
      </c>
      <c r="AB185" s="137">
        <f>IF($AC$5='Manuell filtrering og justering'!$J$2,Z185,(T185-AA185))</f>
        <v>1</v>
      </c>
      <c r="AC185" s="496">
        <v>185</v>
      </c>
      <c r="AD185" s="138">
        <f t="shared" si="290"/>
        <v>7.8947368421052634E-3</v>
      </c>
      <c r="AE185" s="138">
        <f t="shared" si="294"/>
        <v>0</v>
      </c>
      <c r="AF185" s="138">
        <f t="shared" si="295"/>
        <v>0</v>
      </c>
      <c r="AG185" s="138">
        <f t="shared" si="296"/>
        <v>0</v>
      </c>
      <c r="AI185" s="783">
        <f>IF(AI245=AD_no,0,IF(VLOOKUP(E185,'Pre-analyseverktøy'!$F$11:$AA$226,'Pre-analyseverktøy'!$H$2,FALSE)&gt;AB185,AB185,VLOOKUP(E185,'Pre-analyseverktøy'!$F$11:$AA$226,'Pre-analyseverktøy'!$H$2,FALSE)))</f>
        <v>0</v>
      </c>
      <c r="AJ185" s="783">
        <f>IF(AJ245=AD_no,0,IF(VLOOKUP(E185,'Pre-analyseverktøy'!$F$11:$AA$226,'Pre-analyseverktøy'!$O$2,FALSE)&gt;AB185,AB185,VLOOKUP(E185,'Pre-analyseverktøy'!$F$11:$AA$226,'Pre-analyseverktøy'!$O$2,FALSE)))</f>
        <v>0</v>
      </c>
      <c r="AK185" s="783">
        <f>IF(AK245=AD_no,0,IF(VLOOKUP(E185,'Pre-analyseverktøy'!$F$11:$AA$226,'Pre-analyseverktøy'!$V$2,FALSE)&gt;AB185,AB185,VLOOKUP(E185,'Pre-analyseverktøy'!$F$11:$AA$226,'Pre-analyseverktøy'!$V$2,FALSE)))</f>
        <v>0</v>
      </c>
      <c r="AM185" s="236"/>
      <c r="AN185" s="237"/>
      <c r="AO185" s="237"/>
      <c r="AP185" s="147"/>
      <c r="AQ185" s="152"/>
      <c r="AR185" s="111"/>
      <c r="AS185" s="235"/>
      <c r="AT185" s="147"/>
      <c r="AU185" s="147"/>
      <c r="AV185" s="147"/>
      <c r="AW185" s="152"/>
      <c r="AY185" s="134"/>
      <c r="AZ185" s="35"/>
      <c r="BA185" s="35"/>
      <c r="BB185" s="135"/>
      <c r="BC185" s="135"/>
      <c r="BD185" s="148">
        <f t="shared" si="305"/>
        <v>9</v>
      </c>
      <c r="BE185" s="35" t="str">
        <f t="shared" si="291"/>
        <v>N/A</v>
      </c>
      <c r="BF185" s="151"/>
      <c r="BG185" s="148">
        <f t="shared" si="306"/>
        <v>9</v>
      </c>
      <c r="BH185" s="35" t="str">
        <f t="shared" si="292"/>
        <v>N/A</v>
      </c>
      <c r="BI185" s="151"/>
      <c r="BJ185" s="148">
        <f t="shared" si="307"/>
        <v>9</v>
      </c>
      <c r="BK185" s="35" t="str">
        <f t="shared" si="293"/>
        <v>N/A</v>
      </c>
      <c r="BL185" s="151"/>
      <c r="BO185" s="35"/>
      <c r="BP185" s="35"/>
      <c r="BQ185" s="35" t="str">
        <f t="shared" si="239"/>
        <v/>
      </c>
      <c r="BR185" s="35">
        <f t="shared" si="267"/>
        <v>9</v>
      </c>
      <c r="BS185" s="35">
        <f t="shared" si="268"/>
        <v>9</v>
      </c>
      <c r="BT185" s="35">
        <f t="shared" si="269"/>
        <v>9</v>
      </c>
      <c r="BW185" s="35"/>
      <c r="BX185" s="35"/>
      <c r="BY185" s="35"/>
      <c r="BZ185" s="35"/>
      <c r="CA185" s="35"/>
      <c r="CB185" s="35"/>
      <c r="CO185" s="35">
        <f>'Pre-analyseverktøy'!H180</f>
        <v>0</v>
      </c>
      <c r="CP185" s="35">
        <f>'Pre-analyseverktøy'!O180</f>
        <v>0</v>
      </c>
      <c r="CQ185" s="35">
        <f>'Pre-analyseverktøy'!V180</f>
        <v>0</v>
      </c>
      <c r="CR185" s="35" t="str">
        <f>'Pre-analyseverktøy'!F180</f>
        <v>Forvaltning og ledelse under hele prosjektet</v>
      </c>
      <c r="CS185" s="35" t="b">
        <f t="shared" si="300"/>
        <v>1</v>
      </c>
    </row>
    <row r="186" spans="1:97">
      <c r="A186">
        <v>178</v>
      </c>
      <c r="B186" t="str">
        <f>$D$183&amp;D186</f>
        <v>LE 05c</v>
      </c>
      <c r="C186" t="str">
        <f t="shared" si="240"/>
        <v>LE 05</v>
      </c>
      <c r="D186" s="134" t="s">
        <v>777</v>
      </c>
      <c r="E186" s="813" t="s">
        <v>1089</v>
      </c>
      <c r="F186" s="575">
        <v>1</v>
      </c>
      <c r="G186" s="575">
        <v>1</v>
      </c>
      <c r="H186" s="575">
        <v>1</v>
      </c>
      <c r="I186" s="575">
        <v>1</v>
      </c>
      <c r="J186" s="575">
        <v>1</v>
      </c>
      <c r="K186" s="575">
        <v>1</v>
      </c>
      <c r="L186" s="575">
        <v>1</v>
      </c>
      <c r="M186" s="575">
        <v>1</v>
      </c>
      <c r="N186" s="575">
        <v>1</v>
      </c>
      <c r="O186" s="575">
        <v>1</v>
      </c>
      <c r="P186" s="575">
        <v>1</v>
      </c>
      <c r="Q186" s="575">
        <v>1</v>
      </c>
      <c r="R186" s="575">
        <v>1</v>
      </c>
      <c r="T186" s="136">
        <f t="shared" si="288"/>
        <v>1</v>
      </c>
      <c r="U186" s="134"/>
      <c r="V186" s="35"/>
      <c r="W186" s="35"/>
      <c r="X186" s="35"/>
      <c r="Y186" s="135"/>
      <c r="Z186" s="135">
        <f>VLOOKUP(B186,'Manuell filtrering og justering'!$A$7:$H$253,'Manuell filtrering og justering'!$H$1,FALSE)</f>
        <v>1</v>
      </c>
      <c r="AA186" s="136">
        <f t="shared" si="289"/>
        <v>0</v>
      </c>
      <c r="AB186" s="137">
        <f>IF($AC$5='Manuell filtrering og justering'!$J$2,Z186,(T186-AA186))</f>
        <v>1</v>
      </c>
      <c r="AC186" s="496">
        <v>186</v>
      </c>
      <c r="AD186" s="138">
        <f t="shared" si="290"/>
        <v>7.8947368421052634E-3</v>
      </c>
      <c r="AE186" s="138">
        <f t="shared" si="294"/>
        <v>0</v>
      </c>
      <c r="AF186" s="138">
        <f t="shared" si="295"/>
        <v>0</v>
      </c>
      <c r="AG186" s="138">
        <f t="shared" si="296"/>
        <v>0</v>
      </c>
      <c r="AI186" s="783">
        <f>IF(AI245=AD_no,0,IF(VLOOKUP(E186,'Pre-analyseverktøy'!$F$11:$AA$226,'Pre-analyseverktøy'!$H$2,FALSE)&gt;AB186,AB186,VLOOKUP(E186,'Pre-analyseverktøy'!$F$11:$AA$226,'Pre-analyseverktøy'!$H$2,FALSE)))</f>
        <v>0</v>
      </c>
      <c r="AJ186" s="783">
        <f>IF(AJ245=AD_no,0,IF(VLOOKUP(E186,'Pre-analyseverktøy'!$F$11:$AA$226,'Pre-analyseverktøy'!$O$2,FALSE)&gt;AB186,AB186,VLOOKUP(E186,'Pre-analyseverktøy'!$F$11:$AA$226,'Pre-analyseverktøy'!$O$2,FALSE)))</f>
        <v>0</v>
      </c>
      <c r="AK186" s="783">
        <f>IF(AK245=AD_no,0,IF(VLOOKUP(E186,'Pre-analyseverktøy'!$F$11:$AA$226,'Pre-analyseverktøy'!$V$2,FALSE)&gt;AB186,AB186,VLOOKUP(E186,'Pre-analyseverktøy'!$F$11:$AA$226,'Pre-analyseverktøy'!$V$2,FALSE)))</f>
        <v>0</v>
      </c>
      <c r="AM186" s="236"/>
      <c r="AN186" s="237"/>
      <c r="AO186" s="237"/>
      <c r="AP186" s="147"/>
      <c r="AQ186" s="152"/>
      <c r="AR186" s="111"/>
      <c r="AS186" s="235"/>
      <c r="AT186" s="147"/>
      <c r="AU186" s="147"/>
      <c r="AV186" s="147"/>
      <c r="AW186" s="152"/>
      <c r="AY186" s="134"/>
      <c r="AZ186" s="35"/>
      <c r="BA186" s="35"/>
      <c r="BB186" s="135"/>
      <c r="BC186" s="135"/>
      <c r="BD186" s="148">
        <f t="shared" si="305"/>
        <v>9</v>
      </c>
      <c r="BE186" s="35" t="str">
        <f t="shared" si="291"/>
        <v>N/A</v>
      </c>
      <c r="BF186" s="151"/>
      <c r="BG186" s="148">
        <f t="shared" si="306"/>
        <v>9</v>
      </c>
      <c r="BH186" s="35" t="str">
        <f t="shared" si="292"/>
        <v>N/A</v>
      </c>
      <c r="BI186" s="151"/>
      <c r="BJ186" s="148">
        <f t="shared" si="307"/>
        <v>9</v>
      </c>
      <c r="BK186" s="35" t="str">
        <f t="shared" si="293"/>
        <v>N/A</v>
      </c>
      <c r="BL186" s="151"/>
      <c r="BO186" s="35"/>
      <c r="BP186" s="35"/>
      <c r="BQ186" s="35" t="str">
        <f t="shared" si="239"/>
        <v/>
      </c>
      <c r="BR186" s="35">
        <f t="shared" si="267"/>
        <v>9</v>
      </c>
      <c r="BS186" s="35">
        <f t="shared" si="268"/>
        <v>9</v>
      </c>
      <c r="BT186" s="35">
        <f t="shared" si="269"/>
        <v>9</v>
      </c>
      <c r="BW186" s="35"/>
      <c r="BX186" s="35"/>
      <c r="BY186" s="35"/>
      <c r="BZ186" s="35"/>
      <c r="CA186" s="35"/>
      <c r="CB186" s="35"/>
      <c r="CO186" s="35">
        <f>'Pre-analyseverktøy'!H181</f>
        <v>0</v>
      </c>
      <c r="CP186" s="35">
        <f>'Pre-analyseverktøy'!O181</f>
        <v>0</v>
      </c>
      <c r="CQ186" s="35">
        <f>'Pre-analyseverktøy'!V181</f>
        <v>0</v>
      </c>
      <c r="CR186" s="35" t="str">
        <f>'Pre-analyseverktøy'!F181</f>
        <v>Forvaltningsplan for landskap og økologi</v>
      </c>
      <c r="CS186" s="35" t="b">
        <f t="shared" si="300"/>
        <v>1</v>
      </c>
    </row>
    <row r="187" spans="1:97">
      <c r="A187">
        <v>179</v>
      </c>
      <c r="B187" s="109" t="str">
        <f>D187</f>
        <v>LE 06</v>
      </c>
      <c r="C187" s="109" t="str">
        <f>B187</f>
        <v>LE 06</v>
      </c>
      <c r="D187" s="631" t="s">
        <v>522</v>
      </c>
      <c r="E187" s="629" t="s">
        <v>1090</v>
      </c>
      <c r="F187" s="711">
        <f>F188</f>
        <v>1</v>
      </c>
      <c r="G187" s="711">
        <f t="shared" ref="G187:R187" si="317">G188</f>
        <v>1</v>
      </c>
      <c r="H187" s="711">
        <f t="shared" si="317"/>
        <v>1</v>
      </c>
      <c r="I187" s="711">
        <f t="shared" si="317"/>
        <v>1</v>
      </c>
      <c r="J187" s="711">
        <f t="shared" si="317"/>
        <v>1</v>
      </c>
      <c r="K187" s="711">
        <f t="shared" si="317"/>
        <v>1</v>
      </c>
      <c r="L187" s="711">
        <f>L188</f>
        <v>1</v>
      </c>
      <c r="M187" s="711">
        <f t="shared" si="317"/>
        <v>1</v>
      </c>
      <c r="N187" s="711">
        <f t="shared" si="317"/>
        <v>1</v>
      </c>
      <c r="O187" s="711">
        <f t="shared" si="317"/>
        <v>1</v>
      </c>
      <c r="P187" s="711">
        <f t="shared" si="317"/>
        <v>1</v>
      </c>
      <c r="Q187" s="711">
        <f t="shared" si="317"/>
        <v>1</v>
      </c>
      <c r="R187" s="711">
        <f t="shared" si="317"/>
        <v>1</v>
      </c>
      <c r="T187" s="731">
        <f t="shared" si="288"/>
        <v>1</v>
      </c>
      <c r="U187" s="179"/>
      <c r="V187" s="53"/>
      <c r="W187" s="53"/>
      <c r="X187" s="53">
        <f>'Manuell filtrering og justering'!E80</f>
        <v>0</v>
      </c>
      <c r="Y187" s="53"/>
      <c r="Z187" s="726">
        <f>Z188</f>
        <v>1</v>
      </c>
      <c r="AA187" s="731">
        <f t="shared" si="289"/>
        <v>0</v>
      </c>
      <c r="AB187" s="782">
        <f>SUM(AB188)</f>
        <v>1</v>
      </c>
      <c r="AC187" s="496">
        <v>187</v>
      </c>
      <c r="AD187" s="138">
        <f t="shared" si="290"/>
        <v>7.8947368421052634E-3</v>
      </c>
      <c r="AE187" s="701">
        <f>SUM(AE188)</f>
        <v>0</v>
      </c>
      <c r="AF187" s="701">
        <f>SUM(AF188)</f>
        <v>0</v>
      </c>
      <c r="AG187" s="701">
        <f>SUM(AG188)</f>
        <v>0</v>
      </c>
      <c r="AI187" s="726">
        <f>AI188</f>
        <v>0</v>
      </c>
      <c r="AJ187" s="726">
        <f>AJ188</f>
        <v>0</v>
      </c>
      <c r="AK187" s="726">
        <f>AK188</f>
        <v>0</v>
      </c>
      <c r="AM187" s="236"/>
      <c r="AN187" s="237"/>
      <c r="AO187" s="237"/>
      <c r="AP187" s="147"/>
      <c r="AQ187" s="152"/>
      <c r="AR187" s="111"/>
      <c r="AS187" s="235"/>
      <c r="AT187" s="147"/>
      <c r="AU187" s="147"/>
      <c r="AV187" s="147"/>
      <c r="AW187" s="152"/>
      <c r="AY187" s="134"/>
      <c r="AZ187" s="35"/>
      <c r="BA187" s="35"/>
      <c r="BB187" s="135"/>
      <c r="BC187" s="135"/>
      <c r="BD187" s="148">
        <f t="shared" si="305"/>
        <v>9</v>
      </c>
      <c r="BE187" s="35" t="str">
        <f t="shared" si="291"/>
        <v>N/A</v>
      </c>
      <c r="BF187" s="151"/>
      <c r="BG187" s="148">
        <f t="shared" si="306"/>
        <v>9</v>
      </c>
      <c r="BH187" s="35" t="str">
        <f t="shared" si="292"/>
        <v>N/A</v>
      </c>
      <c r="BI187" s="151"/>
      <c r="BJ187" s="148">
        <f t="shared" si="307"/>
        <v>9</v>
      </c>
      <c r="BK187" s="35" t="str">
        <f t="shared" si="293"/>
        <v>N/A</v>
      </c>
      <c r="BL187" s="151"/>
      <c r="BO187" s="35"/>
      <c r="BP187" s="35"/>
      <c r="BQ187" s="35" t="str">
        <f t="shared" si="239"/>
        <v/>
      </c>
      <c r="BR187" s="35">
        <f t="shared" si="267"/>
        <v>9</v>
      </c>
      <c r="BS187" s="35">
        <f t="shared" si="268"/>
        <v>9</v>
      </c>
      <c r="BT187" s="35">
        <f t="shared" si="269"/>
        <v>9</v>
      </c>
      <c r="BW187" s="35" t="str">
        <f>D187</f>
        <v>LE 06</v>
      </c>
      <c r="BX187" s="35" t="str">
        <f>IFERROR(VLOOKUP($E187,'Pre-analyseverktøy'!$F$11:$AC$226,'Pre-analyseverktøy'!AC$2,FALSE),"")</f>
        <v>N/A</v>
      </c>
      <c r="BY187" s="35">
        <f>IFERROR(VLOOKUP($E187,'Pre-analyseverktøy'!$F$11:$AJ$226,'Pre-analyseverktøy'!AJ$2,FALSE),"")</f>
        <v>0</v>
      </c>
      <c r="BZ187" s="35">
        <f>IFERROR(VLOOKUP($BX187,$E$293:$H$326,F$291,FALSE),"")</f>
        <v>1</v>
      </c>
      <c r="CA187" s="35">
        <f>IFERROR(VLOOKUP($BX187,$E$293:$H$326,G$291,FALSE),"")</f>
        <v>0</v>
      </c>
      <c r="CB187" s="35"/>
      <c r="CC187" t="str">
        <f>IFERROR(VLOOKUP($BX187,$E$293:$H$326,I$291,FALSE),"")</f>
        <v/>
      </c>
    </row>
    <row r="188" spans="1:97">
      <c r="A188">
        <v>180</v>
      </c>
      <c r="B188" t="str">
        <f>$D$187&amp;D188</f>
        <v>LE 06a</v>
      </c>
      <c r="C188" t="str">
        <f t="shared" si="240"/>
        <v>LE 06</v>
      </c>
      <c r="D188" s="134" t="s">
        <v>775</v>
      </c>
      <c r="E188" s="924" t="s">
        <v>1091</v>
      </c>
      <c r="F188" s="575">
        <v>1</v>
      </c>
      <c r="G188" s="575">
        <v>1</v>
      </c>
      <c r="H188" s="575">
        <v>1</v>
      </c>
      <c r="I188" s="575">
        <v>1</v>
      </c>
      <c r="J188" s="575">
        <v>1</v>
      </c>
      <c r="K188" s="575">
        <v>1</v>
      </c>
      <c r="L188" s="575">
        <v>1</v>
      </c>
      <c r="M188" s="575">
        <v>1</v>
      </c>
      <c r="N188" s="575">
        <v>1</v>
      </c>
      <c r="O188" s="575">
        <v>1</v>
      </c>
      <c r="P188" s="575">
        <v>1</v>
      </c>
      <c r="Q188" s="575">
        <v>1</v>
      </c>
      <c r="R188" s="575">
        <v>1</v>
      </c>
      <c r="T188" s="136">
        <f t="shared" si="288"/>
        <v>1</v>
      </c>
      <c r="U188" s="155"/>
      <c r="V188" s="40"/>
      <c r="W188" s="40"/>
      <c r="X188" s="35"/>
      <c r="Y188" s="135"/>
      <c r="Z188" s="135">
        <f>VLOOKUP(B188,'Manuell filtrering og justering'!$A$7:$H$253,'Manuell filtrering og justering'!$H$1,FALSE)</f>
        <v>1</v>
      </c>
      <c r="AA188" s="136">
        <f t="shared" si="289"/>
        <v>0</v>
      </c>
      <c r="AB188" s="137">
        <f>IF($AC$5='Manuell filtrering og justering'!$J$2,Z188,(T188-AA188))</f>
        <v>1</v>
      </c>
      <c r="AC188" s="496">
        <v>188</v>
      </c>
      <c r="AD188" s="138">
        <f t="shared" si="290"/>
        <v>7.8947368421052634E-3</v>
      </c>
      <c r="AE188" s="138">
        <f t="shared" si="294"/>
        <v>0</v>
      </c>
      <c r="AF188" s="138">
        <f t="shared" si="295"/>
        <v>0</v>
      </c>
      <c r="AG188" s="138">
        <f t="shared" si="296"/>
        <v>0</v>
      </c>
      <c r="AI188" s="139">
        <f t="shared" ref="AI188" si="318">IF(CO188&gt;$AB188,$AB188,CO188)</f>
        <v>0</v>
      </c>
      <c r="AJ188" s="139">
        <f t="shared" ref="AJ188" si="319">IF(CP188&gt;$AB188,$AB188,CP188)</f>
        <v>0</v>
      </c>
      <c r="AK188" s="139">
        <f t="shared" ref="AK188" si="320">IF(CQ188&gt;$AB188,$AB188,CQ188)</f>
        <v>0</v>
      </c>
      <c r="AM188" s="236"/>
      <c r="AN188" s="237"/>
      <c r="AO188" s="237"/>
      <c r="AP188" s="147">
        <v>1</v>
      </c>
      <c r="AQ188" s="152">
        <v>1</v>
      </c>
      <c r="AR188" s="111"/>
      <c r="AS188" s="235"/>
      <c r="AT188" s="147"/>
      <c r="AU188" s="147"/>
      <c r="AV188" s="147">
        <v>1</v>
      </c>
      <c r="AW188" s="152">
        <v>1</v>
      </c>
      <c r="AY188" s="134"/>
      <c r="AZ188" s="35"/>
      <c r="BA188" s="35"/>
      <c r="BB188" s="149">
        <f>IF($AB188=0,0,IF($E$6=$H$9,AV188,AP188))</f>
        <v>1</v>
      </c>
      <c r="BC188" s="149">
        <f>IF($AB188=0,0,IF($E$6=$H$9,AW188,AQ188))</f>
        <v>1</v>
      </c>
      <c r="BD188" s="148">
        <f t="shared" si="305"/>
        <v>3</v>
      </c>
      <c r="BE188" s="35" t="str">
        <f t="shared" si="291"/>
        <v>Very Good</v>
      </c>
      <c r="BF188" s="151"/>
      <c r="BG188" s="148">
        <f t="shared" si="306"/>
        <v>3</v>
      </c>
      <c r="BH188" s="35" t="str">
        <f t="shared" si="292"/>
        <v>Very Good</v>
      </c>
      <c r="BI188" s="151"/>
      <c r="BJ188" s="148">
        <f t="shared" si="307"/>
        <v>3</v>
      </c>
      <c r="BK188" s="35" t="str">
        <f t="shared" si="293"/>
        <v>Very Good</v>
      </c>
      <c r="BL188" s="151"/>
      <c r="BO188" s="35"/>
      <c r="BP188" s="35">
        <v>1</v>
      </c>
      <c r="BQ188" s="35">
        <f t="shared" si="239"/>
        <v>1</v>
      </c>
      <c r="BR188" s="35">
        <f t="shared" si="267"/>
        <v>0</v>
      </c>
      <c r="BS188" s="35">
        <f t="shared" si="268"/>
        <v>0</v>
      </c>
      <c r="BT188" s="35">
        <f t="shared" si="269"/>
        <v>0</v>
      </c>
      <c r="BW188" s="55"/>
      <c r="BX188" s="55"/>
      <c r="BY188" s="55"/>
      <c r="BZ188" s="55"/>
      <c r="CA188" s="55"/>
      <c r="CB188" s="55"/>
      <c r="CO188" s="35">
        <f>'Pre-analyseverktøy'!H183</f>
        <v>0</v>
      </c>
      <c r="CP188" s="35">
        <f>'Pre-analyseverktøy'!O183</f>
        <v>0</v>
      </c>
      <c r="CQ188" s="35">
        <f>'Pre-analyseverktøy'!V183</f>
        <v>0</v>
      </c>
      <c r="CR188" s="35" t="str">
        <f>'Pre-analyseverktøy'!F183</f>
        <v>Risikovurdering (EU taksonomi: krit. 1-6)</v>
      </c>
      <c r="CS188" s="35" t="b">
        <f t="shared" si="300"/>
        <v>1</v>
      </c>
    </row>
    <row r="189" spans="1:97">
      <c r="A189">
        <v>181</v>
      </c>
      <c r="B189" s="109" t="str">
        <f>D189</f>
        <v>LE 07</v>
      </c>
      <c r="C189" s="109" t="str">
        <f>B189</f>
        <v>LE 07</v>
      </c>
      <c r="D189" s="631" t="s">
        <v>526</v>
      </c>
      <c r="E189" s="629" t="s">
        <v>1092</v>
      </c>
      <c r="F189" s="711">
        <f>SUM(F190:F191)</f>
        <v>2</v>
      </c>
      <c r="G189" s="711">
        <f t="shared" ref="G189:R189" si="321">SUM(G190:G191)</f>
        <v>2</v>
      </c>
      <c r="H189" s="711">
        <f t="shared" si="321"/>
        <v>2</v>
      </c>
      <c r="I189" s="711">
        <f t="shared" si="321"/>
        <v>2</v>
      </c>
      <c r="J189" s="711">
        <f t="shared" si="321"/>
        <v>2</v>
      </c>
      <c r="K189" s="711">
        <f t="shared" si="321"/>
        <v>2</v>
      </c>
      <c r="L189" s="711">
        <f t="shared" si="321"/>
        <v>2</v>
      </c>
      <c r="M189" s="711">
        <f t="shared" si="321"/>
        <v>2</v>
      </c>
      <c r="N189" s="711">
        <f t="shared" si="321"/>
        <v>2</v>
      </c>
      <c r="O189" s="711">
        <f t="shared" si="321"/>
        <v>2</v>
      </c>
      <c r="P189" s="711">
        <f t="shared" si="321"/>
        <v>2</v>
      </c>
      <c r="Q189" s="711">
        <f>SUM(Q190:Q191)</f>
        <v>2</v>
      </c>
      <c r="R189" s="711">
        <f t="shared" si="321"/>
        <v>2</v>
      </c>
      <c r="T189" s="731">
        <f t="shared" si="288"/>
        <v>2</v>
      </c>
      <c r="U189" s="538"/>
      <c r="V189" s="732"/>
      <c r="W189" s="732"/>
      <c r="X189" s="53">
        <f>'Manuell filtrering og justering'!E81</f>
        <v>0</v>
      </c>
      <c r="Y189" s="53"/>
      <c r="Z189" s="726">
        <f>SUM(Z190:Z191)</f>
        <v>2</v>
      </c>
      <c r="AA189" s="731">
        <f t="shared" si="289"/>
        <v>0</v>
      </c>
      <c r="AB189" s="782">
        <f>SUM(AB190:AB191)</f>
        <v>2</v>
      </c>
      <c r="AC189" s="496">
        <v>189</v>
      </c>
      <c r="AD189" s="138">
        <f t="shared" si="290"/>
        <v>1.5789473684210527E-2</v>
      </c>
      <c r="AE189" s="701">
        <f>SUM(AE190:AE191)</f>
        <v>0</v>
      </c>
      <c r="AF189" s="701">
        <f>SUM(AF190:AF191)</f>
        <v>0</v>
      </c>
      <c r="AG189" s="701">
        <f>SUM(AG190:AG191)</f>
        <v>0</v>
      </c>
      <c r="AI189" s="726">
        <f>SUM(AI190:AI191)</f>
        <v>0</v>
      </c>
      <c r="AJ189" s="726">
        <f>SUM(AJ190:AJ191)</f>
        <v>0</v>
      </c>
      <c r="AK189" s="726">
        <f>SUM(AK190:AK191)</f>
        <v>0</v>
      </c>
      <c r="AM189" s="236"/>
      <c r="AN189" s="237"/>
      <c r="AO189" s="237"/>
      <c r="AP189" s="237"/>
      <c r="AQ189" s="238"/>
      <c r="AR189" s="111"/>
      <c r="AS189" s="236"/>
      <c r="AT189" s="237"/>
      <c r="AU189" s="237"/>
      <c r="AV189" s="237"/>
      <c r="AW189" s="238"/>
      <c r="AY189" s="134"/>
      <c r="AZ189" s="35"/>
      <c r="BA189" s="35"/>
      <c r="BB189" s="35"/>
      <c r="BC189" s="135"/>
      <c r="BD189" s="148">
        <f t="shared" si="305"/>
        <v>9</v>
      </c>
      <c r="BE189" s="35" t="str">
        <f t="shared" si="291"/>
        <v>N/A</v>
      </c>
      <c r="BF189" s="151"/>
      <c r="BG189" s="148">
        <f t="shared" si="306"/>
        <v>9</v>
      </c>
      <c r="BH189" s="35" t="str">
        <f t="shared" si="292"/>
        <v>N/A</v>
      </c>
      <c r="BI189" s="151"/>
      <c r="BJ189" s="148">
        <f t="shared" si="307"/>
        <v>9</v>
      </c>
      <c r="BK189" s="35" t="str">
        <f t="shared" si="293"/>
        <v>N/A</v>
      </c>
      <c r="BL189" s="151"/>
      <c r="BO189" s="35"/>
      <c r="BP189" s="35"/>
      <c r="BQ189" s="35" t="str">
        <f t="shared" si="239"/>
        <v/>
      </c>
      <c r="BR189" s="35">
        <f t="shared" si="267"/>
        <v>9</v>
      </c>
      <c r="BS189" s="35">
        <f t="shared" si="268"/>
        <v>9</v>
      </c>
      <c r="BT189" s="35">
        <f t="shared" si="269"/>
        <v>9</v>
      </c>
      <c r="BW189" s="55" t="str">
        <f>D189</f>
        <v>LE 07</v>
      </c>
      <c r="BX189" s="55"/>
      <c r="BY189" s="55"/>
      <c r="BZ189" s="55"/>
      <c r="CA189" s="55"/>
      <c r="CB189" s="55"/>
      <c r="CO189" s="35">
        <f>'Pre-analyseverktøy'!H184</f>
        <v>0</v>
      </c>
      <c r="CP189" s="35">
        <f>'Pre-analyseverktøy'!O184</f>
        <v>0</v>
      </c>
      <c r="CQ189" s="35">
        <f>'Pre-analyseverktøy'!V184</f>
        <v>0</v>
      </c>
      <c r="CR189" s="35" t="str">
        <f>'Pre-analyseverktøy'!F184</f>
        <v>LE 07 Sikkerhet mot flom og stormflo</v>
      </c>
      <c r="CS189" s="35" t="b">
        <f t="shared" si="300"/>
        <v>1</v>
      </c>
    </row>
    <row r="190" spans="1:97">
      <c r="A190">
        <v>182</v>
      </c>
      <c r="C190" t="str">
        <f t="shared" si="240"/>
        <v>LE 07</v>
      </c>
      <c r="D190" s="134" t="s">
        <v>775</v>
      </c>
      <c r="E190" s="717" t="s">
        <v>1093</v>
      </c>
      <c r="F190" s="575"/>
      <c r="G190" s="575"/>
      <c r="H190" s="575"/>
      <c r="I190" s="575"/>
      <c r="J190" s="575"/>
      <c r="K190" s="575"/>
      <c r="L190" s="575"/>
      <c r="M190" s="575"/>
      <c r="N190" s="575"/>
      <c r="O190" s="575"/>
      <c r="P190" s="575"/>
      <c r="Q190" s="575"/>
      <c r="R190" s="575"/>
      <c r="T190" s="136">
        <f t="shared" si="288"/>
        <v>0</v>
      </c>
      <c r="U190" s="155"/>
      <c r="V190" s="40"/>
      <c r="W190" s="40"/>
      <c r="X190" s="35"/>
      <c r="Y190" s="135"/>
      <c r="Z190" s="135"/>
      <c r="AA190" s="136">
        <f t="shared" si="289"/>
        <v>0</v>
      </c>
      <c r="AB190" s="137">
        <f>IF($AC$5='Manuell filtrering og justering'!$J$2,Z190,(T190-AA190))</f>
        <v>0</v>
      </c>
      <c r="AC190" s="496">
        <v>190</v>
      </c>
      <c r="AD190" s="138">
        <f t="shared" si="290"/>
        <v>0</v>
      </c>
      <c r="AE190" s="138">
        <f t="shared" si="294"/>
        <v>0</v>
      </c>
      <c r="AF190" s="138">
        <f t="shared" si="295"/>
        <v>0</v>
      </c>
      <c r="AG190" s="138">
        <f t="shared" si="296"/>
        <v>0</v>
      </c>
      <c r="AI190" s="139">
        <f t="shared" ref="AI190" si="322">IF(CO190&gt;$AB190,$AB190,CO190)</f>
        <v>0</v>
      </c>
      <c r="AJ190" s="139">
        <f t="shared" ref="AJ190" si="323">IF(CP190&gt;$AB190,$AB190,CP190)</f>
        <v>0</v>
      </c>
      <c r="AK190" s="139">
        <f t="shared" ref="AK190" si="324">IF(CQ190&gt;$AB190,$AB190,CQ190)</f>
        <v>0</v>
      </c>
      <c r="AM190" s="646"/>
      <c r="AN190" s="647"/>
      <c r="AO190" s="647"/>
      <c r="AP190" s="647"/>
      <c r="AQ190" s="639"/>
      <c r="AR190" s="111"/>
      <c r="AS190" s="646"/>
      <c r="AT190" s="647"/>
      <c r="AU190" s="647"/>
      <c r="AV190" s="647"/>
      <c r="AW190" s="639"/>
      <c r="AY190" s="155"/>
      <c r="AZ190" s="40"/>
      <c r="BA190" s="40"/>
      <c r="BB190" s="40"/>
      <c r="BC190" s="648"/>
      <c r="BD190" s="148">
        <f t="shared" si="305"/>
        <v>9</v>
      </c>
      <c r="BE190" s="35" t="str">
        <f t="shared" si="291"/>
        <v>N/A</v>
      </c>
      <c r="BF190" s="151"/>
      <c r="BG190" s="148">
        <f t="shared" si="306"/>
        <v>9</v>
      </c>
      <c r="BH190" s="35" t="str">
        <f t="shared" si="292"/>
        <v>N/A</v>
      </c>
      <c r="BI190" s="151"/>
      <c r="BJ190" s="148">
        <f t="shared" si="307"/>
        <v>9</v>
      </c>
      <c r="BK190" s="35" t="str">
        <f t="shared" si="293"/>
        <v>N/A</v>
      </c>
      <c r="BL190" s="643"/>
      <c r="BO190" s="35"/>
      <c r="BP190" s="35"/>
      <c r="BQ190" s="35" t="str">
        <f t="shared" si="239"/>
        <v/>
      </c>
      <c r="BR190" s="35">
        <f t="shared" si="267"/>
        <v>9</v>
      </c>
      <c r="BS190" s="35">
        <f t="shared" si="268"/>
        <v>9</v>
      </c>
      <c r="BT190" s="35">
        <f t="shared" si="269"/>
        <v>9</v>
      </c>
      <c r="BW190" s="55"/>
      <c r="BX190" s="55"/>
      <c r="BY190" s="55"/>
      <c r="BZ190" s="55"/>
      <c r="CA190" s="55"/>
      <c r="CB190" s="55"/>
      <c r="CO190" s="35">
        <f>'Pre-analyseverktøy'!H185</f>
        <v>0</v>
      </c>
      <c r="CP190" s="35">
        <f>'Pre-analyseverktøy'!O185</f>
        <v>0</v>
      </c>
      <c r="CQ190" s="35">
        <f>'Pre-analyseverktøy'!V185</f>
        <v>0</v>
      </c>
      <c r="CR190" s="35" t="str">
        <f>'Pre-analyseverktøy'!F185</f>
        <v>Forkrav: flomrisikoanalyse</v>
      </c>
      <c r="CS190" s="35" t="b">
        <f t="shared" si="300"/>
        <v>1</v>
      </c>
    </row>
    <row r="191" spans="1:97">
      <c r="A191">
        <v>183</v>
      </c>
      <c r="B191" t="str">
        <f>$D$189&amp;D191</f>
        <v>LE 07b</v>
      </c>
      <c r="C191" t="str">
        <f t="shared" si="240"/>
        <v>LE 07</v>
      </c>
      <c r="D191" s="134" t="s">
        <v>776</v>
      </c>
      <c r="E191" s="813" t="s">
        <v>1094</v>
      </c>
      <c r="F191" s="575">
        <v>2</v>
      </c>
      <c r="G191" s="575">
        <v>2</v>
      </c>
      <c r="H191" s="575">
        <v>2</v>
      </c>
      <c r="I191" s="575">
        <v>2</v>
      </c>
      <c r="J191" s="575">
        <v>2</v>
      </c>
      <c r="K191" s="575">
        <v>2</v>
      </c>
      <c r="L191" s="575">
        <v>2</v>
      </c>
      <c r="M191" s="575">
        <v>2</v>
      </c>
      <c r="N191" s="575">
        <v>2</v>
      </c>
      <c r="O191" s="575">
        <v>2</v>
      </c>
      <c r="P191" s="575">
        <v>2</v>
      </c>
      <c r="Q191" s="575">
        <v>2</v>
      </c>
      <c r="R191" s="575">
        <v>2</v>
      </c>
      <c r="T191" s="136">
        <f t="shared" si="288"/>
        <v>2</v>
      </c>
      <c r="U191" s="155"/>
      <c r="V191" s="40"/>
      <c r="W191" s="40"/>
      <c r="X191" s="35"/>
      <c r="Y191" s="135"/>
      <c r="Z191" s="135">
        <f>VLOOKUP(B191,'Manuell filtrering og justering'!$A$7:$H$253,'Manuell filtrering og justering'!$H$1,FALSE)</f>
        <v>2</v>
      </c>
      <c r="AA191" s="136">
        <f t="shared" si="289"/>
        <v>0</v>
      </c>
      <c r="AB191" s="137">
        <f>IF($AC$5='Manuell filtrering og justering'!$J$2,Z191,(T191-AA191))</f>
        <v>2</v>
      </c>
      <c r="AC191" s="496">
        <v>191</v>
      </c>
      <c r="AD191" s="138">
        <f t="shared" si="290"/>
        <v>1.5789473684210527E-2</v>
      </c>
      <c r="AE191" s="138">
        <f t="shared" si="294"/>
        <v>0</v>
      </c>
      <c r="AF191" s="138">
        <f t="shared" si="295"/>
        <v>0</v>
      </c>
      <c r="AG191" s="138">
        <f t="shared" si="296"/>
        <v>0</v>
      </c>
      <c r="AI191" s="783">
        <f>IF(AI247=AD_no,0,IF(VLOOKUP(E191,'Pre-analyseverktøy'!$F$11:$AA$226,'Pre-analyseverktøy'!$H$2,FALSE)&gt;AB191,AB191,VLOOKUP(E191,'Pre-analyseverktøy'!$F$11:$AA$226,'Pre-analyseverktøy'!$H$2,FALSE)))</f>
        <v>0</v>
      </c>
      <c r="AJ191" s="783">
        <f>IF(AJ247=AD_no,0,IF(VLOOKUP(E191,'Pre-analyseverktøy'!$F$11:$AA$226,'Pre-analyseverktøy'!$O$2,FALSE)&gt;AB191,AB191,VLOOKUP(E191,'Pre-analyseverktøy'!$F$11:$AA$226,'Pre-analyseverktøy'!$O$2,FALSE)))</f>
        <v>0</v>
      </c>
      <c r="AK191" s="783">
        <f>IF(AK247=AD_no,0,IF(VLOOKUP(E191,'Pre-analyseverktøy'!$F$11:$AA$226,'Pre-analyseverktøy'!$V$2,FALSE)&gt;AB191,AB191,VLOOKUP(E191,'Pre-analyseverktøy'!$F$11:$AA$226,'Pre-analyseverktøy'!$V$2,FALSE)))</f>
        <v>0</v>
      </c>
      <c r="AM191" s="646"/>
      <c r="AN191" s="647"/>
      <c r="AO191" s="647"/>
      <c r="AP191" s="647"/>
      <c r="AQ191" s="639"/>
      <c r="AR191" s="111"/>
      <c r="AS191" s="646"/>
      <c r="AT191" s="647"/>
      <c r="AU191" s="647"/>
      <c r="AV191" s="647"/>
      <c r="AW191" s="639"/>
      <c r="AY191" s="155"/>
      <c r="AZ191" s="40"/>
      <c r="BA191" s="40"/>
      <c r="BB191" s="40"/>
      <c r="BC191" s="648"/>
      <c r="BD191" s="148">
        <f t="shared" si="305"/>
        <v>9</v>
      </c>
      <c r="BE191" s="35" t="str">
        <f t="shared" si="291"/>
        <v>N/A</v>
      </c>
      <c r="BF191" s="151"/>
      <c r="BG191" s="148">
        <f t="shared" si="306"/>
        <v>9</v>
      </c>
      <c r="BH191" s="35" t="str">
        <f t="shared" si="292"/>
        <v>N/A</v>
      </c>
      <c r="BI191" s="151"/>
      <c r="BJ191" s="148">
        <f t="shared" si="307"/>
        <v>9</v>
      </c>
      <c r="BK191" s="35" t="str">
        <f t="shared" si="293"/>
        <v>N/A</v>
      </c>
      <c r="BL191" s="643"/>
      <c r="BO191" s="35"/>
      <c r="BP191" s="35"/>
      <c r="BQ191" s="35" t="str">
        <f t="shared" si="239"/>
        <v/>
      </c>
      <c r="BR191" s="35">
        <f t="shared" si="267"/>
        <v>9</v>
      </c>
      <c r="BS191" s="35">
        <f t="shared" si="268"/>
        <v>9</v>
      </c>
      <c r="BT191" s="35">
        <f t="shared" si="269"/>
        <v>9</v>
      </c>
      <c r="BW191" s="55"/>
      <c r="BX191" s="55"/>
      <c r="BY191" s="55"/>
      <c r="BZ191" s="55"/>
      <c r="CA191" s="55"/>
      <c r="CB191" s="55"/>
      <c r="CO191" s="35">
        <f>'Pre-analyseverktøy'!H186</f>
        <v>0</v>
      </c>
      <c r="CP191" s="35">
        <f>'Pre-analyseverktøy'!O186</f>
        <v>0</v>
      </c>
      <c r="CQ191" s="35">
        <f>'Pre-analyseverktøy'!V186</f>
        <v>0</v>
      </c>
      <c r="CR191" s="35" t="str">
        <f>'Pre-analyseverktøy'!F186</f>
        <v>Robusthet mot flom og stormflo</v>
      </c>
      <c r="CS191" s="35" t="b">
        <f t="shared" si="300"/>
        <v>1</v>
      </c>
    </row>
    <row r="192" spans="1:97" ht="15.75" thickBot="1">
      <c r="A192">
        <v>184</v>
      </c>
      <c r="B192" s="109" t="str">
        <f>D192</f>
        <v>LE 08</v>
      </c>
      <c r="C192" s="109" t="str">
        <f>B192</f>
        <v>LE 08</v>
      </c>
      <c r="D192" s="631" t="s">
        <v>529</v>
      </c>
      <c r="E192" s="629" t="s">
        <v>1095</v>
      </c>
      <c r="F192" s="711">
        <f>SUM(F193:F196)</f>
        <v>3</v>
      </c>
      <c r="G192" s="711">
        <f t="shared" ref="G192:R192" si="325">SUM(G193:G196)</f>
        <v>3</v>
      </c>
      <c r="H192" s="711">
        <f t="shared" si="325"/>
        <v>3</v>
      </c>
      <c r="I192" s="711">
        <f t="shared" si="325"/>
        <v>3</v>
      </c>
      <c r="J192" s="711">
        <f t="shared" si="325"/>
        <v>3</v>
      </c>
      <c r="K192" s="711">
        <f t="shared" si="325"/>
        <v>3</v>
      </c>
      <c r="L192" s="711">
        <f t="shared" si="325"/>
        <v>3</v>
      </c>
      <c r="M192" s="711">
        <f t="shared" si="325"/>
        <v>3</v>
      </c>
      <c r="N192" s="711">
        <f t="shared" si="325"/>
        <v>3</v>
      </c>
      <c r="O192" s="711">
        <f t="shared" si="325"/>
        <v>3</v>
      </c>
      <c r="P192" s="711">
        <f t="shared" si="325"/>
        <v>3</v>
      </c>
      <c r="Q192" s="711">
        <f>SUM(Q193:Q196)</f>
        <v>3</v>
      </c>
      <c r="R192" s="711">
        <f t="shared" si="325"/>
        <v>3</v>
      </c>
      <c r="T192" s="731">
        <f t="shared" si="288"/>
        <v>3</v>
      </c>
      <c r="U192" s="538"/>
      <c r="V192" s="732"/>
      <c r="W192" s="732"/>
      <c r="X192" s="53">
        <f>'Manuell filtrering og justering'!E82</f>
        <v>0</v>
      </c>
      <c r="Y192" s="53"/>
      <c r="Z192" s="726">
        <f>SUM(Z193:Z196)</f>
        <v>2</v>
      </c>
      <c r="AA192" s="731">
        <f t="shared" si="289"/>
        <v>0</v>
      </c>
      <c r="AB192" s="782">
        <f>SUM(AB193:AB196)</f>
        <v>3</v>
      </c>
      <c r="AC192" s="496">
        <v>192</v>
      </c>
      <c r="AD192" s="138">
        <f t="shared" si="290"/>
        <v>2.368421052631579E-2</v>
      </c>
      <c r="AE192" s="701">
        <f>SUM(AE193:AE196)</f>
        <v>0</v>
      </c>
      <c r="AF192" s="701">
        <f>SUM(AF193:AF196)</f>
        <v>0</v>
      </c>
      <c r="AG192" s="701">
        <f>SUM(AG193:AG196)</f>
        <v>0</v>
      </c>
      <c r="AI192" s="726">
        <f>SUM(AI193:AI196)</f>
        <v>0</v>
      </c>
      <c r="AJ192" s="726">
        <f>SUM(AJ193:AJ196)</f>
        <v>0</v>
      </c>
      <c r="AK192" s="726">
        <f>SUM(AK193:AK196)</f>
        <v>0</v>
      </c>
      <c r="AM192" s="239"/>
      <c r="AN192" s="240"/>
      <c r="AO192" s="240"/>
      <c r="AP192" s="240"/>
      <c r="AQ192" s="241"/>
      <c r="AR192" s="111"/>
      <c r="AS192" s="239"/>
      <c r="AT192" s="240"/>
      <c r="AU192" s="240"/>
      <c r="AV192" s="240"/>
      <c r="AW192" s="241"/>
      <c r="AY192" s="156"/>
      <c r="AZ192" s="158"/>
      <c r="BA192" s="158"/>
      <c r="BB192" s="158"/>
      <c r="BC192" s="159"/>
      <c r="BD192" s="160">
        <f>IF(BC192=0,9,IF(AI192&gt;=BC192,5,IF(AI192&gt;=BB192,4,IF(AI192&gt;=BA192,3,IF(AI192&gt;=AZ192,2,IF(AI192&lt;AY192,0,1))))))</f>
        <v>9</v>
      </c>
      <c r="BE192" s="35" t="str">
        <f t="shared" si="291"/>
        <v>N/A</v>
      </c>
      <c r="BF192" s="161"/>
      <c r="BG192" s="160">
        <f>IF(BC192=0,9,IF(AJ192&gt;=BC192,5,IF(AJ192&gt;=BB192,4,IF(AJ192&gt;=BA192,3,IF(AJ192&gt;=AZ192,2,IF(AJ192&lt;AY192,0,1))))))</f>
        <v>9</v>
      </c>
      <c r="BH192" s="35" t="str">
        <f t="shared" si="292"/>
        <v>N/A</v>
      </c>
      <c r="BI192" s="161"/>
      <c r="BJ192" s="160">
        <f>IF(BC192=0,9,IF(AK192&gt;=BC192,5,IF(AK192&gt;=BB192,4,IF(AK192&gt;=BA192,3,IF(AK192&gt;=AZ192,2,IF(AK192&lt;AY192,0,1))))))</f>
        <v>9</v>
      </c>
      <c r="BK192" s="35" t="str">
        <f t="shared" si="293"/>
        <v>N/A</v>
      </c>
      <c r="BL192" s="161"/>
      <c r="BO192" s="35"/>
      <c r="BP192" s="35"/>
      <c r="BQ192" s="35" t="str">
        <f t="shared" si="239"/>
        <v/>
      </c>
      <c r="BR192" s="35">
        <f t="shared" si="267"/>
        <v>9</v>
      </c>
      <c r="BS192" s="35">
        <f t="shared" si="268"/>
        <v>9</v>
      </c>
      <c r="BT192" s="35">
        <f t="shared" si="269"/>
        <v>9</v>
      </c>
      <c r="BW192" s="55" t="str">
        <f>D192</f>
        <v>LE 08</v>
      </c>
      <c r="BX192" s="55"/>
      <c r="BY192" s="55"/>
      <c r="BZ192" s="55"/>
      <c r="CA192" s="55"/>
      <c r="CB192" s="55"/>
    </row>
    <row r="193" spans="1:97">
      <c r="A193">
        <v>185</v>
      </c>
      <c r="C193" t="str">
        <f t="shared" si="240"/>
        <v>LE 08</v>
      </c>
      <c r="D193" s="134" t="s">
        <v>775</v>
      </c>
      <c r="E193" s="717" t="s">
        <v>1096</v>
      </c>
      <c r="F193" s="575"/>
      <c r="G193" s="575"/>
      <c r="H193" s="575"/>
      <c r="I193" s="575"/>
      <c r="J193" s="575"/>
      <c r="K193" s="575"/>
      <c r="L193" s="575"/>
      <c r="M193" s="575"/>
      <c r="N193" s="575"/>
      <c r="O193" s="575"/>
      <c r="P193" s="575"/>
      <c r="Q193" s="575"/>
      <c r="R193" s="575"/>
      <c r="T193" s="136">
        <f t="shared" si="288"/>
        <v>0</v>
      </c>
      <c r="U193" s="155"/>
      <c r="V193" s="40"/>
      <c r="W193" s="40"/>
      <c r="X193" s="40"/>
      <c r="Y193" s="648"/>
      <c r="Z193" s="135"/>
      <c r="AA193" s="136">
        <f t="shared" si="289"/>
        <v>0</v>
      </c>
      <c r="AB193" s="137">
        <f>IF($AC$5='Manuell filtrering og justering'!$J$2,Z193,(T193-AA193))</f>
        <v>0</v>
      </c>
      <c r="AC193" s="496">
        <v>193</v>
      </c>
      <c r="AD193" s="138">
        <f t="shared" si="290"/>
        <v>0</v>
      </c>
      <c r="AE193" s="138">
        <f t="shared" si="294"/>
        <v>0</v>
      </c>
      <c r="AF193" s="138">
        <f t="shared" si="295"/>
        <v>0</v>
      </c>
      <c r="AG193" s="138">
        <f t="shared" si="296"/>
        <v>0</v>
      </c>
      <c r="AI193" s="139">
        <f t="shared" ref="AI193" si="326">IF(CO193&gt;$AB193,$AB193,CO193)</f>
        <v>0</v>
      </c>
      <c r="AJ193" s="139">
        <f t="shared" ref="AJ193" si="327">IF(CP193&gt;$AB193,$AB193,CP193)</f>
        <v>0</v>
      </c>
      <c r="AK193" s="139">
        <f t="shared" ref="AK193" si="328">IF(CQ193&gt;$AB193,$AB193,CQ193)</f>
        <v>0</v>
      </c>
      <c r="AM193" s="646"/>
      <c r="AN193" s="647"/>
      <c r="AO193" s="647"/>
      <c r="AP193" s="647"/>
      <c r="AQ193" s="639"/>
      <c r="AR193" s="111"/>
      <c r="AS193" s="646"/>
      <c r="AT193" s="647"/>
      <c r="AU193" s="647"/>
      <c r="AV193" s="647"/>
      <c r="AW193" s="639"/>
      <c r="AY193" s="155"/>
      <c r="AZ193" s="40"/>
      <c r="BA193" s="40"/>
      <c r="BB193" s="40"/>
      <c r="BC193" s="648"/>
      <c r="BD193" s="148">
        <f>IF(BC193=0,9,IF(AI193&gt;=BC193,5,IF(AI193&gt;=BB193,4,IF(AI193&gt;=BA193,3,IF(AI193&gt;=AZ193,2,IF(AI193&lt;AY193,0,1))))))</f>
        <v>9</v>
      </c>
      <c r="BE193" s="35" t="str">
        <f t="shared" si="291"/>
        <v>N/A</v>
      </c>
      <c r="BF193" s="151"/>
      <c r="BG193" s="148">
        <f>IF(BC193=0,9,IF(AJ193&gt;=BC193,5,IF(AJ193&gt;=BB193,4,IF(AJ193&gt;=BA193,3,IF(AJ193&gt;=AZ193,2,IF(AJ193&lt;AY193,0,1))))))</f>
        <v>9</v>
      </c>
      <c r="BH193" s="35" t="str">
        <f t="shared" si="292"/>
        <v>N/A</v>
      </c>
      <c r="BI193" s="151"/>
      <c r="BJ193" s="148">
        <f>IF(BC193=0,9,IF(AK193&gt;=BC193,5,IF(AK193&gt;=BB193,4,IF(AK193&gt;=BA193,3,IF(AK193&gt;=AZ193,2,IF(AK193&lt;AY193,0,1))))))</f>
        <v>9</v>
      </c>
      <c r="BK193" s="35" t="str">
        <f t="shared" si="293"/>
        <v>N/A</v>
      </c>
      <c r="BL193" s="643"/>
      <c r="BO193" s="35"/>
      <c r="BP193" s="35"/>
      <c r="BQ193" s="35" t="str">
        <f t="shared" si="239"/>
        <v/>
      </c>
      <c r="BR193" s="35">
        <f t="shared" si="267"/>
        <v>9</v>
      </c>
      <c r="BS193" s="35">
        <f t="shared" si="268"/>
        <v>9</v>
      </c>
      <c r="BT193" s="35">
        <f t="shared" si="269"/>
        <v>9</v>
      </c>
      <c r="BW193" s="55"/>
      <c r="BX193" s="55"/>
      <c r="BY193" s="55"/>
      <c r="BZ193" s="55"/>
      <c r="CA193" s="55"/>
      <c r="CB193" s="55"/>
      <c r="CO193" s="35">
        <f>'Pre-analyseverktøy'!H188</f>
        <v>0</v>
      </c>
      <c r="CP193" s="35">
        <f>'Pre-analyseverktøy'!O188</f>
        <v>0</v>
      </c>
      <c r="CQ193" s="35">
        <f>'Pre-analyseverktøy'!V188</f>
        <v>0</v>
      </c>
      <c r="CR193" s="35" t="str">
        <f>'Pre-analyseverktøy'!F188</f>
        <v>Forkrav: risikokartlegging og tretrinnsstrategi</v>
      </c>
      <c r="CS193" s="35" t="b">
        <f t="shared" si="300"/>
        <v>1</v>
      </c>
    </row>
    <row r="194" spans="1:97">
      <c r="A194">
        <v>186</v>
      </c>
      <c r="B194" t="str">
        <f>$D$192&amp;D194</f>
        <v>LE 08b</v>
      </c>
      <c r="C194" t="str">
        <f t="shared" si="240"/>
        <v>LE 08</v>
      </c>
      <c r="D194" s="134" t="s">
        <v>776</v>
      </c>
      <c r="E194" s="813" t="s">
        <v>1097</v>
      </c>
      <c r="F194" s="575">
        <v>1</v>
      </c>
      <c r="G194" s="575">
        <v>1</v>
      </c>
      <c r="H194" s="575">
        <v>1</v>
      </c>
      <c r="I194" s="575">
        <v>1</v>
      </c>
      <c r="J194" s="575">
        <v>1</v>
      </c>
      <c r="K194" s="575">
        <v>1</v>
      </c>
      <c r="L194" s="575">
        <v>1</v>
      </c>
      <c r="M194" s="575">
        <v>1</v>
      </c>
      <c r="N194" s="575">
        <v>1</v>
      </c>
      <c r="O194" s="575">
        <v>1</v>
      </c>
      <c r="P194" s="575">
        <v>1</v>
      </c>
      <c r="Q194" s="575">
        <v>1</v>
      </c>
      <c r="R194" s="575">
        <v>1</v>
      </c>
      <c r="T194" s="136">
        <f t="shared" si="288"/>
        <v>1</v>
      </c>
      <c r="U194" s="155"/>
      <c r="V194" s="40"/>
      <c r="W194" s="40"/>
      <c r="X194" s="40"/>
      <c r="Y194" s="648"/>
      <c r="Z194" s="135">
        <f>VLOOKUP(B194,'Manuell filtrering og justering'!$A$7:$H$253,'Manuell filtrering og justering'!$H$1,FALSE)</f>
        <v>1</v>
      </c>
      <c r="AA194" s="136">
        <f t="shared" si="289"/>
        <v>0</v>
      </c>
      <c r="AB194" s="137">
        <f>IF($AC$5='Manuell filtrering og justering'!$J$2,Z194,(T194-AA194))</f>
        <v>1</v>
      </c>
      <c r="AC194" s="496">
        <v>194</v>
      </c>
      <c r="AD194" s="138">
        <f t="shared" si="290"/>
        <v>7.8947368421052634E-3</v>
      </c>
      <c r="AE194" s="138">
        <f t="shared" si="294"/>
        <v>0</v>
      </c>
      <c r="AF194" s="138">
        <f t="shared" si="295"/>
        <v>0</v>
      </c>
      <c r="AG194" s="138">
        <f t="shared" si="296"/>
        <v>0</v>
      </c>
      <c r="AI194" s="783">
        <f>IF(AI248=AD_no,0,IF(VLOOKUP(E194,'Pre-analyseverktøy'!$F$11:$AA$226,'Pre-analyseverktøy'!$H$2,FALSE)&gt;AB194,AB194,VLOOKUP(E194,'Pre-analyseverktøy'!$F$11:$AA$226,'Pre-analyseverktøy'!$H$2,FALSE)))</f>
        <v>0</v>
      </c>
      <c r="AJ194" s="783">
        <f>IF(AJ248=AD_no,0,IF(VLOOKUP(E194,'Pre-analyseverktøy'!$F$11:$AA$226,'Pre-analyseverktøy'!$O$2,FALSE)&gt;AB194,AB194,VLOOKUP(E194,'Pre-analyseverktøy'!$F$11:$AA$226,'Pre-analyseverktøy'!$O$2,FALSE)))</f>
        <v>0</v>
      </c>
      <c r="AK194" s="783">
        <f>IF(AK248=AD_no,0,IF(VLOOKUP(E194,'Pre-analyseverktøy'!$F$11:$AA$226,'Pre-analyseverktøy'!$V$2,FALSE)&gt;AB194,AB194,VLOOKUP(E194,'Pre-analyseverktøy'!$F$11:$AA$226,'Pre-analyseverktøy'!$V$2,FALSE)))</f>
        <v>0</v>
      </c>
      <c r="AM194" s="646"/>
      <c r="AN194" s="647"/>
      <c r="AO194" s="647"/>
      <c r="AP194" s="647"/>
      <c r="AQ194" s="639"/>
      <c r="AR194" s="111"/>
      <c r="AS194" s="646"/>
      <c r="AT194" s="647"/>
      <c r="AU194" s="647"/>
      <c r="AV194" s="647"/>
      <c r="AW194" s="639"/>
      <c r="AY194" s="155"/>
      <c r="AZ194" s="40"/>
      <c r="BA194" s="40"/>
      <c r="BB194" s="40"/>
      <c r="BC194" s="648"/>
      <c r="BD194" s="148">
        <f>IF(BC194=0,9,IF(AI194&gt;=BC194,5,IF(AI194&gt;=BB194,4,IF(AI194&gt;=BA194,3,IF(AI194&gt;=AZ194,2,IF(AI194&lt;AY194,0,1))))))</f>
        <v>9</v>
      </c>
      <c r="BE194" s="35" t="str">
        <f t="shared" si="291"/>
        <v>N/A</v>
      </c>
      <c r="BF194" s="151"/>
      <c r="BG194" s="148">
        <f>IF(BC194=0,9,IF(AJ194&gt;=BC194,5,IF(AJ194&gt;=BB194,4,IF(AJ194&gt;=BA194,3,IF(AJ194&gt;=AZ194,2,IF(AJ194&lt;AY194,0,1))))))</f>
        <v>9</v>
      </c>
      <c r="BH194" s="35" t="str">
        <f t="shared" si="292"/>
        <v>N/A</v>
      </c>
      <c r="BI194" s="151"/>
      <c r="BJ194" s="148">
        <f>IF(BC194=0,9,IF(AK194&gt;=BC194,5,IF(AK194&gt;=BB194,4,IF(AK194&gt;=BA194,3,IF(AK194&gt;=AZ194,2,IF(AK194&lt;AY194,0,1))))))</f>
        <v>9</v>
      </c>
      <c r="BK194" s="35" t="str">
        <f t="shared" si="293"/>
        <v>N/A</v>
      </c>
      <c r="BL194" s="643"/>
      <c r="BO194" s="35"/>
      <c r="BP194" s="35"/>
      <c r="BQ194" s="35" t="str">
        <f t="shared" si="239"/>
        <v/>
      </c>
      <c r="BR194" s="35">
        <f t="shared" si="267"/>
        <v>9</v>
      </c>
      <c r="BS194" s="35">
        <f t="shared" si="268"/>
        <v>9</v>
      </c>
      <c r="BT194" s="35">
        <f t="shared" si="269"/>
        <v>9</v>
      </c>
      <c r="BW194" s="55"/>
      <c r="BX194" s="55"/>
      <c r="BY194" s="55"/>
      <c r="BZ194" s="55"/>
      <c r="CA194" s="55"/>
      <c r="CB194" s="55"/>
      <c r="CO194" s="35">
        <f>'Pre-analyseverktøy'!H189</f>
        <v>0</v>
      </c>
      <c r="CP194" s="35">
        <f>'Pre-analyseverktøy'!O189</f>
        <v>0</v>
      </c>
      <c r="CQ194" s="35">
        <f>'Pre-analyseverktøy'!V189</f>
        <v>0</v>
      </c>
      <c r="CR194" s="35" t="str">
        <f>'Pre-analyseverktøy'!F189</f>
        <v>Håndtering av 5 mm nedbør</v>
      </c>
      <c r="CS194" s="35" t="b">
        <f t="shared" si="300"/>
        <v>1</v>
      </c>
    </row>
    <row r="195" spans="1:97">
      <c r="A195">
        <v>187</v>
      </c>
      <c r="B195" t="str">
        <f>$D$192&amp;D195</f>
        <v>LE 08c</v>
      </c>
      <c r="C195" t="str">
        <f t="shared" si="240"/>
        <v>LE 08</v>
      </c>
      <c r="D195" s="155" t="s">
        <v>777</v>
      </c>
      <c r="E195" s="831" t="s">
        <v>1098</v>
      </c>
      <c r="F195" s="577">
        <v>1</v>
      </c>
      <c r="G195" s="577">
        <v>1</v>
      </c>
      <c r="H195" s="577">
        <v>1</v>
      </c>
      <c r="I195" s="577">
        <v>1</v>
      </c>
      <c r="J195" s="577">
        <v>1</v>
      </c>
      <c r="K195" s="577">
        <v>1</v>
      </c>
      <c r="L195" s="577">
        <v>1</v>
      </c>
      <c r="M195" s="577">
        <v>1</v>
      </c>
      <c r="N195" s="577">
        <v>1</v>
      </c>
      <c r="O195" s="577">
        <v>1</v>
      </c>
      <c r="P195" s="577">
        <v>1</v>
      </c>
      <c r="Q195" s="577">
        <v>1</v>
      </c>
      <c r="R195" s="577">
        <v>1</v>
      </c>
      <c r="T195" s="136">
        <f t="shared" si="288"/>
        <v>1</v>
      </c>
      <c r="U195" s="155"/>
      <c r="V195" s="40"/>
      <c r="W195" s="40"/>
      <c r="X195" s="40"/>
      <c r="Y195" s="648"/>
      <c r="Z195" s="135">
        <f>VLOOKUP(B195,'Manuell filtrering og justering'!$A$7:$H$253,'Manuell filtrering og justering'!$H$1,FALSE)</f>
        <v>1</v>
      </c>
      <c r="AA195" s="136">
        <f t="shared" si="289"/>
        <v>0</v>
      </c>
      <c r="AB195" s="137">
        <f>IF($AC$5='Manuell filtrering og justering'!$J$2,Z195,(T195-AA195))</f>
        <v>1</v>
      </c>
      <c r="AC195" s="496">
        <v>195</v>
      </c>
      <c r="AD195" s="138">
        <f>(LE_Weight/LE_Credits)*AB195</f>
        <v>7.8947368421052634E-3</v>
      </c>
      <c r="AE195" s="138">
        <f>IF(AB195=0,0,(AD195/AB195)*AI195)</f>
        <v>0</v>
      </c>
      <c r="AF195" s="138">
        <f>IF(AB195=0,0,(AD195/AB195)*AJ195)</f>
        <v>0</v>
      </c>
      <c r="AG195" s="138">
        <f>IF(AB195=0,0,(AD195/AB195)*AK195)</f>
        <v>0</v>
      </c>
      <c r="AI195" s="783">
        <f>IF(AI248=AD_no,0,IF(VLOOKUP(E195,'Pre-analyseverktøy'!$F$11:$AA$226,'Pre-analyseverktøy'!$H$2,FALSE)&gt;AB195,AB195,VLOOKUP(E195,'Pre-analyseverktøy'!$F$11:$AA$226,'Pre-analyseverktøy'!$H$2,FALSE)))</f>
        <v>0</v>
      </c>
      <c r="AJ195" s="783">
        <f>IF(AJ248=AD_no,0,IF(VLOOKUP(E195,'Pre-analyseverktøy'!$F$11:$AA$226,'Pre-analyseverktøy'!$O$2,FALSE)&gt;AB195,AB195,VLOOKUP(E195,'Pre-analyseverktøy'!$F$11:$AA$226,'Pre-analyseverktøy'!$O$2,FALSE)))</f>
        <v>0</v>
      </c>
      <c r="AK195" s="783">
        <f>IF(AK248=AD_no,0,IF(VLOOKUP(E195,'Pre-analyseverktøy'!$F$11:$AA$226,'Pre-analyseverktøy'!$V$2,FALSE)&gt;AB195,AB195,VLOOKUP(E195,'Pre-analyseverktøy'!$F$11:$AA$226,'Pre-analyseverktøy'!$V$2,FALSE)))</f>
        <v>0</v>
      </c>
      <c r="AM195" s="646"/>
      <c r="AN195" s="647"/>
      <c r="AO195" s="647"/>
      <c r="AP195" s="647"/>
      <c r="AQ195" s="639"/>
      <c r="AR195" s="111"/>
      <c r="AS195" s="646"/>
      <c r="AT195" s="647"/>
      <c r="AU195" s="647"/>
      <c r="AV195" s="647"/>
      <c r="AW195" s="639"/>
      <c r="AY195" s="155"/>
      <c r="AZ195" s="40"/>
      <c r="BA195" s="40"/>
      <c r="BB195" s="40"/>
      <c r="BC195" s="648"/>
      <c r="BD195" s="148">
        <f>IF(BC195=0,9,IF(AI195&gt;=BC195,5,IF(AI195&gt;=BB195,4,IF(AI195&gt;=BA195,3,IF(AI195&gt;=AZ195,2,IF(AI195&lt;AY195,0,1))))))</f>
        <v>9</v>
      </c>
      <c r="BE195" s="35" t="str">
        <f t="shared" si="291"/>
        <v>N/A</v>
      </c>
      <c r="BF195" s="151"/>
      <c r="BG195" s="148">
        <f>IF(BC195=0,9,IF(AJ195&gt;=BC195,5,IF(AJ195&gt;=BB195,4,IF(AJ195&gt;=BA195,3,IF(AJ195&gt;=AZ195,2,IF(AJ195&lt;AY195,0,1))))))</f>
        <v>9</v>
      </c>
      <c r="BH195" s="35" t="str">
        <f t="shared" si="292"/>
        <v>N/A</v>
      </c>
      <c r="BI195" s="151"/>
      <c r="BJ195" s="148">
        <f>IF(BC195=0,9,IF(AK195&gt;=BC195,5,IF(AK195&gt;=BB195,4,IF(AK195&gt;=BA195,3,IF(AK195&gt;=AZ195,2,IF(AK195&lt;AY195,0,1))))))</f>
        <v>9</v>
      </c>
      <c r="BK195" s="35" t="str">
        <f t="shared" si="293"/>
        <v>N/A</v>
      </c>
      <c r="BL195" s="643"/>
      <c r="BO195" s="35"/>
      <c r="BP195" s="35"/>
      <c r="BQ195" s="35" t="str">
        <f t="shared" si="239"/>
        <v/>
      </c>
      <c r="BR195" s="35">
        <f t="shared" si="267"/>
        <v>9</v>
      </c>
      <c r="BS195" s="35">
        <f t="shared" si="268"/>
        <v>9</v>
      </c>
      <c r="BT195" s="35">
        <f t="shared" si="269"/>
        <v>9</v>
      </c>
      <c r="BW195" s="55"/>
      <c r="BX195" s="55"/>
      <c r="BY195" s="55"/>
      <c r="BZ195" s="55"/>
      <c r="CA195" s="55"/>
      <c r="CB195" s="55"/>
      <c r="CO195" s="35">
        <f>'Pre-analyseverktøy'!H190</f>
        <v>0</v>
      </c>
      <c r="CP195" s="35">
        <f>'Pre-analyseverktøy'!O190</f>
        <v>0</v>
      </c>
      <c r="CQ195" s="35">
        <f>'Pre-analyseverktøy'!V190</f>
        <v>0</v>
      </c>
      <c r="CR195" s="35" t="str">
        <f>'Pre-analyseverktøy'!F190</f>
        <v>Maksimal avrenningsmengde</v>
      </c>
      <c r="CS195" s="35" t="b">
        <f t="shared" si="245"/>
        <v>1</v>
      </c>
    </row>
    <row r="196" spans="1:97" ht="15.75" thickBot="1">
      <c r="A196">
        <v>188</v>
      </c>
      <c r="B196" t="str">
        <f>$D$192&amp;D196</f>
        <v>LE 08d</v>
      </c>
      <c r="C196" t="str">
        <f t="shared" si="240"/>
        <v>LE 08</v>
      </c>
      <c r="D196" s="155" t="s">
        <v>778</v>
      </c>
      <c r="E196" s="831" t="s">
        <v>1099</v>
      </c>
      <c r="F196" s="577">
        <v>1</v>
      </c>
      <c r="G196" s="577">
        <v>1</v>
      </c>
      <c r="H196" s="577">
        <v>1</v>
      </c>
      <c r="I196" s="577">
        <v>1</v>
      </c>
      <c r="J196" s="577">
        <v>1</v>
      </c>
      <c r="K196" s="577">
        <v>1</v>
      </c>
      <c r="L196" s="577">
        <v>1</v>
      </c>
      <c r="M196" s="577">
        <v>1</v>
      </c>
      <c r="N196" s="577">
        <v>1</v>
      </c>
      <c r="O196" s="577">
        <v>1</v>
      </c>
      <c r="P196" s="577">
        <v>1</v>
      </c>
      <c r="Q196" s="577">
        <v>1</v>
      </c>
      <c r="R196" s="577">
        <v>1</v>
      </c>
      <c r="T196" s="136">
        <f t="shared" si="288"/>
        <v>1</v>
      </c>
      <c r="U196" s="155"/>
      <c r="V196" s="40"/>
      <c r="W196" s="40"/>
      <c r="X196" s="40"/>
      <c r="Y196" s="648"/>
      <c r="Z196" s="135">
        <f>VLOOKUP(B196,'Manuell filtrering og justering'!$A$7:$H$253,'Manuell filtrering og justering'!$H$1,FALSE)</f>
        <v>0</v>
      </c>
      <c r="AA196" s="136">
        <f t="shared" si="289"/>
        <v>0</v>
      </c>
      <c r="AB196" s="137">
        <f>IF($AC$5='Manuell filtrering og justering'!$J$2,Z196,(T196-AA196))</f>
        <v>1</v>
      </c>
      <c r="AC196" s="496">
        <v>196</v>
      </c>
      <c r="AD196" s="138">
        <f t="shared" si="290"/>
        <v>7.8947368421052634E-3</v>
      </c>
      <c r="AE196" s="138">
        <f t="shared" si="294"/>
        <v>0</v>
      </c>
      <c r="AF196" s="138">
        <f t="shared" si="295"/>
        <v>0</v>
      </c>
      <c r="AG196" s="138">
        <f t="shared" si="296"/>
        <v>0</v>
      </c>
      <c r="AI196" s="783">
        <f>IF(AI248=AD_no,0,IF(VLOOKUP(E196,'Pre-analyseverktøy'!$F$11:$AA$226,'Pre-analyseverktøy'!$H$2,FALSE)&gt;AB196,AB196,VLOOKUP(E196,'Pre-analyseverktøy'!$F$11:$AA$226,'Pre-analyseverktøy'!$H$2,FALSE)))</f>
        <v>0</v>
      </c>
      <c r="AJ196" s="783">
        <f>IF(AJ248=AD_no,0,IF(VLOOKUP(E196,'Pre-analyseverktøy'!$F$11:$AA$226,'Pre-analyseverktøy'!$O$2,FALSE)&gt;AB196,AB196,VLOOKUP(E196,'Pre-analyseverktøy'!$F$11:$AA$226,'Pre-analyseverktøy'!$O$2,FALSE)))</f>
        <v>0</v>
      </c>
      <c r="AK196" s="783">
        <f>IF(AK248=AD_no,0,IF(VLOOKUP(E196,'Pre-analyseverktøy'!$F$11:$AA$226,'Pre-analyseverktøy'!$V$2,FALSE)&gt;AB196,AB196,VLOOKUP(E196,'Pre-analyseverktøy'!$F$11:$AA$226,'Pre-analyseverktøy'!$V$2,FALSE)))</f>
        <v>0</v>
      </c>
      <c r="AM196" s="646"/>
      <c r="AN196" s="647"/>
      <c r="AO196" s="647"/>
      <c r="AP196" s="647"/>
      <c r="AQ196" s="639"/>
      <c r="AR196" s="111"/>
      <c r="AS196" s="646"/>
      <c r="AT196" s="647"/>
      <c r="AU196" s="647"/>
      <c r="AV196" s="647"/>
      <c r="AW196" s="639"/>
      <c r="AY196" s="155"/>
      <c r="AZ196" s="40"/>
      <c r="BA196" s="40"/>
      <c r="BB196" s="40"/>
      <c r="BC196" s="648"/>
      <c r="BD196" s="148">
        <f>IF(BC196=0,9,IF(AI196&gt;=BC196,5,IF(AI196&gt;=BB196,4,IF(AI196&gt;=BA196,3,IF(AI196&gt;=AZ196,2,IF(AI196&lt;AY196,0,1))))))</f>
        <v>9</v>
      </c>
      <c r="BE196" s="35" t="str">
        <f t="shared" si="291"/>
        <v>N/A</v>
      </c>
      <c r="BF196" s="151"/>
      <c r="BG196" s="148">
        <f>IF(BC196=0,9,IF(AJ196&gt;=BC196,5,IF(AJ196&gt;=BB196,4,IF(AJ196&gt;=BA196,3,IF(AJ196&gt;=AZ196,2,IF(AJ196&lt;AY196,0,1))))))</f>
        <v>9</v>
      </c>
      <c r="BH196" s="35" t="str">
        <f t="shared" si="292"/>
        <v>N/A</v>
      </c>
      <c r="BI196" s="151"/>
      <c r="BJ196" s="148">
        <f>IF(BC196=0,9,IF(AK196&gt;=BC196,5,IF(AK196&gt;=BB196,4,IF(AK196&gt;=BA196,3,IF(AK196&gt;=AZ196,2,IF(AK196&lt;AY196,0,1))))))</f>
        <v>9</v>
      </c>
      <c r="BK196" s="35" t="str">
        <f t="shared" si="293"/>
        <v>N/A</v>
      </c>
      <c r="BL196" s="643"/>
      <c r="BO196" s="35"/>
      <c r="BP196" s="35"/>
      <c r="BQ196" s="35" t="str">
        <f t="shared" si="239"/>
        <v/>
      </c>
      <c r="BR196" s="35">
        <f t="shared" si="267"/>
        <v>9</v>
      </c>
      <c r="BS196" s="35">
        <f t="shared" si="268"/>
        <v>9</v>
      </c>
      <c r="BT196" s="35">
        <f t="shared" si="269"/>
        <v>9</v>
      </c>
      <c r="BW196" s="55"/>
      <c r="BX196" s="55"/>
      <c r="BY196" s="55"/>
      <c r="BZ196" s="55"/>
      <c r="CA196" s="55"/>
      <c r="CB196" s="55"/>
      <c r="CO196" s="35">
        <f>'Pre-analyseverktøy'!H191</f>
        <v>0</v>
      </c>
      <c r="CP196" s="35">
        <f>'Pre-analyseverktøy'!O191</f>
        <v>0</v>
      </c>
      <c r="CQ196" s="35">
        <f>'Pre-analyseverktøy'!V191</f>
        <v>0</v>
      </c>
      <c r="CR196" s="35" t="str">
        <f>'Pre-analyseverktøy'!F191</f>
        <v>Tiltak for overflatebasert overvannshåndtering</v>
      </c>
      <c r="CS196" s="35" t="b">
        <f t="shared" si="245"/>
        <v>1</v>
      </c>
    </row>
    <row r="197" spans="1:97" ht="15.75" thickBot="1">
      <c r="A197">
        <v>189</v>
      </c>
      <c r="B197" t="s">
        <v>535</v>
      </c>
      <c r="D197" s="162"/>
      <c r="E197" s="42" t="s">
        <v>771</v>
      </c>
      <c r="F197" s="579">
        <f>F169+F171+F175+F179+F183+F187+F189+F192</f>
        <v>19</v>
      </c>
      <c r="G197" s="579">
        <f t="shared" ref="G197:R197" si="329">G169+G171+G175+G179+G183+G187+G189+G192</f>
        <v>19</v>
      </c>
      <c r="H197" s="579">
        <f t="shared" si="329"/>
        <v>19</v>
      </c>
      <c r="I197" s="579">
        <f t="shared" si="329"/>
        <v>19</v>
      </c>
      <c r="J197" s="579">
        <f t="shared" si="329"/>
        <v>19</v>
      </c>
      <c r="K197" s="579">
        <f t="shared" si="329"/>
        <v>19</v>
      </c>
      <c r="L197" s="579">
        <f t="shared" si="329"/>
        <v>19</v>
      </c>
      <c r="M197" s="579">
        <f t="shared" si="329"/>
        <v>19</v>
      </c>
      <c r="N197" s="579">
        <f t="shared" si="329"/>
        <v>19</v>
      </c>
      <c r="O197" s="579">
        <f t="shared" si="329"/>
        <v>19</v>
      </c>
      <c r="P197" s="579">
        <f t="shared" si="329"/>
        <v>19</v>
      </c>
      <c r="Q197" s="830">
        <f>Q169+Q171+Q175+Q179+Q183+Q187+Q189+Q192</f>
        <v>19</v>
      </c>
      <c r="R197" s="830">
        <f t="shared" si="329"/>
        <v>19</v>
      </c>
      <c r="T197" s="183">
        <f t="shared" si="288"/>
        <v>19</v>
      </c>
      <c r="U197" s="164"/>
      <c r="V197" s="165"/>
      <c r="W197" s="165"/>
      <c r="X197" s="165"/>
      <c r="Y197" s="166"/>
      <c r="Z197" s="166"/>
      <c r="AA197" s="580">
        <f t="shared" ref="AA197:AG197" si="330">AA169+AA171+AA175+AA179+AA183+AA187+AA189+AA192</f>
        <v>0</v>
      </c>
      <c r="AB197" s="580">
        <f t="shared" si="330"/>
        <v>19</v>
      </c>
      <c r="AC197" s="496">
        <v>197</v>
      </c>
      <c r="AD197" s="168">
        <f t="shared" si="330"/>
        <v>0.15</v>
      </c>
      <c r="AE197" s="168">
        <f t="shared" si="330"/>
        <v>0</v>
      </c>
      <c r="AF197" s="168">
        <f t="shared" si="330"/>
        <v>0</v>
      </c>
      <c r="AG197" s="168">
        <f t="shared" si="330"/>
        <v>0</v>
      </c>
      <c r="AI197" s="64">
        <f>AI169+AI171+AI175+AI179+AI183+AI187+AI189+AI192</f>
        <v>0</v>
      </c>
      <c r="AJ197" s="64">
        <f>AJ169+AJ171+AJ175+AJ179+AJ183+AJ187+AJ189+AJ192</f>
        <v>0</v>
      </c>
      <c r="AK197" s="64">
        <f>AK169+AK171+AK175+AK179+AK183+AK187+AK189+AK192</f>
        <v>0</v>
      </c>
      <c r="AM197" s="111"/>
      <c r="AN197" s="111"/>
      <c r="AO197" s="111"/>
      <c r="AP197" s="111"/>
      <c r="AQ197" s="111"/>
      <c r="AR197" s="111"/>
      <c r="AS197" s="111"/>
      <c r="AT197" s="111"/>
      <c r="AU197" s="111"/>
      <c r="AV197" s="111"/>
      <c r="AW197" s="111"/>
      <c r="AZ197" s="169"/>
      <c r="BW197" s="42"/>
      <c r="BX197" s="42" t="str">
        <f>IFERROR(VLOOKUP($E197,'Pre-analyseverktøy'!$F$11:$AC$226,'Pre-analyseverktøy'!AC$2,FALSE),"")</f>
        <v/>
      </c>
      <c r="BY197" s="42" t="str">
        <f>IFERROR(VLOOKUP($E197,'Pre-analyseverktøy'!$F$11:$AJ$226,'Pre-analyseverktøy'!AJ$2,FALSE),"")</f>
        <v/>
      </c>
      <c r="BZ197" s="42" t="str">
        <f t="shared" ref="BZ197:CA199" si="331">IFERROR(VLOOKUP($BX197,$E$293:$H$326,F$291,FALSE),"")</f>
        <v/>
      </c>
      <c r="CA197" s="42" t="str">
        <f t="shared" si="331"/>
        <v/>
      </c>
      <c r="CB197" s="42"/>
      <c r="CC197" t="str">
        <f>IFERROR(VLOOKUP($BX197,$E$293:$H$326,I$291,FALSE),"")</f>
        <v/>
      </c>
    </row>
    <row r="198" spans="1:97" ht="15.75" thickBot="1">
      <c r="A198">
        <v>190</v>
      </c>
      <c r="AC198" s="496">
        <v>198</v>
      </c>
      <c r="AI198" s="1"/>
      <c r="AJ198" s="1"/>
      <c r="AK198" s="1"/>
      <c r="AM198" s="111"/>
      <c r="AN198" s="111"/>
      <c r="AO198" s="111"/>
      <c r="AP198" s="111"/>
      <c r="AQ198" s="111"/>
      <c r="AR198" s="111"/>
      <c r="AS198" s="111"/>
      <c r="AT198" s="111"/>
      <c r="AU198" s="111"/>
      <c r="AV198" s="111"/>
      <c r="AW198" s="111"/>
      <c r="BX198" t="str">
        <f>IFERROR(VLOOKUP($E198,'Pre-analyseverktøy'!$F$11:$AC$226,'Pre-analyseverktøy'!AC$2,FALSE),"")</f>
        <v/>
      </c>
      <c r="BY198" t="str">
        <f>IFERROR(VLOOKUP($E198,'Pre-analyseverktøy'!$F$11:$AJ$226,'Pre-analyseverktøy'!AJ$2,FALSE),"")</f>
        <v/>
      </c>
      <c r="BZ198" t="str">
        <f t="shared" si="331"/>
        <v/>
      </c>
      <c r="CA198" t="str">
        <f t="shared" si="331"/>
        <v/>
      </c>
      <c r="CC198" t="str">
        <f>IFERROR(VLOOKUP($BX198,$E$293:$H$326,I$291,FALSE),"")</f>
        <v/>
      </c>
    </row>
    <row r="199" spans="1:97" ht="60.75" thickBot="1">
      <c r="A199">
        <v>191</v>
      </c>
      <c r="D199" s="120"/>
      <c r="E199" s="121" t="s">
        <v>1100</v>
      </c>
      <c r="F199" s="917" t="str">
        <f>$F$9</f>
        <v>Kontorbygg</v>
      </c>
      <c r="G199" s="917" t="str">
        <f>$G$9</f>
        <v>Handelsbygg</v>
      </c>
      <c r="H199" s="921" t="str">
        <f>$H$9</f>
        <v>Boligbygg</v>
      </c>
      <c r="I199" s="917" t="str">
        <f>$I$9</f>
        <v>Industribygg</v>
      </c>
      <c r="J199" s="919" t="str">
        <f>$J$9</f>
        <v>Helseinstitusjoner</v>
      </c>
      <c r="K199" s="919" t="str">
        <f>$K$9</f>
        <v>Fengsel</v>
      </c>
      <c r="L199" s="919" t="str">
        <f>$L$9</f>
        <v>Tinghus</v>
      </c>
      <c r="M199" s="923" t="str">
        <f>$M$9</f>
        <v>Døgninstitusjonsbygg (langtidsopphold)</v>
      </c>
      <c r="N199" s="698" t="str">
        <f>$N$9</f>
        <v>Døgninstitusjonsbygg (korttidsopphold)</v>
      </c>
      <c r="O199" s="698" t="str">
        <f>$O$9</f>
        <v>Institusjoner ikke til boligbruk</v>
      </c>
      <c r="P199" s="698" t="str">
        <f>$P$9</f>
        <v>Møtesteder og fritid</v>
      </c>
      <c r="Q199" s="919" t="str">
        <f>$Q$9</f>
        <v>Undervisningsbygg</v>
      </c>
      <c r="R199" s="651" t="str">
        <f>$R$9</f>
        <v>Annet</v>
      </c>
      <c r="T199" s="110" t="str">
        <f>$E$6</f>
        <v>Kontorbygg</v>
      </c>
      <c r="U199" s="170"/>
      <c r="V199" s="171"/>
      <c r="W199" s="811"/>
      <c r="X199" s="171"/>
      <c r="Y199" s="855" t="s">
        <v>920</v>
      </c>
      <c r="Z199" s="287" t="s">
        <v>23</v>
      </c>
      <c r="AA199" s="119" t="s">
        <v>771</v>
      </c>
      <c r="AB199" s="45" t="s">
        <v>908</v>
      </c>
      <c r="AC199" s="496">
        <v>199</v>
      </c>
      <c r="AI199" s="28"/>
      <c r="AJ199" s="46"/>
      <c r="AK199" s="46"/>
      <c r="AM199" s="111"/>
      <c r="AN199" s="111"/>
      <c r="AO199" s="111"/>
      <c r="AP199" s="111"/>
      <c r="AQ199" s="111"/>
      <c r="AR199" s="111"/>
      <c r="AS199" s="111"/>
      <c r="AT199" s="111"/>
      <c r="AU199" s="111"/>
      <c r="AV199" s="111"/>
      <c r="AW199" s="111"/>
      <c r="BO199" s="46"/>
      <c r="BP199" s="46"/>
      <c r="BQ199" s="46"/>
      <c r="BR199" s="46"/>
      <c r="BS199" s="46"/>
      <c r="BT199" s="46"/>
      <c r="BW199" s="39"/>
      <c r="BX199" s="39" t="str">
        <f>E199</f>
        <v>Forurensing</v>
      </c>
      <c r="BY199" s="39">
        <f>IFERROR(VLOOKUP($E199,'Pre-analyseverktøy'!$F$11:$AJ$226,'Pre-analyseverktøy'!AJ$2,FALSE),"")</f>
        <v>0</v>
      </c>
      <c r="BZ199" s="39" t="str">
        <f t="shared" si="331"/>
        <v/>
      </c>
      <c r="CA199" s="39" t="str">
        <f t="shared" si="331"/>
        <v/>
      </c>
      <c r="CB199" s="39"/>
      <c r="CC199" t="str">
        <f>IFERROR(VLOOKUP($BX199,$E$293:$H$326,I$291,FALSE),"")</f>
        <v/>
      </c>
    </row>
    <row r="200" spans="1:97">
      <c r="A200">
        <v>192</v>
      </c>
      <c r="B200" s="109" t="str">
        <f>D200</f>
        <v>POL 01</v>
      </c>
      <c r="C200" s="109" t="str">
        <f>B200</f>
        <v>POL 01</v>
      </c>
      <c r="D200" s="652" t="s">
        <v>541</v>
      </c>
      <c r="E200" s="985" t="s">
        <v>1101</v>
      </c>
      <c r="F200" s="721">
        <v>3</v>
      </c>
      <c r="G200" s="721">
        <v>3</v>
      </c>
      <c r="H200" s="721">
        <v>3</v>
      </c>
      <c r="I200" s="721">
        <v>3</v>
      </c>
      <c r="J200" s="721">
        <v>3</v>
      </c>
      <c r="K200" s="721">
        <v>3</v>
      </c>
      <c r="L200" s="721">
        <v>3</v>
      </c>
      <c r="M200" s="721">
        <v>3</v>
      </c>
      <c r="N200" s="721">
        <v>3</v>
      </c>
      <c r="O200" s="721">
        <v>3</v>
      </c>
      <c r="P200" s="721">
        <v>3</v>
      </c>
      <c r="Q200" s="721">
        <v>3</v>
      </c>
      <c r="R200" s="721">
        <v>3</v>
      </c>
      <c r="T200" s="729">
        <f t="shared" ref="T200:T206" si="332">HLOOKUP($E$6,$F$9:$R$231,$A200,FALSE)</f>
        <v>3</v>
      </c>
      <c r="U200" s="179"/>
      <c r="V200" s="805"/>
      <c r="W200" s="119" t="s">
        <v>772</v>
      </c>
      <c r="X200" s="806">
        <f>'Manuell filtrering og justering'!E86</f>
        <v>0</v>
      </c>
      <c r="Y200" s="850"/>
      <c r="Z200" s="744">
        <f>SUM(AB201:AB203)</f>
        <v>3</v>
      </c>
      <c r="AA200" s="731">
        <f t="shared" ref="AA200:AA206" si="333">IF(SUM(U200:Y200)&gt;T200,T200,SUM(U200:Y200))</f>
        <v>0</v>
      </c>
      <c r="AB200" s="782">
        <f>SUM(AB201:AB203)</f>
        <v>3</v>
      </c>
      <c r="AC200" s="496">
        <v>200</v>
      </c>
      <c r="AD200" s="138">
        <f t="shared" ref="AD200:AD213" si="334">(Pol_Weight/Pol_Credits)*AB200</f>
        <v>1.7142857142857144E-2</v>
      </c>
      <c r="AE200" s="701">
        <f>IF(SUM(AE201:AE203)&gt;$AD$200,$AD$200,SUM(AE201:AE203))</f>
        <v>0</v>
      </c>
      <c r="AF200" s="701">
        <f>IF(SUM(AF201:AF203)&gt;$AD$200,$AD$200,SUM(AF201:AF203))</f>
        <v>0</v>
      </c>
      <c r="AG200" s="701">
        <f>IF(SUM(AG201:AG203)&gt;$AD$200,$AD$200,SUM(AG201:AG203))</f>
        <v>0</v>
      </c>
      <c r="AI200" s="726">
        <f>IF(SUM(AI201:AI203)&gt;Pol01_credits,Pol01_credits,SUM(AI201:AI203))</f>
        <v>0</v>
      </c>
      <c r="AJ200" s="726">
        <f>IF(SUM(AJ201:AJ203)&gt;Pol01_credits,Pol01_credits,SUM(AJ201:AJ203))</f>
        <v>0</v>
      </c>
      <c r="AK200" s="726">
        <f>IF(SUM(AK201:AK203)&gt;Pol01_credits,Pol01_credits,SUM(AK201:AK203))</f>
        <v>0</v>
      </c>
      <c r="AL200" t="s">
        <v>216</v>
      </c>
      <c r="AM200" s="242"/>
      <c r="AN200" s="243"/>
      <c r="AO200" s="243"/>
      <c r="AP200" s="243"/>
      <c r="AQ200" s="244"/>
      <c r="AR200" s="111"/>
      <c r="AS200" s="242"/>
      <c r="AT200" s="243"/>
      <c r="AU200" s="243"/>
      <c r="AV200" s="243"/>
      <c r="AW200" s="244"/>
      <c r="AY200" s="177"/>
      <c r="AZ200" s="144"/>
      <c r="BA200" s="144"/>
      <c r="BB200" s="144"/>
      <c r="BC200" s="178">
        <f t="shared" ref="BC200:BC223" si="335">IF($E$6=$H$9,AW200,AQ200)</f>
        <v>0</v>
      </c>
      <c r="BD200" s="141">
        <f t="shared" ref="BD200:BD213" si="336">IF(BC200=0,9,IF(AI200&gt;=BC200,5,IF(AI200&gt;=BB200,4,IF(AI200&gt;=BA200,3,IF(AI200&gt;=AZ200,2,IF(AI200&lt;AY200,0,1))))))</f>
        <v>9</v>
      </c>
      <c r="BE200" s="35" t="str">
        <f t="shared" ref="BE200:BE213" si="337">IF(BD200=$BO$290,$BT$290,IF(BD200=$BO$289,$BT$289,IF(BD200=$BO$288,$BT$288,IF(BD200=$BO$287,$BT$287,IF(BD200=$BO$286,$BT$286,IF(BD200=$BO$285,$BT$285,$BT$284))))))</f>
        <v>N/A</v>
      </c>
      <c r="BF200" s="145"/>
      <c r="BG200" s="141">
        <f>IF(BC200=0,9,IF(AJ200&gt;=BC200,5,IF(AJ200&gt;=BB200,4,IF(AJ200&gt;=BA200,3,IF(AJ200&gt;=AZ200,2,IF(AJ200&lt;AY200,0,1))))))</f>
        <v>9</v>
      </c>
      <c r="BH200" s="35" t="str">
        <f t="shared" ref="BH200:BH213" si="338">IF(BG200=$BO$290,$BT$290,IF(BG200=$BO$289,$BT$289,IF(BG200=$BO$288,$BT$288,IF(BG200=$BO$287,$BT$287,IF(BG200=$BO$286,$BT$286,IF(BG200=$BO$285,$BT$285,$BT$284))))))</f>
        <v>N/A</v>
      </c>
      <c r="BI200" s="145"/>
      <c r="BJ200" s="141">
        <f t="shared" ref="BJ200:BJ213" si="339">IF(BC200=0,9,IF(AK200&gt;=BC200,5,IF(AK200&gt;=BB200,4,IF(AK200&gt;=BA200,3,IF(AK200&gt;=AZ200,2,IF(AK200&lt;AY200,0,1))))))</f>
        <v>9</v>
      </c>
      <c r="BK200" s="35" t="str">
        <f t="shared" ref="BK200:BK213" si="340">IF(BJ200=$BO$290,$BT$290,IF(BJ200=$BO$289,$BT$289,IF(BJ200=$BO$288,$BT$288,IF(BJ200=$BO$287,$BT$287,IF(BJ200=$BO$286,$BT$286,IF(BJ200=$BO$285,$BT$285,$BT$284))))))</f>
        <v>N/A</v>
      </c>
      <c r="BL200" s="145"/>
      <c r="BO200" s="35"/>
      <c r="BP200" s="35"/>
      <c r="BQ200" s="35" t="str">
        <f t="shared" si="239"/>
        <v/>
      </c>
      <c r="BR200" s="35">
        <f t="shared" si="267"/>
        <v>9</v>
      </c>
      <c r="BS200" s="35">
        <f t="shared" si="268"/>
        <v>9</v>
      </c>
      <c r="BT200" s="35">
        <f t="shared" si="269"/>
        <v>9</v>
      </c>
      <c r="BW200" s="37" t="str">
        <f>D200</f>
        <v>POL 01</v>
      </c>
      <c r="BX200" s="37" t="str">
        <f>IFERROR(VLOOKUP($E200,'Pre-analyseverktøy'!$F$11:$AC$226,'Pre-analyseverktøy'!AC$2,FALSE),"")</f>
        <v>No</v>
      </c>
      <c r="BY200" s="503" t="str">
        <f>IFERROR(VLOOKUP($E200,'Pre-analyseverktøy'!$F$11:$AJ$226,'Pre-analyseverktøy'!AJ$2,FALSE),"")</f>
        <v>Ja</v>
      </c>
      <c r="BZ200" s="37">
        <f>IFERROR(VLOOKUP($BX200,$E$293:$H$326,F$291,FALSE),"")</f>
        <v>1</v>
      </c>
      <c r="CA200" s="507" t="s">
        <v>899</v>
      </c>
      <c r="CB200" s="37"/>
      <c r="CC200" t="str">
        <f>IFERROR(VLOOKUP($BX200,$E$293:$H$326,I$291,FALSE),"")</f>
        <v/>
      </c>
      <c r="CD200" t="s">
        <v>972</v>
      </c>
      <c r="CE200" s="35">
        <f>VLOOKUP(CA200,$CA$4:$CB$5,2,FALSE)</f>
        <v>1</v>
      </c>
      <c r="CG200" s="54">
        <f>IF($BX$5=ais_nei,CE200,IF(AND(CA200=$CA$4,BX200=$CC$4),0,BZ200))</f>
        <v>1</v>
      </c>
    </row>
    <row r="201" spans="1:97">
      <c r="A201">
        <v>193</v>
      </c>
      <c r="B201" t="str">
        <f>$D$200&amp;D201</f>
        <v>POL 01a</v>
      </c>
      <c r="C201" t="str">
        <f t="shared" si="240"/>
        <v>POL 01</v>
      </c>
      <c r="D201" s="134" t="s">
        <v>775</v>
      </c>
      <c r="E201" s="697" t="s">
        <v>1102</v>
      </c>
      <c r="F201" s="575">
        <v>3</v>
      </c>
      <c r="G201" s="575">
        <v>3</v>
      </c>
      <c r="H201" s="575">
        <v>3</v>
      </c>
      <c r="I201" s="575">
        <v>3</v>
      </c>
      <c r="J201" s="575">
        <v>3</v>
      </c>
      <c r="K201" s="575">
        <v>3</v>
      </c>
      <c r="L201" s="575">
        <v>3</v>
      </c>
      <c r="M201" s="575">
        <v>3</v>
      </c>
      <c r="N201" s="575">
        <v>3</v>
      </c>
      <c r="O201" s="575">
        <v>3</v>
      </c>
      <c r="P201" s="575">
        <v>3</v>
      </c>
      <c r="Q201" s="575">
        <v>3</v>
      </c>
      <c r="R201" s="575">
        <v>3</v>
      </c>
      <c r="T201" s="136">
        <f t="shared" si="332"/>
        <v>3</v>
      </c>
      <c r="U201" s="179">
        <f>IF(Prosjektdetaljer!F24=AD_Yes,Poeng!T201,0)</f>
        <v>3</v>
      </c>
      <c r="V201" s="135"/>
      <c r="W201" s="731">
        <f>IF(Prosjektdetaljer!F24=AD_Yes,Poeng!Z201,0)</f>
        <v>3</v>
      </c>
      <c r="X201" s="192"/>
      <c r="Y201" s="136">
        <f>IF($Y$4=$Y$6,T201,0)</f>
        <v>0</v>
      </c>
      <c r="Z201" s="135">
        <f>VLOOKUP(B201,'Manuell filtrering og justering'!$A$7:$H$253,'Manuell filtrering og justering'!$H$1,FALSE)</f>
        <v>3</v>
      </c>
      <c r="AA201" s="136">
        <f t="shared" si="333"/>
        <v>3</v>
      </c>
      <c r="AB201" s="775">
        <f>IF($AC$5='Manuell filtrering og justering'!$J$2,Z201-W201,(T201-AA201))</f>
        <v>0</v>
      </c>
      <c r="AC201" s="496">
        <v>201</v>
      </c>
      <c r="AD201" s="138">
        <f t="shared" si="334"/>
        <v>0</v>
      </c>
      <c r="AE201" s="138">
        <f t="shared" ref="AE201:AE213" si="341">IF(AB201=0,0,(AD201/AB201)*AI201)</f>
        <v>0</v>
      </c>
      <c r="AF201" s="138">
        <f t="shared" ref="AF201:AF213" si="342">IF(AB201=0,0,(AD201/AB201)*AJ201)</f>
        <v>0</v>
      </c>
      <c r="AG201" s="138">
        <f t="shared" ref="AG201:AG213" si="343">IF(AB201=0,0,(AD201/AB201)*AK201)</f>
        <v>0</v>
      </c>
      <c r="AI201" s="139">
        <f t="shared" ref="AI201" si="344">IF(CO201&gt;$AB201,$AB201,CO201)</f>
        <v>0</v>
      </c>
      <c r="AJ201" s="139">
        <f t="shared" ref="AJ201" si="345">IF(CP201&gt;$AB201,$AB201,CP201)</f>
        <v>0</v>
      </c>
      <c r="AK201" s="139">
        <f t="shared" ref="AK201" si="346">IF(CQ201&gt;$AB201,$AB201,CQ201)</f>
        <v>0</v>
      </c>
      <c r="AM201" s="632"/>
      <c r="AN201" s="633"/>
      <c r="AO201" s="633"/>
      <c r="AP201" s="633"/>
      <c r="AQ201" s="634"/>
      <c r="AR201" s="111"/>
      <c r="AS201" s="632"/>
      <c r="AT201" s="633"/>
      <c r="AU201" s="633"/>
      <c r="AV201" s="633"/>
      <c r="AW201" s="634"/>
      <c r="AY201" s="132"/>
      <c r="AZ201" s="37"/>
      <c r="BA201" s="37"/>
      <c r="BB201" s="37"/>
      <c r="BC201" s="635"/>
      <c r="BD201" s="148">
        <f t="shared" si="336"/>
        <v>9</v>
      </c>
      <c r="BE201" s="35" t="str">
        <f t="shared" si="337"/>
        <v>N/A</v>
      </c>
      <c r="BF201" s="151"/>
      <c r="BG201" s="148">
        <f>IF(BC201=0,9,IF(AJ201&gt;=BC201,5,IF(AJ201&gt;=BB201,4,IF(AJ201&gt;=BA201,3,IF(AJ201&gt;=AZ201,2,IF(AJ201&lt;AY201,0,1))))))</f>
        <v>9</v>
      </c>
      <c r="BH201" s="35" t="str">
        <f t="shared" si="338"/>
        <v>N/A</v>
      </c>
      <c r="BI201" s="151"/>
      <c r="BJ201" s="148">
        <f t="shared" si="339"/>
        <v>9</v>
      </c>
      <c r="BK201" s="35" t="str">
        <f t="shared" si="340"/>
        <v>N/A</v>
      </c>
      <c r="BL201" s="627"/>
      <c r="BO201" s="35"/>
      <c r="BP201" s="35"/>
      <c r="BQ201" s="35" t="str">
        <f t="shared" si="239"/>
        <v/>
      </c>
      <c r="BR201" s="35">
        <f t="shared" si="267"/>
        <v>9</v>
      </c>
      <c r="BS201" s="35">
        <f t="shared" si="268"/>
        <v>9</v>
      </c>
      <c r="BT201" s="35">
        <f t="shared" si="269"/>
        <v>9</v>
      </c>
      <c r="BW201" s="37"/>
      <c r="BX201" s="37"/>
      <c r="BY201" s="503"/>
      <c r="BZ201" s="37"/>
      <c r="CA201" s="507"/>
      <c r="CB201" s="37"/>
      <c r="CE201" s="35"/>
      <c r="CG201" s="54"/>
      <c r="CO201" s="35">
        <f>'Pre-analyseverktøy'!H196</f>
        <v>0</v>
      </c>
      <c r="CP201" s="35">
        <f>'Pre-analyseverktøy'!O196</f>
        <v>0</v>
      </c>
      <c r="CQ201" s="35">
        <f>'Pre-analyseverktøy'!V196</f>
        <v>0</v>
      </c>
      <c r="CR201" s="35" t="str">
        <f>'Pre-analyseverktøy'!F196</f>
        <v>Ingen kuldemedier i bygget</v>
      </c>
      <c r="CS201" s="35" t="b">
        <f t="shared" si="245"/>
        <v>1</v>
      </c>
    </row>
    <row r="202" spans="1:97">
      <c r="A202">
        <v>194</v>
      </c>
      <c r="B202" t="str">
        <f>$D$200&amp;D202</f>
        <v>POL 01c</v>
      </c>
      <c r="C202" t="str">
        <f t="shared" si="240"/>
        <v>POL 01</v>
      </c>
      <c r="D202" s="134" t="s">
        <v>777</v>
      </c>
      <c r="E202" s="697" t="s">
        <v>1103</v>
      </c>
      <c r="F202" s="575">
        <v>2</v>
      </c>
      <c r="G202" s="575">
        <v>2</v>
      </c>
      <c r="H202" s="575">
        <v>2</v>
      </c>
      <c r="I202" s="575">
        <v>2</v>
      </c>
      <c r="J202" s="575">
        <v>2</v>
      </c>
      <c r="K202" s="575">
        <v>2</v>
      </c>
      <c r="L202" s="575">
        <v>2</v>
      </c>
      <c r="M202" s="575">
        <v>2</v>
      </c>
      <c r="N202" s="575">
        <v>2</v>
      </c>
      <c r="O202" s="575">
        <v>2</v>
      </c>
      <c r="P202" s="575">
        <v>2</v>
      </c>
      <c r="Q202" s="575">
        <v>2</v>
      </c>
      <c r="R202" s="575">
        <v>2</v>
      </c>
      <c r="T202" s="136">
        <f t="shared" si="332"/>
        <v>2</v>
      </c>
      <c r="U202" s="179">
        <f>IF(U201&gt;0,0,T202)</f>
        <v>0</v>
      </c>
      <c r="V202" s="135"/>
      <c r="W202" s="731">
        <f>IF(W201&gt;0,0,Z202)</f>
        <v>0</v>
      </c>
      <c r="X202" s="192"/>
      <c r="Y202" s="136">
        <f>IF($Y$4=$Y$6,T202,0)</f>
        <v>0</v>
      </c>
      <c r="Z202" s="135">
        <f>VLOOKUP(B202,'Manuell filtrering og justering'!$A$7:$H$253,'Manuell filtrering og justering'!$H$1,FALSE)</f>
        <v>2</v>
      </c>
      <c r="AA202" s="136">
        <f t="shared" si="333"/>
        <v>0</v>
      </c>
      <c r="AB202" s="775">
        <f>IF($AC$5='Manuell filtrering og justering'!$J$2,Z202-W202,(T202-AA202))</f>
        <v>2</v>
      </c>
      <c r="AC202" s="496">
        <v>202</v>
      </c>
      <c r="AD202" s="138">
        <f t="shared" si="334"/>
        <v>1.1428571428571429E-2</v>
      </c>
      <c r="AE202" s="138">
        <f t="shared" si="341"/>
        <v>0</v>
      </c>
      <c r="AF202" s="138">
        <f t="shared" si="342"/>
        <v>0</v>
      </c>
      <c r="AG202" s="138">
        <f t="shared" si="343"/>
        <v>0</v>
      </c>
      <c r="AI202" s="783">
        <f>IF(AI249=AD_no,0,IF(VLOOKUP(E202,'Pre-analyseverktøy'!$F$11:$AA$226,'Pre-analyseverktøy'!$H$2,FALSE)&gt;AB202,AB202,VLOOKUP(E202,'Pre-analyseverktøy'!$F$11:$AA$226,'Pre-analyseverktøy'!$H$2,FALSE)))</f>
        <v>0</v>
      </c>
      <c r="AJ202" s="783">
        <f>IF(AJ249=AD_no,0,IF(VLOOKUP(E202,'Pre-analyseverktøy'!$F$11:$AA$226,'Pre-analyseverktøy'!$O$2,FALSE)&gt;AB202,AB202,VLOOKUP(E202,'Pre-analyseverktøy'!$F$11:$AA$226,'Pre-analyseverktøy'!$O$2,FALSE)))</f>
        <v>0</v>
      </c>
      <c r="AK202" s="783">
        <f>IF(AK249=AD_no,0,IF(VLOOKUP(E202,'Pre-analyseverktøy'!$F$11:$AA$226,'Pre-analyseverktøy'!$V$2,FALSE)&gt;AB202,AB202,VLOOKUP(E202,'Pre-analyseverktøy'!$F$11:$AA$226,'Pre-analyseverktøy'!$V$2,FALSE)))</f>
        <v>0</v>
      </c>
      <c r="AM202" s="632"/>
      <c r="AN202" s="633"/>
      <c r="AO202" s="633"/>
      <c r="AP202" s="633"/>
      <c r="AQ202" s="634"/>
      <c r="AR202" s="111"/>
      <c r="AS202" s="632"/>
      <c r="AT202" s="633"/>
      <c r="AU202" s="633"/>
      <c r="AV202" s="633"/>
      <c r="AW202" s="634"/>
      <c r="AY202" s="132"/>
      <c r="AZ202" s="37"/>
      <c r="BA202" s="37"/>
      <c r="BB202" s="37"/>
      <c r="BC202" s="635"/>
      <c r="BD202" s="148">
        <f t="shared" si="336"/>
        <v>9</v>
      </c>
      <c r="BE202" s="35" t="str">
        <f t="shared" si="337"/>
        <v>N/A</v>
      </c>
      <c r="BF202" s="151"/>
      <c r="BG202" s="148">
        <f>IF(BC202=0,9,IF(AJ202&gt;=BC202,5,IF(AJ202&gt;=BB202,4,IF(AJ202&gt;=BA202,3,IF(AJ202&gt;=AZ202,2,IF(AJ202&lt;AY202,0,1))))))</f>
        <v>9</v>
      </c>
      <c r="BH202" s="35" t="str">
        <f t="shared" si="338"/>
        <v>N/A</v>
      </c>
      <c r="BI202" s="151"/>
      <c r="BJ202" s="148">
        <f t="shared" si="339"/>
        <v>9</v>
      </c>
      <c r="BK202" s="35" t="str">
        <f t="shared" si="340"/>
        <v>N/A</v>
      </c>
      <c r="BL202" s="627"/>
      <c r="BO202" s="35"/>
      <c r="BP202" s="35"/>
      <c r="BQ202" s="35" t="str">
        <f t="shared" si="239"/>
        <v/>
      </c>
      <c r="BR202" s="35">
        <f t="shared" si="267"/>
        <v>9</v>
      </c>
      <c r="BS202" s="35">
        <f t="shared" si="268"/>
        <v>9</v>
      </c>
      <c r="BT202" s="35">
        <f t="shared" si="269"/>
        <v>9</v>
      </c>
      <c r="BW202" s="37"/>
      <c r="BX202" s="37"/>
      <c r="BY202" s="503"/>
      <c r="BZ202" s="37"/>
      <c r="CA202" s="507"/>
      <c r="CB202" s="37"/>
      <c r="CE202" s="35"/>
      <c r="CG202" s="54"/>
      <c r="CO202" s="35">
        <f>'Pre-analyseverktøy'!H198</f>
        <v>0</v>
      </c>
      <c r="CP202" s="35">
        <f>'Pre-analyseverktøy'!O198</f>
        <v>0</v>
      </c>
      <c r="CQ202" s="35">
        <f>'Pre-analyseverktøy'!V198</f>
        <v>0</v>
      </c>
      <c r="CR202" s="35" t="str">
        <f>'Pre-analyseverktøy'!F198</f>
        <v>Belastning fra kuldemedier</v>
      </c>
      <c r="CS202" s="35" t="b">
        <f t="shared" si="245"/>
        <v>1</v>
      </c>
    </row>
    <row r="203" spans="1:97">
      <c r="A203">
        <v>195</v>
      </c>
      <c r="B203" t="str">
        <f>$D$200&amp;D203</f>
        <v>POL 01d</v>
      </c>
      <c r="C203" t="str">
        <f t="shared" si="240"/>
        <v>POL 01</v>
      </c>
      <c r="D203" s="134" t="s">
        <v>778</v>
      </c>
      <c r="E203" s="697" t="s">
        <v>1104</v>
      </c>
      <c r="F203" s="575">
        <v>1</v>
      </c>
      <c r="G203" s="575">
        <v>1</v>
      </c>
      <c r="H203" s="575">
        <v>1</v>
      </c>
      <c r="I203" s="575">
        <v>1</v>
      </c>
      <c r="J203" s="575">
        <v>1</v>
      </c>
      <c r="K203" s="575">
        <v>1</v>
      </c>
      <c r="L203" s="575">
        <v>1</v>
      </c>
      <c r="M203" s="575">
        <v>1</v>
      </c>
      <c r="N203" s="575">
        <v>1</v>
      </c>
      <c r="O203" s="575">
        <v>1</v>
      </c>
      <c r="P203" s="575">
        <v>1</v>
      </c>
      <c r="Q203" s="575">
        <v>1</v>
      </c>
      <c r="R203" s="575">
        <v>1</v>
      </c>
      <c r="T203" s="136">
        <f t="shared" si="332"/>
        <v>1</v>
      </c>
      <c r="U203" s="179">
        <f>IF(U201&gt;0,0,T203)</f>
        <v>0</v>
      </c>
      <c r="V203" s="135"/>
      <c r="W203" s="731">
        <f>IF(W201&gt;0,0,Z203)</f>
        <v>0</v>
      </c>
      <c r="X203" s="192"/>
      <c r="Y203" s="136">
        <f>IF($Y$4=$Y$6,T203,0)</f>
        <v>0</v>
      </c>
      <c r="Z203" s="135">
        <f>VLOOKUP(B203,'Manuell filtrering og justering'!$A$7:$H$253,'Manuell filtrering og justering'!$H$1,FALSE)</f>
        <v>1</v>
      </c>
      <c r="AA203" s="136">
        <f t="shared" si="333"/>
        <v>0</v>
      </c>
      <c r="AB203" s="775">
        <f>IF($AC$5='Manuell filtrering og justering'!$J$2,Z203-W203,(T203-AA203))</f>
        <v>1</v>
      </c>
      <c r="AC203" s="496">
        <v>203</v>
      </c>
      <c r="AD203" s="138">
        <f t="shared" si="334"/>
        <v>5.7142857142857143E-3</v>
      </c>
      <c r="AE203" s="138">
        <f t="shared" si="341"/>
        <v>0</v>
      </c>
      <c r="AF203" s="138">
        <f t="shared" si="342"/>
        <v>0</v>
      </c>
      <c r="AG203" s="138">
        <f t="shared" si="343"/>
        <v>0</v>
      </c>
      <c r="AI203" s="783">
        <f>IF(AI249=AD_no,0,IF(VLOOKUP(E203,'Pre-analyseverktøy'!$F$11:$AA$226,'Pre-analyseverktøy'!$H$2,FALSE)&gt;AB203,AB203,VLOOKUP(E203,'Pre-analyseverktøy'!$F$11:$AA$226,'Pre-analyseverktøy'!$H$2,FALSE)))</f>
        <v>0</v>
      </c>
      <c r="AJ203" s="783">
        <f>IF(AJ249=AD_no,0,IF(VLOOKUP(E203,'Pre-analyseverktøy'!$F$11:$AA$226,'Pre-analyseverktøy'!$O$2,FALSE)&gt;AB203,AB203,VLOOKUP(E203,'Pre-analyseverktøy'!$F$11:$AA$226,'Pre-analyseverktøy'!$O$2,FALSE)))</f>
        <v>0</v>
      </c>
      <c r="AK203" s="783">
        <f>IF(AK249=AD_no,0,IF(VLOOKUP(E203,'Pre-analyseverktøy'!$F$11:$AA$226,'Pre-analyseverktøy'!$V$2,FALSE)&gt;AB203,AB203,VLOOKUP(E203,'Pre-analyseverktøy'!$F$11:$AA$226,'Pre-analyseverktøy'!$V$2,FALSE)))</f>
        <v>0</v>
      </c>
      <c r="AM203" s="632"/>
      <c r="AN203" s="633"/>
      <c r="AO203" s="633"/>
      <c r="AP203" s="633"/>
      <c r="AQ203" s="634"/>
      <c r="AR203" s="111"/>
      <c r="AS203" s="632"/>
      <c r="AT203" s="633"/>
      <c r="AU203" s="633"/>
      <c r="AV203" s="633"/>
      <c r="AW203" s="634"/>
      <c r="AY203" s="132"/>
      <c r="AZ203" s="37"/>
      <c r="BA203" s="37"/>
      <c r="BB203" s="37"/>
      <c r="BC203" s="635"/>
      <c r="BD203" s="148">
        <f t="shared" si="336"/>
        <v>9</v>
      </c>
      <c r="BE203" s="35" t="str">
        <f t="shared" si="337"/>
        <v>N/A</v>
      </c>
      <c r="BF203" s="151"/>
      <c r="BG203" s="148">
        <f>IF(BC203=0,9,IF(AJ203&gt;=BC203,5,IF(AJ203&gt;=BB203,4,IF(AJ203&gt;=BA203,3,IF(AJ203&gt;=AZ203,2,IF(AJ203&lt;AY203,0,1))))))</f>
        <v>9</v>
      </c>
      <c r="BH203" s="35" t="str">
        <f t="shared" si="338"/>
        <v>N/A</v>
      </c>
      <c r="BI203" s="151"/>
      <c r="BJ203" s="148">
        <f t="shared" si="339"/>
        <v>9</v>
      </c>
      <c r="BK203" s="35" t="str">
        <f t="shared" si="340"/>
        <v>N/A</v>
      </c>
      <c r="BL203" s="627"/>
      <c r="BO203" s="35"/>
      <c r="BP203" s="35"/>
      <c r="BQ203" s="35" t="str">
        <f t="shared" ref="BQ203:BQ251" si="347">IF(BO203&lt;&gt;"",BO203,IF(BP203&lt;&gt;"",BP203,""))</f>
        <v/>
      </c>
      <c r="BR203" s="35">
        <f t="shared" si="267"/>
        <v>9</v>
      </c>
      <c r="BS203" s="35">
        <f t="shared" si="268"/>
        <v>9</v>
      </c>
      <c r="BT203" s="35">
        <f t="shared" si="269"/>
        <v>9</v>
      </c>
      <c r="BW203" s="37"/>
      <c r="BX203" s="37"/>
      <c r="BY203" s="503"/>
      <c r="BZ203" s="37"/>
      <c r="CA203" s="507"/>
      <c r="CB203" s="37"/>
      <c r="CE203" s="35"/>
      <c r="CG203" s="54"/>
      <c r="CO203" s="35">
        <f>'Pre-analyseverktøy'!H199</f>
        <v>0</v>
      </c>
      <c r="CP203" s="35">
        <f>'Pre-analyseverktøy'!O199</f>
        <v>0</v>
      </c>
      <c r="CQ203" s="35">
        <f>'Pre-analyseverktøy'!V199</f>
        <v>0</v>
      </c>
      <c r="CR203" s="35" t="str">
        <f>'Pre-analyseverktøy'!F199</f>
        <v>Lekkasjedeteksjon</v>
      </c>
      <c r="CS203" s="35" t="b">
        <f t="shared" si="245"/>
        <v>1</v>
      </c>
    </row>
    <row r="204" spans="1:97">
      <c r="A204">
        <v>196</v>
      </c>
      <c r="B204" s="109" t="str">
        <f>D204</f>
        <v>POL 02</v>
      </c>
      <c r="C204" s="109" t="str">
        <f>B204</f>
        <v>POL 02</v>
      </c>
      <c r="D204" s="631" t="s">
        <v>549</v>
      </c>
      <c r="E204" s="629" t="s">
        <v>1105</v>
      </c>
      <c r="F204" s="721">
        <v>2</v>
      </c>
      <c r="G204" s="721">
        <v>2</v>
      </c>
      <c r="H204" s="721">
        <v>2</v>
      </c>
      <c r="I204" s="721">
        <v>2</v>
      </c>
      <c r="J204" s="721">
        <v>2</v>
      </c>
      <c r="K204" s="721">
        <v>2</v>
      </c>
      <c r="L204" s="721">
        <v>2</v>
      </c>
      <c r="M204" s="721">
        <v>2</v>
      </c>
      <c r="N204" s="721">
        <v>2</v>
      </c>
      <c r="O204" s="721">
        <v>2</v>
      </c>
      <c r="P204" s="721">
        <v>2</v>
      </c>
      <c r="Q204" s="721">
        <v>2</v>
      </c>
      <c r="R204" s="721">
        <v>2</v>
      </c>
      <c r="T204" s="731">
        <f t="shared" si="332"/>
        <v>2</v>
      </c>
      <c r="U204" s="179"/>
      <c r="V204" s="805"/>
      <c r="W204" s="731"/>
      <c r="X204" s="806">
        <f>'Manuell filtrering og justering'!E87</f>
        <v>0</v>
      </c>
      <c r="Y204" s="850"/>
      <c r="Z204" s="744">
        <f>SUM(AB205:AB206)</f>
        <v>2</v>
      </c>
      <c r="AA204" s="731">
        <f t="shared" si="333"/>
        <v>0</v>
      </c>
      <c r="AB204" s="782">
        <f>SUM(AB205:AB206)</f>
        <v>2</v>
      </c>
      <c r="AC204" s="496">
        <v>204</v>
      </c>
      <c r="AD204" s="138">
        <f t="shared" si="334"/>
        <v>1.1428571428571429E-2</v>
      </c>
      <c r="AE204" s="701">
        <f>IF(SUM(AE205:AE206)&gt;$AD$204,$AD$204,SUM(AE205:AE206))</f>
        <v>0</v>
      </c>
      <c r="AF204" s="701">
        <f>IF(SUM(AF205:AF206)&gt;$AD$204,$AD$204,SUM(AF205:AF206))</f>
        <v>0</v>
      </c>
      <c r="AG204" s="701">
        <f>IF(SUM(AG205:AG206)&gt;$AD$204,$AD$204,SUM(AG205:AG206))</f>
        <v>0</v>
      </c>
      <c r="AI204" s="726">
        <f>IF(SUM(AI205:AI206)&gt;Pol02_credits,Pol02_credits,SUM(AI205:AI206))</f>
        <v>0</v>
      </c>
      <c r="AJ204" s="726">
        <f>IF(SUM(AJ205:AJ206)&gt;Pol02_credits,Pol02_credits,SUM(AJ205:AJ206))</f>
        <v>0</v>
      </c>
      <c r="AK204" s="726">
        <f>IF(SUM(AK205:AK206)&gt;Pol02_credits,Pol02_credits,SUM(AK205:AK206))</f>
        <v>0</v>
      </c>
      <c r="AL204" t="s">
        <v>216</v>
      </c>
      <c r="AM204" s="236"/>
      <c r="AN204" s="237"/>
      <c r="AO204" s="237"/>
      <c r="AP204" s="237"/>
      <c r="AQ204" s="238"/>
      <c r="AR204" s="111"/>
      <c r="AS204" s="236"/>
      <c r="AT204" s="237"/>
      <c r="AU204" s="237"/>
      <c r="AV204" s="237"/>
      <c r="AW204" s="238"/>
      <c r="AY204" s="134"/>
      <c r="AZ204" s="35"/>
      <c r="BA204" s="35"/>
      <c r="BB204" s="35"/>
      <c r="BC204" s="135">
        <f t="shared" si="335"/>
        <v>0</v>
      </c>
      <c r="BD204" s="148">
        <f t="shared" si="336"/>
        <v>9</v>
      </c>
      <c r="BE204" s="35" t="str">
        <f t="shared" si="337"/>
        <v>N/A</v>
      </c>
      <c r="BF204" s="151"/>
      <c r="BG204" s="148">
        <f>IF(BC204=0,9,IF(AJ204&gt;=BC204,5,IF(AJ204&gt;=BB204,4,IF(AJ204&gt;=BA204,3,IF(AJ204&gt;=AZ204,2,IF(AJ204&lt;AY204,0,1))))))</f>
        <v>9</v>
      </c>
      <c r="BH204" s="35" t="str">
        <f t="shared" si="338"/>
        <v>N/A</v>
      </c>
      <c r="BI204" s="151"/>
      <c r="BJ204" s="148">
        <f t="shared" si="339"/>
        <v>9</v>
      </c>
      <c r="BK204" s="35" t="str">
        <f t="shared" si="340"/>
        <v>N/A</v>
      </c>
      <c r="BL204" s="151"/>
      <c r="BO204" s="35"/>
      <c r="BP204" s="35"/>
      <c r="BQ204" s="35" t="str">
        <f t="shared" si="347"/>
        <v/>
      </c>
      <c r="BR204" s="35">
        <f t="shared" si="267"/>
        <v>9</v>
      </c>
      <c r="BS204" s="35">
        <f t="shared" si="268"/>
        <v>9</v>
      </c>
      <c r="BT204" s="35">
        <f t="shared" si="269"/>
        <v>9</v>
      </c>
      <c r="BW204" s="35" t="str">
        <f>D204</f>
        <v>POL 02</v>
      </c>
      <c r="BX204" s="35" t="str">
        <f>IFERROR(VLOOKUP($E204,'Pre-analyseverktøy'!$F$11:$AC$226,'Pre-analyseverktøy'!AC$2,FALSE),"")</f>
        <v>No</v>
      </c>
      <c r="BY204" s="53" t="str">
        <f>IFERROR(VLOOKUP($E204,'Pre-analyseverktøy'!$F$11:$AJ$226,'Pre-analyseverktøy'!AJ$2,FALSE),"")</f>
        <v>Ja</v>
      </c>
      <c r="BZ204" s="35">
        <f>IFERROR(VLOOKUP($BX204,$E$293:$H$326,F$291,FALSE),"")</f>
        <v>1</v>
      </c>
      <c r="CA204" s="507" t="s">
        <v>899</v>
      </c>
      <c r="CB204" s="35"/>
      <c r="CC204" t="str">
        <f>IFERROR(VLOOKUP($BX204,$E$293:$H$326,I$291,FALSE),"")</f>
        <v/>
      </c>
      <c r="CD204" t="s">
        <v>972</v>
      </c>
      <c r="CE204" s="35">
        <f>VLOOKUP(CA204,$CA$4:$CB$5,2,FALSE)</f>
        <v>1</v>
      </c>
      <c r="CG204" s="54">
        <f>IF($BX$5=ais_nei,CE204,IF(AND(CA204=$CA$4,BX204=$CC$4),0,BZ204))</f>
        <v>1</v>
      </c>
    </row>
    <row r="205" spans="1:97">
      <c r="A205">
        <v>197</v>
      </c>
      <c r="B205" t="str">
        <f>$D$204&amp;D205</f>
        <v>POL 02a</v>
      </c>
      <c r="C205" t="str">
        <f t="shared" ref="C205:C213" si="348">C204</f>
        <v>POL 02</v>
      </c>
      <c r="D205" s="134" t="s">
        <v>775</v>
      </c>
      <c r="E205" s="697" t="s">
        <v>1106</v>
      </c>
      <c r="F205" s="575">
        <v>2</v>
      </c>
      <c r="G205" s="575">
        <v>2</v>
      </c>
      <c r="H205" s="575">
        <v>2</v>
      </c>
      <c r="I205" s="575">
        <v>2</v>
      </c>
      <c r="J205" s="575">
        <v>2</v>
      </c>
      <c r="K205" s="575">
        <v>2</v>
      </c>
      <c r="L205" s="575">
        <v>2</v>
      </c>
      <c r="M205" s="575">
        <v>2</v>
      </c>
      <c r="N205" s="575">
        <v>2</v>
      </c>
      <c r="O205" s="575">
        <v>2</v>
      </c>
      <c r="P205" s="575">
        <v>2</v>
      </c>
      <c r="Q205" s="575">
        <v>2</v>
      </c>
      <c r="R205" s="575">
        <v>2</v>
      </c>
      <c r="T205" s="136">
        <f t="shared" si="332"/>
        <v>2</v>
      </c>
      <c r="U205" s="907">
        <f>IF(Prosjektdetaljer!F25=Prosjektdetaljer!J30,0,IF(Prosjektdetaljer!F25="",0,Poeng!T205))</f>
        <v>0</v>
      </c>
      <c r="V205" s="135"/>
      <c r="W205" s="774">
        <f>IF(Prosjektdetaljer!F25=Prosjektdetaljer!J30,0,IF(Prosjektdetaljer!F25="",0,Poeng!Z205))</f>
        <v>0</v>
      </c>
      <c r="X205" s="192"/>
      <c r="Y205" s="136">
        <f>IF($Y$4=$Y$6,T205,0)</f>
        <v>0</v>
      </c>
      <c r="Z205" s="135">
        <f>VLOOKUP(B205,'Manuell filtrering og justering'!$A$7:$H$253,'Manuell filtrering og justering'!$H$1,FALSE)</f>
        <v>2</v>
      </c>
      <c r="AA205" s="136">
        <f t="shared" si="333"/>
        <v>0</v>
      </c>
      <c r="AB205" s="775">
        <f>IF($AC$5='Manuell filtrering og justering'!$J$2,Z205-W205,(T205-AA205))</f>
        <v>2</v>
      </c>
      <c r="AC205" s="496">
        <v>205</v>
      </c>
      <c r="AD205" s="138">
        <f t="shared" si="334"/>
        <v>1.1428571428571429E-2</v>
      </c>
      <c r="AE205" s="138">
        <f t="shared" si="341"/>
        <v>0</v>
      </c>
      <c r="AF205" s="138">
        <f t="shared" si="342"/>
        <v>0</v>
      </c>
      <c r="AG205" s="138">
        <f t="shared" si="343"/>
        <v>0</v>
      </c>
      <c r="AI205" s="139">
        <f t="shared" ref="AI205:AI206" si="349">IF(CO205&gt;$AB205,$AB205,CO205)</f>
        <v>0</v>
      </c>
      <c r="AJ205" s="139">
        <f t="shared" ref="AJ205:AJ206" si="350">IF(CP205&gt;$AB205,$AB205,CP205)</f>
        <v>0</v>
      </c>
      <c r="AK205" s="139">
        <f t="shared" ref="AK205:AK206" si="351">IF(CQ205&gt;$AB205,$AB205,CQ205)</f>
        <v>0</v>
      </c>
      <c r="AM205" s="236"/>
      <c r="AN205" s="237"/>
      <c r="AO205" s="237"/>
      <c r="AP205" s="237"/>
      <c r="AQ205" s="238"/>
      <c r="AR205" s="111"/>
      <c r="AS205" s="236"/>
      <c r="AT205" s="237"/>
      <c r="AU205" s="237"/>
      <c r="AV205" s="237"/>
      <c r="AW205" s="238"/>
      <c r="AY205" s="134"/>
      <c r="AZ205" s="35"/>
      <c r="BA205" s="35"/>
      <c r="BB205" s="35"/>
      <c r="BC205" s="135"/>
      <c r="BD205" s="148">
        <f t="shared" si="336"/>
        <v>9</v>
      </c>
      <c r="BE205" s="35" t="str">
        <f t="shared" si="337"/>
        <v>N/A</v>
      </c>
      <c r="BF205" s="151"/>
      <c r="BG205" s="148">
        <f t="shared" ref="BG205:BG210" si="352">IF(BC205=0,9,IF(AJ205&gt;=BC205,5,IF(AJ205&gt;=BB205,4,IF(AJ205&gt;=BA205,3,IF(AJ205&gt;=AZ205,2,IF(AJ205&lt;AY205,0,1))))))</f>
        <v>9</v>
      </c>
      <c r="BH205" s="35" t="str">
        <f t="shared" si="338"/>
        <v>N/A</v>
      </c>
      <c r="BI205" s="151"/>
      <c r="BJ205" s="148">
        <f t="shared" si="339"/>
        <v>9</v>
      </c>
      <c r="BK205" s="35" t="str">
        <f t="shared" si="340"/>
        <v>N/A</v>
      </c>
      <c r="BL205" s="151"/>
      <c r="BO205" s="35"/>
      <c r="BP205" s="35"/>
      <c r="BQ205" s="35" t="str">
        <f t="shared" si="347"/>
        <v/>
      </c>
      <c r="BR205" s="35">
        <f t="shared" si="267"/>
        <v>9</v>
      </c>
      <c r="BS205" s="35">
        <f t="shared" si="268"/>
        <v>9</v>
      </c>
      <c r="BT205" s="35">
        <f t="shared" si="269"/>
        <v>9</v>
      </c>
      <c r="BW205" s="35"/>
      <c r="BX205" s="35"/>
      <c r="BY205" s="53"/>
      <c r="BZ205" s="35"/>
      <c r="CA205" s="507"/>
      <c r="CB205" s="35"/>
      <c r="CG205" s="54"/>
      <c r="CO205" s="35">
        <f>'Pre-analyseverktøy'!H201</f>
        <v>0</v>
      </c>
      <c r="CP205" s="35">
        <f>'Pre-analyseverktøy'!O201</f>
        <v>0</v>
      </c>
      <c r="CQ205" s="35">
        <f>'Pre-analyseverktøy'!V201</f>
        <v>0</v>
      </c>
      <c r="CR205" s="35" t="str">
        <f>'Pre-analyseverktøy'!F201</f>
        <v>Oppvarmings- og varmtvannssystemer uten forbrenning</v>
      </c>
      <c r="CS205" s="35" t="b">
        <f t="shared" si="245"/>
        <v>1</v>
      </c>
    </row>
    <row r="206" spans="1:97">
      <c r="A206">
        <v>198</v>
      </c>
      <c r="B206" t="str">
        <f>$D$204&amp;D206</f>
        <v>POL 02b</v>
      </c>
      <c r="C206" t="str">
        <f t="shared" si="348"/>
        <v>POL 02</v>
      </c>
      <c r="D206" s="134" t="s">
        <v>776</v>
      </c>
      <c r="E206" s="697" t="s">
        <v>1107</v>
      </c>
      <c r="F206" s="575">
        <v>2</v>
      </c>
      <c r="G206" s="575">
        <v>2</v>
      </c>
      <c r="H206" s="575">
        <v>2</v>
      </c>
      <c r="I206" s="575">
        <v>2</v>
      </c>
      <c r="J206" s="575">
        <v>2</v>
      </c>
      <c r="K206" s="575">
        <v>2</v>
      </c>
      <c r="L206" s="575">
        <v>2</v>
      </c>
      <c r="M206" s="575">
        <v>2</v>
      </c>
      <c r="N206" s="575">
        <v>2</v>
      </c>
      <c r="O206" s="575">
        <v>2</v>
      </c>
      <c r="P206" s="575">
        <v>2</v>
      </c>
      <c r="Q206" s="575">
        <v>2</v>
      </c>
      <c r="R206" s="575">
        <v>2</v>
      </c>
      <c r="T206" s="136">
        <f t="shared" si="332"/>
        <v>2</v>
      </c>
      <c r="U206" s="179">
        <f>IF(Prosjektdetaljer!F25=Prosjektdetaljer!J31,0,Poeng!T206)</f>
        <v>2</v>
      </c>
      <c r="V206" s="135"/>
      <c r="W206" s="731">
        <f>IF(Prosjektdetaljer!F25=Prosjektdetaljer!J31,0,Poeng!Z206)</f>
        <v>2</v>
      </c>
      <c r="X206" s="192"/>
      <c r="Y206" s="136">
        <f>IF($Y$4=$Y$6,T206,0)</f>
        <v>0</v>
      </c>
      <c r="Z206" s="135">
        <f>VLOOKUP(B206,'Manuell filtrering og justering'!$A$7:$H$253,'Manuell filtrering og justering'!$H$1,FALSE)</f>
        <v>2</v>
      </c>
      <c r="AA206" s="136">
        <f t="shared" si="333"/>
        <v>2</v>
      </c>
      <c r="AB206" s="775">
        <f>IF($AC$5='Manuell filtrering og justering'!$J$2,Z206-W206,(T206-AA206))</f>
        <v>0</v>
      </c>
      <c r="AC206" s="496">
        <v>206</v>
      </c>
      <c r="AD206" s="138">
        <f t="shared" si="334"/>
        <v>0</v>
      </c>
      <c r="AE206" s="138">
        <f t="shared" si="341"/>
        <v>0</v>
      </c>
      <c r="AF206" s="138">
        <f t="shared" si="342"/>
        <v>0</v>
      </c>
      <c r="AG206" s="138">
        <f t="shared" si="343"/>
        <v>0</v>
      </c>
      <c r="AI206" s="139">
        <f t="shared" si="349"/>
        <v>0</v>
      </c>
      <c r="AJ206" s="139">
        <f t="shared" si="350"/>
        <v>0</v>
      </c>
      <c r="AK206" s="139">
        <f t="shared" si="351"/>
        <v>0</v>
      </c>
      <c r="AM206" s="236"/>
      <c r="AN206" s="237"/>
      <c r="AO206" s="237"/>
      <c r="AP206" s="237"/>
      <c r="AQ206" s="238"/>
      <c r="AR206" s="111"/>
      <c r="AS206" s="236"/>
      <c r="AT206" s="237"/>
      <c r="AU206" s="237"/>
      <c r="AV206" s="237"/>
      <c r="AW206" s="238"/>
      <c r="AY206" s="134"/>
      <c r="AZ206" s="35"/>
      <c r="BA206" s="35"/>
      <c r="BB206" s="35"/>
      <c r="BC206" s="135"/>
      <c r="BD206" s="148">
        <f t="shared" si="336"/>
        <v>9</v>
      </c>
      <c r="BE206" s="35" t="str">
        <f t="shared" si="337"/>
        <v>N/A</v>
      </c>
      <c r="BF206" s="151"/>
      <c r="BG206" s="148">
        <f t="shared" si="352"/>
        <v>9</v>
      </c>
      <c r="BH206" s="35" t="str">
        <f t="shared" si="338"/>
        <v>N/A</v>
      </c>
      <c r="BI206" s="151"/>
      <c r="BJ206" s="148">
        <f t="shared" si="339"/>
        <v>9</v>
      </c>
      <c r="BK206" s="35" t="str">
        <f t="shared" si="340"/>
        <v>N/A</v>
      </c>
      <c r="BL206" s="151"/>
      <c r="BO206" s="35"/>
      <c r="BP206" s="35"/>
      <c r="BQ206" s="35" t="str">
        <f t="shared" si="347"/>
        <v/>
      </c>
      <c r="BR206" s="35">
        <f t="shared" si="267"/>
        <v>9</v>
      </c>
      <c r="BS206" s="35">
        <f t="shared" si="268"/>
        <v>9</v>
      </c>
      <c r="BT206" s="35">
        <f t="shared" si="269"/>
        <v>9</v>
      </c>
      <c r="BW206" s="35"/>
      <c r="BX206" s="35"/>
      <c r="BY206" s="53"/>
      <c r="BZ206" s="35"/>
      <c r="CA206" s="507"/>
      <c r="CB206" s="35"/>
      <c r="CG206" s="54"/>
      <c r="CO206" s="35">
        <f>'Pre-analyseverktøy'!H202</f>
        <v>0</v>
      </c>
      <c r="CP206" s="35">
        <f>'Pre-analyseverktøy'!O202</f>
        <v>0</v>
      </c>
      <c r="CQ206" s="35">
        <f>'Pre-analyseverktøy'!V202</f>
        <v>0</v>
      </c>
      <c r="CR206" s="35" t="str">
        <f>'Pre-analyseverktøy'!F202</f>
        <v>Forbrenningsbasert oppvarmings- og varmtvannssystem</v>
      </c>
      <c r="CS206" s="35" t="b">
        <f t="shared" si="245"/>
        <v>1</v>
      </c>
    </row>
    <row r="207" spans="1:97">
      <c r="A207">
        <v>199</v>
      </c>
      <c r="D207" s="516" t="s">
        <v>866</v>
      </c>
      <c r="E207" s="515"/>
      <c r="F207" s="712"/>
      <c r="G207" s="712"/>
      <c r="H207" s="712"/>
      <c r="I207" s="712"/>
      <c r="J207" s="712"/>
      <c r="K207" s="712"/>
      <c r="L207" s="712"/>
      <c r="M207" s="712"/>
      <c r="N207" s="712"/>
      <c r="O207" s="712"/>
      <c r="P207" s="712"/>
      <c r="Q207" s="712"/>
      <c r="R207" s="712"/>
      <c r="T207" s="724"/>
      <c r="U207" s="516"/>
      <c r="V207" s="723"/>
      <c r="W207" s="724"/>
      <c r="X207" s="808"/>
      <c r="Y207" s="849"/>
      <c r="Z207" s="135"/>
      <c r="AA207" s="724"/>
      <c r="AB207" s="725"/>
      <c r="AC207" s="496">
        <v>207</v>
      </c>
      <c r="AD207" s="138">
        <f t="shared" si="334"/>
        <v>0</v>
      </c>
      <c r="AE207" s="728"/>
      <c r="AF207" s="728"/>
      <c r="AG207" s="728"/>
      <c r="AI207" s="530"/>
      <c r="AJ207" s="530"/>
      <c r="AK207" s="530"/>
      <c r="AM207" s="236"/>
      <c r="AN207" s="237"/>
      <c r="AO207" s="237"/>
      <c r="AP207" s="237"/>
      <c r="AQ207" s="238"/>
      <c r="AR207" s="111"/>
      <c r="AS207" s="236"/>
      <c r="AT207" s="237"/>
      <c r="AU207" s="237"/>
      <c r="AV207" s="237"/>
      <c r="AW207" s="238"/>
      <c r="AY207" s="134"/>
      <c r="AZ207" s="35"/>
      <c r="BA207" s="35"/>
      <c r="BB207" s="35"/>
      <c r="BC207" s="135">
        <f t="shared" si="335"/>
        <v>0</v>
      </c>
      <c r="BD207" s="148">
        <f t="shared" si="336"/>
        <v>9</v>
      </c>
      <c r="BE207" s="35" t="str">
        <f t="shared" si="337"/>
        <v>N/A</v>
      </c>
      <c r="BF207" s="151"/>
      <c r="BG207" s="148">
        <f t="shared" si="352"/>
        <v>9</v>
      </c>
      <c r="BH207" s="35" t="str">
        <f t="shared" si="338"/>
        <v>N/A</v>
      </c>
      <c r="BI207" s="151"/>
      <c r="BJ207" s="148">
        <f t="shared" si="339"/>
        <v>9</v>
      </c>
      <c r="BK207" s="35" t="str">
        <f t="shared" si="340"/>
        <v>N/A</v>
      </c>
      <c r="BL207" s="151"/>
      <c r="BO207" s="35"/>
      <c r="BP207" s="35"/>
      <c r="BQ207" s="35" t="str">
        <f t="shared" si="347"/>
        <v/>
      </c>
      <c r="BR207" s="35">
        <f t="shared" si="267"/>
        <v>9</v>
      </c>
      <c r="BS207" s="35">
        <f t="shared" si="268"/>
        <v>9</v>
      </c>
      <c r="BT207" s="35">
        <f t="shared" si="269"/>
        <v>9</v>
      </c>
      <c r="BW207" s="35" t="str">
        <f>D207</f>
        <v>POL 03</v>
      </c>
      <c r="BX207" s="35" t="str">
        <f>IFERROR(VLOOKUP($E207,'Pre-analyseverktøy'!$F$11:$AC$226,'Pre-analyseverktøy'!AC$2,FALSE),"")</f>
        <v/>
      </c>
      <c r="BY207" s="35" t="str">
        <f>IFERROR(VLOOKUP($E207,'Pre-analyseverktøy'!$F$11:$AJ$226,'Pre-analyseverktøy'!AJ$2,FALSE),"")</f>
        <v/>
      </c>
      <c r="BZ207" s="35" t="str">
        <f>IFERROR(VLOOKUP($BX207,$E$293:$H$326,F$291,FALSE),"")</f>
        <v/>
      </c>
      <c r="CA207" s="35" t="str">
        <f>IFERROR(VLOOKUP($BX207,$E$293:$H$326,G$291,FALSE),"")</f>
        <v/>
      </c>
      <c r="CB207" s="35"/>
      <c r="CC207" t="str">
        <f>IFERROR(VLOOKUP($BX207,$E$293:$H$326,I$291,FALSE),"")</f>
        <v/>
      </c>
    </row>
    <row r="208" spans="1:97">
      <c r="A208">
        <v>200</v>
      </c>
      <c r="B208" s="109" t="str">
        <f>D208</f>
        <v>POL 04</v>
      </c>
      <c r="C208" s="109" t="str">
        <f>B208</f>
        <v>POL 04</v>
      </c>
      <c r="D208" s="631" t="s">
        <v>553</v>
      </c>
      <c r="E208" s="629" t="s">
        <v>1108</v>
      </c>
      <c r="F208" s="721">
        <v>1</v>
      </c>
      <c r="G208" s="721">
        <v>1</v>
      </c>
      <c r="H208" s="721">
        <v>1</v>
      </c>
      <c r="I208" s="721">
        <v>1</v>
      </c>
      <c r="J208" s="721">
        <v>1</v>
      </c>
      <c r="K208" s="721">
        <v>1</v>
      </c>
      <c r="L208" s="721">
        <v>1</v>
      </c>
      <c r="M208" s="721">
        <v>1</v>
      </c>
      <c r="N208" s="721">
        <v>1</v>
      </c>
      <c r="O208" s="721">
        <v>1</v>
      </c>
      <c r="P208" s="721">
        <v>1</v>
      </c>
      <c r="Q208" s="721">
        <v>1</v>
      </c>
      <c r="R208" s="721">
        <v>1</v>
      </c>
      <c r="T208" s="731">
        <f t="shared" ref="T208:T214" si="353">HLOOKUP($E$6,$F$9:$R$231,$A208,FALSE)</f>
        <v>1</v>
      </c>
      <c r="U208" s="179"/>
      <c r="V208" s="805"/>
      <c r="W208" s="731"/>
      <c r="X208" s="806">
        <f>'Manuell filtrering og justering'!E89</f>
        <v>0</v>
      </c>
      <c r="Y208" s="850"/>
      <c r="Z208" s="744">
        <f>SUM(AB209:AB210)</f>
        <v>1</v>
      </c>
      <c r="AA208" s="731">
        <f t="shared" ref="AA208:AA213" si="354">IF(SUM(U208:Y208)&gt;T208,T208,SUM(U208:Y208))</f>
        <v>0</v>
      </c>
      <c r="AB208" s="782">
        <f>SUM(AB209:AB210)</f>
        <v>1</v>
      </c>
      <c r="AC208" s="496">
        <v>208</v>
      </c>
      <c r="AD208" s="138">
        <f t="shared" si="334"/>
        <v>5.7142857142857143E-3</v>
      </c>
      <c r="AE208" s="701">
        <f>IF(SUM(AE209:AE210)&gt;$AD$208,$AD$208,SUM(AE209:AE210))</f>
        <v>0</v>
      </c>
      <c r="AF208" s="701">
        <f>IF(SUM(AF209:AF210)&gt;$AD$208,$AD$208,SUM(AF209:AF210))</f>
        <v>0</v>
      </c>
      <c r="AG208" s="701">
        <f>IF(SUM(AG209:AG210)&gt;$AD$208,$AD$208,SUM(AG209:AG210))</f>
        <v>0</v>
      </c>
      <c r="AI208" s="726">
        <f>IF(SUM(AI209:AI210)&gt;Pol04_credits,Pol04_credits,SUM(AI209:AI210))</f>
        <v>0</v>
      </c>
      <c r="AJ208" s="726">
        <f>IF(SUM(AJ209:AJ210)&gt;Pol04_credits,Pol04_credits,SUM(AJ209:AJ210))</f>
        <v>0</v>
      </c>
      <c r="AK208" s="726">
        <f>IF(SUM(AK209:AK210)&gt;Pol04_credits,Pol04_credits,SUM(AK209:AK210))</f>
        <v>0</v>
      </c>
      <c r="AL208" t="s">
        <v>216</v>
      </c>
      <c r="AM208" s="236"/>
      <c r="AN208" s="237"/>
      <c r="AO208" s="237"/>
      <c r="AP208" s="237"/>
      <c r="AQ208" s="238"/>
      <c r="AR208" s="111"/>
      <c r="AS208" s="236"/>
      <c r="AT208" s="237"/>
      <c r="AU208" s="237"/>
      <c r="AV208" s="237"/>
      <c r="AW208" s="238"/>
      <c r="AY208" s="134"/>
      <c r="AZ208" s="35"/>
      <c r="BA208" s="35"/>
      <c r="BB208" s="35"/>
      <c r="BC208" s="135">
        <f t="shared" si="335"/>
        <v>0</v>
      </c>
      <c r="BD208" s="148">
        <f t="shared" si="336"/>
        <v>9</v>
      </c>
      <c r="BE208" s="35" t="str">
        <f t="shared" si="337"/>
        <v>N/A</v>
      </c>
      <c r="BF208" s="151"/>
      <c r="BG208" s="148">
        <f t="shared" si="352"/>
        <v>9</v>
      </c>
      <c r="BH208" s="35" t="str">
        <f t="shared" si="338"/>
        <v>N/A</v>
      </c>
      <c r="BI208" s="151"/>
      <c r="BJ208" s="148">
        <f t="shared" si="339"/>
        <v>9</v>
      </c>
      <c r="BK208" s="35" t="str">
        <f t="shared" si="340"/>
        <v>N/A</v>
      </c>
      <c r="BL208" s="151"/>
      <c r="BO208" s="35"/>
      <c r="BP208" s="35"/>
      <c r="BQ208" s="35" t="str">
        <f t="shared" si="347"/>
        <v/>
      </c>
      <c r="BR208" s="35">
        <f t="shared" si="267"/>
        <v>9</v>
      </c>
      <c r="BS208" s="35">
        <f t="shared" si="268"/>
        <v>9</v>
      </c>
      <c r="BT208" s="35">
        <f t="shared" si="269"/>
        <v>9</v>
      </c>
      <c r="BW208" s="35" t="str">
        <f>D208</f>
        <v>POL 04</v>
      </c>
      <c r="BX208" s="35" t="str">
        <f>IFERROR(VLOOKUP($E208,'Pre-analyseverktøy'!$F$11:$AC$226,'Pre-analyseverktøy'!AC$2,FALSE),"")</f>
        <v>No</v>
      </c>
      <c r="BY208" s="53" t="str">
        <f>IFERROR(VLOOKUP($E208,'Pre-analyseverktøy'!$F$11:$AJ$226,'Pre-analyseverktøy'!AJ$2,FALSE),"")</f>
        <v>Ja</v>
      </c>
      <c r="BZ208" s="35">
        <f>IFERROR(VLOOKUP($BX208,$E$293:$H$326,F$291,FALSE),"")</f>
        <v>1</v>
      </c>
      <c r="CA208" s="507" t="s">
        <v>899</v>
      </c>
      <c r="CB208" s="35"/>
      <c r="CC208" t="str">
        <f>IFERROR(VLOOKUP($BX208,$E$293:$H$326,I$291,FALSE),"")</f>
        <v/>
      </c>
      <c r="CD208" t="s">
        <v>972</v>
      </c>
      <c r="CE208" s="35">
        <f>VLOOKUP(CA208,$CA$4:$CB$5,2,FALSE)</f>
        <v>1</v>
      </c>
      <c r="CG208" s="54">
        <f>IF($BX$5=ais_nei,CE208,IF(AND(CA208=$CA$4,BX208=$CC$4),0,BZ208))</f>
        <v>1</v>
      </c>
    </row>
    <row r="209" spans="1:97">
      <c r="A209">
        <v>201</v>
      </c>
      <c r="B209" t="str">
        <f>$D$208&amp;D209</f>
        <v>POL 04a</v>
      </c>
      <c r="C209" t="str">
        <f t="shared" si="348"/>
        <v>POL 04</v>
      </c>
      <c r="D209" s="134" t="s">
        <v>775</v>
      </c>
      <c r="E209" s="697" t="s">
        <v>1109</v>
      </c>
      <c r="F209" s="575">
        <v>1</v>
      </c>
      <c r="G209" s="575">
        <v>1</v>
      </c>
      <c r="H209" s="575">
        <v>1</v>
      </c>
      <c r="I209" s="575">
        <v>1</v>
      </c>
      <c r="J209" s="575">
        <v>1</v>
      </c>
      <c r="K209" s="575">
        <v>1</v>
      </c>
      <c r="L209" s="575">
        <v>1</v>
      </c>
      <c r="M209" s="575">
        <v>1</v>
      </c>
      <c r="N209" s="575">
        <v>1</v>
      </c>
      <c r="O209" s="575">
        <v>1</v>
      </c>
      <c r="P209" s="575">
        <v>1</v>
      </c>
      <c r="Q209" s="575">
        <v>1</v>
      </c>
      <c r="R209" s="575">
        <v>1</v>
      </c>
      <c r="T209" s="136">
        <f t="shared" si="353"/>
        <v>1</v>
      </c>
      <c r="U209" s="179">
        <f>IF(Prosjektdetaljer!F18=AD_Yes,Poeng!T209,0)</f>
        <v>1</v>
      </c>
      <c r="V209" s="135"/>
      <c r="W209" s="731">
        <f>IF(Prosjektdetaljer!F18=AD_Yes,Poeng!Z209,0)</f>
        <v>1</v>
      </c>
      <c r="X209" s="192"/>
      <c r="Y209" s="849"/>
      <c r="Z209" s="135">
        <f>VLOOKUP(B209,'Manuell filtrering og justering'!$A$7:$H$253,'Manuell filtrering og justering'!$H$1,FALSE)</f>
        <v>1</v>
      </c>
      <c r="AA209" s="136">
        <f t="shared" si="354"/>
        <v>1</v>
      </c>
      <c r="AB209" s="775">
        <f>IF($AC$5='Manuell filtrering og justering'!$J$2,Z209-W209,(T209-AA209))</f>
        <v>0</v>
      </c>
      <c r="AC209" s="496">
        <v>209</v>
      </c>
      <c r="AD209" s="138">
        <f t="shared" si="334"/>
        <v>0</v>
      </c>
      <c r="AE209" s="138">
        <f t="shared" si="341"/>
        <v>0</v>
      </c>
      <c r="AF209" s="138">
        <f t="shared" si="342"/>
        <v>0</v>
      </c>
      <c r="AG209" s="138">
        <f t="shared" si="343"/>
        <v>0</v>
      </c>
      <c r="AI209" s="139">
        <f t="shared" ref="AI209:AI210" si="355">IF(CO209&gt;$AB209,$AB209,CO209)</f>
        <v>0</v>
      </c>
      <c r="AJ209" s="139">
        <f t="shared" ref="AJ209:AJ210" si="356">IF(CP209&gt;$AB209,$AB209,CP209)</f>
        <v>0</v>
      </c>
      <c r="AK209" s="139">
        <f t="shared" ref="AK209:AK210" si="357">IF(CQ209&gt;$AB209,$AB209,CQ209)</f>
        <v>0</v>
      </c>
      <c r="AM209" s="646"/>
      <c r="AN209" s="647"/>
      <c r="AO209" s="647"/>
      <c r="AP209" s="647"/>
      <c r="AQ209" s="639"/>
      <c r="AR209" s="111"/>
      <c r="AS209" s="646"/>
      <c r="AT209" s="647"/>
      <c r="AU209" s="647"/>
      <c r="AV209" s="647"/>
      <c r="AW209" s="639"/>
      <c r="AY209" s="155"/>
      <c r="AZ209" s="40"/>
      <c r="BA209" s="40"/>
      <c r="BB209" s="40"/>
      <c r="BC209" s="648"/>
      <c r="BD209" s="148">
        <f t="shared" si="336"/>
        <v>9</v>
      </c>
      <c r="BE209" s="35" t="str">
        <f t="shared" si="337"/>
        <v>N/A</v>
      </c>
      <c r="BF209" s="151"/>
      <c r="BG209" s="148">
        <f t="shared" si="352"/>
        <v>9</v>
      </c>
      <c r="BH209" s="35" t="str">
        <f t="shared" si="338"/>
        <v>N/A</v>
      </c>
      <c r="BI209" s="151"/>
      <c r="BJ209" s="148">
        <f t="shared" si="339"/>
        <v>9</v>
      </c>
      <c r="BK209" s="35" t="str">
        <f t="shared" si="340"/>
        <v>N/A</v>
      </c>
      <c r="BL209" s="643"/>
      <c r="BO209" s="35"/>
      <c r="BP209" s="35"/>
      <c r="BQ209" s="35" t="str">
        <f t="shared" si="347"/>
        <v/>
      </c>
      <c r="BR209" s="35">
        <f t="shared" si="267"/>
        <v>9</v>
      </c>
      <c r="BS209" s="35">
        <f t="shared" si="268"/>
        <v>9</v>
      </c>
      <c r="BT209" s="35">
        <f t="shared" si="269"/>
        <v>9</v>
      </c>
      <c r="BW209" s="35"/>
      <c r="BX209" s="35"/>
      <c r="BY209" s="53"/>
      <c r="BZ209" s="35"/>
      <c r="CA209" s="507"/>
      <c r="CB209" s="35"/>
      <c r="CE209" s="35"/>
      <c r="CG209" s="54"/>
      <c r="CO209" s="35">
        <f>'Pre-analyseverktøy'!H204</f>
        <v>0</v>
      </c>
      <c r="CP209" s="35">
        <f>'Pre-analyseverktøy'!O204</f>
        <v>0</v>
      </c>
      <c r="CQ209" s="35">
        <f>'Pre-analyseverktøy'!V204</f>
        <v>0</v>
      </c>
      <c r="CR209" s="35" t="str">
        <f>'Pre-analyseverktøy'!F204</f>
        <v>Ingen ekstern lysforurensning</v>
      </c>
      <c r="CS209" s="35" t="b">
        <f t="shared" ref="CS209:CS217" si="358">CR209=E209</f>
        <v>1</v>
      </c>
    </row>
    <row r="210" spans="1:97">
      <c r="A210">
        <v>202</v>
      </c>
      <c r="B210" t="str">
        <f>$D$208&amp;D210</f>
        <v>POL 04b</v>
      </c>
      <c r="C210" t="str">
        <f t="shared" si="348"/>
        <v>POL 04</v>
      </c>
      <c r="D210" s="134" t="s">
        <v>776</v>
      </c>
      <c r="E210" s="697" t="s">
        <v>1110</v>
      </c>
      <c r="F210" s="575">
        <v>1</v>
      </c>
      <c r="G210" s="575">
        <v>1</v>
      </c>
      <c r="H210" s="575">
        <v>1</v>
      </c>
      <c r="I210" s="575">
        <v>1</v>
      </c>
      <c r="J210" s="575">
        <v>1</v>
      </c>
      <c r="K210" s="575">
        <v>1</v>
      </c>
      <c r="L210" s="575">
        <v>1</v>
      </c>
      <c r="M210" s="575">
        <v>1</v>
      </c>
      <c r="N210" s="575">
        <v>1</v>
      </c>
      <c r="O210" s="575">
        <v>1</v>
      </c>
      <c r="P210" s="575">
        <v>1</v>
      </c>
      <c r="Q210" s="575">
        <v>1</v>
      </c>
      <c r="R210" s="575">
        <v>1</v>
      </c>
      <c r="T210" s="136">
        <f t="shared" si="353"/>
        <v>1</v>
      </c>
      <c r="U210" s="179">
        <f>IF(U209=1,0,T210)</f>
        <v>0</v>
      </c>
      <c r="V210" s="135"/>
      <c r="W210" s="731">
        <f>IF(W209=1,0,Z210)</f>
        <v>0</v>
      </c>
      <c r="X210" s="192"/>
      <c r="Y210" s="849"/>
      <c r="Z210" s="135">
        <f>VLOOKUP(B210,'Manuell filtrering og justering'!$A$7:$H$253,'Manuell filtrering og justering'!$H$1,FALSE)</f>
        <v>1</v>
      </c>
      <c r="AA210" s="136">
        <f t="shared" si="354"/>
        <v>0</v>
      </c>
      <c r="AB210" s="775">
        <f>IF($AC$5='Manuell filtrering og justering'!$J$2,Z210-W210,(T210-AA210))</f>
        <v>1</v>
      </c>
      <c r="AC210" s="496">
        <v>210</v>
      </c>
      <c r="AD210" s="138">
        <f t="shared" si="334"/>
        <v>5.7142857142857143E-3</v>
      </c>
      <c r="AE210" s="138">
        <f t="shared" si="341"/>
        <v>0</v>
      </c>
      <c r="AF210" s="138">
        <f t="shared" si="342"/>
        <v>0</v>
      </c>
      <c r="AG210" s="138">
        <f t="shared" si="343"/>
        <v>0</v>
      </c>
      <c r="AI210" s="139">
        <f t="shared" si="355"/>
        <v>0</v>
      </c>
      <c r="AJ210" s="139">
        <f t="shared" si="356"/>
        <v>0</v>
      </c>
      <c r="AK210" s="139">
        <f t="shared" si="357"/>
        <v>0</v>
      </c>
      <c r="AM210" s="646"/>
      <c r="AN210" s="647"/>
      <c r="AO210" s="647"/>
      <c r="AP210" s="647"/>
      <c r="AQ210" s="639"/>
      <c r="AR210" s="111"/>
      <c r="AS210" s="646"/>
      <c r="AT210" s="647"/>
      <c r="AU210" s="647"/>
      <c r="AV210" s="647"/>
      <c r="AW210" s="639"/>
      <c r="AY210" s="155"/>
      <c r="AZ210" s="40"/>
      <c r="BA210" s="40"/>
      <c r="BB210" s="40"/>
      <c r="BC210" s="648"/>
      <c r="BD210" s="148">
        <f t="shared" si="336"/>
        <v>9</v>
      </c>
      <c r="BE210" s="35" t="str">
        <f t="shared" si="337"/>
        <v>N/A</v>
      </c>
      <c r="BF210" s="151"/>
      <c r="BG210" s="148">
        <f t="shared" si="352"/>
        <v>9</v>
      </c>
      <c r="BH210" s="35" t="str">
        <f t="shared" si="338"/>
        <v>N/A</v>
      </c>
      <c r="BI210" s="151"/>
      <c r="BJ210" s="148">
        <f t="shared" si="339"/>
        <v>9</v>
      </c>
      <c r="BK210" s="35" t="str">
        <f t="shared" si="340"/>
        <v>N/A</v>
      </c>
      <c r="BL210" s="643"/>
      <c r="BO210" s="35"/>
      <c r="BP210" s="35"/>
      <c r="BQ210" s="35" t="str">
        <f t="shared" si="347"/>
        <v/>
      </c>
      <c r="BR210" s="35">
        <f t="shared" si="267"/>
        <v>9</v>
      </c>
      <c r="BS210" s="35">
        <f t="shared" si="268"/>
        <v>9</v>
      </c>
      <c r="BT210" s="35">
        <f t="shared" si="269"/>
        <v>9</v>
      </c>
      <c r="BW210" s="35"/>
      <c r="BX210" s="35"/>
      <c r="BY210" s="53"/>
      <c r="BZ210" s="35"/>
      <c r="CA210" s="507"/>
      <c r="CB210" s="35"/>
      <c r="CE210" s="35"/>
      <c r="CG210" s="54"/>
      <c r="CO210" s="35">
        <f>'Pre-analyseverktøy'!H205</f>
        <v>0</v>
      </c>
      <c r="CP210" s="35">
        <f>'Pre-analyseverktøy'!O205</f>
        <v>0</v>
      </c>
      <c r="CQ210" s="35">
        <f>'Pre-analyseverktøy'!V205</f>
        <v>0</v>
      </c>
      <c r="CR210" s="35" t="str">
        <f>'Pre-analyseverktøy'!F205</f>
        <v>Minimert ekstern lysforurensning</v>
      </c>
      <c r="CS210" s="35" t="b">
        <f t="shared" si="358"/>
        <v>1</v>
      </c>
    </row>
    <row r="211" spans="1:97" ht="15.75" thickBot="1">
      <c r="A211">
        <v>203</v>
      </c>
      <c r="B211" s="109" t="str">
        <f>D211</f>
        <v>POL 05</v>
      </c>
      <c r="C211" s="109" t="str">
        <f>B211</f>
        <v>POL 05</v>
      </c>
      <c r="D211" s="631" t="s">
        <v>557</v>
      </c>
      <c r="E211" s="629" t="s">
        <v>1111</v>
      </c>
      <c r="F211" s="721">
        <v>1</v>
      </c>
      <c r="G211" s="721">
        <v>1</v>
      </c>
      <c r="H211" s="909">
        <v>0</v>
      </c>
      <c r="I211" s="721">
        <v>1</v>
      </c>
      <c r="J211" s="721">
        <v>1</v>
      </c>
      <c r="K211" s="721">
        <v>1</v>
      </c>
      <c r="L211" s="721">
        <v>1</v>
      </c>
      <c r="M211" s="721">
        <v>1</v>
      </c>
      <c r="N211" s="721">
        <v>1</v>
      </c>
      <c r="O211" s="721">
        <v>1</v>
      </c>
      <c r="P211" s="721">
        <v>1</v>
      </c>
      <c r="Q211" s="721">
        <v>1</v>
      </c>
      <c r="R211" s="721">
        <v>1</v>
      </c>
      <c r="T211" s="731">
        <f t="shared" si="353"/>
        <v>1</v>
      </c>
      <c r="U211" s="179">
        <f>IF(ADIND_option02n=AD_no,Poeng!T211,0)</f>
        <v>0</v>
      </c>
      <c r="V211" s="805"/>
      <c r="W211" s="731"/>
      <c r="X211" s="806">
        <f>'Manuell filtrering og justering'!E90</f>
        <v>0</v>
      </c>
      <c r="Y211" s="850"/>
      <c r="Z211" s="744">
        <f>SUM(AB212:AB213)</f>
        <v>1</v>
      </c>
      <c r="AA211" s="731">
        <f t="shared" si="354"/>
        <v>0</v>
      </c>
      <c r="AB211" s="782">
        <f>SUM(AB212:AB213)</f>
        <v>1</v>
      </c>
      <c r="AC211" s="496">
        <v>211</v>
      </c>
      <c r="AD211" s="138">
        <f t="shared" si="334"/>
        <v>5.7142857142857143E-3</v>
      </c>
      <c r="AE211" s="701">
        <f>IF(SUM(AE212:AE213)&gt;$AD$211,$AD$211,SUM(AE212:AE213))</f>
        <v>0</v>
      </c>
      <c r="AF211" s="701">
        <f>IF(SUM(AF212:AF213)&gt;$AD$211,$AD$211,SUM(AF212:AF213))</f>
        <v>0</v>
      </c>
      <c r="AG211" s="701">
        <f>IF(SUM(AG212:AG213)&gt;$AD$211,$AD$211,SUM(AG212:AG213))</f>
        <v>0</v>
      </c>
      <c r="AI211" s="726">
        <f>IF(SUM(AI212:AI213)&gt;Pol05_credits,Pol05_credits,SUM(AI212:AI213))</f>
        <v>0</v>
      </c>
      <c r="AJ211" s="726">
        <f>IF(SUM(AJ212:AJ213)&gt;Pol05_credits,Pol05_credits,SUM(AJ212:AJ213))</f>
        <v>0</v>
      </c>
      <c r="AK211" s="726">
        <f>IF(SUM(AK212:AK213)&gt;Pol05_credits,Pol05_credits,SUM(AK212:AK213))</f>
        <v>0</v>
      </c>
      <c r="AL211" t="s">
        <v>216</v>
      </c>
      <c r="AM211" s="239"/>
      <c r="AN211" s="240"/>
      <c r="AO211" s="240"/>
      <c r="AP211" s="240"/>
      <c r="AQ211" s="241"/>
      <c r="AR211" s="111"/>
      <c r="AS211" s="239"/>
      <c r="AT211" s="240"/>
      <c r="AU211" s="240"/>
      <c r="AV211" s="240"/>
      <c r="AW211" s="241"/>
      <c r="AY211" s="156"/>
      <c r="AZ211" s="158"/>
      <c r="BA211" s="158"/>
      <c r="BB211" s="158"/>
      <c r="BC211" s="159">
        <f t="shared" si="335"/>
        <v>0</v>
      </c>
      <c r="BD211" s="160">
        <f t="shared" si="336"/>
        <v>9</v>
      </c>
      <c r="BE211" s="35" t="str">
        <f t="shared" si="337"/>
        <v>N/A</v>
      </c>
      <c r="BF211" s="161"/>
      <c r="BG211" s="160">
        <f>IF(BC211=0,9,IF(AJ211&gt;=BC211,5,IF(AJ211&gt;=BB211,4,IF(AJ211&gt;=BA211,3,IF(AJ211&gt;=AZ211,2,IF(AJ211&lt;AY211,0,1))))))</f>
        <v>9</v>
      </c>
      <c r="BH211" s="35" t="str">
        <f t="shared" si="338"/>
        <v>N/A</v>
      </c>
      <c r="BI211" s="161"/>
      <c r="BJ211" s="160">
        <f t="shared" si="339"/>
        <v>9</v>
      </c>
      <c r="BK211" s="35" t="str">
        <f t="shared" si="340"/>
        <v>N/A</v>
      </c>
      <c r="BL211" s="161"/>
      <c r="BO211" s="35"/>
      <c r="BP211" s="35"/>
      <c r="BQ211" s="35" t="str">
        <f t="shared" si="347"/>
        <v/>
      </c>
      <c r="BR211" s="35">
        <f t="shared" si="267"/>
        <v>9</v>
      </c>
      <c r="BS211" s="35">
        <f t="shared" si="268"/>
        <v>9</v>
      </c>
      <c r="BT211" s="35">
        <f t="shared" si="269"/>
        <v>9</v>
      </c>
      <c r="BW211" s="35" t="str">
        <f>D211</f>
        <v>POL 05</v>
      </c>
      <c r="BX211" s="35" t="str">
        <f>IFERROR(VLOOKUP($E211,'Pre-analyseverktøy'!$F$11:$AC$226,'Pre-analyseverktøy'!AC$2,FALSE),"")</f>
        <v>No</v>
      </c>
      <c r="BY211" s="53" t="str">
        <f>IFERROR(VLOOKUP($E211,'Pre-analyseverktøy'!$F$11:$AJ$226,'Pre-analyseverktøy'!AJ$2,FALSE),"")</f>
        <v>Ja</v>
      </c>
      <c r="BZ211" s="35">
        <f>IFERROR(VLOOKUP($BX211,$E$293:$H$326,F$291,FALSE),"")</f>
        <v>1</v>
      </c>
      <c r="CA211" s="507" t="s">
        <v>899</v>
      </c>
      <c r="CB211" s="35"/>
      <c r="CC211" t="str">
        <f>IFERROR(VLOOKUP($BX211,$E$293:$H$326,I$291,FALSE),"")</f>
        <v/>
      </c>
      <c r="CD211" t="s">
        <v>892</v>
      </c>
      <c r="CE211" s="35">
        <f>VLOOKUP(CA211,$CA$4:$CB$5,2,FALSE)</f>
        <v>1</v>
      </c>
      <c r="CG211" s="54">
        <f>IF($BX$5=ais_nei,CE211,IF(AND(CA211=$CA$4,BX211=$CC$4),0,BZ211))</f>
        <v>1</v>
      </c>
    </row>
    <row r="212" spans="1:97">
      <c r="A212">
        <v>204</v>
      </c>
      <c r="B212" t="str">
        <f>$D$211&amp;D212</f>
        <v>POL 05a</v>
      </c>
      <c r="C212" t="str">
        <f t="shared" si="348"/>
        <v>POL 05</v>
      </c>
      <c r="D212" s="134" t="s">
        <v>775</v>
      </c>
      <c r="E212" s="697" t="s">
        <v>1112</v>
      </c>
      <c r="F212" s="575">
        <v>1</v>
      </c>
      <c r="G212" s="575">
        <v>1</v>
      </c>
      <c r="H212" s="763">
        <v>0</v>
      </c>
      <c r="I212" s="575">
        <v>1</v>
      </c>
      <c r="J212" s="575">
        <v>1</v>
      </c>
      <c r="K212" s="575">
        <v>1</v>
      </c>
      <c r="L212" s="575">
        <v>1</v>
      </c>
      <c r="M212" s="575">
        <v>1</v>
      </c>
      <c r="N212" s="575">
        <v>1</v>
      </c>
      <c r="O212" s="575">
        <v>1</v>
      </c>
      <c r="P212" s="575">
        <v>1</v>
      </c>
      <c r="Q212" s="575">
        <v>1</v>
      </c>
      <c r="R212" s="575">
        <v>1</v>
      </c>
      <c r="T212" s="136">
        <f t="shared" si="353"/>
        <v>1</v>
      </c>
      <c r="U212" s="538">
        <f>IF(Prosjektdetaljer!F27=AD_Yes,Poeng!T212,0)</f>
        <v>1</v>
      </c>
      <c r="V212" s="807">
        <f>IF(ADIND_option02n=AD_no,T212,0)</f>
        <v>0</v>
      </c>
      <c r="W212" s="812">
        <f>IF(Prosjektdetaljer!F27=AD_Yes,Poeng!Z212,0)</f>
        <v>1</v>
      </c>
      <c r="X212" s="809"/>
      <c r="Y212" s="136">
        <f>IF($Y$4=$Y$6,T212,0)</f>
        <v>0</v>
      </c>
      <c r="Z212" s="135">
        <f>VLOOKUP(B212,'Manuell filtrering og justering'!$A$7:$H$253,'Manuell filtrering og justering'!$H$1,FALSE)</f>
        <v>1</v>
      </c>
      <c r="AA212" s="136">
        <f t="shared" si="354"/>
        <v>1</v>
      </c>
      <c r="AB212" s="775">
        <f>IF($AC$5='Manuell filtrering og justering'!$J$2,Z212-W212,(T212-AA212))</f>
        <v>0</v>
      </c>
      <c r="AC212" s="496">
        <v>212</v>
      </c>
      <c r="AD212" s="138">
        <f t="shared" si="334"/>
        <v>0</v>
      </c>
      <c r="AE212" s="138">
        <f t="shared" si="341"/>
        <v>0</v>
      </c>
      <c r="AF212" s="138">
        <f t="shared" si="342"/>
        <v>0</v>
      </c>
      <c r="AG212" s="138">
        <f t="shared" si="343"/>
        <v>0</v>
      </c>
      <c r="AI212" s="139">
        <f t="shared" ref="AI212:AI213" si="359">IF(CO212&gt;$AB212,$AB212,CO212)</f>
        <v>0</v>
      </c>
      <c r="AJ212" s="139">
        <f t="shared" ref="AJ212:AJ213" si="360">IF(CP212&gt;$AB212,$AB212,CP212)</f>
        <v>0</v>
      </c>
      <c r="AK212" s="139">
        <f t="shared" ref="AK212:AK213" si="361">IF(CQ212&gt;$AB212,$AB212,CQ212)</f>
        <v>0</v>
      </c>
      <c r="AM212" s="646"/>
      <c r="AN212" s="647"/>
      <c r="AO212" s="647"/>
      <c r="AP212" s="647"/>
      <c r="AQ212" s="639"/>
      <c r="AR212" s="111"/>
      <c r="AS212" s="646"/>
      <c r="AT212" s="647"/>
      <c r="AU212" s="647"/>
      <c r="AV212" s="647"/>
      <c r="AW212" s="639"/>
      <c r="AY212" s="155"/>
      <c r="AZ212" s="40"/>
      <c r="BA212" s="40"/>
      <c r="BB212" s="40"/>
      <c r="BC212" s="648"/>
      <c r="BD212" s="148">
        <f t="shared" si="336"/>
        <v>9</v>
      </c>
      <c r="BE212" s="35" t="str">
        <f t="shared" si="337"/>
        <v>N/A</v>
      </c>
      <c r="BF212" s="151"/>
      <c r="BG212" s="148">
        <f>IF(BC212=0,9,IF(AJ212&gt;=BC212,5,IF(AJ212&gt;=BB212,4,IF(AJ212&gt;=BA212,3,IF(AJ212&gt;=AZ212,2,IF(AJ212&lt;AY212,0,1))))))</f>
        <v>9</v>
      </c>
      <c r="BH212" s="35" t="str">
        <f t="shared" si="338"/>
        <v>N/A</v>
      </c>
      <c r="BI212" s="151"/>
      <c r="BJ212" s="148">
        <f t="shared" si="339"/>
        <v>9</v>
      </c>
      <c r="BK212" s="35" t="str">
        <f t="shared" si="340"/>
        <v>N/A</v>
      </c>
      <c r="BL212" s="643"/>
      <c r="BO212" s="35"/>
      <c r="BP212" s="35"/>
      <c r="BQ212" s="35" t="str">
        <f t="shared" si="347"/>
        <v/>
      </c>
      <c r="BR212" s="35">
        <f t="shared" si="267"/>
        <v>9</v>
      </c>
      <c r="BS212" s="35">
        <f t="shared" si="268"/>
        <v>9</v>
      </c>
      <c r="BT212" s="35">
        <f t="shared" si="269"/>
        <v>9</v>
      </c>
      <c r="BW212" s="55"/>
      <c r="BX212" s="55"/>
      <c r="BY212" s="649"/>
      <c r="BZ212" s="55"/>
      <c r="CA212" s="507"/>
      <c r="CB212" s="55"/>
      <c r="CG212" s="54"/>
      <c r="CO212" s="35">
        <f>'Pre-analyseverktøy'!H207</f>
        <v>0</v>
      </c>
      <c r="CP212" s="35">
        <f>'Pre-analyseverktøy'!O207</f>
        <v>0</v>
      </c>
      <c r="CQ212" s="35">
        <f>'Pre-analyseverktøy'!V207</f>
        <v>0</v>
      </c>
      <c r="CR212" s="35" t="str">
        <f>'Pre-analyseverktøy'!F207</f>
        <v>Ingen støysensitive områder</v>
      </c>
      <c r="CS212" s="35" t="b">
        <f t="shared" si="358"/>
        <v>1</v>
      </c>
    </row>
    <row r="213" spans="1:97" ht="15.75" thickBot="1">
      <c r="A213">
        <v>205</v>
      </c>
      <c r="B213" t="str">
        <f>$D$211&amp;D213</f>
        <v>POL 05b</v>
      </c>
      <c r="C213" t="str">
        <f t="shared" si="348"/>
        <v>POL 05</v>
      </c>
      <c r="D213" s="156" t="s">
        <v>776</v>
      </c>
      <c r="E213" s="697" t="s">
        <v>1113</v>
      </c>
      <c r="F213" s="583">
        <v>1</v>
      </c>
      <c r="G213" s="583">
        <v>1</v>
      </c>
      <c r="H213" s="908">
        <v>0</v>
      </c>
      <c r="I213" s="583">
        <v>1</v>
      </c>
      <c r="J213" s="583">
        <v>1</v>
      </c>
      <c r="K213" s="583">
        <v>1</v>
      </c>
      <c r="L213" s="583">
        <v>1</v>
      </c>
      <c r="M213" s="583">
        <v>1</v>
      </c>
      <c r="N213" s="583">
        <v>1</v>
      </c>
      <c r="O213" s="583">
        <v>1</v>
      </c>
      <c r="P213" s="583">
        <v>1</v>
      </c>
      <c r="Q213" s="583">
        <v>1</v>
      </c>
      <c r="R213" s="583">
        <v>1</v>
      </c>
      <c r="T213" s="136">
        <f t="shared" si="353"/>
        <v>1</v>
      </c>
      <c r="U213" s="179">
        <f>IF(U212=1,0,T213)</f>
        <v>0</v>
      </c>
      <c r="V213" s="807">
        <f>IF(ADIND_option02n=AD_no,T213,0)</f>
        <v>0</v>
      </c>
      <c r="W213" s="812">
        <f>IF(W212=1,0,Z213)</f>
        <v>0</v>
      </c>
      <c r="X213" s="809"/>
      <c r="Y213" s="136">
        <f>IF($Y$4=$Y$6,T213,0)</f>
        <v>0</v>
      </c>
      <c r="Z213" s="135">
        <f>VLOOKUP(B213,'Manuell filtrering og justering'!$A$7:$H$253,'Manuell filtrering og justering'!$H$1,FALSE)</f>
        <v>1</v>
      </c>
      <c r="AA213" s="136">
        <f t="shared" si="354"/>
        <v>0</v>
      </c>
      <c r="AB213" s="775">
        <f>IF($AC$5='Manuell filtrering og justering'!$J$2,Z213-W213,(T213-AA213))</f>
        <v>1</v>
      </c>
      <c r="AC213" s="496">
        <v>213</v>
      </c>
      <c r="AD213" s="138">
        <f t="shared" si="334"/>
        <v>5.7142857142857143E-3</v>
      </c>
      <c r="AE213" s="138">
        <f t="shared" si="341"/>
        <v>0</v>
      </c>
      <c r="AF213" s="138">
        <f t="shared" si="342"/>
        <v>0</v>
      </c>
      <c r="AG213" s="138">
        <f t="shared" si="343"/>
        <v>0</v>
      </c>
      <c r="AI213" s="139">
        <f t="shared" si="359"/>
        <v>0</v>
      </c>
      <c r="AJ213" s="139">
        <f t="shared" si="360"/>
        <v>0</v>
      </c>
      <c r="AK213" s="139">
        <f t="shared" si="361"/>
        <v>0</v>
      </c>
      <c r="AM213" s="646"/>
      <c r="AN213" s="647"/>
      <c r="AO213" s="647"/>
      <c r="AP213" s="647"/>
      <c r="AQ213" s="639"/>
      <c r="AR213" s="111"/>
      <c r="AS213" s="646"/>
      <c r="AT213" s="647"/>
      <c r="AU213" s="647"/>
      <c r="AV213" s="647"/>
      <c r="AW213" s="639"/>
      <c r="AY213" s="155"/>
      <c r="AZ213" s="40"/>
      <c r="BA213" s="40"/>
      <c r="BB213" s="40"/>
      <c r="BC213" s="648"/>
      <c r="BD213" s="148">
        <f t="shared" si="336"/>
        <v>9</v>
      </c>
      <c r="BE213" s="35" t="str">
        <f t="shared" si="337"/>
        <v>N/A</v>
      </c>
      <c r="BF213" s="151"/>
      <c r="BG213" s="148">
        <f>IF(BC213=0,9,IF(AJ213&gt;=BC213,5,IF(AJ213&gt;=BB213,4,IF(AJ213&gt;=BA213,3,IF(AJ213&gt;=AZ213,2,IF(AJ213&lt;AY213,0,1))))))</f>
        <v>9</v>
      </c>
      <c r="BH213" s="35" t="str">
        <f t="shared" si="338"/>
        <v>N/A</v>
      </c>
      <c r="BI213" s="151"/>
      <c r="BJ213" s="148">
        <f t="shared" si="339"/>
        <v>9</v>
      </c>
      <c r="BK213" s="35" t="str">
        <f t="shared" si="340"/>
        <v>N/A</v>
      </c>
      <c r="BL213" s="643"/>
      <c r="BO213" s="35"/>
      <c r="BP213" s="35"/>
      <c r="BQ213" s="35" t="str">
        <f t="shared" si="347"/>
        <v/>
      </c>
      <c r="BR213" s="35">
        <f t="shared" si="267"/>
        <v>9</v>
      </c>
      <c r="BS213" s="35">
        <f t="shared" si="268"/>
        <v>9</v>
      </c>
      <c r="BT213" s="35">
        <f t="shared" si="269"/>
        <v>9</v>
      </c>
      <c r="BW213" s="55"/>
      <c r="BX213" s="55"/>
      <c r="BY213" s="649"/>
      <c r="BZ213" s="55"/>
      <c r="CA213" s="507"/>
      <c r="CB213" s="55"/>
      <c r="CG213" s="54"/>
      <c r="CO213" s="35">
        <f>'Pre-analyseverktøy'!H208</f>
        <v>0</v>
      </c>
      <c r="CP213" s="35">
        <f>'Pre-analyseverktøy'!O208</f>
        <v>0</v>
      </c>
      <c r="CQ213" s="35">
        <f>'Pre-analyseverktøy'!V208</f>
        <v>0</v>
      </c>
      <c r="CR213" s="35" t="str">
        <f>'Pre-analyseverktøy'!F208</f>
        <v>Minimert støyforurensning for sensitive områder</v>
      </c>
      <c r="CS213" s="35" t="b">
        <f t="shared" si="358"/>
        <v>1</v>
      </c>
    </row>
    <row r="214" spans="1:97" ht="15.75" thickBot="1">
      <c r="A214">
        <v>206</v>
      </c>
      <c r="B214" t="s">
        <v>561</v>
      </c>
      <c r="D214" s="524"/>
      <c r="E214" s="523" t="s">
        <v>771</v>
      </c>
      <c r="F214" s="580">
        <f t="shared" ref="F214:R214" si="362">F200+F204+F208+F211</f>
        <v>7</v>
      </c>
      <c r="G214" s="580">
        <f t="shared" si="362"/>
        <v>7</v>
      </c>
      <c r="H214" s="580">
        <f t="shared" si="362"/>
        <v>6</v>
      </c>
      <c r="I214" s="580">
        <f t="shared" si="362"/>
        <v>7</v>
      </c>
      <c r="J214" s="580">
        <f t="shared" si="362"/>
        <v>7</v>
      </c>
      <c r="K214" s="580">
        <f t="shared" si="362"/>
        <v>7</v>
      </c>
      <c r="L214" s="580">
        <f t="shared" si="362"/>
        <v>7</v>
      </c>
      <c r="M214" s="580">
        <f t="shared" si="362"/>
        <v>7</v>
      </c>
      <c r="N214" s="580">
        <f t="shared" si="362"/>
        <v>7</v>
      </c>
      <c r="O214" s="580">
        <f t="shared" si="362"/>
        <v>7</v>
      </c>
      <c r="P214" s="580">
        <f t="shared" si="362"/>
        <v>7</v>
      </c>
      <c r="Q214" s="580">
        <f>Q200+Q204+Q208+Q211</f>
        <v>7</v>
      </c>
      <c r="R214" s="580">
        <f t="shared" si="362"/>
        <v>7</v>
      </c>
      <c r="T214" s="183">
        <f t="shared" si="353"/>
        <v>7</v>
      </c>
      <c r="U214" s="164"/>
      <c r="V214" s="166"/>
      <c r="W214" s="167"/>
      <c r="X214" s="810"/>
      <c r="Y214" s="852"/>
      <c r="Z214" s="166"/>
      <c r="AA214" s="580">
        <f>AA200+AA204+AA208+AA211</f>
        <v>0</v>
      </c>
      <c r="AB214" s="580">
        <f>AB200+AB204+AB208+AB211</f>
        <v>7</v>
      </c>
      <c r="AC214" s="496">
        <v>214</v>
      </c>
      <c r="AD214" s="168">
        <f>AD200+AD204+AD208+AD211</f>
        <v>0.04</v>
      </c>
      <c r="AE214" s="168">
        <f>AE200+AE204+AE208+AE211</f>
        <v>0</v>
      </c>
      <c r="AF214" s="168">
        <f>AF200+AF204+AF208+AF211</f>
        <v>0</v>
      </c>
      <c r="AG214" s="168">
        <f>AG200+AG204+AG208+AG211</f>
        <v>0</v>
      </c>
      <c r="AI214" s="30">
        <f>AI200+AI204+AI208+AI211</f>
        <v>0</v>
      </c>
      <c r="AJ214" s="30">
        <f>AJ200+AJ204+AJ208+AJ211</f>
        <v>0</v>
      </c>
      <c r="AK214" s="30">
        <f>AK200+AK204+AK208+AK211</f>
        <v>0</v>
      </c>
      <c r="AM214" s="111"/>
      <c r="AN214" s="111"/>
      <c r="AO214" s="111"/>
      <c r="AP214" s="111"/>
      <c r="AQ214" s="111"/>
      <c r="AR214" s="111"/>
      <c r="AS214" s="111"/>
      <c r="AT214" s="111"/>
      <c r="AU214" s="111"/>
      <c r="AV214" s="111"/>
      <c r="AW214" s="111"/>
      <c r="AZ214" s="169"/>
      <c r="BW214" s="42"/>
      <c r="BX214" s="42" t="str">
        <f>IFERROR(VLOOKUP($E214,'Pre-analyseverktøy'!$F$11:$AC$226,'Pre-analyseverktøy'!AC$2,FALSE),"")</f>
        <v/>
      </c>
      <c r="BY214" s="42" t="str">
        <f>IFERROR(VLOOKUP($E214,'Pre-analyseverktøy'!$F$11:$AJ$226,'Pre-analyseverktøy'!AJ$2,FALSE),"")</f>
        <v/>
      </c>
      <c r="BZ214" s="42" t="str">
        <f t="shared" ref="BZ214:BZ225" si="363">IFERROR(VLOOKUP($BX214,$E$293:$H$326,F$291,FALSE),"")</f>
        <v/>
      </c>
      <c r="CA214" s="42" t="str">
        <f t="shared" ref="CA214:CA225" si="364">IFERROR(VLOOKUP($BX214,$E$293:$H$326,G$291,FALSE),"")</f>
        <v/>
      </c>
      <c r="CB214" s="42"/>
      <c r="CC214" t="str">
        <f t="shared" ref="CC214:CC225" si="365">IFERROR(VLOOKUP($BX214,$E$293:$H$326,I$291,FALSE),"")</f>
        <v/>
      </c>
    </row>
    <row r="215" spans="1:97" ht="15.75" thickBot="1">
      <c r="A215">
        <v>207</v>
      </c>
      <c r="AC215" s="496">
        <v>215</v>
      </c>
      <c r="AI215" s="1"/>
      <c r="AJ215" s="1"/>
      <c r="AK215" s="1"/>
      <c r="AM215" s="111"/>
      <c r="AN215" s="111"/>
      <c r="AO215" s="111"/>
      <c r="AP215" s="111"/>
      <c r="AQ215" s="111"/>
      <c r="AR215" s="111"/>
      <c r="AS215" s="111"/>
      <c r="AT215" s="111"/>
      <c r="AU215" s="111"/>
      <c r="AV215" s="111"/>
      <c r="AW215" s="111"/>
      <c r="BX215" t="str">
        <f>IFERROR(VLOOKUP($E215,'Pre-analyseverktøy'!$F$11:$AC$226,'Pre-analyseverktøy'!AC$2,FALSE),"")</f>
        <v/>
      </c>
      <c r="BY215" t="str">
        <f>IFERROR(VLOOKUP($E215,'Pre-analyseverktøy'!$F$11:$AJ$226,'Pre-analyseverktøy'!AJ$2,FALSE),"")</f>
        <v/>
      </c>
      <c r="BZ215" t="str">
        <f t="shared" si="363"/>
        <v/>
      </c>
      <c r="CA215" t="str">
        <f t="shared" si="364"/>
        <v/>
      </c>
      <c r="CC215" t="str">
        <f t="shared" si="365"/>
        <v/>
      </c>
    </row>
    <row r="216" spans="1:97" ht="60.75" thickBot="1">
      <c r="A216">
        <v>208</v>
      </c>
      <c r="D216" s="120"/>
      <c r="E216" s="121" t="s">
        <v>872</v>
      </c>
      <c r="F216" s="917" t="str">
        <f>$F$9</f>
        <v>Kontorbygg</v>
      </c>
      <c r="G216" s="917" t="str">
        <f>$G$9</f>
        <v>Handelsbygg</v>
      </c>
      <c r="H216" s="921" t="str">
        <f>$H$9</f>
        <v>Boligbygg</v>
      </c>
      <c r="I216" s="917" t="str">
        <f>$I$9</f>
        <v>Industribygg</v>
      </c>
      <c r="J216" s="919" t="str">
        <f>$J$9</f>
        <v>Helseinstitusjoner</v>
      </c>
      <c r="K216" s="919" t="str">
        <f>$K$9</f>
        <v>Fengsel</v>
      </c>
      <c r="L216" s="919" t="str">
        <f>$L$9</f>
        <v>Tinghus</v>
      </c>
      <c r="M216" s="923" t="str">
        <f>$M$9</f>
        <v>Døgninstitusjonsbygg (langtidsopphold)</v>
      </c>
      <c r="N216" s="698" t="str">
        <f>$N$9</f>
        <v>Døgninstitusjonsbygg (korttidsopphold)</v>
      </c>
      <c r="O216" s="698" t="str">
        <f>$O$9</f>
        <v>Institusjoner ikke til boligbruk</v>
      </c>
      <c r="P216" s="698" t="str">
        <f>$P$9</f>
        <v>Møtesteder og fritid</v>
      </c>
      <c r="Q216" s="919" t="str">
        <f>$Q$9</f>
        <v>Undervisningsbygg</v>
      </c>
      <c r="R216" s="651" t="str">
        <f>$R$9</f>
        <v>Annet</v>
      </c>
      <c r="T216" s="110" t="str">
        <f>$E$6</f>
        <v>Kontorbygg</v>
      </c>
      <c r="U216" s="170"/>
      <c r="V216" s="171"/>
      <c r="W216" s="171"/>
      <c r="X216" s="854"/>
      <c r="Y216" s="865" t="s">
        <v>920</v>
      </c>
      <c r="Z216" s="863" t="s">
        <v>23</v>
      </c>
      <c r="AA216" s="119" t="s">
        <v>771</v>
      </c>
      <c r="AB216" s="45" t="s">
        <v>908</v>
      </c>
      <c r="AC216" s="496">
        <v>216</v>
      </c>
      <c r="AI216" s="28"/>
      <c r="AJ216" s="46"/>
      <c r="AK216" s="46"/>
      <c r="AM216" s="111"/>
      <c r="AN216" s="111"/>
      <c r="AO216" s="111"/>
      <c r="AP216" s="111"/>
      <c r="AQ216" s="111"/>
      <c r="AR216" s="111"/>
      <c r="AS216" s="111"/>
      <c r="AT216" s="111"/>
      <c r="AU216" s="111"/>
      <c r="AV216" s="111"/>
      <c r="AW216" s="111"/>
      <c r="BO216" s="46"/>
      <c r="BP216" s="46"/>
      <c r="BQ216" s="46"/>
      <c r="BR216" s="46"/>
      <c r="BS216" s="46"/>
      <c r="BT216" s="46"/>
      <c r="BW216" s="39"/>
      <c r="BX216" s="39" t="str">
        <f>E216</f>
        <v>BREEAM innovation credits</v>
      </c>
      <c r="BY216" s="39" t="str">
        <f>IFERROR(VLOOKUP($E216,'Pre-analyseverktøy'!$F$11:$AJ$226,'Pre-analyseverktøy'!AJ$2,FALSE),"")</f>
        <v/>
      </c>
      <c r="BZ216" s="39" t="str">
        <f t="shared" si="363"/>
        <v/>
      </c>
      <c r="CA216" s="39" t="str">
        <f t="shared" si="364"/>
        <v/>
      </c>
      <c r="CB216" s="39"/>
      <c r="CC216" t="str">
        <f t="shared" si="365"/>
        <v/>
      </c>
    </row>
    <row r="217" spans="1:97">
      <c r="A217">
        <v>209</v>
      </c>
      <c r="B217" t="str">
        <f>D217</f>
        <v>Inn 01</v>
      </c>
      <c r="C217" t="s">
        <v>183</v>
      </c>
      <c r="D217" s="177" t="s">
        <v>567</v>
      </c>
      <c r="E217" s="144" t="str">
        <f t="shared" ref="E217:E230" si="366">D217&amp;" - "&amp;E261</f>
        <v>Inn 01 - Man 03: begrensning av direkte klimagassutslipp fra aktiviteter tilknyttet utbyggingsområdet</v>
      </c>
      <c r="F217" s="581">
        <v>1</v>
      </c>
      <c r="G217" s="581">
        <v>1</v>
      </c>
      <c r="H217" s="581">
        <v>1</v>
      </c>
      <c r="I217" s="581">
        <v>1</v>
      </c>
      <c r="J217" s="581">
        <v>1</v>
      </c>
      <c r="K217" s="581">
        <v>1</v>
      </c>
      <c r="L217" s="581">
        <v>1</v>
      </c>
      <c r="M217" s="581">
        <v>1</v>
      </c>
      <c r="N217" s="581">
        <v>1</v>
      </c>
      <c r="O217" s="581">
        <v>1</v>
      </c>
      <c r="P217" s="581">
        <v>1</v>
      </c>
      <c r="Q217" s="582">
        <v>1</v>
      </c>
      <c r="R217" s="582">
        <v>1</v>
      </c>
      <c r="T217" s="172">
        <f t="shared" ref="T217:T231" si="367">HLOOKUP($E$6,$F$9:$R$231,$A217,FALSE)</f>
        <v>1</v>
      </c>
      <c r="U217" s="134"/>
      <c r="V217" s="35"/>
      <c r="W217" s="35"/>
      <c r="X217" s="135">
        <f>'Manuell filtrering og justering'!E94</f>
        <v>0</v>
      </c>
      <c r="Y217" s="136"/>
      <c r="Z217" s="849">
        <f>VLOOKUP(B217,'Manuell filtrering og justering'!$A$7:$H$253,'Manuell filtrering og justering'!$H$1,FALSE)</f>
        <v>1</v>
      </c>
      <c r="AA217" s="136">
        <f t="shared" ref="AA217:AA230" si="368">IF(SUM(U217:Y217)&gt;T217,T217,SUM(U217:Y217))</f>
        <v>0</v>
      </c>
      <c r="AB217" s="137">
        <f>IF($AC$5='Manuell filtrering og justering'!$J$2,Z217,(T217-AA217))</f>
        <v>1</v>
      </c>
      <c r="AC217" s="496">
        <v>217</v>
      </c>
      <c r="AD217" s="138">
        <f>(Inn_Weight/Inn_Credits)*Inn01_credits</f>
        <v>0.01</v>
      </c>
      <c r="AE217" s="138">
        <f t="shared" ref="AE217:AE230" si="369">IF(AB217=0,0,(AD217/AB217)*AI217)</f>
        <v>0</v>
      </c>
      <c r="AF217" s="138">
        <f t="shared" ref="AF217:AF230" si="370">IF(AB217=0,0,(AD217/AB217)*AJ217)</f>
        <v>0</v>
      </c>
      <c r="AG217" s="138">
        <f t="shared" ref="AG217:AG230" si="371">IF(AB217=0,0,(AD217/AB217)*AK217)</f>
        <v>0</v>
      </c>
      <c r="AI217" s="139">
        <f t="shared" ref="AI217:AI220" si="372">IF(CO217&gt;$AB217,$AB217,CO217)</f>
        <v>0</v>
      </c>
      <c r="AJ217" s="139">
        <f t="shared" ref="AJ217:AJ220" si="373">IF(CP217&gt;$AB217,$AB217,CP217)</f>
        <v>0</v>
      </c>
      <c r="AK217" s="139">
        <f t="shared" ref="AK217:AK220" si="374">IF(CQ217&gt;$AB217,$AB217,CQ217)</f>
        <v>0</v>
      </c>
      <c r="AM217" s="242"/>
      <c r="AN217" s="243"/>
      <c r="AO217" s="243"/>
      <c r="AP217" s="243"/>
      <c r="AQ217" s="531"/>
      <c r="AR217" s="111"/>
      <c r="AS217" s="242"/>
      <c r="AT217" s="243"/>
      <c r="AU217" s="243"/>
      <c r="AV217" s="243"/>
      <c r="AW217" s="244"/>
      <c r="AY217" s="177"/>
      <c r="AZ217" s="144"/>
      <c r="BA217" s="144"/>
      <c r="BB217" s="144"/>
      <c r="BC217" s="145">
        <f t="shared" si="335"/>
        <v>0</v>
      </c>
      <c r="BD217" s="141">
        <f t="shared" ref="BD217:BD230" si="375">IF(BC217=0,9,IF(AI217&gt;=BC217,5,IF(AI217&gt;=BB217,4,IF(AI217&gt;=BA217,3,IF(AI217&gt;=AZ217,2,IF(AI217&lt;AY217,0,1))))))</f>
        <v>9</v>
      </c>
      <c r="BE217" s="35" t="str">
        <f t="shared" ref="BE217:BE230" si="376">IF(BD217=$BO$290,$BT$290,IF(BD217=$BO$289,$BT$289,IF(BD217=$BO$288,$BT$288,IF(BD217=$BO$287,$BT$287,IF(BD217=$BO$286,$BT$286,IF(BD217=$BO$285,$BT$285,$BT$284))))))</f>
        <v>N/A</v>
      </c>
      <c r="BF217" s="145"/>
      <c r="BG217" s="141">
        <f t="shared" ref="BG217:BG225" si="377">IF(BC217=0,9,IF(AJ217&gt;=BC217,5,IF(AJ217&gt;=BB217,4,IF(AJ217&gt;=BA217,3,IF(AJ217&gt;=AZ217,2,IF(AJ217&lt;AY217,0,1))))))</f>
        <v>9</v>
      </c>
      <c r="BH217" s="35" t="str">
        <f t="shared" ref="BH217:BH230" si="378">IF(BG217=$BO$290,$BT$290,IF(BG217=$BO$289,$BT$289,IF(BG217=$BO$288,$BT$288,IF(BG217=$BO$287,$BT$287,IF(BG217=$BO$286,$BT$286,IF(BG217=$BO$285,$BT$285,$BT$284))))))</f>
        <v>N/A</v>
      </c>
      <c r="BI217" s="145"/>
      <c r="BJ217" s="141">
        <f t="shared" ref="BJ217:BJ230" si="379">IF(BC217=0,9,IF(AK217&gt;=BC217,5,IF(AK217&gt;=BB217,4,IF(AK217&gt;=BA217,3,IF(AK217&gt;=AZ217,2,IF(AK217&lt;AY217,0,1))))))</f>
        <v>9</v>
      </c>
      <c r="BK217" s="35" t="str">
        <f t="shared" ref="BK217:BK230" si="380">IF(BJ217=$BO$290,$BT$290,IF(BJ217=$BO$289,$BT$289,IF(BJ217=$BO$288,$BT$288,IF(BJ217=$BO$287,$BT$287,IF(BJ217=$BO$286,$BT$286,IF(BJ217=$BO$285,$BT$285,$BT$284))))))</f>
        <v>N/A</v>
      </c>
      <c r="BL217" s="145"/>
      <c r="BO217" s="35"/>
      <c r="BP217" s="35"/>
      <c r="BQ217" s="35" t="str">
        <f t="shared" si="347"/>
        <v/>
      </c>
      <c r="BR217" s="35">
        <f t="shared" si="267"/>
        <v>9</v>
      </c>
      <c r="BS217" s="35">
        <f t="shared" si="268"/>
        <v>9</v>
      </c>
      <c r="BT217" s="35">
        <f t="shared" si="269"/>
        <v>9</v>
      </c>
      <c r="BW217" s="37" t="str">
        <f t="shared" ref="BW217:BW225" si="381">D217</f>
        <v>Inn 01</v>
      </c>
      <c r="BX217" s="37" t="str">
        <f>IFERROR(VLOOKUP($E217,'Pre-analyseverktøy'!$F$11:$AC$226,'Pre-analyseverktøy'!AC$2,FALSE),"")</f>
        <v>N/A</v>
      </c>
      <c r="BY217" s="37">
        <f>IFERROR(VLOOKUP($E217,'Pre-analyseverktøy'!$F$11:$AJ$226,'Pre-analyseverktøy'!AJ$2,FALSE),"")</f>
        <v>0</v>
      </c>
      <c r="BZ217" s="37">
        <f t="shared" si="363"/>
        <v>1</v>
      </c>
      <c r="CA217" s="37">
        <f t="shared" si="364"/>
        <v>0</v>
      </c>
      <c r="CB217" s="37"/>
      <c r="CC217" t="str">
        <f t="shared" si="365"/>
        <v/>
      </c>
      <c r="CO217" s="35">
        <f>'Pre-analyseverktøy'!H212</f>
        <v>0</v>
      </c>
      <c r="CP217" s="35">
        <f>'Pre-analyseverktøy'!O212</f>
        <v>0</v>
      </c>
      <c r="CQ217" s="35">
        <f>'Pre-analyseverktøy'!V212</f>
        <v>0</v>
      </c>
      <c r="CR217" s="35" t="str">
        <f>'Pre-analyseverktøy'!F212</f>
        <v>Inn 01 - Man 03: begrensning av direkte klimagassutslipp fra aktiviteter tilknyttet utbyggingsområdet</v>
      </c>
      <c r="CS217" s="35" t="b">
        <f t="shared" si="358"/>
        <v>1</v>
      </c>
    </row>
    <row r="218" spans="1:97">
      <c r="A218">
        <v>210</v>
      </c>
      <c r="B218" t="str">
        <f t="shared" ref="B218:B230" si="382">D218</f>
        <v>Inn 02</v>
      </c>
      <c r="C218" t="s">
        <v>298</v>
      </c>
      <c r="D218" s="134" t="s">
        <v>569</v>
      </c>
      <c r="E218" s="870" t="str">
        <f t="shared" si="366"/>
        <v xml:space="preserve">Inn 02 - Hea 01:  høyeste krav til utsyn </v>
      </c>
      <c r="F218" s="575">
        <v>1</v>
      </c>
      <c r="G218" s="575">
        <v>1</v>
      </c>
      <c r="H218" s="575">
        <v>1</v>
      </c>
      <c r="I218" s="575">
        <v>1</v>
      </c>
      <c r="J218" s="575">
        <v>1</v>
      </c>
      <c r="K218" s="575">
        <v>1</v>
      </c>
      <c r="L218" s="575">
        <v>1</v>
      </c>
      <c r="M218" s="575">
        <v>1</v>
      </c>
      <c r="N218" s="575">
        <v>1</v>
      </c>
      <c r="O218" s="575">
        <v>1</v>
      </c>
      <c r="P218" s="575">
        <v>1</v>
      </c>
      <c r="Q218" s="576">
        <v>1</v>
      </c>
      <c r="R218" s="576">
        <v>1</v>
      </c>
      <c r="T218" s="136">
        <f t="shared" si="367"/>
        <v>1</v>
      </c>
      <c r="U218" s="134"/>
      <c r="V218" s="35"/>
      <c r="W218" s="35"/>
      <c r="X218" s="135">
        <f>'Manuell filtrering og justering'!E95</f>
        <v>0</v>
      </c>
      <c r="Y218" s="136"/>
      <c r="Z218" s="849">
        <f>VLOOKUP(B218,'Manuell filtrering og justering'!$A$7:$H$253,'Manuell filtrering og justering'!$H$1,FALSE)</f>
        <v>0</v>
      </c>
      <c r="AA218" s="136">
        <f t="shared" si="368"/>
        <v>0</v>
      </c>
      <c r="AB218" s="137">
        <f>IF($AC$5='Manuell filtrering og justering'!$J$2,Z218,(T218-AA218))</f>
        <v>1</v>
      </c>
      <c r="AC218" s="496">
        <v>218</v>
      </c>
      <c r="AD218" s="138">
        <f>(Inn_Weight/Inn_Credits)*Inn02_credits</f>
        <v>0.01</v>
      </c>
      <c r="AE218" s="138">
        <f t="shared" si="369"/>
        <v>0</v>
      </c>
      <c r="AF218" s="138">
        <f t="shared" si="370"/>
        <v>0</v>
      </c>
      <c r="AG218" s="138">
        <f t="shared" si="371"/>
        <v>0</v>
      </c>
      <c r="AI218" s="139">
        <f t="shared" si="372"/>
        <v>0</v>
      </c>
      <c r="AJ218" s="139">
        <f t="shared" si="373"/>
        <v>0</v>
      </c>
      <c r="AK218" s="139">
        <f t="shared" si="374"/>
        <v>0</v>
      </c>
      <c r="AM218" s="236"/>
      <c r="AN218" s="237"/>
      <c r="AO218" s="237"/>
      <c r="AP218" s="237"/>
      <c r="AQ218" s="532"/>
      <c r="AR218" s="111"/>
      <c r="AS218" s="236"/>
      <c r="AT218" s="237"/>
      <c r="AU218" s="237"/>
      <c r="AV218" s="237"/>
      <c r="AW218" s="238"/>
      <c r="AY218" s="134"/>
      <c r="AZ218" s="35"/>
      <c r="BA218" s="35"/>
      <c r="BB218" s="35"/>
      <c r="BC218" s="151">
        <f t="shared" si="335"/>
        <v>0</v>
      </c>
      <c r="BD218" s="148">
        <f t="shared" si="375"/>
        <v>9</v>
      </c>
      <c r="BE218" s="35" t="str">
        <f t="shared" si="376"/>
        <v>N/A</v>
      </c>
      <c r="BF218" s="151"/>
      <c r="BG218" s="148">
        <f t="shared" si="377"/>
        <v>9</v>
      </c>
      <c r="BH218" s="35" t="str">
        <f t="shared" si="378"/>
        <v>N/A</v>
      </c>
      <c r="BI218" s="151"/>
      <c r="BJ218" s="148">
        <f t="shared" si="379"/>
        <v>9</v>
      </c>
      <c r="BK218" s="35" t="str">
        <f t="shared" si="380"/>
        <v>N/A</v>
      </c>
      <c r="BL218" s="151"/>
      <c r="BO218" s="35"/>
      <c r="BP218" s="35"/>
      <c r="BQ218" s="35" t="str">
        <f t="shared" si="347"/>
        <v/>
      </c>
      <c r="BR218" s="35">
        <f t="shared" si="267"/>
        <v>9</v>
      </c>
      <c r="BS218" s="35">
        <f t="shared" si="268"/>
        <v>9</v>
      </c>
      <c r="BT218" s="35">
        <f t="shared" si="269"/>
        <v>9</v>
      </c>
      <c r="BW218" s="35" t="str">
        <f t="shared" si="381"/>
        <v>Inn 02</v>
      </c>
      <c r="BX218" s="35" t="str">
        <f>IFERROR(VLOOKUP($E218,'Pre-analyseverktøy'!$F$11:$AC$226,'Pre-analyseverktøy'!AC$2,FALSE),"")</f>
        <v>N/A</v>
      </c>
      <c r="BY218" s="35">
        <f>IFERROR(VLOOKUP($E218,'Pre-analyseverktøy'!$F$11:$AJ$226,'Pre-analyseverktøy'!AJ$2,FALSE),"")</f>
        <v>0</v>
      </c>
      <c r="BZ218" s="35">
        <f t="shared" si="363"/>
        <v>1</v>
      </c>
      <c r="CA218" s="35">
        <f t="shared" si="364"/>
        <v>0</v>
      </c>
      <c r="CB218" s="35"/>
      <c r="CC218" t="str">
        <f t="shared" si="365"/>
        <v/>
      </c>
      <c r="CO218" s="35">
        <f>'Pre-analyseverktøy'!H213</f>
        <v>0</v>
      </c>
      <c r="CP218" s="35">
        <f>'Pre-analyseverktøy'!O213</f>
        <v>0</v>
      </c>
      <c r="CQ218" s="35">
        <f>'Pre-analyseverktøy'!V213</f>
        <v>0</v>
      </c>
      <c r="CR218" s="35" t="str">
        <f>'Pre-analyseverktøy'!F213</f>
        <v xml:space="preserve">Inn 02 - Hea 01:  høyeste krav til utsyn </v>
      </c>
      <c r="CS218" s="35" t="b">
        <f t="shared" ref="CS218:CS255" si="383">CR218=E218</f>
        <v>1</v>
      </c>
    </row>
    <row r="219" spans="1:97">
      <c r="A219">
        <v>211</v>
      </c>
      <c r="B219" t="str">
        <f t="shared" si="382"/>
        <v>Inn 03</v>
      </c>
      <c r="C219" t="s">
        <v>182</v>
      </c>
      <c r="D219" s="134" t="s">
        <v>572</v>
      </c>
      <c r="E219" s="35" t="str">
        <f t="shared" si="366"/>
        <v>Inn 03 - Hea 02: emisjoner fra byggeprodukter</v>
      </c>
      <c r="F219" s="575">
        <v>1</v>
      </c>
      <c r="G219" s="575">
        <v>1</v>
      </c>
      <c r="H219" s="575">
        <v>1</v>
      </c>
      <c r="I219" s="575">
        <v>1</v>
      </c>
      <c r="J219" s="575">
        <v>1</v>
      </c>
      <c r="K219" s="575">
        <v>1</v>
      </c>
      <c r="L219" s="575">
        <v>1</v>
      </c>
      <c r="M219" s="575">
        <v>1</v>
      </c>
      <c r="N219" s="575">
        <v>1</v>
      </c>
      <c r="O219" s="575">
        <v>1</v>
      </c>
      <c r="P219" s="575">
        <v>1</v>
      </c>
      <c r="Q219" s="576">
        <v>1</v>
      </c>
      <c r="R219" s="576">
        <v>1</v>
      </c>
      <c r="T219" s="136">
        <f t="shared" si="367"/>
        <v>1</v>
      </c>
      <c r="U219" s="134">
        <f>IF(Hea02_credits=0,T219,0)</f>
        <v>0</v>
      </c>
      <c r="V219" s="35"/>
      <c r="W219" s="35"/>
      <c r="X219" s="135">
        <f>'Manuell filtrering og justering'!E96</f>
        <v>0</v>
      </c>
      <c r="Y219" s="136">
        <f>IF($Y$4=$Y$6,T219,0)</f>
        <v>0</v>
      </c>
      <c r="Z219" s="849">
        <f>VLOOKUP(B219,'Manuell filtrering og justering'!$A$7:$H$253,'Manuell filtrering og justering'!$H$1,FALSE)</f>
        <v>1</v>
      </c>
      <c r="AA219" s="136">
        <f t="shared" si="368"/>
        <v>0</v>
      </c>
      <c r="AB219" s="137">
        <f>IF($AC$5='Manuell filtrering og justering'!$J$2,Z219,(T219-AA219))</f>
        <v>1</v>
      </c>
      <c r="AC219" s="496">
        <v>219</v>
      </c>
      <c r="AD219" s="138">
        <f>(Inn_Weight/Inn_Credits)*Inn03_credits</f>
        <v>0.01</v>
      </c>
      <c r="AE219" s="138">
        <f t="shared" si="369"/>
        <v>0</v>
      </c>
      <c r="AF219" s="138">
        <f t="shared" si="370"/>
        <v>0</v>
      </c>
      <c r="AG219" s="138">
        <f t="shared" si="371"/>
        <v>0</v>
      </c>
      <c r="AI219" s="139">
        <f t="shared" si="372"/>
        <v>0</v>
      </c>
      <c r="AJ219" s="139">
        <f t="shared" si="373"/>
        <v>0</v>
      </c>
      <c r="AK219" s="139">
        <f t="shared" si="374"/>
        <v>0</v>
      </c>
      <c r="AM219" s="236"/>
      <c r="AN219" s="237"/>
      <c r="AO219" s="237"/>
      <c r="AP219" s="237"/>
      <c r="AQ219" s="532"/>
      <c r="AR219" s="111"/>
      <c r="AS219" s="236"/>
      <c r="AT219" s="237"/>
      <c r="AU219" s="237"/>
      <c r="AV219" s="237"/>
      <c r="AW219" s="238"/>
      <c r="AY219" s="134"/>
      <c r="AZ219" s="35"/>
      <c r="BA219" s="35"/>
      <c r="BB219" s="35"/>
      <c r="BC219" s="151">
        <f t="shared" si="335"/>
        <v>0</v>
      </c>
      <c r="BD219" s="148">
        <f t="shared" si="375"/>
        <v>9</v>
      </c>
      <c r="BE219" s="35" t="str">
        <f t="shared" si="376"/>
        <v>N/A</v>
      </c>
      <c r="BF219" s="151"/>
      <c r="BG219" s="148">
        <f t="shared" si="377"/>
        <v>9</v>
      </c>
      <c r="BH219" s="35" t="str">
        <f t="shared" si="378"/>
        <v>N/A</v>
      </c>
      <c r="BI219" s="151"/>
      <c r="BJ219" s="148">
        <f t="shared" si="379"/>
        <v>9</v>
      </c>
      <c r="BK219" s="35" t="str">
        <f t="shared" si="380"/>
        <v>N/A</v>
      </c>
      <c r="BL219" s="151"/>
      <c r="BO219" s="35"/>
      <c r="BP219" s="35"/>
      <c r="BQ219" s="35" t="str">
        <f t="shared" si="347"/>
        <v/>
      </c>
      <c r="BR219" s="35">
        <f t="shared" si="267"/>
        <v>9</v>
      </c>
      <c r="BS219" s="35">
        <f t="shared" si="268"/>
        <v>9</v>
      </c>
      <c r="BT219" s="35">
        <f t="shared" si="269"/>
        <v>9</v>
      </c>
      <c r="BW219" s="35" t="str">
        <f t="shared" si="381"/>
        <v>Inn 03</v>
      </c>
      <c r="BX219" s="35" t="str">
        <f>IFERROR(VLOOKUP($E219,'Pre-analyseverktøy'!$F$11:$AC$226,'Pre-analyseverktøy'!AC$2,FALSE),"")</f>
        <v>N/A</v>
      </c>
      <c r="BY219" s="35">
        <f>IFERROR(VLOOKUP($E219,'Pre-analyseverktøy'!$F$11:$AJ$226,'Pre-analyseverktøy'!AJ$2,FALSE),"")</f>
        <v>0</v>
      </c>
      <c r="BZ219" s="35">
        <f t="shared" si="363"/>
        <v>1</v>
      </c>
      <c r="CA219" s="35">
        <f t="shared" si="364"/>
        <v>0</v>
      </c>
      <c r="CB219" s="35"/>
      <c r="CC219" t="str">
        <f t="shared" si="365"/>
        <v/>
      </c>
      <c r="CO219" s="35">
        <f>'Pre-analyseverktøy'!H214</f>
        <v>0</v>
      </c>
      <c r="CP219" s="35">
        <f>'Pre-analyseverktøy'!O214</f>
        <v>0</v>
      </c>
      <c r="CQ219" s="35">
        <f>'Pre-analyseverktøy'!V214</f>
        <v>0</v>
      </c>
      <c r="CR219" s="35" t="str">
        <f>'Pre-analyseverktøy'!F214</f>
        <v>Inn 03 - Hea 02: emisjoner fra byggeprodukter</v>
      </c>
      <c r="CS219" s="35" t="b">
        <f t="shared" si="383"/>
        <v>1</v>
      </c>
    </row>
    <row r="220" spans="1:97">
      <c r="A220">
        <v>212</v>
      </c>
      <c r="B220" t="str">
        <f t="shared" si="382"/>
        <v>Inn 04</v>
      </c>
      <c r="C220" t="s">
        <v>337</v>
      </c>
      <c r="D220" s="134" t="s">
        <v>574</v>
      </c>
      <c r="E220" s="35" t="str">
        <f t="shared" si="366"/>
        <v xml:space="preserve">Inn 04 - Hea 06: Biofilisk design </v>
      </c>
      <c r="F220" s="575">
        <v>1</v>
      </c>
      <c r="G220" s="575">
        <v>1</v>
      </c>
      <c r="H220" s="575">
        <v>1</v>
      </c>
      <c r="I220" s="575">
        <v>1</v>
      </c>
      <c r="J220" s="575">
        <v>1</v>
      </c>
      <c r="K220" s="575">
        <v>1</v>
      </c>
      <c r="L220" s="575">
        <v>1</v>
      </c>
      <c r="M220" s="575">
        <v>1</v>
      </c>
      <c r="N220" s="575">
        <v>1</v>
      </c>
      <c r="O220" s="575">
        <v>1</v>
      </c>
      <c r="P220" s="575">
        <v>1</v>
      </c>
      <c r="Q220" s="576">
        <v>1</v>
      </c>
      <c r="R220" s="576">
        <v>1</v>
      </c>
      <c r="T220" s="136">
        <f t="shared" si="367"/>
        <v>1</v>
      </c>
      <c r="U220" s="134"/>
      <c r="V220" s="35"/>
      <c r="W220" s="35"/>
      <c r="X220" s="135">
        <f>'Manuell filtrering og justering'!E97</f>
        <v>0</v>
      </c>
      <c r="Y220" s="136">
        <f>IF(OR($Y$4=$Y$5,$Y$4=$Y$6),T220,0)</f>
        <v>0</v>
      </c>
      <c r="Z220" s="849">
        <f>VLOOKUP(B220,'Manuell filtrering og justering'!$A$7:$H$253,'Manuell filtrering og justering'!$H$1,FALSE)</f>
        <v>1</v>
      </c>
      <c r="AA220" s="136">
        <f t="shared" si="368"/>
        <v>0</v>
      </c>
      <c r="AB220" s="137">
        <f>IF($AC$5='Manuell filtrering og justering'!$J$2,Z220,(T220-AA220))</f>
        <v>1</v>
      </c>
      <c r="AC220" s="496">
        <v>220</v>
      </c>
      <c r="AD220" s="138">
        <f>(Inn_Weight/Inn_Credits)*Inn04_credits</f>
        <v>0.01</v>
      </c>
      <c r="AE220" s="138">
        <f t="shared" si="369"/>
        <v>0</v>
      </c>
      <c r="AF220" s="138">
        <f t="shared" si="370"/>
        <v>0</v>
      </c>
      <c r="AG220" s="138">
        <f t="shared" si="371"/>
        <v>0</v>
      </c>
      <c r="AI220" s="139">
        <f t="shared" si="372"/>
        <v>0</v>
      </c>
      <c r="AJ220" s="139">
        <f t="shared" si="373"/>
        <v>0</v>
      </c>
      <c r="AK220" s="139">
        <f t="shared" si="374"/>
        <v>0</v>
      </c>
      <c r="AM220" s="236"/>
      <c r="AN220" s="237"/>
      <c r="AO220" s="237"/>
      <c r="AP220" s="237"/>
      <c r="AQ220" s="532"/>
      <c r="AR220" s="111"/>
      <c r="AS220" s="236"/>
      <c r="AT220" s="237"/>
      <c r="AU220" s="237"/>
      <c r="AV220" s="237"/>
      <c r="AW220" s="238"/>
      <c r="AY220" s="134"/>
      <c r="AZ220" s="35"/>
      <c r="BA220" s="35"/>
      <c r="BB220" s="35"/>
      <c r="BC220" s="151">
        <f t="shared" si="335"/>
        <v>0</v>
      </c>
      <c r="BD220" s="148">
        <f t="shared" si="375"/>
        <v>9</v>
      </c>
      <c r="BE220" s="35" t="str">
        <f t="shared" si="376"/>
        <v>N/A</v>
      </c>
      <c r="BF220" s="151"/>
      <c r="BG220" s="148">
        <f t="shared" si="377"/>
        <v>9</v>
      </c>
      <c r="BH220" s="35" t="str">
        <f t="shared" si="378"/>
        <v>N/A</v>
      </c>
      <c r="BI220" s="151"/>
      <c r="BJ220" s="148">
        <f t="shared" si="379"/>
        <v>9</v>
      </c>
      <c r="BK220" s="35" t="str">
        <f t="shared" si="380"/>
        <v>N/A</v>
      </c>
      <c r="BL220" s="151"/>
      <c r="BO220" s="35"/>
      <c r="BP220" s="35"/>
      <c r="BQ220" s="35" t="str">
        <f t="shared" si="347"/>
        <v/>
      </c>
      <c r="BR220" s="35">
        <f t="shared" si="267"/>
        <v>9</v>
      </c>
      <c r="BS220" s="35">
        <f t="shared" si="268"/>
        <v>9</v>
      </c>
      <c r="BT220" s="35">
        <f t="shared" si="269"/>
        <v>9</v>
      </c>
      <c r="BW220" s="35" t="str">
        <f t="shared" si="381"/>
        <v>Inn 04</v>
      </c>
      <c r="BX220" s="35" t="str">
        <f>IFERROR(VLOOKUP($E220,'Pre-analyseverktøy'!$F$11:$AC$226,'Pre-analyseverktøy'!AC$2,FALSE),"")</f>
        <v>N/A</v>
      </c>
      <c r="BY220" s="35">
        <f>IFERROR(VLOOKUP($E220,'Pre-analyseverktøy'!$F$11:$AJ$226,'Pre-analyseverktøy'!AJ$2,FALSE),"")</f>
        <v>0</v>
      </c>
      <c r="BZ220" s="35">
        <f t="shared" si="363"/>
        <v>1</v>
      </c>
      <c r="CA220" s="35">
        <f t="shared" si="364"/>
        <v>0</v>
      </c>
      <c r="CB220" s="35"/>
      <c r="CC220" t="str">
        <f t="shared" si="365"/>
        <v/>
      </c>
      <c r="CO220" s="35">
        <f>'Pre-analyseverktøy'!H215</f>
        <v>0</v>
      </c>
      <c r="CP220" s="35">
        <f>'Pre-analyseverktøy'!O215</f>
        <v>0</v>
      </c>
      <c r="CQ220" s="35">
        <f>'Pre-analyseverktøy'!V215</f>
        <v>0</v>
      </c>
      <c r="CR220" s="35" t="str">
        <f>'Pre-analyseverktøy'!F215</f>
        <v xml:space="preserve">Inn 04 - Hea 06: Biofilisk design </v>
      </c>
      <c r="CS220" s="35" t="b">
        <f t="shared" si="383"/>
        <v>1</v>
      </c>
    </row>
    <row r="221" spans="1:97">
      <c r="A221">
        <v>213</v>
      </c>
      <c r="B221" t="str">
        <f t="shared" si="382"/>
        <v>Inn 05</v>
      </c>
      <c r="C221" t="s">
        <v>352</v>
      </c>
      <c r="D221" s="134" t="s">
        <v>576</v>
      </c>
      <c r="E221" s="832" t="str">
        <f t="shared" si="366"/>
        <v>Inn 05 - Ene 01:  energiledelse i driftsperiode</v>
      </c>
      <c r="F221" s="573">
        <v>2</v>
      </c>
      <c r="G221" s="573">
        <v>2</v>
      </c>
      <c r="H221" s="573">
        <v>2</v>
      </c>
      <c r="I221" s="573">
        <v>2</v>
      </c>
      <c r="J221" s="573">
        <v>2</v>
      </c>
      <c r="K221" s="573">
        <v>2</v>
      </c>
      <c r="L221" s="573">
        <v>2</v>
      </c>
      <c r="M221" s="573">
        <v>2</v>
      </c>
      <c r="N221" s="573">
        <v>2</v>
      </c>
      <c r="O221" s="573">
        <v>2</v>
      </c>
      <c r="P221" s="573">
        <v>2</v>
      </c>
      <c r="Q221" s="574">
        <v>2</v>
      </c>
      <c r="R221" s="574">
        <v>2</v>
      </c>
      <c r="T221" s="136">
        <f t="shared" si="367"/>
        <v>2</v>
      </c>
      <c r="U221" s="134"/>
      <c r="V221" s="35"/>
      <c r="W221" s="35"/>
      <c r="X221" s="135">
        <f>'Manuell filtrering og justering'!E98</f>
        <v>0</v>
      </c>
      <c r="Y221" s="136">
        <f>IF($Y$4=$Y$6,T221,0)</f>
        <v>0</v>
      </c>
      <c r="Z221" s="849">
        <f>VLOOKUP(B221,'Manuell filtrering og justering'!$A$7:$H$253,'Manuell filtrering og justering'!$H$1,FALSE)</f>
        <v>4</v>
      </c>
      <c r="AA221" s="136">
        <f t="shared" si="368"/>
        <v>0</v>
      </c>
      <c r="AB221" s="137">
        <f>IF($AC$5='Manuell filtrering og justering'!$J$2,Z221,(T221-AA221))</f>
        <v>2</v>
      </c>
      <c r="AC221" s="496">
        <v>221</v>
      </c>
      <c r="AD221" s="138">
        <f>(Inn_Weight/Inn_Credits)*Inn05_credits</f>
        <v>0.02</v>
      </c>
      <c r="AE221" s="138">
        <f t="shared" si="369"/>
        <v>0</v>
      </c>
      <c r="AF221" s="138">
        <f t="shared" si="370"/>
        <v>0</v>
      </c>
      <c r="AG221" s="138">
        <f t="shared" si="371"/>
        <v>0</v>
      </c>
      <c r="AI221" s="786">
        <f>IF(OR(AI74&lt;&gt;AB74,Ene02_user&lt;&gt;Ene02_credits),0,IF(VLOOKUP(E221,'Pre-analyseverktøy'!$F$11:$AA$226,'Pre-analyseverktøy'!$H$2,FALSE)&gt;AB221,AB221,VLOOKUP(E221,'Pre-analyseverktøy'!$F$11:$AA$226,'Pre-analyseverktøy'!$H$2,FALSE)))</f>
        <v>0</v>
      </c>
      <c r="AJ221" s="783">
        <f>IF(OR(AJ74&lt;&gt;AB74,AJ75&lt;&gt;Ene02_credits),0,IF(VLOOKUP(E221,'Pre-analyseverktøy'!$F$11:$AA$226,'Pre-analyseverktøy'!$O$2,FALSE)&gt;AB221,AB221,VLOOKUP(E221,'Pre-analyseverktøy'!$F$11:$AA$226,'Pre-analyseverktøy'!$O$2,FALSE)))</f>
        <v>0</v>
      </c>
      <c r="AK221" s="783">
        <f>IF(OR(AK74&lt;&gt;AB74,AK75&lt;&gt;Ene02_credits),0,IF(VLOOKUP(E221,'Pre-analyseverktøy'!$F$11:$AA$226,'Pre-analyseverktøy'!$V$2,FALSE)&gt;AB221,AB221,VLOOKUP(E221,'Pre-analyseverktøy'!$F$11:$AA$226,'Pre-analyseverktøy'!$V$2,FALSE)))</f>
        <v>0</v>
      </c>
      <c r="AM221" s="236"/>
      <c r="AN221" s="237"/>
      <c r="AO221" s="237"/>
      <c r="AP221" s="237"/>
      <c r="AQ221" s="532"/>
      <c r="AR221" s="111"/>
      <c r="AS221" s="236"/>
      <c r="AT221" s="237"/>
      <c r="AU221" s="237"/>
      <c r="AV221" s="237"/>
      <c r="AW221" s="238"/>
      <c r="AY221" s="134"/>
      <c r="AZ221" s="35"/>
      <c r="BA221" s="35"/>
      <c r="BB221" s="35"/>
      <c r="BC221" s="151">
        <f t="shared" si="335"/>
        <v>0</v>
      </c>
      <c r="BD221" s="148">
        <f t="shared" si="375"/>
        <v>9</v>
      </c>
      <c r="BE221" s="35" t="str">
        <f t="shared" si="376"/>
        <v>N/A</v>
      </c>
      <c r="BF221" s="151"/>
      <c r="BG221" s="148">
        <f t="shared" si="377"/>
        <v>9</v>
      </c>
      <c r="BH221" s="35" t="str">
        <f t="shared" si="378"/>
        <v>N/A</v>
      </c>
      <c r="BI221" s="151"/>
      <c r="BJ221" s="148">
        <f t="shared" si="379"/>
        <v>9</v>
      </c>
      <c r="BK221" s="35" t="str">
        <f t="shared" si="380"/>
        <v>N/A</v>
      </c>
      <c r="BL221" s="151"/>
      <c r="BO221" s="35"/>
      <c r="BP221" s="35"/>
      <c r="BQ221" s="35" t="str">
        <f t="shared" si="347"/>
        <v/>
      </c>
      <c r="BR221" s="35">
        <f t="shared" si="267"/>
        <v>9</v>
      </c>
      <c r="BS221" s="35">
        <f t="shared" si="268"/>
        <v>9</v>
      </c>
      <c r="BT221" s="35">
        <f t="shared" si="269"/>
        <v>9</v>
      </c>
      <c r="BW221" s="35" t="str">
        <f t="shared" si="381"/>
        <v>Inn 05</v>
      </c>
      <c r="BX221" s="35" t="str">
        <f>IFERROR(VLOOKUP($E221,'Pre-analyseverktøy'!$F$11:$AC$226,'Pre-analyseverktøy'!AC$2,FALSE),"")</f>
        <v>N/A</v>
      </c>
      <c r="BY221" s="35">
        <f>IFERROR(VLOOKUP($E221,'Pre-analyseverktøy'!$F$11:$AJ$226,'Pre-analyseverktøy'!AJ$2,FALSE),"")</f>
        <v>0</v>
      </c>
      <c r="BZ221" s="35">
        <f t="shared" si="363"/>
        <v>1</v>
      </c>
      <c r="CA221" s="35">
        <f t="shared" si="364"/>
        <v>0</v>
      </c>
      <c r="CB221" s="35"/>
      <c r="CC221" t="str">
        <f t="shared" si="365"/>
        <v/>
      </c>
      <c r="CO221" s="35">
        <f>'Pre-analyseverktøy'!H216</f>
        <v>0</v>
      </c>
      <c r="CP221" s="35">
        <f>'Pre-analyseverktøy'!O216</f>
        <v>0</v>
      </c>
      <c r="CQ221" s="35">
        <f>'Pre-analyseverktøy'!V216</f>
        <v>0</v>
      </c>
      <c r="CR221" s="35" t="str">
        <f>'Pre-analyseverktøy'!F216</f>
        <v>Inn 05 - Ene 01:  energiledelse i driftsperiode</v>
      </c>
      <c r="CS221" s="35" t="b">
        <f t="shared" si="383"/>
        <v>1</v>
      </c>
    </row>
    <row r="222" spans="1:97">
      <c r="A222">
        <v>214</v>
      </c>
      <c r="B222" t="str">
        <f t="shared" si="382"/>
        <v>Inn 06</v>
      </c>
      <c r="C222" t="s">
        <v>352</v>
      </c>
      <c r="D222" s="134" t="s">
        <v>579</v>
      </c>
      <c r="E222" s="832" t="str">
        <f t="shared" si="366"/>
        <v>Inn 06 - Ene 01: plusshus</v>
      </c>
      <c r="F222" s="573">
        <v>1</v>
      </c>
      <c r="G222" s="573">
        <v>1</v>
      </c>
      <c r="H222" s="573">
        <v>1</v>
      </c>
      <c r="I222" s="573">
        <v>1</v>
      </c>
      <c r="J222" s="573">
        <v>1</v>
      </c>
      <c r="K222" s="573">
        <v>1</v>
      </c>
      <c r="L222" s="573">
        <v>1</v>
      </c>
      <c r="M222" s="573">
        <v>1</v>
      </c>
      <c r="N222" s="573">
        <v>1</v>
      </c>
      <c r="O222" s="573">
        <v>1</v>
      </c>
      <c r="P222" s="573">
        <v>1</v>
      </c>
      <c r="Q222" s="574">
        <v>1</v>
      </c>
      <c r="R222" s="574">
        <v>1</v>
      </c>
      <c r="T222" s="136">
        <f t="shared" si="367"/>
        <v>1</v>
      </c>
      <c r="U222" s="134"/>
      <c r="V222" s="35"/>
      <c r="W222" s="35"/>
      <c r="X222" s="135">
        <f>'Manuell filtrering og justering'!E99</f>
        <v>0</v>
      </c>
      <c r="Y222" s="136">
        <f>IF($Y$4=$Y$6,T222,0)</f>
        <v>0</v>
      </c>
      <c r="Z222" s="849">
        <f>VLOOKUP(B222,'Manuell filtrering og justering'!$A$7:$H$253,'Manuell filtrering og justering'!$H$1,FALSE)</f>
        <v>1</v>
      </c>
      <c r="AA222" s="136">
        <f t="shared" si="368"/>
        <v>0</v>
      </c>
      <c r="AB222" s="137">
        <f>IF($AC$5='Manuell filtrering og justering'!$J$2,Z222,(T222-AA222))</f>
        <v>1</v>
      </c>
      <c r="AC222" s="496">
        <v>222</v>
      </c>
      <c r="AD222" s="138">
        <f>(Inn_Weight/Inn_Credits)*Inn06_credits</f>
        <v>0.01</v>
      </c>
      <c r="AE222" s="138">
        <f t="shared" si="369"/>
        <v>0</v>
      </c>
      <c r="AF222" s="138">
        <f t="shared" si="370"/>
        <v>0</v>
      </c>
      <c r="AG222" s="138">
        <f t="shared" si="371"/>
        <v>0</v>
      </c>
      <c r="AI222" s="139">
        <f t="shared" ref="AI222:AI230" si="384">IF(CO222&gt;$AB222,$AB222,CO222)</f>
        <v>0</v>
      </c>
      <c r="AJ222" s="139">
        <f t="shared" ref="AJ222:AJ230" si="385">IF(CP222&gt;$AB222,$AB222,CP222)</f>
        <v>0</v>
      </c>
      <c r="AK222" s="139">
        <f t="shared" ref="AK222:AK230" si="386">IF(CQ222&gt;$AB222,$AB222,CQ222)</f>
        <v>0</v>
      </c>
      <c r="AM222" s="236"/>
      <c r="AN222" s="237"/>
      <c r="AO222" s="237"/>
      <c r="AP222" s="237"/>
      <c r="AQ222" s="532"/>
      <c r="AR222" s="111"/>
      <c r="AS222" s="236"/>
      <c r="AT222" s="237"/>
      <c r="AU222" s="237"/>
      <c r="AV222" s="237"/>
      <c r="AW222" s="238"/>
      <c r="AY222" s="134"/>
      <c r="AZ222" s="35"/>
      <c r="BA222" s="35"/>
      <c r="BB222" s="35"/>
      <c r="BC222" s="151">
        <f t="shared" si="335"/>
        <v>0</v>
      </c>
      <c r="BD222" s="148">
        <f t="shared" si="375"/>
        <v>9</v>
      </c>
      <c r="BE222" s="35" t="str">
        <f t="shared" si="376"/>
        <v>N/A</v>
      </c>
      <c r="BF222" s="151"/>
      <c r="BG222" s="148">
        <f t="shared" si="377"/>
        <v>9</v>
      </c>
      <c r="BH222" s="35" t="str">
        <f t="shared" si="378"/>
        <v>N/A</v>
      </c>
      <c r="BI222" s="151"/>
      <c r="BJ222" s="148">
        <f t="shared" si="379"/>
        <v>9</v>
      </c>
      <c r="BK222" s="35" t="str">
        <f t="shared" si="380"/>
        <v>N/A</v>
      </c>
      <c r="BL222" s="151"/>
      <c r="BO222" s="35"/>
      <c r="BP222" s="35"/>
      <c r="BQ222" s="35" t="str">
        <f t="shared" si="347"/>
        <v/>
      </c>
      <c r="BR222" s="35">
        <f t="shared" si="267"/>
        <v>9</v>
      </c>
      <c r="BS222" s="35">
        <f t="shared" si="268"/>
        <v>9</v>
      </c>
      <c r="BT222" s="35">
        <f t="shared" si="269"/>
        <v>9</v>
      </c>
      <c r="BW222" s="35" t="str">
        <f t="shared" si="381"/>
        <v>Inn 06</v>
      </c>
      <c r="BX222" s="35" t="str">
        <f>IFERROR(VLOOKUP($E222,'Pre-analyseverktøy'!$F$11:$AC$226,'Pre-analyseverktøy'!AC$2,FALSE),"")</f>
        <v>N/A</v>
      </c>
      <c r="BY222" s="35">
        <f>IFERROR(VLOOKUP($E222,'Pre-analyseverktøy'!$F$11:$AJ$226,'Pre-analyseverktøy'!AJ$2,FALSE),"")</f>
        <v>0</v>
      </c>
      <c r="BZ222" s="35">
        <f t="shared" si="363"/>
        <v>1</v>
      </c>
      <c r="CA222" s="35">
        <f t="shared" si="364"/>
        <v>0</v>
      </c>
      <c r="CB222" s="35"/>
      <c r="CC222" t="str">
        <f t="shared" si="365"/>
        <v/>
      </c>
      <c r="CO222" s="35">
        <f>'Pre-analyseverktøy'!H217</f>
        <v>0</v>
      </c>
      <c r="CP222" s="35">
        <f>'Pre-analyseverktøy'!O217</f>
        <v>0</v>
      </c>
      <c r="CQ222" s="35">
        <f>'Pre-analyseverktøy'!V217</f>
        <v>0</v>
      </c>
      <c r="CR222" s="35" t="str">
        <f>'Pre-analyseverktøy'!F217</f>
        <v>Inn 06 - Ene 01: plusshus</v>
      </c>
      <c r="CS222" s="35" t="b">
        <f t="shared" si="383"/>
        <v>1</v>
      </c>
    </row>
    <row r="223" spans="1:97">
      <c r="A223">
        <v>215</v>
      </c>
      <c r="B223" t="str">
        <f t="shared" si="382"/>
        <v>Inn 07</v>
      </c>
      <c r="C223" t="s">
        <v>414</v>
      </c>
      <c r="D223" s="134" t="s">
        <v>581</v>
      </c>
      <c r="E223" s="35" t="str">
        <f t="shared" si="366"/>
        <v>Inn 07 - Wat 01: svært vanneffektivt sanitærutstyr</v>
      </c>
      <c r="F223" s="575">
        <v>1</v>
      </c>
      <c r="G223" s="575">
        <v>1</v>
      </c>
      <c r="H223" s="575">
        <v>1</v>
      </c>
      <c r="I223" s="575">
        <v>1</v>
      </c>
      <c r="J223" s="575">
        <v>1</v>
      </c>
      <c r="K223" s="575">
        <v>1</v>
      </c>
      <c r="L223" s="575">
        <v>1</v>
      </c>
      <c r="M223" s="575">
        <v>1</v>
      </c>
      <c r="N223" s="575">
        <v>1</v>
      </c>
      <c r="O223" s="575">
        <v>1</v>
      </c>
      <c r="P223" s="575">
        <v>1</v>
      </c>
      <c r="Q223" s="576">
        <v>1</v>
      </c>
      <c r="R223" s="576">
        <v>1</v>
      </c>
      <c r="T223" s="136">
        <f t="shared" si="367"/>
        <v>1</v>
      </c>
      <c r="U223" s="134"/>
      <c r="V223" s="35"/>
      <c r="W223" s="35"/>
      <c r="X223" s="135">
        <f>'Manuell filtrering og justering'!E100</f>
        <v>0</v>
      </c>
      <c r="Y223" s="136"/>
      <c r="Z223" s="849">
        <f>VLOOKUP(B223,'Manuell filtrering og justering'!$A$7:$H$253,'Manuell filtrering og justering'!$H$1,FALSE)</f>
        <v>1</v>
      </c>
      <c r="AA223" s="136">
        <f t="shared" si="368"/>
        <v>0</v>
      </c>
      <c r="AB223" s="137">
        <f>IF($AC$5='Manuell filtrering og justering'!$J$2,Z223,(T223-AA223))</f>
        <v>1</v>
      </c>
      <c r="AC223" s="496">
        <v>223</v>
      </c>
      <c r="AD223" s="138">
        <f>(Inn_Weight/Inn_Credits)*Inn07_credits</f>
        <v>0.01</v>
      </c>
      <c r="AE223" s="138">
        <f t="shared" si="369"/>
        <v>0</v>
      </c>
      <c r="AF223" s="138">
        <f t="shared" si="370"/>
        <v>0</v>
      </c>
      <c r="AG223" s="138">
        <f t="shared" si="371"/>
        <v>0</v>
      </c>
      <c r="AI223" s="139">
        <f t="shared" si="384"/>
        <v>0</v>
      </c>
      <c r="AJ223" s="139">
        <f t="shared" si="385"/>
        <v>0</v>
      </c>
      <c r="AK223" s="139">
        <f t="shared" si="386"/>
        <v>0</v>
      </c>
      <c r="AM223" s="236"/>
      <c r="AN223" s="237"/>
      <c r="AO223" s="237"/>
      <c r="AP223" s="237"/>
      <c r="AQ223" s="532"/>
      <c r="AR223" s="111"/>
      <c r="AS223" s="236"/>
      <c r="AT223" s="237"/>
      <c r="AU223" s="237"/>
      <c r="AV223" s="237"/>
      <c r="AW223" s="238"/>
      <c r="AY223" s="134"/>
      <c r="AZ223" s="35"/>
      <c r="BA223" s="35"/>
      <c r="BB223" s="35"/>
      <c r="BC223" s="151">
        <f t="shared" si="335"/>
        <v>0</v>
      </c>
      <c r="BD223" s="148">
        <f t="shared" si="375"/>
        <v>9</v>
      </c>
      <c r="BE223" s="35" t="str">
        <f t="shared" si="376"/>
        <v>N/A</v>
      </c>
      <c r="BF223" s="151"/>
      <c r="BG223" s="148">
        <f t="shared" si="377"/>
        <v>9</v>
      </c>
      <c r="BH223" s="35" t="str">
        <f t="shared" si="378"/>
        <v>N/A</v>
      </c>
      <c r="BI223" s="151"/>
      <c r="BJ223" s="148">
        <f t="shared" si="379"/>
        <v>9</v>
      </c>
      <c r="BK223" s="35" t="str">
        <f t="shared" si="380"/>
        <v>N/A</v>
      </c>
      <c r="BL223" s="151"/>
      <c r="BO223" s="35"/>
      <c r="BP223" s="35"/>
      <c r="BQ223" s="35" t="str">
        <f t="shared" si="347"/>
        <v/>
      </c>
      <c r="BR223" s="35">
        <f t="shared" ref="BR223:BR230" si="387">IF(BQ223="",9,(IF(AI223&gt;=BQ223,5,0)))</f>
        <v>9</v>
      </c>
      <c r="BS223" s="35">
        <f t="shared" ref="BS223:BS230" si="388">IF(BQ223="",9,(IF(AJ223&gt;=BQ223,5,0)))</f>
        <v>9</v>
      </c>
      <c r="BT223" s="35">
        <f t="shared" ref="BT223:BT230" si="389">IF(BQ223="",9,(IF(AK223&gt;=BQ223,5,0)))</f>
        <v>9</v>
      </c>
      <c r="BW223" s="35" t="str">
        <f t="shared" si="381"/>
        <v>Inn 07</v>
      </c>
      <c r="BX223" s="35" t="str">
        <f>IFERROR(VLOOKUP($E223,'Pre-analyseverktøy'!$F$11:$AC$226,'Pre-analyseverktøy'!AC$2,FALSE),"")</f>
        <v>N/A</v>
      </c>
      <c r="BY223" s="35">
        <f>IFERROR(VLOOKUP($E223,'Pre-analyseverktøy'!$F$11:$AJ$226,'Pre-analyseverktøy'!AJ$2,FALSE),"")</f>
        <v>0</v>
      </c>
      <c r="BZ223" s="35">
        <f t="shared" si="363"/>
        <v>1</v>
      </c>
      <c r="CA223" s="35">
        <f t="shared" si="364"/>
        <v>0</v>
      </c>
      <c r="CB223" s="35"/>
      <c r="CC223" t="str">
        <f t="shared" si="365"/>
        <v/>
      </c>
      <c r="CO223" s="35">
        <f>'Pre-analyseverktøy'!H218</f>
        <v>0</v>
      </c>
      <c r="CP223" s="35">
        <f>'Pre-analyseverktøy'!O218</f>
        <v>0</v>
      </c>
      <c r="CQ223" s="35">
        <f>'Pre-analyseverktøy'!V218</f>
        <v>0</v>
      </c>
      <c r="CR223" s="35" t="str">
        <f>'Pre-analyseverktøy'!F218</f>
        <v>Inn 07 - Wat 01: svært vanneffektivt sanitærutstyr</v>
      </c>
      <c r="CS223" s="35" t="b">
        <f t="shared" si="383"/>
        <v>1</v>
      </c>
    </row>
    <row r="224" spans="1:97">
      <c r="A224">
        <v>216</v>
      </c>
      <c r="B224" t="str">
        <f t="shared" si="382"/>
        <v>Inn 08</v>
      </c>
      <c r="C224" t="s">
        <v>440</v>
      </c>
      <c r="D224" s="134" t="s">
        <v>583</v>
      </c>
      <c r="E224" s="35" t="str">
        <f t="shared" si="366"/>
        <v>Inn 08 - Mat 01: 60 % reduksjon av klimagassutslipp</v>
      </c>
      <c r="F224" s="575">
        <v>1</v>
      </c>
      <c r="G224" s="575">
        <v>1</v>
      </c>
      <c r="H224" s="575">
        <v>1</v>
      </c>
      <c r="I224" s="575">
        <v>1</v>
      </c>
      <c r="J224" s="575">
        <v>1</v>
      </c>
      <c r="K224" s="575">
        <v>1</v>
      </c>
      <c r="L224" s="575">
        <v>1</v>
      </c>
      <c r="M224" s="575">
        <v>1</v>
      </c>
      <c r="N224" s="575">
        <v>1</v>
      </c>
      <c r="O224" s="575">
        <v>1</v>
      </c>
      <c r="P224" s="575">
        <v>1</v>
      </c>
      <c r="Q224" s="576">
        <v>1</v>
      </c>
      <c r="R224" s="576">
        <v>1</v>
      </c>
      <c r="T224" s="136">
        <f t="shared" si="367"/>
        <v>1</v>
      </c>
      <c r="U224" s="134"/>
      <c r="V224" s="35"/>
      <c r="W224" s="35"/>
      <c r="X224" s="135">
        <f>'Manuell filtrering og justering'!E101</f>
        <v>0</v>
      </c>
      <c r="Y224" s="136"/>
      <c r="Z224" s="849">
        <f>VLOOKUP(B224,'Manuell filtrering og justering'!$A$7:$H$253,'Manuell filtrering og justering'!$H$1,FALSE)</f>
        <v>1</v>
      </c>
      <c r="AA224" s="136">
        <f t="shared" si="368"/>
        <v>0</v>
      </c>
      <c r="AB224" s="137">
        <f>IF($AC$5='Manuell filtrering og justering'!$J$2,Z224,(T224-AA224))</f>
        <v>1</v>
      </c>
      <c r="AC224" s="496">
        <v>224</v>
      </c>
      <c r="AD224" s="138">
        <f>(Inn_Weight/Inn_Credits)*Inn08_credits</f>
        <v>0.01</v>
      </c>
      <c r="AE224" s="138">
        <f t="shared" si="369"/>
        <v>0</v>
      </c>
      <c r="AF224" s="138">
        <f t="shared" si="370"/>
        <v>0</v>
      </c>
      <c r="AG224" s="138">
        <f t="shared" si="371"/>
        <v>0</v>
      </c>
      <c r="AI224" s="139">
        <f t="shared" si="384"/>
        <v>0</v>
      </c>
      <c r="AJ224" s="139">
        <f t="shared" si="385"/>
        <v>0</v>
      </c>
      <c r="AK224" s="139">
        <f t="shared" si="386"/>
        <v>0</v>
      </c>
      <c r="AM224" s="236"/>
      <c r="AN224" s="237"/>
      <c r="AO224" s="237"/>
      <c r="AP224" s="237"/>
      <c r="AQ224" s="532"/>
      <c r="AR224" s="111"/>
      <c r="AS224" s="236"/>
      <c r="AT224" s="237"/>
      <c r="AU224" s="237"/>
      <c r="AV224" s="237"/>
      <c r="AW224" s="238"/>
      <c r="AY224" s="134"/>
      <c r="AZ224" s="35"/>
      <c r="BA224" s="35"/>
      <c r="BB224" s="35"/>
      <c r="BC224" s="151">
        <f t="shared" ref="BC224:BC230" si="390">IF($E$6=$H$9,AW224,AQ224)</f>
        <v>0</v>
      </c>
      <c r="BD224" s="148">
        <f t="shared" si="375"/>
        <v>9</v>
      </c>
      <c r="BE224" s="35" t="str">
        <f t="shared" si="376"/>
        <v>N/A</v>
      </c>
      <c r="BF224" s="151"/>
      <c r="BG224" s="148">
        <f t="shared" si="377"/>
        <v>9</v>
      </c>
      <c r="BH224" s="35" t="str">
        <f t="shared" si="378"/>
        <v>N/A</v>
      </c>
      <c r="BI224" s="151"/>
      <c r="BJ224" s="148">
        <f t="shared" si="379"/>
        <v>9</v>
      </c>
      <c r="BK224" s="35" t="str">
        <f t="shared" si="380"/>
        <v>N/A</v>
      </c>
      <c r="BL224" s="151"/>
      <c r="BO224" s="35"/>
      <c r="BP224" s="35"/>
      <c r="BQ224" s="35" t="str">
        <f t="shared" si="347"/>
        <v/>
      </c>
      <c r="BR224" s="35">
        <f t="shared" si="387"/>
        <v>9</v>
      </c>
      <c r="BS224" s="35">
        <f t="shared" si="388"/>
        <v>9</v>
      </c>
      <c r="BT224" s="35">
        <f t="shared" si="389"/>
        <v>9</v>
      </c>
      <c r="BW224" s="35" t="str">
        <f t="shared" si="381"/>
        <v>Inn 08</v>
      </c>
      <c r="BX224" s="35" t="str">
        <f>IFERROR(VLOOKUP($E224,'Pre-analyseverktøy'!$F$11:$AC$226,'Pre-analyseverktøy'!AC$2,FALSE),"")</f>
        <v>N/A</v>
      </c>
      <c r="BY224" s="35">
        <f>IFERROR(VLOOKUP($E224,'Pre-analyseverktøy'!$F$11:$AJ$226,'Pre-analyseverktøy'!AJ$2,FALSE),"")</f>
        <v>0</v>
      </c>
      <c r="BZ224" s="35">
        <f t="shared" si="363"/>
        <v>1</v>
      </c>
      <c r="CA224" s="35">
        <f t="shared" si="364"/>
        <v>0</v>
      </c>
      <c r="CB224" s="35"/>
      <c r="CC224" t="str">
        <f t="shared" si="365"/>
        <v/>
      </c>
      <c r="CO224" s="35">
        <f>'Pre-analyseverktøy'!H219</f>
        <v>0</v>
      </c>
      <c r="CP224" s="35">
        <f>'Pre-analyseverktøy'!O219</f>
        <v>0</v>
      </c>
      <c r="CQ224" s="35">
        <f>'Pre-analyseverktøy'!V219</f>
        <v>0</v>
      </c>
      <c r="CR224" s="35" t="str">
        <f>'Pre-analyseverktøy'!F219</f>
        <v>Inn 08 - Mat 01: 60 % reduksjon av klimagassutslipp</v>
      </c>
      <c r="CS224" s="35" t="b">
        <f t="shared" si="383"/>
        <v>1</v>
      </c>
    </row>
    <row r="225" spans="1:97">
      <c r="A225">
        <v>217</v>
      </c>
      <c r="B225" t="str">
        <f t="shared" si="382"/>
        <v>Inn 09</v>
      </c>
      <c r="C225" t="s">
        <v>463</v>
      </c>
      <c r="D225" s="134" t="s">
        <v>585</v>
      </c>
      <c r="E225" s="35" t="str">
        <f t="shared" si="366"/>
        <v>Inn 09 - Mat 06: FutureBuilt-kriterier under 2.3 Ombruk av bygningsdeler for sirkulære bygg</v>
      </c>
      <c r="F225" s="575">
        <v>1</v>
      </c>
      <c r="G225" s="575">
        <v>1</v>
      </c>
      <c r="H225" s="575">
        <v>1</v>
      </c>
      <c r="I225" s="575">
        <v>1</v>
      </c>
      <c r="J225" s="575">
        <v>1</v>
      </c>
      <c r="K225" s="575">
        <v>1</v>
      </c>
      <c r="L225" s="575">
        <v>1</v>
      </c>
      <c r="M225" s="575">
        <v>1</v>
      </c>
      <c r="N225" s="575">
        <v>1</v>
      </c>
      <c r="O225" s="575">
        <v>1</v>
      </c>
      <c r="P225" s="575">
        <v>1</v>
      </c>
      <c r="Q225" s="576">
        <v>1</v>
      </c>
      <c r="R225" s="576">
        <v>1</v>
      </c>
      <c r="T225" s="136">
        <f t="shared" si="367"/>
        <v>1</v>
      </c>
      <c r="U225" s="155"/>
      <c r="V225" s="40"/>
      <c r="W225" s="40"/>
      <c r="X225" s="135">
        <f>'Manuell filtrering og justering'!E102</f>
        <v>0</v>
      </c>
      <c r="Y225" s="136"/>
      <c r="Z225" s="849">
        <f>VLOOKUP(B225,'Manuell filtrering og justering'!$A$7:$H$253,'Manuell filtrering og justering'!$H$1,FALSE)</f>
        <v>1</v>
      </c>
      <c r="AA225" s="136">
        <f t="shared" si="368"/>
        <v>0</v>
      </c>
      <c r="AB225" s="137">
        <f>IF($AC$5='Manuell filtrering og justering'!$J$2,Z225,(T225-AA225))</f>
        <v>1</v>
      </c>
      <c r="AC225" s="496">
        <v>225</v>
      </c>
      <c r="AD225" s="138">
        <f>(Inn_Weight/Inn_Credits)*Inn09_credits</f>
        <v>0.01</v>
      </c>
      <c r="AE225" s="138">
        <f t="shared" si="369"/>
        <v>0</v>
      </c>
      <c r="AF225" s="138">
        <f t="shared" si="370"/>
        <v>0</v>
      </c>
      <c r="AG225" s="138">
        <f t="shared" si="371"/>
        <v>0</v>
      </c>
      <c r="AI225" s="139">
        <f t="shared" si="384"/>
        <v>0</v>
      </c>
      <c r="AJ225" s="139">
        <f t="shared" si="385"/>
        <v>0</v>
      </c>
      <c r="AK225" s="139">
        <f t="shared" si="386"/>
        <v>0</v>
      </c>
      <c r="AM225" s="236"/>
      <c r="AN225" s="237"/>
      <c r="AO225" s="237"/>
      <c r="AP225" s="237"/>
      <c r="AQ225" s="532"/>
      <c r="AR225" s="111"/>
      <c r="AS225" s="236"/>
      <c r="AT225" s="237"/>
      <c r="AU225" s="237"/>
      <c r="AV225" s="237"/>
      <c r="AW225" s="238"/>
      <c r="AY225" s="134"/>
      <c r="AZ225" s="35"/>
      <c r="BA225" s="35"/>
      <c r="BB225" s="35"/>
      <c r="BC225" s="151">
        <f t="shared" si="390"/>
        <v>0</v>
      </c>
      <c r="BD225" s="148">
        <f t="shared" si="375"/>
        <v>9</v>
      </c>
      <c r="BE225" s="35" t="str">
        <f t="shared" si="376"/>
        <v>N/A</v>
      </c>
      <c r="BF225" s="151"/>
      <c r="BG225" s="148">
        <f t="shared" si="377"/>
        <v>9</v>
      </c>
      <c r="BH225" s="35" t="str">
        <f t="shared" si="378"/>
        <v>N/A</v>
      </c>
      <c r="BI225" s="151"/>
      <c r="BJ225" s="148">
        <f t="shared" si="379"/>
        <v>9</v>
      </c>
      <c r="BK225" s="35" t="str">
        <f t="shared" si="380"/>
        <v>N/A</v>
      </c>
      <c r="BL225" s="151"/>
      <c r="BO225" s="35"/>
      <c r="BP225" s="35"/>
      <c r="BQ225" s="35" t="str">
        <f t="shared" si="347"/>
        <v/>
      </c>
      <c r="BR225" s="35">
        <f t="shared" si="387"/>
        <v>9</v>
      </c>
      <c r="BS225" s="35">
        <f t="shared" si="388"/>
        <v>9</v>
      </c>
      <c r="BT225" s="35">
        <f t="shared" si="389"/>
        <v>9</v>
      </c>
      <c r="BW225" s="35" t="str">
        <f t="shared" si="381"/>
        <v>Inn 09</v>
      </c>
      <c r="BX225" s="35" t="str">
        <f>IFERROR(VLOOKUP($E225,'Pre-analyseverktøy'!$F$11:$AC$226,'Pre-analyseverktøy'!AC$2,FALSE),"")</f>
        <v>N/A</v>
      </c>
      <c r="BY225" s="35">
        <f>IFERROR(VLOOKUP($E225,'Pre-analyseverktøy'!$F$11:$AJ$226,'Pre-analyseverktøy'!AJ$2,FALSE),"")</f>
        <v>0</v>
      </c>
      <c r="BZ225" s="35">
        <f t="shared" si="363"/>
        <v>1</v>
      </c>
      <c r="CA225" s="35">
        <f t="shared" si="364"/>
        <v>0</v>
      </c>
      <c r="CB225" s="35"/>
      <c r="CC225" t="str">
        <f t="shared" si="365"/>
        <v/>
      </c>
      <c r="CO225" s="35">
        <f>'Pre-analyseverktøy'!H220</f>
        <v>0</v>
      </c>
      <c r="CP225" s="35">
        <f>'Pre-analyseverktøy'!O220</f>
        <v>0</v>
      </c>
      <c r="CQ225" s="35">
        <f>'Pre-analyseverktøy'!V220</f>
        <v>0</v>
      </c>
      <c r="CR225" s="35" t="str">
        <f>'Pre-analyseverktøy'!F220</f>
        <v>Inn 09 - Mat 06: FutureBuilt-kriterier under 2.3 Ombruk av bygningsdeler for sirkulære bygg</v>
      </c>
      <c r="CS225" s="35" t="b">
        <f t="shared" si="383"/>
        <v>1</v>
      </c>
    </row>
    <row r="226" spans="1:97">
      <c r="A226">
        <v>218</v>
      </c>
      <c r="B226" t="str">
        <f t="shared" si="382"/>
        <v>Inn 10</v>
      </c>
      <c r="C226" t="s">
        <v>478</v>
      </c>
      <c r="D226" s="179" t="s">
        <v>587</v>
      </c>
      <c r="E226" s="35" t="str">
        <f t="shared" si="366"/>
        <v>Inn 10 - Wst 01: svært lave avfallsmengder</v>
      </c>
      <c r="F226" s="575">
        <v>1</v>
      </c>
      <c r="G226" s="575">
        <v>1</v>
      </c>
      <c r="H226" s="575">
        <v>1</v>
      </c>
      <c r="I226" s="575">
        <v>1</v>
      </c>
      <c r="J226" s="575">
        <v>1</v>
      </c>
      <c r="K226" s="575">
        <v>1</v>
      </c>
      <c r="L226" s="575">
        <v>1</v>
      </c>
      <c r="M226" s="575">
        <v>1</v>
      </c>
      <c r="N226" s="575">
        <v>1</v>
      </c>
      <c r="O226" s="575">
        <v>1</v>
      </c>
      <c r="P226" s="575">
        <v>1</v>
      </c>
      <c r="Q226" s="576">
        <v>1</v>
      </c>
      <c r="R226" s="576">
        <v>1</v>
      </c>
      <c r="T226" s="136">
        <f t="shared" si="367"/>
        <v>1</v>
      </c>
      <c r="U226" s="155"/>
      <c r="V226" s="40"/>
      <c r="W226" s="40"/>
      <c r="X226" s="135">
        <f>'Manuell filtrering og justering'!E103</f>
        <v>0</v>
      </c>
      <c r="Y226" s="136"/>
      <c r="Z226" s="849">
        <f>VLOOKUP(B226,'Manuell filtrering og justering'!$A$7:$H$253,'Manuell filtrering og justering'!$H$1,FALSE)</f>
        <v>1</v>
      </c>
      <c r="AA226" s="136">
        <f t="shared" si="368"/>
        <v>0</v>
      </c>
      <c r="AB226" s="137">
        <f>IF($AC$5='Manuell filtrering og justering'!$J$2,Z226,(T226-AA226))</f>
        <v>1</v>
      </c>
      <c r="AC226" s="496">
        <v>226</v>
      </c>
      <c r="AD226" s="138">
        <f>(Inn_Weight/Inn_Credits)*Inn10_credits</f>
        <v>0.01</v>
      </c>
      <c r="AE226" s="138">
        <f t="shared" si="369"/>
        <v>0</v>
      </c>
      <c r="AF226" s="138">
        <f t="shared" si="370"/>
        <v>0</v>
      </c>
      <c r="AG226" s="138">
        <f t="shared" si="371"/>
        <v>0</v>
      </c>
      <c r="AI226" s="139">
        <f t="shared" si="384"/>
        <v>0</v>
      </c>
      <c r="AJ226" s="139">
        <f t="shared" si="385"/>
        <v>0</v>
      </c>
      <c r="AK226" s="139">
        <f t="shared" si="386"/>
        <v>0</v>
      </c>
      <c r="AM226" s="236"/>
      <c r="AN226" s="237"/>
      <c r="AO226" s="237"/>
      <c r="AP226" s="237"/>
      <c r="AQ226" s="532"/>
      <c r="AR226" s="111"/>
      <c r="AS226" s="236"/>
      <c r="AT226" s="237"/>
      <c r="AU226" s="237"/>
      <c r="AV226" s="237"/>
      <c r="AW226" s="238"/>
      <c r="AY226" s="134"/>
      <c r="AZ226" s="35"/>
      <c r="BA226" s="35"/>
      <c r="BB226" s="35"/>
      <c r="BC226" s="151">
        <f t="shared" si="390"/>
        <v>0</v>
      </c>
      <c r="BD226" s="148">
        <f t="shared" si="375"/>
        <v>9</v>
      </c>
      <c r="BE226" s="35" t="str">
        <f t="shared" si="376"/>
        <v>N/A</v>
      </c>
      <c r="BF226" s="151"/>
      <c r="BG226" s="148">
        <f>IF(BC226=0,9,IF(AJ226&gt;=BC226,5,IF(AJ226&gt;=BB226,4,IF(AJ226&gt;=BA226,3,IF(AJ226&gt;=AZ226,2,IF(AJ226&lt;AY226,0,1))))))</f>
        <v>9</v>
      </c>
      <c r="BH226" s="35" t="str">
        <f t="shared" si="378"/>
        <v>N/A</v>
      </c>
      <c r="BI226" s="151"/>
      <c r="BJ226" s="148">
        <f t="shared" si="379"/>
        <v>9</v>
      </c>
      <c r="BK226" s="35" t="str">
        <f t="shared" si="380"/>
        <v>N/A</v>
      </c>
      <c r="BL226" s="151"/>
      <c r="BO226" s="35"/>
      <c r="BP226" s="35"/>
      <c r="BQ226" s="35" t="str">
        <f t="shared" si="347"/>
        <v/>
      </c>
      <c r="BR226" s="35">
        <f t="shared" si="387"/>
        <v>9</v>
      </c>
      <c r="BS226" s="35">
        <f t="shared" si="388"/>
        <v>9</v>
      </c>
      <c r="BT226" s="35">
        <f t="shared" si="389"/>
        <v>9</v>
      </c>
      <c r="BW226" s="55"/>
      <c r="BX226" s="55"/>
      <c r="BY226" s="55"/>
      <c r="BZ226" s="55"/>
      <c r="CA226" s="55"/>
      <c r="CB226" s="55"/>
      <c r="CO226" s="35">
        <f>'Pre-analyseverktøy'!H221</f>
        <v>0</v>
      </c>
      <c r="CP226" s="35">
        <f>'Pre-analyseverktøy'!O221</f>
        <v>0</v>
      </c>
      <c r="CQ226" s="35">
        <f>'Pre-analyseverktøy'!V221</f>
        <v>0</v>
      </c>
      <c r="CR226" s="35" t="str">
        <f>'Pre-analyseverktøy'!F221</f>
        <v>Inn 10 - Wst 01: svært lave avfallsmengder</v>
      </c>
      <c r="CS226" s="35" t="b">
        <f t="shared" si="383"/>
        <v>1</v>
      </c>
    </row>
    <row r="227" spans="1:97">
      <c r="A227">
        <v>219</v>
      </c>
      <c r="B227" t="str">
        <f t="shared" si="382"/>
        <v>Inn 11</v>
      </c>
      <c r="C227" t="s">
        <v>503</v>
      </c>
      <c r="D227" s="179" t="s">
        <v>588</v>
      </c>
      <c r="E227" s="35" t="str">
        <f t="shared" si="366"/>
        <v>Inn 11 - LE 02:  helhetlig bærekraft for utbyggingsområdet</v>
      </c>
      <c r="F227" s="575">
        <v>1</v>
      </c>
      <c r="G227" s="575">
        <v>1</v>
      </c>
      <c r="H227" s="575">
        <v>1</v>
      </c>
      <c r="I227" s="575">
        <v>1</v>
      </c>
      <c r="J227" s="575">
        <v>1</v>
      </c>
      <c r="K227" s="575">
        <v>1</v>
      </c>
      <c r="L227" s="575">
        <v>1</v>
      </c>
      <c r="M227" s="575">
        <v>1</v>
      </c>
      <c r="N227" s="575">
        <v>1</v>
      </c>
      <c r="O227" s="575">
        <v>1</v>
      </c>
      <c r="P227" s="575">
        <v>1</v>
      </c>
      <c r="Q227" s="576">
        <v>1</v>
      </c>
      <c r="R227" s="576">
        <v>1</v>
      </c>
      <c r="T227" s="136">
        <f t="shared" si="367"/>
        <v>1</v>
      </c>
      <c r="U227" s="155"/>
      <c r="V227" s="40"/>
      <c r="W227" s="40"/>
      <c r="X227" s="135">
        <f>'Manuell filtrering og justering'!E104</f>
        <v>0</v>
      </c>
      <c r="Y227" s="136"/>
      <c r="Z227" s="849">
        <f>VLOOKUP(B227,'Manuell filtrering og justering'!$A$7:$H$253,'Manuell filtrering og justering'!$H$1,FALSE)</f>
        <v>1</v>
      </c>
      <c r="AA227" s="136">
        <f t="shared" si="368"/>
        <v>0</v>
      </c>
      <c r="AB227" s="137">
        <f>IF($AC$5='Manuell filtrering og justering'!$J$2,Z227,(T227-AA227))</f>
        <v>1</v>
      </c>
      <c r="AC227" s="496">
        <v>227</v>
      </c>
      <c r="AD227" s="138">
        <f>(Inn_Weight/Inn_Credits)*Inn11_credits</f>
        <v>0.01</v>
      </c>
      <c r="AE227" s="138">
        <f t="shared" si="369"/>
        <v>0</v>
      </c>
      <c r="AF227" s="138">
        <f t="shared" si="370"/>
        <v>0</v>
      </c>
      <c r="AG227" s="138">
        <f t="shared" si="371"/>
        <v>0</v>
      </c>
      <c r="AI227" s="139">
        <f t="shared" si="384"/>
        <v>0</v>
      </c>
      <c r="AJ227" s="139">
        <f t="shared" si="385"/>
        <v>0</v>
      </c>
      <c r="AK227" s="139">
        <f t="shared" si="386"/>
        <v>0</v>
      </c>
      <c r="AM227" s="236"/>
      <c r="AN227" s="237"/>
      <c r="AO227" s="237"/>
      <c r="AP227" s="237"/>
      <c r="AQ227" s="532"/>
      <c r="AR227" s="111"/>
      <c r="AS227" s="236"/>
      <c r="AT227" s="237"/>
      <c r="AU227" s="237"/>
      <c r="AV227" s="237"/>
      <c r="AW227" s="238"/>
      <c r="AY227" s="134"/>
      <c r="AZ227" s="35"/>
      <c r="BA227" s="35"/>
      <c r="BB227" s="35"/>
      <c r="BC227" s="151">
        <f t="shared" si="390"/>
        <v>0</v>
      </c>
      <c r="BD227" s="148">
        <f t="shared" si="375"/>
        <v>9</v>
      </c>
      <c r="BE227" s="35" t="str">
        <f t="shared" si="376"/>
        <v>N/A</v>
      </c>
      <c r="BF227" s="151"/>
      <c r="BG227" s="148">
        <f>IF(BC227=0,9,IF(AJ227&gt;=BC227,5,IF(AJ227&gt;=BB227,4,IF(AJ227&gt;=BA227,3,IF(AJ227&gt;=AZ227,2,IF(AJ227&lt;AY227,0,1))))))</f>
        <v>9</v>
      </c>
      <c r="BH227" s="35" t="str">
        <f t="shared" si="378"/>
        <v>N/A</v>
      </c>
      <c r="BI227" s="151"/>
      <c r="BJ227" s="148">
        <f t="shared" si="379"/>
        <v>9</v>
      </c>
      <c r="BK227" s="35" t="str">
        <f t="shared" si="380"/>
        <v>N/A</v>
      </c>
      <c r="BL227" s="151"/>
      <c r="BO227" s="35"/>
      <c r="BP227" s="35"/>
      <c r="BQ227" s="35" t="str">
        <f t="shared" si="347"/>
        <v/>
      </c>
      <c r="BR227" s="35">
        <f t="shared" si="387"/>
        <v>9</v>
      </c>
      <c r="BS227" s="35">
        <f t="shared" si="388"/>
        <v>9</v>
      </c>
      <c r="BT227" s="35">
        <f t="shared" si="389"/>
        <v>9</v>
      </c>
      <c r="BW227" s="55"/>
      <c r="BX227" s="55"/>
      <c r="BY227" s="55"/>
      <c r="BZ227" s="55"/>
      <c r="CA227" s="55"/>
      <c r="CB227" s="55"/>
      <c r="CO227" s="35">
        <f>'Pre-analyseverktøy'!H222</f>
        <v>0</v>
      </c>
      <c r="CP227" s="35">
        <f>'Pre-analyseverktøy'!O222</f>
        <v>0</v>
      </c>
      <c r="CQ227" s="35">
        <f>'Pre-analyseverktøy'!V222</f>
        <v>0</v>
      </c>
      <c r="CR227" s="35" t="str">
        <f>'Pre-analyseverktøy'!F222</f>
        <v>Inn 11 - LE 02:  helhetlig bærekraft for utbyggingsområdet</v>
      </c>
      <c r="CS227" s="35" t="b">
        <f t="shared" si="383"/>
        <v>1</v>
      </c>
    </row>
    <row r="228" spans="1:97">
      <c r="A228">
        <v>220</v>
      </c>
      <c r="B228" t="str">
        <f t="shared" si="382"/>
        <v>Inn 12</v>
      </c>
      <c r="C228" t="s">
        <v>512</v>
      </c>
      <c r="D228" s="179" t="s">
        <v>589</v>
      </c>
      <c r="E228" s="35" t="str">
        <f t="shared" si="366"/>
        <v>Inn 12 - LE 04: betydelig netto forbedring av biodiversitet</v>
      </c>
      <c r="F228" s="575">
        <v>1</v>
      </c>
      <c r="G228" s="575">
        <v>1</v>
      </c>
      <c r="H228" s="575">
        <v>1</v>
      </c>
      <c r="I228" s="575">
        <v>1</v>
      </c>
      <c r="J228" s="575">
        <v>1</v>
      </c>
      <c r="K228" s="575">
        <v>1</v>
      </c>
      <c r="L228" s="575">
        <v>1</v>
      </c>
      <c r="M228" s="575">
        <v>1</v>
      </c>
      <c r="N228" s="575">
        <v>1</v>
      </c>
      <c r="O228" s="575">
        <v>1</v>
      </c>
      <c r="P228" s="575">
        <v>1</v>
      </c>
      <c r="Q228" s="576">
        <v>1</v>
      </c>
      <c r="R228" s="576">
        <v>1</v>
      </c>
      <c r="T228" s="136">
        <f t="shared" si="367"/>
        <v>1</v>
      </c>
      <c r="U228" s="155"/>
      <c r="V228" s="40"/>
      <c r="W228" s="40"/>
      <c r="X228" s="135">
        <f>'Manuell filtrering og justering'!E105</f>
        <v>0</v>
      </c>
      <c r="Y228" s="136"/>
      <c r="Z228" s="849">
        <f>VLOOKUP(B228,'Manuell filtrering og justering'!$A$7:$H$253,'Manuell filtrering og justering'!$H$1,FALSE)</f>
        <v>1</v>
      </c>
      <c r="AA228" s="136">
        <f t="shared" si="368"/>
        <v>0</v>
      </c>
      <c r="AB228" s="137">
        <f>IF($AC$5='Manuell filtrering og justering'!$J$2,Z228,(T228-AA228))</f>
        <v>1</v>
      </c>
      <c r="AC228" s="496">
        <v>228</v>
      </c>
      <c r="AD228" s="138">
        <f>(Inn_Weight/Inn_Credits)*Inn12_credits</f>
        <v>0.01</v>
      </c>
      <c r="AE228" s="138">
        <f t="shared" si="369"/>
        <v>0</v>
      </c>
      <c r="AF228" s="138">
        <f t="shared" si="370"/>
        <v>0</v>
      </c>
      <c r="AG228" s="138">
        <f t="shared" si="371"/>
        <v>0</v>
      </c>
      <c r="AI228" s="139">
        <f t="shared" si="384"/>
        <v>0</v>
      </c>
      <c r="AJ228" s="139">
        <f t="shared" si="385"/>
        <v>0</v>
      </c>
      <c r="AK228" s="139">
        <f t="shared" si="386"/>
        <v>0</v>
      </c>
      <c r="AM228" s="236"/>
      <c r="AN228" s="237"/>
      <c r="AO228" s="237"/>
      <c r="AP228" s="237"/>
      <c r="AQ228" s="532"/>
      <c r="AR228" s="111"/>
      <c r="AS228" s="236"/>
      <c r="AT228" s="237"/>
      <c r="AU228" s="237"/>
      <c r="AV228" s="237"/>
      <c r="AW228" s="238"/>
      <c r="AY228" s="134"/>
      <c r="AZ228" s="35"/>
      <c r="BA228" s="35"/>
      <c r="BB228" s="35"/>
      <c r="BC228" s="151">
        <f t="shared" si="390"/>
        <v>0</v>
      </c>
      <c r="BD228" s="148">
        <f t="shared" si="375"/>
        <v>9</v>
      </c>
      <c r="BE228" s="35" t="str">
        <f t="shared" si="376"/>
        <v>N/A</v>
      </c>
      <c r="BF228" s="151"/>
      <c r="BG228" s="148">
        <f>IF(BC228=0,9,IF(AJ228&gt;=BC228,5,IF(AJ228&gt;=BB228,4,IF(AJ228&gt;=BA228,3,IF(AJ228&gt;=AZ228,2,IF(AJ228&lt;AY228,0,1))))))</f>
        <v>9</v>
      </c>
      <c r="BH228" s="35" t="str">
        <f t="shared" si="378"/>
        <v>N/A</v>
      </c>
      <c r="BI228" s="151"/>
      <c r="BJ228" s="148">
        <f t="shared" si="379"/>
        <v>9</v>
      </c>
      <c r="BK228" s="35" t="str">
        <f t="shared" si="380"/>
        <v>N/A</v>
      </c>
      <c r="BL228" s="151"/>
      <c r="BO228" s="35"/>
      <c r="BP228" s="35"/>
      <c r="BQ228" s="35" t="str">
        <f t="shared" si="347"/>
        <v/>
      </c>
      <c r="BR228" s="35">
        <f t="shared" si="387"/>
        <v>9</v>
      </c>
      <c r="BS228" s="35">
        <f t="shared" si="388"/>
        <v>9</v>
      </c>
      <c r="BT228" s="35">
        <f t="shared" si="389"/>
        <v>9</v>
      </c>
      <c r="BW228" s="55"/>
      <c r="BX228" s="55"/>
      <c r="BY228" s="55"/>
      <c r="BZ228" s="55"/>
      <c r="CA228" s="55"/>
      <c r="CB228" s="55"/>
      <c r="CO228" s="35">
        <f>'Pre-analyseverktøy'!H223</f>
        <v>0</v>
      </c>
      <c r="CP228" s="35">
        <f>'Pre-analyseverktøy'!O223</f>
        <v>0</v>
      </c>
      <c r="CQ228" s="35">
        <f>'Pre-analyseverktøy'!V223</f>
        <v>0</v>
      </c>
      <c r="CR228" s="35" t="str">
        <f>'Pre-analyseverktøy'!F223</f>
        <v>Inn 12 - LE 04: betydelig netto forbedring av biodiversitet</v>
      </c>
      <c r="CS228" s="35" t="b">
        <f t="shared" si="383"/>
        <v>1</v>
      </c>
    </row>
    <row r="229" spans="1:97" ht="15.75" thickBot="1">
      <c r="A229">
        <v>221</v>
      </c>
      <c r="B229" t="str">
        <f t="shared" si="382"/>
        <v>Inn 13</v>
      </c>
      <c r="C229" t="s">
        <v>522</v>
      </c>
      <c r="D229" s="179" t="s">
        <v>590</v>
      </c>
      <c r="E229" s="35" t="str">
        <f t="shared" si="366"/>
        <v>Inn 13 - LE 06: helhetlig respons på klimaendringer</v>
      </c>
      <c r="F229" s="575">
        <v>1</v>
      </c>
      <c r="G229" s="575">
        <v>1</v>
      </c>
      <c r="H229" s="575">
        <v>1</v>
      </c>
      <c r="I229" s="575">
        <v>1</v>
      </c>
      <c r="J229" s="575">
        <v>1</v>
      </c>
      <c r="K229" s="575">
        <v>1</v>
      </c>
      <c r="L229" s="575">
        <v>1</v>
      </c>
      <c r="M229" s="575">
        <v>1</v>
      </c>
      <c r="N229" s="575">
        <v>1</v>
      </c>
      <c r="O229" s="575">
        <v>1</v>
      </c>
      <c r="P229" s="575">
        <v>1</v>
      </c>
      <c r="Q229" s="576">
        <v>1</v>
      </c>
      <c r="R229" s="576">
        <v>1</v>
      </c>
      <c r="T229" s="136">
        <f t="shared" si="367"/>
        <v>1</v>
      </c>
      <c r="U229" s="155"/>
      <c r="V229" s="40"/>
      <c r="W229" s="40"/>
      <c r="X229" s="135">
        <f>'Manuell filtrering og justering'!E106</f>
        <v>0</v>
      </c>
      <c r="Y229" s="136"/>
      <c r="Z229" s="849">
        <f>VLOOKUP(B229,'Manuell filtrering og justering'!$A$7:$H$253,'Manuell filtrering og justering'!$H$1,FALSE)</f>
        <v>1</v>
      </c>
      <c r="AA229" s="136">
        <f t="shared" si="368"/>
        <v>0</v>
      </c>
      <c r="AB229" s="137">
        <f>IF($AC$5='Manuell filtrering og justering'!$J$2,Z229,(T229-AA229))</f>
        <v>1</v>
      </c>
      <c r="AC229" s="496">
        <v>229</v>
      </c>
      <c r="AD229" s="138">
        <f>(Inn_Weight/Inn_Credits)*Inn13_credits</f>
        <v>0.01</v>
      </c>
      <c r="AE229" s="138">
        <f t="shared" si="369"/>
        <v>0</v>
      </c>
      <c r="AF229" s="138">
        <f t="shared" si="370"/>
        <v>0</v>
      </c>
      <c r="AG229" s="138">
        <f t="shared" si="371"/>
        <v>0</v>
      </c>
      <c r="AI229" s="139">
        <f t="shared" si="384"/>
        <v>0</v>
      </c>
      <c r="AJ229" s="139">
        <f t="shared" si="385"/>
        <v>0</v>
      </c>
      <c r="AK229" s="139">
        <f t="shared" si="386"/>
        <v>0</v>
      </c>
      <c r="AM229" s="239"/>
      <c r="AN229" s="240"/>
      <c r="AO229" s="240"/>
      <c r="AP229" s="240"/>
      <c r="AQ229" s="533"/>
      <c r="AR229" s="111"/>
      <c r="AS229" s="239"/>
      <c r="AT229" s="240"/>
      <c r="AU229" s="240"/>
      <c r="AV229" s="240"/>
      <c r="AW229" s="241"/>
      <c r="AY229" s="156"/>
      <c r="AZ229" s="158"/>
      <c r="BA229" s="158"/>
      <c r="BB229" s="158"/>
      <c r="BC229" s="161">
        <f t="shared" si="390"/>
        <v>0</v>
      </c>
      <c r="BD229" s="160">
        <f t="shared" si="375"/>
        <v>9</v>
      </c>
      <c r="BE229" s="35" t="str">
        <f t="shared" si="376"/>
        <v>N/A</v>
      </c>
      <c r="BF229" s="161"/>
      <c r="BG229" s="160">
        <f>IF(BC229=0,9,IF(AJ229&gt;=BC229,5,IF(AJ229&gt;=BB229,4,IF(AJ229&gt;=BA229,3,IF(AJ229&gt;=AZ229,2,IF(AJ229&lt;AY229,0,1))))))</f>
        <v>9</v>
      </c>
      <c r="BH229" s="35" t="str">
        <f t="shared" si="378"/>
        <v>N/A</v>
      </c>
      <c r="BI229" s="161"/>
      <c r="BJ229" s="160">
        <f t="shared" si="379"/>
        <v>9</v>
      </c>
      <c r="BK229" s="35" t="str">
        <f t="shared" si="380"/>
        <v>N/A</v>
      </c>
      <c r="BL229" s="161"/>
      <c r="BO229" s="35"/>
      <c r="BP229" s="35"/>
      <c r="BQ229" s="35" t="str">
        <f t="shared" si="347"/>
        <v/>
      </c>
      <c r="BR229" s="35">
        <f t="shared" si="387"/>
        <v>9</v>
      </c>
      <c r="BS229" s="35">
        <f t="shared" si="388"/>
        <v>9</v>
      </c>
      <c r="BT229" s="35">
        <f t="shared" si="389"/>
        <v>9</v>
      </c>
      <c r="BW229" s="55"/>
      <c r="BX229" s="55"/>
      <c r="BY229" s="55"/>
      <c r="BZ229" s="55"/>
      <c r="CA229" s="55"/>
      <c r="CB229" s="55"/>
      <c r="CO229" s="35">
        <f>'Pre-analyseverktøy'!H224</f>
        <v>0</v>
      </c>
      <c r="CP229" s="35">
        <f>'Pre-analyseverktøy'!O224</f>
        <v>0</v>
      </c>
      <c r="CQ229" s="35">
        <f>'Pre-analyseverktøy'!V224</f>
        <v>0</v>
      </c>
      <c r="CR229" s="35" t="str">
        <f>'Pre-analyseverktøy'!F224</f>
        <v>Inn 13 - LE 06: helhetlig respons på klimaendringer</v>
      </c>
      <c r="CS229" s="35" t="b">
        <f t="shared" si="383"/>
        <v>1</v>
      </c>
    </row>
    <row r="230" spans="1:97" ht="15.75" thickBot="1">
      <c r="A230">
        <v>222</v>
      </c>
      <c r="B230" t="str">
        <f t="shared" si="382"/>
        <v>Inn 14</v>
      </c>
      <c r="C230" t="s">
        <v>529</v>
      </c>
      <c r="D230" s="529" t="s">
        <v>591</v>
      </c>
      <c r="E230" s="158" t="str">
        <f t="shared" si="366"/>
        <v>Inn 14 - LE 08: helhetlig til nærming til overvannshåndtering</v>
      </c>
      <c r="F230" s="583">
        <v>1</v>
      </c>
      <c r="G230" s="583">
        <v>1</v>
      </c>
      <c r="H230" s="583">
        <v>1</v>
      </c>
      <c r="I230" s="583">
        <v>1</v>
      </c>
      <c r="J230" s="583">
        <v>1</v>
      </c>
      <c r="K230" s="583">
        <v>1</v>
      </c>
      <c r="L230" s="583">
        <v>1</v>
      </c>
      <c r="M230" s="583">
        <v>1</v>
      </c>
      <c r="N230" s="583">
        <v>1</v>
      </c>
      <c r="O230" s="583">
        <v>1</v>
      </c>
      <c r="P230" s="583">
        <v>1</v>
      </c>
      <c r="Q230" s="584">
        <v>1</v>
      </c>
      <c r="R230" s="584">
        <v>1</v>
      </c>
      <c r="T230" s="650">
        <f t="shared" si="367"/>
        <v>1</v>
      </c>
      <c r="U230" s="155"/>
      <c r="V230" s="40"/>
      <c r="W230" s="40"/>
      <c r="X230" s="648"/>
      <c r="Y230" s="869"/>
      <c r="Z230" s="849">
        <f>VLOOKUP(B230,'Manuell filtrering og justering'!$A$7:$H$253,'Manuell filtrering og justering'!$H$1,FALSE)</f>
        <v>1</v>
      </c>
      <c r="AA230" s="136">
        <f t="shared" si="368"/>
        <v>0</v>
      </c>
      <c r="AB230" s="137">
        <f>IF($AC$5='Manuell filtrering og justering'!$J$2,Z230,(T230-AA230))</f>
        <v>1</v>
      </c>
      <c r="AC230" s="496">
        <v>230</v>
      </c>
      <c r="AD230" s="138">
        <f>(Inn_Weight/Inn_Credits)*AB230</f>
        <v>0.01</v>
      </c>
      <c r="AE230" s="138">
        <f t="shared" si="369"/>
        <v>0</v>
      </c>
      <c r="AF230" s="138">
        <f t="shared" si="370"/>
        <v>0</v>
      </c>
      <c r="AG230" s="138">
        <f t="shared" si="371"/>
        <v>0</v>
      </c>
      <c r="AI230" s="139">
        <f t="shared" si="384"/>
        <v>0</v>
      </c>
      <c r="AJ230" s="139">
        <f t="shared" si="385"/>
        <v>0</v>
      </c>
      <c r="AK230" s="139">
        <f t="shared" si="386"/>
        <v>0</v>
      </c>
      <c r="AM230" s="236"/>
      <c r="AN230" s="237"/>
      <c r="AO230" s="237"/>
      <c r="AP230" s="237"/>
      <c r="AQ230" s="532"/>
      <c r="AR230" s="111"/>
      <c r="AS230" s="236"/>
      <c r="AT230" s="237"/>
      <c r="AU230" s="237"/>
      <c r="AV230" s="237"/>
      <c r="AW230" s="238"/>
      <c r="AY230" s="134"/>
      <c r="AZ230" s="35"/>
      <c r="BA230" s="35"/>
      <c r="BB230" s="35"/>
      <c r="BC230" s="151">
        <f t="shared" si="390"/>
        <v>0</v>
      </c>
      <c r="BD230" s="148">
        <f t="shared" si="375"/>
        <v>9</v>
      </c>
      <c r="BE230" s="35" t="str">
        <f t="shared" si="376"/>
        <v>N/A</v>
      </c>
      <c r="BF230" s="151"/>
      <c r="BG230" s="148">
        <f>IF(BC230=0,9,IF(AJ230&gt;=BC230,5,IF(AJ230&gt;=BB230,4,IF(AJ230&gt;=BA230,3,IF(AJ230&gt;=AZ230,2,IF(AJ230&lt;AY230,0,1))))))</f>
        <v>9</v>
      </c>
      <c r="BH230" s="35" t="str">
        <f t="shared" si="378"/>
        <v>N/A</v>
      </c>
      <c r="BI230" s="151"/>
      <c r="BJ230" s="148">
        <f t="shared" si="379"/>
        <v>9</v>
      </c>
      <c r="BK230" s="35" t="str">
        <f t="shared" si="380"/>
        <v>N/A</v>
      </c>
      <c r="BL230" s="151"/>
      <c r="BO230" s="35"/>
      <c r="BP230" s="35"/>
      <c r="BQ230" s="35" t="str">
        <f t="shared" si="347"/>
        <v/>
      </c>
      <c r="BR230" s="35">
        <f t="shared" si="387"/>
        <v>9</v>
      </c>
      <c r="BS230" s="35">
        <f t="shared" si="388"/>
        <v>9</v>
      </c>
      <c r="BT230" s="35">
        <f t="shared" si="389"/>
        <v>9</v>
      </c>
      <c r="BW230" s="55"/>
      <c r="BX230" s="55"/>
      <c r="BY230" s="55"/>
      <c r="BZ230" s="55"/>
      <c r="CA230" s="55"/>
      <c r="CB230" s="55"/>
      <c r="CO230" s="35">
        <f>'Pre-analyseverktøy'!H225</f>
        <v>0</v>
      </c>
      <c r="CP230" s="35">
        <f>'Pre-analyseverktøy'!O225</f>
        <v>0</v>
      </c>
      <c r="CQ230" s="35">
        <f>'Pre-analyseverktøy'!V225</f>
        <v>0</v>
      </c>
      <c r="CR230" s="35" t="str">
        <f>'Pre-analyseverktøy'!F225</f>
        <v>Inn 14 - LE 08: helhetlig til nærming til overvannshåndtering</v>
      </c>
      <c r="CS230" s="35" t="b">
        <f t="shared" si="383"/>
        <v>1</v>
      </c>
    </row>
    <row r="231" spans="1:97" ht="15.75" thickBot="1">
      <c r="A231">
        <v>223</v>
      </c>
      <c r="B231" t="s">
        <v>592</v>
      </c>
      <c r="D231" s="524" t="s">
        <v>771</v>
      </c>
      <c r="E231" s="523"/>
      <c r="F231" s="580">
        <f>IF(SUM(F217:F230)&gt;10,10,SUM(F217:F230))</f>
        <v>10</v>
      </c>
      <c r="G231" s="580">
        <f t="shared" ref="G231:R231" si="391">IF(SUM(G217:G230)&gt;10,10,SUM(G217:G230))</f>
        <v>10</v>
      </c>
      <c r="H231" s="580">
        <f t="shared" si="391"/>
        <v>10</v>
      </c>
      <c r="I231" s="580">
        <f t="shared" si="391"/>
        <v>10</v>
      </c>
      <c r="J231" s="580">
        <f t="shared" si="391"/>
        <v>10</v>
      </c>
      <c r="K231" s="580">
        <f t="shared" si="391"/>
        <v>10</v>
      </c>
      <c r="L231" s="580">
        <f t="shared" si="391"/>
        <v>10</v>
      </c>
      <c r="M231" s="580">
        <f t="shared" si="391"/>
        <v>10</v>
      </c>
      <c r="N231" s="580">
        <f t="shared" si="391"/>
        <v>10</v>
      </c>
      <c r="O231" s="580">
        <f t="shared" si="391"/>
        <v>10</v>
      </c>
      <c r="P231" s="580">
        <f t="shared" si="391"/>
        <v>10</v>
      </c>
      <c r="Q231" s="580">
        <f>IF(SUM(Q217:Q230)&gt;10,10,SUM(Q217:Q230))</f>
        <v>10</v>
      </c>
      <c r="R231" s="580">
        <f t="shared" si="391"/>
        <v>10</v>
      </c>
      <c r="T231" s="183">
        <f t="shared" si="367"/>
        <v>10</v>
      </c>
      <c r="U231" s="164"/>
      <c r="V231" s="165"/>
      <c r="W231" s="165"/>
      <c r="X231" s="166"/>
      <c r="Y231" s="167"/>
      <c r="Z231" s="852"/>
      <c r="AA231" s="167">
        <f>SUM(AA217:AA230)</f>
        <v>0</v>
      </c>
      <c r="AB231" s="184">
        <f>IF(SUM(AB217:AB230)&gt;10,10,SUM(AB217:AB230))</f>
        <v>10</v>
      </c>
      <c r="AC231" s="496">
        <v>231</v>
      </c>
      <c r="AD231" s="189">
        <f>IF(SUM(AD217:AD230)&gt;0.1,0.1,(SUM(AD217:AD230)))</f>
        <v>0.1</v>
      </c>
      <c r="AE231" s="189">
        <f>IF(SUM(AE217:AE230)&gt;0.1,0.1,(SUM(AE217:AE230)))</f>
        <v>0</v>
      </c>
      <c r="AF231" s="189">
        <f>IF(SUM(AF217:AF230)&gt;0.1,0.1,(SUM(AF217:AF230)))</f>
        <v>0</v>
      </c>
      <c r="AG231" s="189">
        <f>IF(SUM(AG217:AG230)&gt;0.1,0.1,(SUM(AG217:AG230)))</f>
        <v>0</v>
      </c>
      <c r="AI231" s="30">
        <f>IF(SUM(AI217:AI230)&gt;10,10,SUM(AI217:AI230))</f>
        <v>0</v>
      </c>
      <c r="AJ231" s="30">
        <f>IF(SUM(AJ217:AJ230)&gt;10,10,SUM(AJ217:AJ230))</f>
        <v>0</v>
      </c>
      <c r="AK231" s="30">
        <f>IF(SUM(AK217:AK230)&gt;10,10,SUM(AK217:AK230))</f>
        <v>0</v>
      </c>
      <c r="BC231" s="113"/>
      <c r="BD231" s="113"/>
      <c r="BW231" s="42"/>
      <c r="BX231" s="42" t="str">
        <f>IFERROR(VLOOKUP($E231,'Pre-analyseverktøy'!$F$11:$AC$226,'Pre-analyseverktøy'!AC$2,FALSE),"")</f>
        <v/>
      </c>
      <c r="BY231" s="42" t="str">
        <f>IFERROR(VLOOKUP($E231,'Pre-analyseverktøy'!$F$11:$AJ$226,'Pre-analyseverktøy'!AJ$2,FALSE),"")</f>
        <v/>
      </c>
      <c r="BZ231" s="42" t="str">
        <f t="shared" ref="BZ231:CA233" si="392">IFERROR(VLOOKUP($BX231,$E$293:$H$326,F$291,FALSE),"")</f>
        <v/>
      </c>
      <c r="CA231" s="42" t="str">
        <f t="shared" si="392"/>
        <v/>
      </c>
      <c r="CB231" s="42"/>
      <c r="CC231" t="str">
        <f>IFERROR(VLOOKUP($BX231,$E$293:$H$326,I$291,FALSE),"")</f>
        <v/>
      </c>
    </row>
    <row r="232" spans="1:97" ht="15.75" thickBot="1">
      <c r="A232">
        <v>224</v>
      </c>
      <c r="AC232" s="496">
        <v>232</v>
      </c>
      <c r="BC232" s="113"/>
      <c r="BD232" s="113"/>
      <c r="BX232" t="str">
        <f>IFERROR(VLOOKUP($E232,'Pre-analyseverktøy'!$F$11:$AC$226,'Pre-analyseverktøy'!AC$2,FALSE),"")</f>
        <v/>
      </c>
      <c r="BY232" t="str">
        <f>IFERROR(VLOOKUP($E232,'Pre-analyseverktøy'!$F$11:$AJ$226,'Pre-analyseverktøy'!AJ$2,FALSE),"")</f>
        <v/>
      </c>
      <c r="BZ232" t="str">
        <f t="shared" si="392"/>
        <v/>
      </c>
      <c r="CA232" t="str">
        <f t="shared" si="392"/>
        <v/>
      </c>
      <c r="CC232" t="str">
        <f>IFERROR(VLOOKUP($BX232,$E$293:$H$326,I$291,FALSE),"")</f>
        <v/>
      </c>
    </row>
    <row r="233" spans="1:97" ht="60.75" thickBot="1">
      <c r="A233">
        <v>225</v>
      </c>
      <c r="D233" s="120"/>
      <c r="E233" s="121" t="s">
        <v>887</v>
      </c>
      <c r="F233" s="917" t="str">
        <f>$F$9</f>
        <v>Kontorbygg</v>
      </c>
      <c r="G233" s="917" t="str">
        <f>$G$9</f>
        <v>Handelsbygg</v>
      </c>
      <c r="H233" s="921" t="str">
        <f>$H$9</f>
        <v>Boligbygg</v>
      </c>
      <c r="I233" s="917" t="str">
        <f>$I$9</f>
        <v>Industribygg</v>
      </c>
      <c r="J233" s="919" t="str">
        <f>$J$9</f>
        <v>Helseinstitusjoner</v>
      </c>
      <c r="K233" s="919" t="str">
        <f>$K$9</f>
        <v>Fengsel</v>
      </c>
      <c r="L233" s="919" t="str">
        <f>$L$9</f>
        <v>Tinghus</v>
      </c>
      <c r="M233" s="923" t="str">
        <f>$M$9</f>
        <v>Døgninstitusjonsbygg (langtidsopphold)</v>
      </c>
      <c r="N233" s="698" t="str">
        <f>$N$9</f>
        <v>Døgninstitusjonsbygg (korttidsopphold)</v>
      </c>
      <c r="O233" s="698" t="str">
        <f>$O$9</f>
        <v>Institusjoner ikke til boligbruk</v>
      </c>
      <c r="P233" s="698" t="str">
        <f>$P$9</f>
        <v>Møtesteder og fritid</v>
      </c>
      <c r="Q233" s="919" t="str">
        <f>$Q$9</f>
        <v>Undervisningsbygg</v>
      </c>
      <c r="R233" s="651" t="str">
        <f>$R$9</f>
        <v>Annet</v>
      </c>
      <c r="T233" s="110" t="str">
        <f>$E$6</f>
        <v>Kontorbygg</v>
      </c>
      <c r="U233" s="190"/>
      <c r="V233" s="191"/>
      <c r="W233" s="171"/>
      <c r="X233" s="171"/>
      <c r="Y233" s="855" t="s">
        <v>920</v>
      </c>
      <c r="Z233" s="287" t="s">
        <v>23</v>
      </c>
      <c r="AA233" s="119" t="s">
        <v>771</v>
      </c>
      <c r="AB233" s="45" t="s">
        <v>908</v>
      </c>
      <c r="AC233" s="496">
        <v>233</v>
      </c>
      <c r="AI233" s="28"/>
      <c r="AJ233" s="46"/>
      <c r="AK233" s="46"/>
      <c r="BC233" s="113"/>
      <c r="BD233" s="113"/>
      <c r="BO233" s="46"/>
      <c r="BP233" s="46"/>
      <c r="BQ233" s="46"/>
      <c r="BR233" s="46"/>
      <c r="BS233" s="46"/>
      <c r="BT233" s="46"/>
      <c r="BW233" s="39"/>
      <c r="BX233" s="39" t="str">
        <f>E233</f>
        <v>Spesialtilfeller</v>
      </c>
      <c r="BY233" s="39" t="str">
        <f>IFERROR(VLOOKUP($E233,'Pre-analyseverktøy'!$F$11:$AJ$226,'Pre-analyseverktøy'!AJ$2,FALSE),"")</f>
        <v/>
      </c>
      <c r="BZ233" s="39" t="str">
        <f t="shared" si="392"/>
        <v/>
      </c>
      <c r="CA233" s="39" t="str">
        <f t="shared" si="392"/>
        <v/>
      </c>
      <c r="CB233" s="39"/>
      <c r="CC233" t="str">
        <f>IFERROR(VLOOKUP($BX233,$E$293:$H$326,I$291,FALSE),"")</f>
        <v/>
      </c>
    </row>
    <row r="234" spans="1:97" ht="15.75" thickBot="1">
      <c r="A234">
        <v>226</v>
      </c>
      <c r="B234" t="s">
        <v>306</v>
      </c>
      <c r="C234" t="s">
        <v>298</v>
      </c>
      <c r="D234" s="541" t="s">
        <v>306</v>
      </c>
      <c r="E234" s="738" t="s">
        <v>964</v>
      </c>
      <c r="F234" s="581" t="s">
        <v>1114</v>
      </c>
      <c r="G234" s="581" t="s">
        <v>1114</v>
      </c>
      <c r="H234" s="581" t="s">
        <v>1114</v>
      </c>
      <c r="I234" s="581" t="s">
        <v>1114</v>
      </c>
      <c r="J234" s="581" t="s">
        <v>1114</v>
      </c>
      <c r="K234" s="581" t="s">
        <v>1114</v>
      </c>
      <c r="L234" s="581" t="s">
        <v>1114</v>
      </c>
      <c r="M234" s="581" t="s">
        <v>1114</v>
      </c>
      <c r="N234" s="581" t="s">
        <v>1114</v>
      </c>
      <c r="O234" s="581" t="s">
        <v>1114</v>
      </c>
      <c r="P234" s="581" t="s">
        <v>1114</v>
      </c>
      <c r="Q234" s="582" t="s">
        <v>1114</v>
      </c>
      <c r="R234" s="582" t="s">
        <v>1114</v>
      </c>
      <c r="T234" s="172" t="str">
        <f t="shared" ref="T234:T252" si="393">HLOOKUP($E$6,$F$9:$R$252,$A234,FALSE)</f>
        <v>Yes/No</v>
      </c>
      <c r="U234" s="136"/>
      <c r="V234" s="192"/>
      <c r="W234" s="35"/>
      <c r="X234" s="35"/>
      <c r="Y234" s="135"/>
      <c r="Z234" s="135"/>
      <c r="AA234" s="136"/>
      <c r="AB234" s="172" t="str">
        <f t="shared" ref="AB234:AB248" si="394">T234</f>
        <v>Yes/No</v>
      </c>
      <c r="AC234" s="496">
        <v>234</v>
      </c>
      <c r="AD234" s="138"/>
      <c r="AE234" s="193" t="s">
        <v>632</v>
      </c>
      <c r="AF234" s="193" t="s">
        <v>632</v>
      </c>
      <c r="AG234" s="193" t="s">
        <v>632</v>
      </c>
      <c r="AI234" s="139">
        <f t="shared" ref="AI234:AI242" si="395">IF(CO234&gt;$AB234,$AB234,CO234)</f>
        <v>0</v>
      </c>
      <c r="AJ234" s="139">
        <f t="shared" ref="AJ234:AJ242" si="396">IF(CP234&gt;$AB234,$AB234,CP234)</f>
        <v>0</v>
      </c>
      <c r="AK234" s="139">
        <f t="shared" ref="AK234:AK242" si="397">IF(CQ234&gt;$AB234,$AB234,CQ234)</f>
        <v>0</v>
      </c>
      <c r="AM234" s="174" t="s">
        <v>119</v>
      </c>
      <c r="AN234" s="175" t="s">
        <v>119</v>
      </c>
      <c r="AO234" s="175" t="s">
        <v>119</v>
      </c>
      <c r="AP234" s="175" t="s">
        <v>119</v>
      </c>
      <c r="AQ234" s="176" t="s">
        <v>119</v>
      </c>
      <c r="AS234" s="174" t="s">
        <v>119</v>
      </c>
      <c r="AT234" s="175" t="s">
        <v>119</v>
      </c>
      <c r="AU234" s="175" t="s">
        <v>119</v>
      </c>
      <c r="AV234" s="175" t="s">
        <v>119</v>
      </c>
      <c r="AW234" s="176" t="s">
        <v>119</v>
      </c>
      <c r="AY234" s="141" t="str">
        <f t="shared" ref="AY234:BC235" si="398">IF($E$6=$H$9,AS234,AM234)</f>
        <v>Yes</v>
      </c>
      <c r="AZ234" s="142" t="str">
        <f t="shared" si="398"/>
        <v>Yes</v>
      </c>
      <c r="BA234" s="142" t="str">
        <f t="shared" si="398"/>
        <v>Yes</v>
      </c>
      <c r="BB234" s="142" t="str">
        <f t="shared" si="398"/>
        <v>Yes</v>
      </c>
      <c r="BC234" s="822" t="str">
        <f t="shared" si="398"/>
        <v>Yes</v>
      </c>
      <c r="BD234" s="148">
        <f>IF(AI234="Yes",5,0)</f>
        <v>0</v>
      </c>
      <c r="BE234" s="35" t="str">
        <f t="shared" ref="BE234:BE252" si="399">IF(BD234=$BO$290,$BT$290,IF(BD234=$BO$289,$BT$289,IF(BD234=$BO$288,$BT$288,IF(BD234=$BO$287,$BT$287,IF(BD234=$BO$286,$BT$286,IF(BD234=$BO$285,$BT$285,$BT$284))))))</f>
        <v>Unclassified</v>
      </c>
      <c r="BF234" s="145"/>
      <c r="BG234" s="148">
        <f>IF(AJ234="Yes",5,0)</f>
        <v>0</v>
      </c>
      <c r="BH234" s="35" t="str">
        <f t="shared" ref="BH234:BH252" si="400">IF(BG234=$BO$290,$BT$290,IF(BG234=$BO$289,$BT$289,IF(BG234=$BO$288,$BT$288,IF(BG234=$BO$287,$BT$287,IF(BG234=$BO$286,$BT$286,IF(BG234=$BO$285,$BT$285,$BT$284))))))</f>
        <v>Unclassified</v>
      </c>
      <c r="BI234" s="145"/>
      <c r="BJ234" s="148">
        <f>IF(AK234="Yes",5,0)</f>
        <v>0</v>
      </c>
      <c r="BK234" s="35" t="str">
        <f t="shared" ref="BK234:BK252" si="401">IF(BJ234=$BO$290,$BT$290,IF(BJ234=$BO$289,$BT$289,IF(BJ234=$BO$288,$BT$288,IF(BJ234=$BO$287,$BT$287,IF(BJ234=$BO$286,$BT$286,IF(BJ234=$BO$285,$BT$285,$BT$284))))))</f>
        <v>Unclassified</v>
      </c>
      <c r="BL234" s="145"/>
      <c r="BO234" s="35"/>
      <c r="BP234" s="35"/>
      <c r="BQ234" s="35" t="str">
        <f t="shared" si="347"/>
        <v/>
      </c>
      <c r="BR234" s="35">
        <f t="shared" ref="BR234:BR249" si="402">IF(BQ234="",9,(IF(AI234=AD_Yes,5,0)))</f>
        <v>9</v>
      </c>
      <c r="BS234" s="35">
        <f t="shared" ref="BS234:BS249" si="403">IF(BQ234="",9,(IF(AJ234=AD_Yes,5,0)))</f>
        <v>9</v>
      </c>
      <c r="BT234" s="35">
        <f t="shared" ref="BT234:BT249" si="404">IF(BQ234="",9,(IF(AK234=AD_Yes,5,0)))</f>
        <v>9</v>
      </c>
      <c r="BW234" s="144"/>
      <c r="BX234" s="144"/>
      <c r="BY234" s="144"/>
      <c r="BZ234" s="144"/>
      <c r="CA234" s="144"/>
      <c r="CB234" s="144"/>
      <c r="CO234" s="35">
        <f>'Pre-analyseverktøy'!H39</f>
        <v>0</v>
      </c>
      <c r="CP234" s="35">
        <f>'Pre-analyseverktøy'!O39</f>
        <v>0</v>
      </c>
      <c r="CQ234" s="35">
        <f>'Pre-analyseverktøy'!V39</f>
        <v>0</v>
      </c>
      <c r="CR234" s="35" t="str">
        <f>'Pre-analyseverktøy'!F39</f>
        <v>Forkrav: begrensning av flimmer</v>
      </c>
      <c r="CS234" s="35" t="b">
        <f t="shared" si="383"/>
        <v>1</v>
      </c>
    </row>
    <row r="235" spans="1:97">
      <c r="A235">
        <v>227</v>
      </c>
      <c r="B235" t="s">
        <v>307</v>
      </c>
      <c r="C235" t="s">
        <v>298</v>
      </c>
      <c r="D235" s="817" t="s">
        <v>307</v>
      </c>
      <c r="E235" s="818" t="s">
        <v>1115</v>
      </c>
      <c r="F235" s="716" t="s">
        <v>1114</v>
      </c>
      <c r="G235" s="716" t="s">
        <v>1114</v>
      </c>
      <c r="H235" s="716" t="s">
        <v>1114</v>
      </c>
      <c r="I235" s="716" t="s">
        <v>1114</v>
      </c>
      <c r="J235" s="716" t="s">
        <v>1114</v>
      </c>
      <c r="K235" s="716" t="s">
        <v>1114</v>
      </c>
      <c r="L235" s="716" t="s">
        <v>1114</v>
      </c>
      <c r="M235" s="716" t="s">
        <v>1114</v>
      </c>
      <c r="N235" s="716" t="s">
        <v>1114</v>
      </c>
      <c r="O235" s="716" t="s">
        <v>1114</v>
      </c>
      <c r="P235" s="716" t="s">
        <v>1114</v>
      </c>
      <c r="Q235" s="819" t="s">
        <v>1114</v>
      </c>
      <c r="R235" s="819" t="s">
        <v>1114</v>
      </c>
      <c r="T235" s="172" t="str">
        <f t="shared" si="393"/>
        <v>Yes/No</v>
      </c>
      <c r="U235" s="136"/>
      <c r="V235" s="192"/>
      <c r="W235" s="35"/>
      <c r="X235" s="35"/>
      <c r="Y235" s="135"/>
      <c r="Z235" s="135"/>
      <c r="AA235" s="136"/>
      <c r="AB235" s="172" t="str">
        <f>T235</f>
        <v>Yes/No</v>
      </c>
      <c r="AC235" s="496">
        <v>235</v>
      </c>
      <c r="AD235" s="138"/>
      <c r="AE235" s="193" t="s">
        <v>632</v>
      </c>
      <c r="AF235" s="193" t="s">
        <v>632</v>
      </c>
      <c r="AG235" s="193" t="s">
        <v>632</v>
      </c>
      <c r="AI235" s="139">
        <f t="shared" si="395"/>
        <v>0</v>
      </c>
      <c r="AJ235" s="139">
        <f t="shared" si="396"/>
        <v>0</v>
      </c>
      <c r="AK235" s="139">
        <f t="shared" si="397"/>
        <v>0</v>
      </c>
      <c r="AM235" s="174" t="s">
        <v>119</v>
      </c>
      <c r="AN235" s="175" t="s">
        <v>119</v>
      </c>
      <c r="AO235" s="175" t="s">
        <v>119</v>
      </c>
      <c r="AP235" s="175" t="s">
        <v>119</v>
      </c>
      <c r="AQ235" s="176" t="s">
        <v>119</v>
      </c>
      <c r="AS235" s="174" t="s">
        <v>119</v>
      </c>
      <c r="AT235" s="175" t="s">
        <v>119</v>
      </c>
      <c r="AU235" s="175" t="s">
        <v>119</v>
      </c>
      <c r="AV235" s="175" t="s">
        <v>119</v>
      </c>
      <c r="AW235" s="176" t="s">
        <v>119</v>
      </c>
      <c r="AY235" s="141" t="str">
        <f t="shared" si="398"/>
        <v>Yes</v>
      </c>
      <c r="AZ235" s="142" t="str">
        <f t="shared" si="398"/>
        <v>Yes</v>
      </c>
      <c r="BA235" s="142" t="str">
        <f t="shared" si="398"/>
        <v>Yes</v>
      </c>
      <c r="BB235" s="142" t="str">
        <f t="shared" si="398"/>
        <v>Yes</v>
      </c>
      <c r="BC235" s="822" t="str">
        <f t="shared" si="398"/>
        <v>Yes</v>
      </c>
      <c r="BD235" s="148">
        <f>IF(AI235="Yes",5,0)</f>
        <v>0</v>
      </c>
      <c r="BE235" s="35" t="str">
        <f t="shared" si="399"/>
        <v>Unclassified</v>
      </c>
      <c r="BF235" s="145"/>
      <c r="BG235" s="148">
        <f>IF(AJ235="Yes",5,0)</f>
        <v>0</v>
      </c>
      <c r="BH235" s="35" t="str">
        <f t="shared" si="400"/>
        <v>Unclassified</v>
      </c>
      <c r="BI235" s="145"/>
      <c r="BJ235" s="148">
        <f>IF(AK235="Yes",5,0)</f>
        <v>0</v>
      </c>
      <c r="BK235" s="35" t="str">
        <f t="shared" si="401"/>
        <v>Unclassified</v>
      </c>
      <c r="BL235" s="145"/>
      <c r="BO235" s="35"/>
      <c r="BP235" s="35"/>
      <c r="BQ235" s="35"/>
      <c r="BR235" s="35">
        <f>IF(BQ235="",9,(IF(AI235=AD_Yes,5,0)))</f>
        <v>9</v>
      </c>
      <c r="BS235" s="35">
        <f>IF(BQ235="",9,(IF(AJ235=AD_Yes,5,0)))</f>
        <v>9</v>
      </c>
      <c r="BT235" s="35">
        <f>IF(BQ235="",9,(IF(AK235=AD_Yes,5,0)))</f>
        <v>9</v>
      </c>
      <c r="BW235" s="35"/>
      <c r="BX235" s="35"/>
      <c r="BY235" s="35"/>
      <c r="BZ235" s="35"/>
      <c r="CA235" s="35"/>
      <c r="CB235" s="35"/>
      <c r="CO235" s="35">
        <f>'Pre-analyseverktøy'!H40</f>
        <v>0</v>
      </c>
      <c r="CP235" s="35">
        <f>'Pre-analyseverktøy'!O40</f>
        <v>0</v>
      </c>
      <c r="CQ235" s="35">
        <f>'Pre-analyseverktøy'!V40</f>
        <v>0</v>
      </c>
      <c r="CR235" s="35" t="str">
        <f>'Pre-analyseverktøy'!F40</f>
        <v>Forkrav: dagslysvurdering</v>
      </c>
      <c r="CS235" s="35" t="b">
        <f t="shared" si="383"/>
        <v>1</v>
      </c>
    </row>
    <row r="236" spans="1:97">
      <c r="A236">
        <v>228</v>
      </c>
      <c r="B236" t="s">
        <v>319</v>
      </c>
      <c r="C236" t="s">
        <v>182</v>
      </c>
      <c r="D236" s="817" t="s">
        <v>319</v>
      </c>
      <c r="E236" s="818" t="s">
        <v>973</v>
      </c>
      <c r="F236" s="716" t="s">
        <v>1114</v>
      </c>
      <c r="G236" s="716" t="s">
        <v>1114</v>
      </c>
      <c r="H236" s="716" t="s">
        <v>1114</v>
      </c>
      <c r="I236" s="716" t="s">
        <v>1114</v>
      </c>
      <c r="J236" s="716" t="s">
        <v>1114</v>
      </c>
      <c r="K236" s="716" t="s">
        <v>1114</v>
      </c>
      <c r="L236" s="716" t="s">
        <v>1114</v>
      </c>
      <c r="M236" s="716" t="s">
        <v>1114</v>
      </c>
      <c r="N236" s="716" t="s">
        <v>1114</v>
      </c>
      <c r="O236" s="716" t="s">
        <v>1114</v>
      </c>
      <c r="P236" s="716" t="s">
        <v>1114</v>
      </c>
      <c r="Q236" s="819" t="s">
        <v>1114</v>
      </c>
      <c r="R236" s="819" t="s">
        <v>1114</v>
      </c>
      <c r="T236" s="172" t="str">
        <f t="shared" si="393"/>
        <v>Yes/No</v>
      </c>
      <c r="U236" s="136"/>
      <c r="V236" s="192"/>
      <c r="W236" s="35"/>
      <c r="X236" s="35"/>
      <c r="Y236" s="135"/>
      <c r="Z236" s="135"/>
      <c r="AA236" s="136"/>
      <c r="AB236" s="764" t="str">
        <f>IF(Hea02_credits=0,0,T236)</f>
        <v>Yes/No</v>
      </c>
      <c r="AC236" s="496">
        <v>236</v>
      </c>
      <c r="AD236" s="138"/>
      <c r="AE236" s="193" t="s">
        <v>632</v>
      </c>
      <c r="AF236" s="193" t="s">
        <v>632</v>
      </c>
      <c r="AG236" s="193" t="s">
        <v>632</v>
      </c>
      <c r="AI236" s="139">
        <f t="shared" si="395"/>
        <v>0</v>
      </c>
      <c r="AJ236" s="139">
        <f t="shared" si="396"/>
        <v>0</v>
      </c>
      <c r="AK236" s="139">
        <f t="shared" si="397"/>
        <v>0</v>
      </c>
      <c r="AM236" s="256" t="s">
        <v>119</v>
      </c>
      <c r="AN236" s="36" t="s">
        <v>119</v>
      </c>
      <c r="AO236" s="36" t="s">
        <v>119</v>
      </c>
      <c r="AP236" s="36" t="s">
        <v>119</v>
      </c>
      <c r="AQ236" s="146" t="s">
        <v>119</v>
      </c>
      <c r="AS236" s="820" t="s">
        <v>119</v>
      </c>
      <c r="AT236" s="38" t="s">
        <v>119</v>
      </c>
      <c r="AU236" s="38" t="s">
        <v>119</v>
      </c>
      <c r="AV236" s="38" t="s">
        <v>119</v>
      </c>
      <c r="AW236" s="821" t="s">
        <v>119</v>
      </c>
      <c r="AY236" s="625" t="str">
        <f t="shared" ref="AY236:BB237" si="405">IF($E$6=$H$9,AS236,AM236)</f>
        <v>Yes</v>
      </c>
      <c r="AZ236" s="626" t="str">
        <f t="shared" si="405"/>
        <v>Yes</v>
      </c>
      <c r="BA236" s="626" t="str">
        <f t="shared" si="405"/>
        <v>Yes</v>
      </c>
      <c r="BB236" s="626" t="str">
        <f t="shared" si="405"/>
        <v>Yes</v>
      </c>
      <c r="BC236" s="644" t="str">
        <f t="shared" ref="BC236:BC248" si="406">IF($E$6=$H$9,AW236,AQ236)</f>
        <v>Yes</v>
      </c>
      <c r="BD236" s="148">
        <f>IF(Hea02_credits=0,9,IF(AND(AI236="Yes"),5,0))</f>
        <v>0</v>
      </c>
      <c r="BE236" s="35" t="str">
        <f t="shared" si="399"/>
        <v>Unclassified</v>
      </c>
      <c r="BF236" s="627"/>
      <c r="BG236" s="148">
        <f>IF(Hea02_credits=0,9,IF(AND(AJ236="Yes"),5,0))</f>
        <v>0</v>
      </c>
      <c r="BH236" s="35" t="str">
        <f t="shared" si="400"/>
        <v>Unclassified</v>
      </c>
      <c r="BI236" s="627"/>
      <c r="BJ236" s="148">
        <f>IF(Hea02_credits=0,9,IF(AND(AK236="Yes"),5,0))</f>
        <v>0</v>
      </c>
      <c r="BK236" s="35" t="str">
        <f t="shared" si="401"/>
        <v>Unclassified</v>
      </c>
      <c r="BL236" s="627"/>
      <c r="BO236" s="35"/>
      <c r="BP236" s="35"/>
      <c r="BQ236" s="35" t="str">
        <f t="shared" si="347"/>
        <v/>
      </c>
      <c r="BR236" s="35">
        <f t="shared" si="402"/>
        <v>9</v>
      </c>
      <c r="BS236" s="35">
        <f t="shared" si="403"/>
        <v>9</v>
      </c>
      <c r="BT236" s="35">
        <f t="shared" si="404"/>
        <v>9</v>
      </c>
      <c r="BW236" s="37"/>
      <c r="BX236" s="37"/>
      <c r="BY236" s="37">
        <f>IFERROR(VLOOKUP($E236,'Pre-analyseverktøy'!$F$11:$AJ$226,'Pre-analyseverktøy'!AJ$2,FALSE),"")</f>
        <v>0</v>
      </c>
      <c r="BZ236" s="37" t="str">
        <f>IFERROR(VLOOKUP($BX236,$E$293:$H$326,F$291,FALSE),"")</f>
        <v/>
      </c>
      <c r="CA236" s="37" t="str">
        <f>IFERROR(VLOOKUP($BX236,$E$293:$H$326,G$291,FALSE),"")</f>
        <v/>
      </c>
      <c r="CB236" s="37"/>
      <c r="CC236" t="str">
        <f>IFERROR(VLOOKUP($BX236,$E$293:$H$326,I$291,FALSE),"")</f>
        <v/>
      </c>
      <c r="CO236" s="35">
        <f>'Pre-analyseverktøy'!H47</f>
        <v>0</v>
      </c>
      <c r="CP236" s="35">
        <f>'Pre-analyseverktøy'!O47</f>
        <v>0</v>
      </c>
      <c r="CQ236" s="35">
        <f>'Pre-analyseverktøy'!V47</f>
        <v>0</v>
      </c>
      <c r="CR236" s="35" t="str">
        <f>'Pre-analyseverktøy'!F47</f>
        <v>Forkrav: plan for inneluftkvalitet</v>
      </c>
      <c r="CS236" s="35" t="b">
        <f t="shared" si="383"/>
        <v>1</v>
      </c>
    </row>
    <row r="237" spans="1:97" ht="15.75" thickBot="1">
      <c r="A237">
        <v>229</v>
      </c>
      <c r="B237" t="s">
        <v>335</v>
      </c>
      <c r="C237" t="s">
        <v>333</v>
      </c>
      <c r="D237" s="179" t="s">
        <v>335</v>
      </c>
      <c r="E237" s="742" t="s">
        <v>983</v>
      </c>
      <c r="F237" s="575" t="s">
        <v>1114</v>
      </c>
      <c r="G237" s="575" t="s">
        <v>1114</v>
      </c>
      <c r="H237" s="575" t="s">
        <v>1114</v>
      </c>
      <c r="I237" s="575" t="s">
        <v>1114</v>
      </c>
      <c r="J237" s="575" t="s">
        <v>1114</v>
      </c>
      <c r="K237" s="575" t="s">
        <v>1114</v>
      </c>
      <c r="L237" s="575" t="s">
        <v>1114</v>
      </c>
      <c r="M237" s="575" t="s">
        <v>1114</v>
      </c>
      <c r="N237" s="575" t="s">
        <v>1114</v>
      </c>
      <c r="O237" s="575" t="s">
        <v>1114</v>
      </c>
      <c r="P237" s="575" t="s">
        <v>1114</v>
      </c>
      <c r="Q237" s="576" t="s">
        <v>1114</v>
      </c>
      <c r="R237" s="576" t="s">
        <v>1114</v>
      </c>
      <c r="T237" s="136" t="str">
        <f t="shared" si="393"/>
        <v>Yes/No</v>
      </c>
      <c r="U237" s="194"/>
      <c r="V237" s="192"/>
      <c r="W237" s="35"/>
      <c r="X237" s="35"/>
      <c r="Y237" s="135"/>
      <c r="Z237" s="135"/>
      <c r="AA237" s="136"/>
      <c r="AB237" s="172" t="str">
        <f t="shared" si="394"/>
        <v>Yes/No</v>
      </c>
      <c r="AC237" s="496">
        <v>237</v>
      </c>
      <c r="AD237" s="138"/>
      <c r="AE237" s="193" t="s">
        <v>632</v>
      </c>
      <c r="AF237" s="193" t="s">
        <v>632</v>
      </c>
      <c r="AG237" s="193" t="s">
        <v>632</v>
      </c>
      <c r="AI237" s="139">
        <f t="shared" si="395"/>
        <v>0</v>
      </c>
      <c r="AJ237" s="139">
        <f t="shared" si="396"/>
        <v>0</v>
      </c>
      <c r="AK237" s="139">
        <f t="shared" si="397"/>
        <v>0</v>
      </c>
      <c r="AM237" s="256"/>
      <c r="AN237" s="36"/>
      <c r="AO237" s="36"/>
      <c r="AP237" s="36"/>
      <c r="AQ237" s="146"/>
      <c r="AS237" s="256"/>
      <c r="AT237" s="36"/>
      <c r="AU237" s="36"/>
      <c r="AV237" s="36"/>
      <c r="AW237" s="146"/>
      <c r="AY237" s="148">
        <f t="shared" si="405"/>
        <v>0</v>
      </c>
      <c r="AZ237" s="149">
        <f t="shared" si="405"/>
        <v>0</v>
      </c>
      <c r="BA237" s="149">
        <f t="shared" si="405"/>
        <v>0</v>
      </c>
      <c r="BB237" s="149">
        <f t="shared" si="405"/>
        <v>0</v>
      </c>
      <c r="BC237" s="153">
        <f t="shared" si="406"/>
        <v>0</v>
      </c>
      <c r="BD237" s="826">
        <v>9</v>
      </c>
      <c r="BE237" s="35" t="str">
        <f t="shared" si="399"/>
        <v>N/A</v>
      </c>
      <c r="BF237" s="151"/>
      <c r="BG237" s="826">
        <v>9</v>
      </c>
      <c r="BH237" s="35" t="str">
        <f t="shared" si="400"/>
        <v>N/A</v>
      </c>
      <c r="BI237" s="151"/>
      <c r="BJ237" s="826">
        <v>9</v>
      </c>
      <c r="BK237" s="35" t="str">
        <f t="shared" si="401"/>
        <v>N/A</v>
      </c>
      <c r="BL237" s="151"/>
      <c r="BO237" s="35"/>
      <c r="BP237" s="35"/>
      <c r="BQ237" s="35" t="str">
        <f t="shared" si="347"/>
        <v/>
      </c>
      <c r="BR237" s="35">
        <f t="shared" si="402"/>
        <v>9</v>
      </c>
      <c r="BS237" s="35">
        <f t="shared" si="403"/>
        <v>9</v>
      </c>
      <c r="BT237" s="35">
        <f t="shared" si="404"/>
        <v>9</v>
      </c>
      <c r="BW237" s="35"/>
      <c r="BX237" s="35"/>
      <c r="BY237" s="35">
        <f>IFERROR(VLOOKUP($E237,'Pre-analyseverktøy'!$F$11:$AJ$226,'Pre-analyseverktøy'!AJ$2,FALSE),"")</f>
        <v>0</v>
      </c>
      <c r="BZ237" s="35" t="str">
        <f>IFERROR(VLOOKUP($BX237,$E$293:$H$326,F$291,FALSE),"")</f>
        <v/>
      </c>
      <c r="CA237" s="35" t="str">
        <f>IFERROR(VLOOKUP($BX237,$E$293:$H$326,G$291,FALSE),"")</f>
        <v/>
      </c>
      <c r="CB237" s="35"/>
      <c r="CC237" t="str">
        <f>IFERROR(VLOOKUP($BX237,$E$293:$H$326,I$291,FALSE),"")</f>
        <v/>
      </c>
      <c r="CO237" s="35">
        <f>'Pre-analyseverktøy'!H56</f>
        <v>0</v>
      </c>
      <c r="CP237" s="35">
        <f>'Pre-analyseverktøy'!O56</f>
        <v>0</v>
      </c>
      <c r="CQ237" s="35">
        <f>'Pre-analyseverktøy'!V56</f>
        <v>0</v>
      </c>
      <c r="CR237" s="35" t="str">
        <f>'Pre-analyseverktøy'!F56</f>
        <v>Forkrav: kvalifisert akustiker</v>
      </c>
      <c r="CS237" s="35" t="b">
        <f t="shared" si="383"/>
        <v>1</v>
      </c>
    </row>
    <row r="238" spans="1:97" ht="15.75" thickBot="1">
      <c r="A238">
        <v>230</v>
      </c>
      <c r="B238" t="s">
        <v>442</v>
      </c>
      <c r="C238" t="s">
        <v>440</v>
      </c>
      <c r="D238" s="538" t="s">
        <v>442</v>
      </c>
      <c r="E238" s="736" t="s">
        <v>1036</v>
      </c>
      <c r="F238" s="577" t="s">
        <v>1114</v>
      </c>
      <c r="G238" s="577" t="s">
        <v>1114</v>
      </c>
      <c r="H238" s="577" t="s">
        <v>1114</v>
      </c>
      <c r="I238" s="577" t="s">
        <v>1114</v>
      </c>
      <c r="J238" s="577" t="s">
        <v>1114</v>
      </c>
      <c r="K238" s="577" t="s">
        <v>1114</v>
      </c>
      <c r="L238" s="577" t="s">
        <v>1114</v>
      </c>
      <c r="M238" s="577" t="s">
        <v>1114</v>
      </c>
      <c r="N238" s="577" t="s">
        <v>1114</v>
      </c>
      <c r="O238" s="577" t="s">
        <v>1114</v>
      </c>
      <c r="P238" s="577" t="s">
        <v>1114</v>
      </c>
      <c r="Q238" s="578" t="s">
        <v>1114</v>
      </c>
      <c r="R238" s="578" t="s">
        <v>1114</v>
      </c>
      <c r="T238" s="136" t="str">
        <f t="shared" si="393"/>
        <v>Yes/No</v>
      </c>
      <c r="U238" s="194"/>
      <c r="V238" s="192"/>
      <c r="W238" s="35"/>
      <c r="X238" s="35"/>
      <c r="Y238" s="135"/>
      <c r="Z238" s="135"/>
      <c r="AA238" s="136"/>
      <c r="AB238" s="172" t="str">
        <f t="shared" si="394"/>
        <v>Yes/No</v>
      </c>
      <c r="AC238" s="496">
        <v>238</v>
      </c>
      <c r="AD238" s="138"/>
      <c r="AE238" s="193" t="s">
        <v>632</v>
      </c>
      <c r="AF238" s="193" t="s">
        <v>632</v>
      </c>
      <c r="AG238" s="193" t="s">
        <v>632</v>
      </c>
      <c r="AI238" s="139">
        <f t="shared" si="395"/>
        <v>0</v>
      </c>
      <c r="AJ238" s="139">
        <f t="shared" si="396"/>
        <v>0</v>
      </c>
      <c r="AK238" s="139">
        <f t="shared" si="397"/>
        <v>0</v>
      </c>
      <c r="AM238" s="539" t="s">
        <v>119</v>
      </c>
      <c r="AN238" s="187" t="s">
        <v>119</v>
      </c>
      <c r="AO238" s="187" t="s">
        <v>119</v>
      </c>
      <c r="AP238" s="187" t="s">
        <v>119</v>
      </c>
      <c r="AQ238" s="188" t="s">
        <v>119</v>
      </c>
      <c r="AS238" s="539" t="s">
        <v>119</v>
      </c>
      <c r="AT238" s="187" t="s">
        <v>119</v>
      </c>
      <c r="AU238" s="187" t="s">
        <v>119</v>
      </c>
      <c r="AV238" s="187" t="s">
        <v>119</v>
      </c>
      <c r="AW238" s="188" t="s">
        <v>119</v>
      </c>
      <c r="AY238" s="148" t="str">
        <f>IF($E$6=$H$9,AS238,AM238)</f>
        <v>Yes</v>
      </c>
      <c r="AZ238" s="149" t="str">
        <f>IF($E$6=$H$9,AT238,AN238)</f>
        <v>Yes</v>
      </c>
      <c r="BA238" s="149" t="str">
        <f>IF($E$6=$H$9,AU238,AO238)</f>
        <v>Yes</v>
      </c>
      <c r="BB238" s="149" t="str">
        <f>IF($E$6=$H$9,AV238,AP238)</f>
        <v>Yes</v>
      </c>
      <c r="BC238" s="153" t="str">
        <f t="shared" si="406"/>
        <v>Yes</v>
      </c>
      <c r="BD238" s="148">
        <f>IF(AI238="Yes",5,0)</f>
        <v>0</v>
      </c>
      <c r="BE238" s="35" t="str">
        <f t="shared" si="399"/>
        <v>Unclassified</v>
      </c>
      <c r="BF238" s="151"/>
      <c r="BG238" s="148">
        <f>IF(AJ238="Yes",5,0)</f>
        <v>0</v>
      </c>
      <c r="BH238" s="35" t="str">
        <f t="shared" si="400"/>
        <v>Unclassified</v>
      </c>
      <c r="BI238" s="151"/>
      <c r="BJ238" s="148">
        <f>IF(AK238="Yes",5,0)</f>
        <v>0</v>
      </c>
      <c r="BK238" s="35" t="str">
        <f t="shared" si="401"/>
        <v>Unclassified</v>
      </c>
      <c r="BL238" s="151"/>
      <c r="BO238" s="35"/>
      <c r="BP238" s="35"/>
      <c r="BQ238" s="35" t="str">
        <f t="shared" si="347"/>
        <v/>
      </c>
      <c r="BR238" s="35">
        <f t="shared" si="402"/>
        <v>9</v>
      </c>
      <c r="BS238" s="35">
        <f t="shared" si="403"/>
        <v>9</v>
      </c>
      <c r="BT238" s="35">
        <f t="shared" si="404"/>
        <v>9</v>
      </c>
      <c r="BW238" s="40"/>
      <c r="BX238" s="40"/>
      <c r="BY238" s="40"/>
      <c r="BZ238" s="40"/>
      <c r="CA238" s="40"/>
      <c r="CB238" s="40"/>
      <c r="CO238" s="35">
        <f>'Pre-analyseverktøy'!H119</f>
        <v>0</v>
      </c>
      <c r="CP238" s="35">
        <f>'Pre-analyseverktøy'!O119</f>
        <v>0</v>
      </c>
      <c r="CQ238" s="35">
        <f>'Pre-analyseverktøy'!V119</f>
        <v>0</v>
      </c>
      <c r="CR238" s="35" t="str">
        <f>'Pre-analyseverktøy'!F119</f>
        <v>Forkrav: Tidligfase klimagassberegninger</v>
      </c>
      <c r="CS238" s="35" t="b">
        <f t="shared" si="383"/>
        <v>1</v>
      </c>
    </row>
    <row r="239" spans="1:97" ht="15.75" thickBot="1">
      <c r="A239">
        <v>231</v>
      </c>
      <c r="B239" t="s">
        <v>446</v>
      </c>
      <c r="C239" t="s">
        <v>445</v>
      </c>
      <c r="D239" s="538" t="s">
        <v>446</v>
      </c>
      <c r="E239" s="928" t="s">
        <v>1040</v>
      </c>
      <c r="F239" s="577" t="s">
        <v>1114</v>
      </c>
      <c r="G239" s="577" t="s">
        <v>1114</v>
      </c>
      <c r="H239" s="577" t="s">
        <v>1114</v>
      </c>
      <c r="I239" s="577" t="s">
        <v>1114</v>
      </c>
      <c r="J239" s="577" t="s">
        <v>1114</v>
      </c>
      <c r="K239" s="577" t="s">
        <v>1114</v>
      </c>
      <c r="L239" s="577" t="s">
        <v>1114</v>
      </c>
      <c r="M239" s="577" t="s">
        <v>1114</v>
      </c>
      <c r="N239" s="577" t="s">
        <v>1114</v>
      </c>
      <c r="O239" s="577" t="s">
        <v>1114</v>
      </c>
      <c r="P239" s="577" t="s">
        <v>1114</v>
      </c>
      <c r="Q239" s="578" t="s">
        <v>1114</v>
      </c>
      <c r="R239" s="578" t="s">
        <v>1114</v>
      </c>
      <c r="T239" s="136" t="str">
        <f t="shared" si="393"/>
        <v>Yes/No</v>
      </c>
      <c r="U239" s="194"/>
      <c r="V239" s="192"/>
      <c r="W239" s="35"/>
      <c r="X239" s="35"/>
      <c r="Y239" s="135"/>
      <c r="Z239" s="135"/>
      <c r="AA239" s="136"/>
      <c r="AB239" s="172" t="str">
        <f t="shared" si="394"/>
        <v>Yes/No</v>
      </c>
      <c r="AC239" s="496">
        <v>239</v>
      </c>
      <c r="AD239" s="138"/>
      <c r="AE239" s="193" t="s">
        <v>632</v>
      </c>
      <c r="AF239" s="193" t="s">
        <v>632</v>
      </c>
      <c r="AG239" s="193" t="s">
        <v>632</v>
      </c>
      <c r="AI239" s="139">
        <f t="shared" si="395"/>
        <v>0</v>
      </c>
      <c r="AJ239" s="139">
        <f t="shared" si="396"/>
        <v>0</v>
      </c>
      <c r="AK239" s="139">
        <f t="shared" si="397"/>
        <v>0</v>
      </c>
      <c r="AM239" s="733" t="s">
        <v>119</v>
      </c>
      <c r="AN239" s="734" t="s">
        <v>119</v>
      </c>
      <c r="AO239" s="734" t="s">
        <v>119</v>
      </c>
      <c r="AP239" s="734" t="s">
        <v>119</v>
      </c>
      <c r="AQ239" s="735" t="s">
        <v>119</v>
      </c>
      <c r="AR239" s="109"/>
      <c r="AS239" s="733" t="s">
        <v>119</v>
      </c>
      <c r="AT239" s="734" t="s">
        <v>119</v>
      </c>
      <c r="AU239" s="734" t="s">
        <v>119</v>
      </c>
      <c r="AV239" s="734" t="s">
        <v>119</v>
      </c>
      <c r="AW239" s="735" t="s">
        <v>119</v>
      </c>
      <c r="AY239" s="148" t="str">
        <f t="shared" ref="AY239:AY244" si="407">IF($E$6=$H$9,AS239,AM239)</f>
        <v>Yes</v>
      </c>
      <c r="AZ239" s="149" t="str">
        <f t="shared" ref="AZ239:AZ244" si="408">IF($E$6=$H$9,AT239,AN239)</f>
        <v>Yes</v>
      </c>
      <c r="BA239" s="149" t="str">
        <f t="shared" ref="BA239:BA244" si="409">IF($E$6=$H$9,AU239,AO239)</f>
        <v>Yes</v>
      </c>
      <c r="BB239" s="149" t="str">
        <f t="shared" ref="BB239:BB244" si="410">IF($E$6=$H$9,AV239,AP239)</f>
        <v>Yes</v>
      </c>
      <c r="BC239" s="153" t="str">
        <f t="shared" si="406"/>
        <v>Yes</v>
      </c>
      <c r="BD239" s="148">
        <f>IF(AI239="Yes",5,0)</f>
        <v>0</v>
      </c>
      <c r="BE239" s="35" t="str">
        <f t="shared" si="399"/>
        <v>Unclassified</v>
      </c>
      <c r="BF239" s="151"/>
      <c r="BG239" s="148">
        <f>IF(AJ239="Yes",5,0)</f>
        <v>0</v>
      </c>
      <c r="BH239" s="35" t="str">
        <f t="shared" si="400"/>
        <v>Unclassified</v>
      </c>
      <c r="BI239" s="151"/>
      <c r="BJ239" s="148">
        <f>IF(AK239="Yes",5,0)</f>
        <v>0</v>
      </c>
      <c r="BK239" s="35" t="str">
        <f t="shared" si="401"/>
        <v>Unclassified</v>
      </c>
      <c r="BL239" s="151"/>
      <c r="BO239" s="35"/>
      <c r="BP239" s="35" t="s">
        <v>119</v>
      </c>
      <c r="BQ239" s="35" t="str">
        <f t="shared" si="347"/>
        <v>Yes</v>
      </c>
      <c r="BR239" s="35">
        <f t="shared" si="402"/>
        <v>0</v>
      </c>
      <c r="BS239" s="35">
        <f t="shared" si="403"/>
        <v>0</v>
      </c>
      <c r="BT239" s="35">
        <f t="shared" si="404"/>
        <v>0</v>
      </c>
      <c r="BW239" s="40"/>
      <c r="BX239" s="40"/>
      <c r="BY239" s="40"/>
      <c r="BZ239" s="40"/>
      <c r="CA239" s="40"/>
      <c r="CB239" s="40"/>
      <c r="CO239" s="35">
        <f>'Pre-analyseverktøy'!H123</f>
        <v>0</v>
      </c>
      <c r="CP239" s="35">
        <f>'Pre-analyseverktøy'!O123</f>
        <v>0</v>
      </c>
      <c r="CQ239" s="35">
        <f>'Pre-analyseverktøy'!V123</f>
        <v>0</v>
      </c>
      <c r="CR239" s="35" t="str">
        <f>'Pre-analyseverktøy'!F123</f>
        <v>Minstekrav: Fravær av miljøgifter (EU taksonomi: krit. 1)</v>
      </c>
      <c r="CS239" s="35" t="b">
        <f t="shared" si="383"/>
        <v>1</v>
      </c>
    </row>
    <row r="240" spans="1:97" ht="15.75" thickBot="1">
      <c r="A240">
        <v>232</v>
      </c>
      <c r="B240" t="s">
        <v>451</v>
      </c>
      <c r="C240" t="s">
        <v>449</v>
      </c>
      <c r="D240" s="538" t="s">
        <v>451</v>
      </c>
      <c r="E240" s="737" t="s">
        <v>1044</v>
      </c>
      <c r="F240" s="577" t="s">
        <v>1114</v>
      </c>
      <c r="G240" s="577" t="s">
        <v>1114</v>
      </c>
      <c r="H240" s="577" t="s">
        <v>1114</v>
      </c>
      <c r="I240" s="577" t="s">
        <v>1114</v>
      </c>
      <c r="J240" s="577" t="s">
        <v>1114</v>
      </c>
      <c r="K240" s="577" t="s">
        <v>1114</v>
      </c>
      <c r="L240" s="577" t="s">
        <v>1114</v>
      </c>
      <c r="M240" s="577" t="s">
        <v>1114</v>
      </c>
      <c r="N240" s="577" t="s">
        <v>1114</v>
      </c>
      <c r="O240" s="577" t="s">
        <v>1114</v>
      </c>
      <c r="P240" s="577" t="s">
        <v>1114</v>
      </c>
      <c r="Q240" s="578" t="s">
        <v>1114</v>
      </c>
      <c r="R240" s="578" t="s">
        <v>1114</v>
      </c>
      <c r="T240" s="136" t="str">
        <f t="shared" si="393"/>
        <v>Yes/No</v>
      </c>
      <c r="U240" s="194"/>
      <c r="V240" s="192"/>
      <c r="W240" s="35"/>
      <c r="X240" s="35"/>
      <c r="Y240" s="135"/>
      <c r="Z240" s="135"/>
      <c r="AA240" s="136"/>
      <c r="AB240" s="172" t="str">
        <f t="shared" si="394"/>
        <v>Yes/No</v>
      </c>
      <c r="AC240" s="496">
        <v>240</v>
      </c>
      <c r="AD240" s="138"/>
      <c r="AE240" s="193" t="s">
        <v>632</v>
      </c>
      <c r="AF240" s="193" t="s">
        <v>632</v>
      </c>
      <c r="AG240" s="193" t="s">
        <v>632</v>
      </c>
      <c r="AI240" s="139">
        <f t="shared" si="395"/>
        <v>0</v>
      </c>
      <c r="AJ240" s="139">
        <f t="shared" si="396"/>
        <v>0</v>
      </c>
      <c r="AK240" s="139">
        <f t="shared" si="397"/>
        <v>0</v>
      </c>
      <c r="AM240" s="733" t="s">
        <v>119</v>
      </c>
      <c r="AN240" s="734" t="s">
        <v>119</v>
      </c>
      <c r="AO240" s="734" t="s">
        <v>119</v>
      </c>
      <c r="AP240" s="734" t="s">
        <v>119</v>
      </c>
      <c r="AQ240" s="735" t="s">
        <v>119</v>
      </c>
      <c r="AR240" s="109"/>
      <c r="AS240" s="733" t="s">
        <v>119</v>
      </c>
      <c r="AT240" s="734" t="s">
        <v>119</v>
      </c>
      <c r="AU240" s="734" t="s">
        <v>119</v>
      </c>
      <c r="AV240" s="734" t="s">
        <v>119</v>
      </c>
      <c r="AW240" s="735" t="s">
        <v>119</v>
      </c>
      <c r="AY240" s="148" t="str">
        <f t="shared" si="407"/>
        <v>Yes</v>
      </c>
      <c r="AZ240" s="149" t="str">
        <f t="shared" si="408"/>
        <v>Yes</v>
      </c>
      <c r="BA240" s="149" t="str">
        <f t="shared" si="409"/>
        <v>Yes</v>
      </c>
      <c r="BB240" s="149" t="str">
        <f t="shared" si="410"/>
        <v>Yes</v>
      </c>
      <c r="BC240" s="153" t="str">
        <f t="shared" si="406"/>
        <v>Yes</v>
      </c>
      <c r="BD240" s="148">
        <f>IF(AI240="Yes",5,0)</f>
        <v>0</v>
      </c>
      <c r="BE240" s="35" t="str">
        <f t="shared" si="399"/>
        <v>Unclassified</v>
      </c>
      <c r="BF240" s="151"/>
      <c r="BG240" s="148">
        <f>IF(AJ240="Yes",5,0)</f>
        <v>0</v>
      </c>
      <c r="BH240" s="35" t="str">
        <f t="shared" si="400"/>
        <v>Unclassified</v>
      </c>
      <c r="BI240" s="151"/>
      <c r="BJ240" s="148">
        <f>IF(AK240="Yes",5,0)</f>
        <v>0</v>
      </c>
      <c r="BK240" s="35" t="str">
        <f t="shared" si="401"/>
        <v>Unclassified</v>
      </c>
      <c r="BL240" s="151"/>
      <c r="BO240" s="35"/>
      <c r="BP240" s="35"/>
      <c r="BQ240" s="35" t="str">
        <f t="shared" si="347"/>
        <v/>
      </c>
      <c r="BR240" s="35">
        <f t="shared" si="402"/>
        <v>9</v>
      </c>
      <c r="BS240" s="35">
        <f t="shared" si="403"/>
        <v>9</v>
      </c>
      <c r="BT240" s="35">
        <f t="shared" si="404"/>
        <v>9</v>
      </c>
      <c r="BW240" s="40"/>
      <c r="BX240" s="40"/>
      <c r="BY240" s="40"/>
      <c r="BZ240" s="40"/>
      <c r="CA240" s="40"/>
      <c r="CB240" s="40"/>
      <c r="CO240" s="35">
        <f>'Pre-analyseverktøy'!H127</f>
        <v>0</v>
      </c>
      <c r="CP240" s="35">
        <f>'Pre-analyseverktøy'!O127</f>
        <v>0</v>
      </c>
      <c r="CQ240" s="35">
        <f>'Pre-analyseverktøy'!V127</f>
        <v>0</v>
      </c>
      <c r="CR240" s="35" t="str">
        <f>'Pre-analyseverktøy'!F127</f>
        <v>Minstekrav: Lovlig hugget og bærekraftig tre</v>
      </c>
      <c r="CS240" s="35" t="b">
        <f t="shared" si="383"/>
        <v>1</v>
      </c>
    </row>
    <row r="241" spans="1:97" ht="15.75" thickBot="1">
      <c r="A241">
        <v>233</v>
      </c>
      <c r="B241" t="s">
        <v>456</v>
      </c>
      <c r="C241" t="s">
        <v>454</v>
      </c>
      <c r="D241" s="538" t="s">
        <v>456</v>
      </c>
      <c r="E241" s="737" t="s">
        <v>1048</v>
      </c>
      <c r="F241" s="577" t="s">
        <v>1114</v>
      </c>
      <c r="G241" s="577" t="s">
        <v>1114</v>
      </c>
      <c r="H241" s="577" t="s">
        <v>1114</v>
      </c>
      <c r="I241" s="577" t="s">
        <v>1114</v>
      </c>
      <c r="J241" s="577" t="s">
        <v>1114</v>
      </c>
      <c r="K241" s="577" t="s">
        <v>1114</v>
      </c>
      <c r="L241" s="577" t="s">
        <v>1114</v>
      </c>
      <c r="M241" s="577" t="s">
        <v>1114</v>
      </c>
      <c r="N241" s="577" t="s">
        <v>1114</v>
      </c>
      <c r="O241" s="577" t="s">
        <v>1114</v>
      </c>
      <c r="P241" s="577" t="s">
        <v>1114</v>
      </c>
      <c r="Q241" s="578" t="s">
        <v>1114</v>
      </c>
      <c r="R241" s="578" t="s">
        <v>1114</v>
      </c>
      <c r="T241" s="136" t="str">
        <f t="shared" si="393"/>
        <v>Yes/No</v>
      </c>
      <c r="U241" s="194"/>
      <c r="V241" s="192"/>
      <c r="W241" s="35"/>
      <c r="X241" s="35"/>
      <c r="Y241" s="135"/>
      <c r="Z241" s="135"/>
      <c r="AA241" s="136"/>
      <c r="AB241" s="172" t="str">
        <f t="shared" si="394"/>
        <v>Yes/No</v>
      </c>
      <c r="AC241" s="496">
        <v>241</v>
      </c>
      <c r="AD241" s="138"/>
      <c r="AE241" s="193" t="s">
        <v>632</v>
      </c>
      <c r="AF241" s="193" t="s">
        <v>632</v>
      </c>
      <c r="AG241" s="193" t="s">
        <v>632</v>
      </c>
      <c r="AI241" s="139">
        <f t="shared" si="395"/>
        <v>0</v>
      </c>
      <c r="AJ241" s="139">
        <f t="shared" si="396"/>
        <v>0</v>
      </c>
      <c r="AK241" s="139">
        <f t="shared" si="397"/>
        <v>0</v>
      </c>
      <c r="AM241" s="539"/>
      <c r="AN241" s="187"/>
      <c r="AO241" s="187"/>
      <c r="AP241" s="187"/>
      <c r="AQ241" s="188"/>
      <c r="AS241" s="539"/>
      <c r="AT241" s="187"/>
      <c r="AU241" s="187"/>
      <c r="AV241" s="187"/>
      <c r="AW241" s="188"/>
      <c r="AY241" s="148">
        <f>IF($E$6=$H$9,AS241,AM241)</f>
        <v>0</v>
      </c>
      <c r="AZ241" s="149">
        <f>IF($E$6=$H$9,AT241,AN241)</f>
        <v>0</v>
      </c>
      <c r="BA241" s="149">
        <f>IF($E$6=$H$9,AU241,AO241)</f>
        <v>0</v>
      </c>
      <c r="BB241" s="149">
        <f>IF($E$6=$H$9,AV241,AP241)</f>
        <v>0</v>
      </c>
      <c r="BC241" s="153">
        <f>IF($E$6=$H$9,AW241,AQ241)</f>
        <v>0</v>
      </c>
      <c r="BD241" s="826">
        <v>9</v>
      </c>
      <c r="BE241" s="35" t="str">
        <f t="shared" si="399"/>
        <v>N/A</v>
      </c>
      <c r="BF241" s="151"/>
      <c r="BG241" s="826">
        <v>9</v>
      </c>
      <c r="BH241" s="35" t="str">
        <f t="shared" si="400"/>
        <v>N/A</v>
      </c>
      <c r="BI241" s="151"/>
      <c r="BJ241" s="826">
        <v>9</v>
      </c>
      <c r="BK241" s="35" t="str">
        <f t="shared" si="401"/>
        <v>N/A</v>
      </c>
      <c r="BL241" s="151"/>
      <c r="BO241" s="35"/>
      <c r="BP241" s="35"/>
      <c r="BQ241" s="35" t="str">
        <f t="shared" si="347"/>
        <v/>
      </c>
      <c r="BR241" s="35">
        <f t="shared" si="402"/>
        <v>9</v>
      </c>
      <c r="BS241" s="35">
        <f t="shared" si="403"/>
        <v>9</v>
      </c>
      <c r="BT241" s="35">
        <f t="shared" si="404"/>
        <v>9</v>
      </c>
      <c r="BW241" s="40"/>
      <c r="BX241" s="40"/>
      <c r="BY241" s="40"/>
      <c r="BZ241" s="40"/>
      <c r="CA241" s="40"/>
      <c r="CB241" s="40"/>
      <c r="CO241" s="35">
        <f>'Pre-analyseverktøy'!H131</f>
        <v>0</v>
      </c>
      <c r="CP241" s="35">
        <f>'Pre-analyseverktøy'!O131</f>
        <v>0</v>
      </c>
      <c r="CQ241" s="35">
        <f>'Pre-analyseverktøy'!V131</f>
        <v>0</v>
      </c>
      <c r="CR241" s="35" t="str">
        <f>'Pre-analyseverktøy'!F131</f>
        <v>Forkrav: Risikoanalyse</v>
      </c>
      <c r="CS241" s="35" t="b">
        <f t="shared" si="383"/>
        <v>1</v>
      </c>
    </row>
    <row r="242" spans="1:97" ht="15.75" thickBot="1">
      <c r="A242">
        <v>234</v>
      </c>
      <c r="B242" t="s">
        <v>505</v>
      </c>
      <c r="C242" t="s">
        <v>503</v>
      </c>
      <c r="D242" s="538" t="s">
        <v>505</v>
      </c>
      <c r="E242" s="737" t="s">
        <v>1075</v>
      </c>
      <c r="F242" s="577" t="s">
        <v>1114</v>
      </c>
      <c r="G242" s="577" t="s">
        <v>1114</v>
      </c>
      <c r="H242" s="577" t="s">
        <v>1114</v>
      </c>
      <c r="I242" s="577" t="s">
        <v>1114</v>
      </c>
      <c r="J242" s="577" t="s">
        <v>1114</v>
      </c>
      <c r="K242" s="577" t="s">
        <v>1114</v>
      </c>
      <c r="L242" s="577" t="s">
        <v>1114</v>
      </c>
      <c r="M242" s="577" t="s">
        <v>1114</v>
      </c>
      <c r="N242" s="577" t="s">
        <v>1114</v>
      </c>
      <c r="O242" s="577" t="s">
        <v>1114</v>
      </c>
      <c r="P242" s="577" t="s">
        <v>1114</v>
      </c>
      <c r="Q242" s="578" t="s">
        <v>1114</v>
      </c>
      <c r="R242" s="578" t="s">
        <v>1114</v>
      </c>
      <c r="T242" s="136" t="str">
        <f t="shared" si="393"/>
        <v>Yes/No</v>
      </c>
      <c r="U242" s="194"/>
      <c r="V242" s="192"/>
      <c r="W242" s="35"/>
      <c r="X242" s="35"/>
      <c r="Y242" s="135"/>
      <c r="Z242" s="135"/>
      <c r="AA242" s="136"/>
      <c r="AB242" s="172" t="str">
        <f t="shared" si="394"/>
        <v>Yes/No</v>
      </c>
      <c r="AC242" s="496">
        <v>242</v>
      </c>
      <c r="AD242" s="138"/>
      <c r="AE242" s="193" t="s">
        <v>632</v>
      </c>
      <c r="AF242" s="193" t="s">
        <v>632</v>
      </c>
      <c r="AG242" s="193" t="s">
        <v>632</v>
      </c>
      <c r="AI242" s="139">
        <f t="shared" si="395"/>
        <v>0</v>
      </c>
      <c r="AJ242" s="139">
        <f t="shared" si="396"/>
        <v>0</v>
      </c>
      <c r="AK242" s="139">
        <f t="shared" si="397"/>
        <v>0</v>
      </c>
      <c r="AM242" s="539"/>
      <c r="AN242" s="187"/>
      <c r="AO242" s="187"/>
      <c r="AP242" s="187"/>
      <c r="AQ242" s="188"/>
      <c r="AS242" s="539"/>
      <c r="AT242" s="187"/>
      <c r="AU242" s="187"/>
      <c r="AV242" s="187"/>
      <c r="AW242" s="188"/>
      <c r="AY242" s="148">
        <f t="shared" si="407"/>
        <v>0</v>
      </c>
      <c r="AZ242" s="149">
        <f t="shared" si="408"/>
        <v>0</v>
      </c>
      <c r="BA242" s="149">
        <f t="shared" si="409"/>
        <v>0</v>
      </c>
      <c r="BB242" s="149">
        <f t="shared" si="410"/>
        <v>0</v>
      </c>
      <c r="BC242" s="153">
        <f t="shared" si="406"/>
        <v>0</v>
      </c>
      <c r="BD242" s="826">
        <v>9</v>
      </c>
      <c r="BE242" s="35" t="str">
        <f t="shared" si="399"/>
        <v>N/A</v>
      </c>
      <c r="BF242" s="151"/>
      <c r="BG242" s="826">
        <v>9</v>
      </c>
      <c r="BH242" s="35" t="str">
        <f t="shared" si="400"/>
        <v>N/A</v>
      </c>
      <c r="BI242" s="151"/>
      <c r="BJ242" s="826">
        <v>9</v>
      </c>
      <c r="BK242" s="35" t="str">
        <f t="shared" si="401"/>
        <v>N/A</v>
      </c>
      <c r="BL242" s="151"/>
      <c r="BO242" s="35"/>
      <c r="BP242" s="35"/>
      <c r="BQ242" s="35"/>
      <c r="BR242" s="35">
        <f t="shared" si="402"/>
        <v>9</v>
      </c>
      <c r="BS242" s="35">
        <f t="shared" si="403"/>
        <v>9</v>
      </c>
      <c r="BT242" s="35">
        <f t="shared" si="404"/>
        <v>9</v>
      </c>
      <c r="BW242" s="40"/>
      <c r="BX242" s="40"/>
      <c r="BY242" s="40"/>
      <c r="BZ242" s="40"/>
      <c r="CA242" s="40"/>
      <c r="CB242" s="40"/>
      <c r="CO242" s="35">
        <f>'Pre-analyseverktøy'!H167</f>
        <v>0</v>
      </c>
      <c r="CP242" s="35">
        <f>'Pre-analyseverktøy'!O167</f>
        <v>0</v>
      </c>
      <c r="CQ242" s="35">
        <f>'Pre-analyseverktøy'!V167</f>
        <v>0</v>
      </c>
      <c r="CR242" s="35" t="str">
        <f>'Pre-analyseverktøy'!F167</f>
        <v>Forkrav: Lovfestede plikter</v>
      </c>
      <c r="CS242" s="35" t="b">
        <f t="shared" si="383"/>
        <v>1</v>
      </c>
    </row>
    <row r="243" spans="1:97" ht="15.75" thickBot="1">
      <c r="A243">
        <v>235</v>
      </c>
      <c r="B243" t="s">
        <v>509</v>
      </c>
      <c r="C243" t="s">
        <v>508</v>
      </c>
      <c r="D243" s="538" t="s">
        <v>509</v>
      </c>
      <c r="E243" s="737" t="s">
        <v>1079</v>
      </c>
      <c r="F243" s="577" t="s">
        <v>1114</v>
      </c>
      <c r="G243" s="577" t="s">
        <v>1114</v>
      </c>
      <c r="H243" s="577" t="s">
        <v>1114</v>
      </c>
      <c r="I243" s="577" t="s">
        <v>1114</v>
      </c>
      <c r="J243" s="577" t="s">
        <v>1114</v>
      </c>
      <c r="K243" s="577" t="s">
        <v>1114</v>
      </c>
      <c r="L243" s="577" t="s">
        <v>1114</v>
      </c>
      <c r="M243" s="577" t="s">
        <v>1114</v>
      </c>
      <c r="N243" s="577" t="s">
        <v>1114</v>
      </c>
      <c r="O243" s="577" t="s">
        <v>1114</v>
      </c>
      <c r="P243" s="577" t="s">
        <v>1114</v>
      </c>
      <c r="Q243" s="578" t="s">
        <v>1114</v>
      </c>
      <c r="R243" s="578" t="s">
        <v>1114</v>
      </c>
      <c r="T243" s="136" t="str">
        <f t="shared" si="393"/>
        <v>Yes/No</v>
      </c>
      <c r="U243" s="194"/>
      <c r="V243" s="192"/>
      <c r="W243" s="35"/>
      <c r="X243" s="35"/>
      <c r="Y243" s="135"/>
      <c r="Z243" s="135"/>
      <c r="AA243" s="136"/>
      <c r="AB243" s="172" t="str">
        <f t="shared" si="394"/>
        <v>Yes/No</v>
      </c>
      <c r="AC243" s="496">
        <v>243</v>
      </c>
      <c r="AD243" s="138"/>
      <c r="AE243" s="193" t="s">
        <v>632</v>
      </c>
      <c r="AF243" s="193" t="s">
        <v>632</v>
      </c>
      <c r="AG243" s="193" t="s">
        <v>632</v>
      </c>
      <c r="AI243" s="139" t="str">
        <f>IF(AI173+AI174=LE02_credits,AD_Yes,AD_no)</f>
        <v>No</v>
      </c>
      <c r="AJ243" s="139" t="str">
        <f>IF(AJ173+AJ174=LE02_credits,AD_Yes,AD_no)</f>
        <v>No</v>
      </c>
      <c r="AK243" s="139" t="str">
        <f>IF(AK173+AK174=LE02_credits,AD_Yes,AD_no)</f>
        <v>No</v>
      </c>
      <c r="AM243" s="539"/>
      <c r="AN243" s="187"/>
      <c r="AO243" s="187"/>
      <c r="AP243" s="187"/>
      <c r="AQ243" s="188"/>
      <c r="AS243" s="539"/>
      <c r="AT243" s="187"/>
      <c r="AU243" s="187"/>
      <c r="AV243" s="187"/>
      <c r="AW243" s="188"/>
      <c r="AY243" s="148">
        <f t="shared" si="407"/>
        <v>0</v>
      </c>
      <c r="AZ243" s="149">
        <f t="shared" si="408"/>
        <v>0</v>
      </c>
      <c r="BA243" s="149">
        <f t="shared" si="409"/>
        <v>0</v>
      </c>
      <c r="BB243" s="149">
        <f t="shared" si="410"/>
        <v>0</v>
      </c>
      <c r="BC243" s="153">
        <f t="shared" si="406"/>
        <v>0</v>
      </c>
      <c r="BD243" s="826">
        <v>9</v>
      </c>
      <c r="BE243" s="35" t="str">
        <f t="shared" si="399"/>
        <v>N/A</v>
      </c>
      <c r="BF243" s="151"/>
      <c r="BG243" s="826">
        <v>9</v>
      </c>
      <c r="BH243" s="35" t="str">
        <f t="shared" si="400"/>
        <v>N/A</v>
      </c>
      <c r="BI243" s="151"/>
      <c r="BJ243" s="826">
        <v>9</v>
      </c>
      <c r="BK243" s="35" t="str">
        <f t="shared" si="401"/>
        <v>N/A</v>
      </c>
      <c r="BL243" s="151"/>
      <c r="BO243" s="35"/>
      <c r="BP243" s="35"/>
      <c r="BQ243" s="35" t="str">
        <f t="shared" si="347"/>
        <v/>
      </c>
      <c r="BR243" s="35">
        <f t="shared" si="402"/>
        <v>9</v>
      </c>
      <c r="BS243" s="35">
        <f t="shared" si="403"/>
        <v>9</v>
      </c>
      <c r="BT243" s="35">
        <f t="shared" si="404"/>
        <v>9</v>
      </c>
      <c r="BW243" s="40"/>
      <c r="BX243" s="40"/>
      <c r="BY243" s="40"/>
      <c r="BZ243" s="40"/>
      <c r="CA243" s="40"/>
      <c r="CB243" s="40"/>
      <c r="CO243" s="35">
        <f>'Pre-analyseverktøy'!H171</f>
        <v>0</v>
      </c>
      <c r="CP243" s="35">
        <f>'Pre-analyseverktøy'!O171</f>
        <v>0</v>
      </c>
      <c r="CQ243" s="35">
        <f>'Pre-analyseverktøy'!V171</f>
        <v>0</v>
      </c>
      <c r="CR243" s="35" t="str">
        <f>'Pre-analyseverktøy'!F171</f>
        <v>Forkrav: økologisk risiko og muligheter</v>
      </c>
      <c r="CS243" s="35" t="b">
        <f t="shared" si="383"/>
        <v>1</v>
      </c>
    </row>
    <row r="244" spans="1:97" ht="15.75" thickBot="1">
      <c r="A244">
        <v>236</v>
      </c>
      <c r="B244" t="s">
        <v>514</v>
      </c>
      <c r="C244" t="s">
        <v>512</v>
      </c>
      <c r="D244" s="538" t="s">
        <v>514</v>
      </c>
      <c r="E244" s="737" t="s">
        <v>1083</v>
      </c>
      <c r="F244" s="577" t="s">
        <v>1114</v>
      </c>
      <c r="G244" s="577" t="s">
        <v>1114</v>
      </c>
      <c r="H244" s="577" t="s">
        <v>1114</v>
      </c>
      <c r="I244" s="577" t="s">
        <v>1114</v>
      </c>
      <c r="J244" s="577" t="s">
        <v>1114</v>
      </c>
      <c r="K244" s="577" t="s">
        <v>1114</v>
      </c>
      <c r="L244" s="577" t="s">
        <v>1114</v>
      </c>
      <c r="M244" s="577" t="s">
        <v>1114</v>
      </c>
      <c r="N244" s="577" t="s">
        <v>1114</v>
      </c>
      <c r="O244" s="577" t="s">
        <v>1114</v>
      </c>
      <c r="P244" s="577" t="s">
        <v>1114</v>
      </c>
      <c r="Q244" s="578" t="s">
        <v>1114</v>
      </c>
      <c r="R244" s="578" t="s">
        <v>1114</v>
      </c>
      <c r="T244" s="136" t="str">
        <f t="shared" si="393"/>
        <v>Yes/No</v>
      </c>
      <c r="U244" s="194"/>
      <c r="V244" s="192"/>
      <c r="W244" s="35"/>
      <c r="X244" s="35"/>
      <c r="Y244" s="135"/>
      <c r="Z244" s="135"/>
      <c r="AA244" s="136"/>
      <c r="AB244" s="172" t="str">
        <f t="shared" si="394"/>
        <v>Yes/No</v>
      </c>
      <c r="AC244" s="496">
        <v>244</v>
      </c>
      <c r="AD244" s="138"/>
      <c r="AE244" s="193" t="s">
        <v>632</v>
      </c>
      <c r="AF244" s="193" t="s">
        <v>632</v>
      </c>
      <c r="AG244" s="193" t="s">
        <v>632</v>
      </c>
      <c r="AI244" s="139">
        <f t="shared" ref="AI244:AI255" si="411">IF(CO244&gt;$AB244,$AB244,CO244)</f>
        <v>0</v>
      </c>
      <c r="AJ244" s="139">
        <f t="shared" ref="AJ244:AJ255" si="412">IF(CP244&gt;$AB244,$AB244,CP244)</f>
        <v>0</v>
      </c>
      <c r="AK244" s="139">
        <f t="shared" ref="AK244:AK255" si="413">IF(CQ244&gt;$AB244,$AB244,CQ244)</f>
        <v>0</v>
      </c>
      <c r="AM244" s="539"/>
      <c r="AN244" s="187"/>
      <c r="AO244" s="187"/>
      <c r="AP244" s="187"/>
      <c r="AQ244" s="188"/>
      <c r="AS244" s="539"/>
      <c r="AT244" s="187"/>
      <c r="AU244" s="187"/>
      <c r="AV244" s="187"/>
      <c r="AW244" s="188"/>
      <c r="AY244" s="148">
        <f t="shared" si="407"/>
        <v>0</v>
      </c>
      <c r="AZ244" s="149">
        <f t="shared" si="408"/>
        <v>0</v>
      </c>
      <c r="BA244" s="149">
        <f t="shared" si="409"/>
        <v>0</v>
      </c>
      <c r="BB244" s="149">
        <f t="shared" si="410"/>
        <v>0</v>
      </c>
      <c r="BC244" s="153">
        <f t="shared" si="406"/>
        <v>0</v>
      </c>
      <c r="BD244" s="826">
        <f>IF(AI244="Yes",5,4)</f>
        <v>4</v>
      </c>
      <c r="BE244" s="35" t="str">
        <f t="shared" si="399"/>
        <v>Excellent</v>
      </c>
      <c r="BF244" s="151"/>
      <c r="BG244" s="826">
        <f>IF(AJ244="Yes",5,4)</f>
        <v>4</v>
      </c>
      <c r="BH244" s="35" t="str">
        <f t="shared" si="400"/>
        <v>Excellent</v>
      </c>
      <c r="BI244" s="151"/>
      <c r="BJ244" s="826">
        <f>IF(AK244="Yes",5,4)</f>
        <v>4</v>
      </c>
      <c r="BK244" s="35" t="str">
        <f t="shared" si="401"/>
        <v>Excellent</v>
      </c>
      <c r="BL244" s="151"/>
      <c r="BO244" s="35"/>
      <c r="BP244" s="35"/>
      <c r="BQ244" s="35" t="str">
        <f t="shared" si="347"/>
        <v/>
      </c>
      <c r="BR244" s="35">
        <f t="shared" si="402"/>
        <v>9</v>
      </c>
      <c r="BS244" s="35">
        <f t="shared" si="403"/>
        <v>9</v>
      </c>
      <c r="BT244" s="35">
        <f t="shared" si="404"/>
        <v>9</v>
      </c>
      <c r="BW244" s="40"/>
      <c r="BX244" s="40"/>
      <c r="BY244" s="40"/>
      <c r="BZ244" s="40"/>
      <c r="CA244" s="40"/>
      <c r="CB244" s="40"/>
      <c r="CO244" s="35">
        <f>'Pre-analyseverktøy'!H175</f>
        <v>0</v>
      </c>
      <c r="CP244" s="35">
        <f>'Pre-analyseverktøy'!O175</f>
        <v>0</v>
      </c>
      <c r="CQ244" s="35">
        <f>'Pre-analyseverktøy'!V175</f>
        <v>0</v>
      </c>
      <c r="CR244" s="35" t="str">
        <f>'Pre-analyseverktøy'!F175</f>
        <v>Forkrav: håndtering av negativ påvirkning på økologi</v>
      </c>
      <c r="CS244" s="35" t="b">
        <f t="shared" si="383"/>
        <v>1</v>
      </c>
    </row>
    <row r="245" spans="1:97" ht="15.75" thickBot="1">
      <c r="A245">
        <v>237</v>
      </c>
      <c r="B245" t="s">
        <v>519</v>
      </c>
      <c r="C245" t="s">
        <v>517</v>
      </c>
      <c r="D245" s="538" t="s">
        <v>519</v>
      </c>
      <c r="E245" s="737" t="s">
        <v>1087</v>
      </c>
      <c r="F245" s="577" t="s">
        <v>1114</v>
      </c>
      <c r="G245" s="577" t="s">
        <v>1114</v>
      </c>
      <c r="H245" s="577" t="s">
        <v>1114</v>
      </c>
      <c r="I245" s="577" t="s">
        <v>1114</v>
      </c>
      <c r="J245" s="577" t="s">
        <v>1114</v>
      </c>
      <c r="K245" s="577" t="s">
        <v>1114</v>
      </c>
      <c r="L245" s="577" t="s">
        <v>1114</v>
      </c>
      <c r="M245" s="577" t="s">
        <v>1114</v>
      </c>
      <c r="N245" s="577" t="s">
        <v>1114</v>
      </c>
      <c r="O245" s="577" t="s">
        <v>1114</v>
      </c>
      <c r="P245" s="577" t="s">
        <v>1114</v>
      </c>
      <c r="Q245" s="578" t="s">
        <v>1114</v>
      </c>
      <c r="R245" s="578" t="s">
        <v>1114</v>
      </c>
      <c r="T245" s="136" t="str">
        <f t="shared" si="393"/>
        <v>Yes/No</v>
      </c>
      <c r="U245" s="194"/>
      <c r="V245" s="192"/>
      <c r="W245" s="35"/>
      <c r="X245" s="35"/>
      <c r="Y245" s="135"/>
      <c r="Z245" s="135"/>
      <c r="AA245" s="136"/>
      <c r="AB245" s="172" t="str">
        <f t="shared" si="394"/>
        <v>Yes/No</v>
      </c>
      <c r="AC245" s="496">
        <v>245</v>
      </c>
      <c r="AD245" s="138"/>
      <c r="AE245" s="193" t="s">
        <v>632</v>
      </c>
      <c r="AF245" s="193" t="s">
        <v>632</v>
      </c>
      <c r="AG245" s="193" t="s">
        <v>632</v>
      </c>
      <c r="AI245" s="139">
        <f t="shared" si="411"/>
        <v>0</v>
      </c>
      <c r="AJ245" s="139">
        <f t="shared" si="412"/>
        <v>0</v>
      </c>
      <c r="AK245" s="139">
        <f t="shared" si="413"/>
        <v>0</v>
      </c>
      <c r="AM245" s="539"/>
      <c r="AN245" s="187"/>
      <c r="AO245" s="187"/>
      <c r="AP245" s="187"/>
      <c r="AQ245" s="188"/>
      <c r="AS245" s="539"/>
      <c r="AT245" s="187"/>
      <c r="AU245" s="187"/>
      <c r="AV245" s="187"/>
      <c r="AW245" s="188"/>
      <c r="AY245" s="148">
        <f t="shared" ref="AY245:BB252" si="414">IF($E$6=$H$9,AS245,AM245)</f>
        <v>0</v>
      </c>
      <c r="AZ245" s="149">
        <f t="shared" si="414"/>
        <v>0</v>
      </c>
      <c r="BA245" s="149">
        <f t="shared" si="414"/>
        <v>0</v>
      </c>
      <c r="BB245" s="149">
        <f t="shared" si="414"/>
        <v>0</v>
      </c>
      <c r="BC245" s="153">
        <f t="shared" si="406"/>
        <v>0</v>
      </c>
      <c r="BD245" s="826">
        <v>9</v>
      </c>
      <c r="BE245" s="35" t="str">
        <f t="shared" si="399"/>
        <v>N/A</v>
      </c>
      <c r="BF245" s="151"/>
      <c r="BG245" s="826">
        <v>9</v>
      </c>
      <c r="BH245" s="35" t="str">
        <f t="shared" si="400"/>
        <v>N/A</v>
      </c>
      <c r="BI245" s="151"/>
      <c r="BJ245" s="826">
        <v>9</v>
      </c>
      <c r="BK245" s="35" t="str">
        <f t="shared" si="401"/>
        <v>N/A</v>
      </c>
      <c r="BL245" s="151"/>
      <c r="BO245" s="35"/>
      <c r="BP245" s="35"/>
      <c r="BQ245" s="35" t="str">
        <f t="shared" si="347"/>
        <v/>
      </c>
      <c r="BR245" s="35">
        <f t="shared" si="402"/>
        <v>9</v>
      </c>
      <c r="BS245" s="35">
        <f t="shared" si="403"/>
        <v>9</v>
      </c>
      <c r="BT245" s="35">
        <f t="shared" si="404"/>
        <v>9</v>
      </c>
      <c r="BW245" s="40"/>
      <c r="BX245" s="40"/>
      <c r="BY245" s="40"/>
      <c r="BZ245" s="40"/>
      <c r="CA245" s="40"/>
      <c r="CB245" s="40"/>
      <c r="CO245" s="35">
        <f>'Pre-analyseverktøy'!H179</f>
        <v>0</v>
      </c>
      <c r="CP245" s="35">
        <f>'Pre-analyseverktøy'!O179</f>
        <v>0</v>
      </c>
      <c r="CQ245" s="35">
        <f>'Pre-analyseverktøy'!V179</f>
        <v>0</v>
      </c>
      <c r="CR245" s="35" t="str">
        <f>'Pre-analyseverktøy'!F179</f>
        <v>Forkrav: Lovkrav, planlegging og iverksettelse i utbyggingsområdet</v>
      </c>
      <c r="CS245" s="35" t="b">
        <f t="shared" si="383"/>
        <v>1</v>
      </c>
    </row>
    <row r="246" spans="1:97" ht="15.75" thickBot="1">
      <c r="A246">
        <v>238</v>
      </c>
      <c r="B246" t="s">
        <v>406</v>
      </c>
      <c r="C246" t="s">
        <v>404</v>
      </c>
      <c r="D246" s="538" t="s">
        <v>406</v>
      </c>
      <c r="E246" s="737" t="s">
        <v>1021</v>
      </c>
      <c r="F246" s="577" t="s">
        <v>1114</v>
      </c>
      <c r="G246" s="577" t="s">
        <v>1114</v>
      </c>
      <c r="H246" s="577" t="s">
        <v>1114</v>
      </c>
      <c r="I246" s="577" t="s">
        <v>1114</v>
      </c>
      <c r="J246" s="577" t="s">
        <v>1114</v>
      </c>
      <c r="K246" s="577" t="s">
        <v>1114</v>
      </c>
      <c r="L246" s="577" t="s">
        <v>1114</v>
      </c>
      <c r="M246" s="577" t="s">
        <v>1114</v>
      </c>
      <c r="N246" s="577" t="s">
        <v>1114</v>
      </c>
      <c r="O246" s="577" t="s">
        <v>1114</v>
      </c>
      <c r="P246" s="577" t="s">
        <v>1114</v>
      </c>
      <c r="Q246" s="578" t="s">
        <v>1114</v>
      </c>
      <c r="R246" s="578" t="s">
        <v>1114</v>
      </c>
      <c r="T246" s="136" t="str">
        <f t="shared" si="393"/>
        <v>Yes/No</v>
      </c>
      <c r="U246" s="194"/>
      <c r="V246" s="192"/>
      <c r="W246" s="35"/>
      <c r="X246" s="35"/>
      <c r="Y246" s="135"/>
      <c r="Z246" s="135"/>
      <c r="AA246" s="136"/>
      <c r="AB246" s="172" t="str">
        <f t="shared" si="394"/>
        <v>Yes/No</v>
      </c>
      <c r="AC246" s="496">
        <v>246</v>
      </c>
      <c r="AD246" s="138"/>
      <c r="AE246" s="193" t="s">
        <v>632</v>
      </c>
      <c r="AF246" s="193" t="s">
        <v>632</v>
      </c>
      <c r="AG246" s="193" t="s">
        <v>632</v>
      </c>
      <c r="AI246" s="139">
        <f t="shared" si="411"/>
        <v>0</v>
      </c>
      <c r="AJ246" s="139">
        <f t="shared" si="412"/>
        <v>0</v>
      </c>
      <c r="AK246" s="139">
        <f t="shared" si="413"/>
        <v>0</v>
      </c>
      <c r="AM246" s="539"/>
      <c r="AN246" s="187"/>
      <c r="AO246" s="187"/>
      <c r="AP246" s="187"/>
      <c r="AQ246" s="188"/>
      <c r="AS246" s="539"/>
      <c r="AT246" s="187"/>
      <c r="AU246" s="187"/>
      <c r="AV246" s="187"/>
      <c r="AW246" s="188"/>
      <c r="AY246" s="148">
        <f t="shared" si="414"/>
        <v>0</v>
      </c>
      <c r="AZ246" s="149">
        <f t="shared" si="414"/>
        <v>0</v>
      </c>
      <c r="BA246" s="149">
        <f t="shared" si="414"/>
        <v>0</v>
      </c>
      <c r="BB246" s="149">
        <f t="shared" si="414"/>
        <v>0</v>
      </c>
      <c r="BC246" s="153">
        <f>IF($E$6=$H$9,AW246,AQ246)</f>
        <v>0</v>
      </c>
      <c r="BD246" s="826">
        <v>9</v>
      </c>
      <c r="BE246" s="35" t="str">
        <f t="shared" si="399"/>
        <v>N/A</v>
      </c>
      <c r="BF246" s="151"/>
      <c r="BG246" s="826">
        <v>9</v>
      </c>
      <c r="BH246" s="35" t="str">
        <f t="shared" si="400"/>
        <v>N/A</v>
      </c>
      <c r="BI246" s="151"/>
      <c r="BJ246" s="826">
        <v>9</v>
      </c>
      <c r="BK246" s="35" t="str">
        <f t="shared" si="401"/>
        <v>N/A</v>
      </c>
      <c r="BL246" s="151"/>
      <c r="BO246" s="35"/>
      <c r="BP246" s="35"/>
      <c r="BQ246" s="35" t="str">
        <f t="shared" si="347"/>
        <v/>
      </c>
      <c r="BR246" s="35">
        <f t="shared" si="402"/>
        <v>9</v>
      </c>
      <c r="BS246" s="35">
        <f t="shared" si="403"/>
        <v>9</v>
      </c>
      <c r="BT246" s="35">
        <f t="shared" si="404"/>
        <v>9</v>
      </c>
      <c r="BW246" s="40"/>
      <c r="BX246" s="40"/>
      <c r="BY246" s="40"/>
      <c r="BZ246" s="40"/>
      <c r="CA246" s="40"/>
      <c r="CB246" s="40"/>
      <c r="CO246" s="35">
        <f>'Pre-analyseverktøy'!H99</f>
        <v>0</v>
      </c>
      <c r="CP246" s="35">
        <f>'Pre-analyseverktøy'!O99</f>
        <v>0</v>
      </c>
      <c r="CQ246" s="35">
        <f>'Pre-analyseverktøy'!V99</f>
        <v>0</v>
      </c>
      <c r="CR246" s="35" t="str">
        <f>'Pre-analyseverktøy'!F99</f>
        <v>Forkrav: Transportkartlegging og mobilitetsplan</v>
      </c>
      <c r="CS246" s="35" t="b">
        <f t="shared" si="383"/>
        <v>1</v>
      </c>
    </row>
    <row r="247" spans="1:97" ht="15.75" thickBot="1">
      <c r="A247">
        <v>239</v>
      </c>
      <c r="B247" t="s">
        <v>527</v>
      </c>
      <c r="C247" t="s">
        <v>526</v>
      </c>
      <c r="D247" s="155" t="s">
        <v>527</v>
      </c>
      <c r="E247" s="737" t="s">
        <v>1093</v>
      </c>
      <c r="F247" s="577" t="s">
        <v>1114</v>
      </c>
      <c r="G247" s="577" t="s">
        <v>1114</v>
      </c>
      <c r="H247" s="577" t="s">
        <v>1114</v>
      </c>
      <c r="I247" s="577" t="s">
        <v>1114</v>
      </c>
      <c r="J247" s="577" t="s">
        <v>1114</v>
      </c>
      <c r="K247" s="577" t="s">
        <v>1114</v>
      </c>
      <c r="L247" s="577" t="s">
        <v>1114</v>
      </c>
      <c r="M247" s="577" t="s">
        <v>1114</v>
      </c>
      <c r="N247" s="577" t="s">
        <v>1114</v>
      </c>
      <c r="O247" s="577" t="s">
        <v>1114</v>
      </c>
      <c r="P247" s="577" t="s">
        <v>1114</v>
      </c>
      <c r="Q247" s="578" t="s">
        <v>1114</v>
      </c>
      <c r="R247" s="578" t="s">
        <v>1114</v>
      </c>
      <c r="T247" s="136" t="str">
        <f t="shared" si="393"/>
        <v>Yes/No</v>
      </c>
      <c r="U247" s="194"/>
      <c r="V247" s="192"/>
      <c r="W247" s="35"/>
      <c r="X247" s="35"/>
      <c r="Y247" s="135"/>
      <c r="Z247" s="135"/>
      <c r="AA247" s="136"/>
      <c r="AB247" s="172" t="str">
        <f t="shared" si="394"/>
        <v>Yes/No</v>
      </c>
      <c r="AC247" s="496">
        <v>247</v>
      </c>
      <c r="AD247" s="138"/>
      <c r="AE247" s="193" t="s">
        <v>632</v>
      </c>
      <c r="AF247" s="193" t="s">
        <v>632</v>
      </c>
      <c r="AG247" s="193" t="s">
        <v>632</v>
      </c>
      <c r="AI247" s="139">
        <f t="shared" si="411"/>
        <v>0</v>
      </c>
      <c r="AJ247" s="139">
        <f t="shared" si="412"/>
        <v>0</v>
      </c>
      <c r="AK247" s="139">
        <f t="shared" si="413"/>
        <v>0</v>
      </c>
      <c r="AM247" s="539"/>
      <c r="AN247" s="187"/>
      <c r="AO247" s="187"/>
      <c r="AP247" s="187"/>
      <c r="AQ247" s="188"/>
      <c r="AS247" s="539"/>
      <c r="AT247" s="187"/>
      <c r="AU247" s="187"/>
      <c r="AV247" s="187"/>
      <c r="AW247" s="188"/>
      <c r="AY247" s="148">
        <f t="shared" si="414"/>
        <v>0</v>
      </c>
      <c r="AZ247" s="149">
        <f t="shared" si="414"/>
        <v>0</v>
      </c>
      <c r="BA247" s="149">
        <f t="shared" si="414"/>
        <v>0</v>
      </c>
      <c r="BB247" s="149">
        <f t="shared" si="414"/>
        <v>0</v>
      </c>
      <c r="BC247" s="153">
        <f t="shared" si="406"/>
        <v>0</v>
      </c>
      <c r="BD247" s="826">
        <v>9</v>
      </c>
      <c r="BE247" s="35" t="str">
        <f t="shared" si="399"/>
        <v>N/A</v>
      </c>
      <c r="BF247" s="151"/>
      <c r="BG247" s="826">
        <v>9</v>
      </c>
      <c r="BH247" s="35" t="str">
        <f t="shared" si="400"/>
        <v>N/A</v>
      </c>
      <c r="BI247" s="151"/>
      <c r="BJ247" s="826">
        <v>9</v>
      </c>
      <c r="BK247" s="35" t="str">
        <f t="shared" si="401"/>
        <v>N/A</v>
      </c>
      <c r="BL247" s="151"/>
      <c r="BO247" s="35"/>
      <c r="BP247" s="35"/>
      <c r="BQ247" s="35" t="str">
        <f t="shared" si="347"/>
        <v/>
      </c>
      <c r="BR247" s="35">
        <f t="shared" si="402"/>
        <v>9</v>
      </c>
      <c r="BS247" s="35">
        <f t="shared" si="403"/>
        <v>9</v>
      </c>
      <c r="BT247" s="35">
        <f t="shared" si="404"/>
        <v>9</v>
      </c>
      <c r="BW247" s="40"/>
      <c r="BX247" s="40"/>
      <c r="BY247" s="40"/>
      <c r="BZ247" s="40"/>
      <c r="CA247" s="40"/>
      <c r="CB247" s="40"/>
      <c r="CO247" s="35">
        <f>'Pre-analyseverktøy'!H185</f>
        <v>0</v>
      </c>
      <c r="CP247" s="35">
        <f>'Pre-analyseverktøy'!O185</f>
        <v>0</v>
      </c>
      <c r="CQ247" s="35">
        <f>'Pre-analyseverktøy'!V185</f>
        <v>0</v>
      </c>
      <c r="CR247" s="35" t="str">
        <f>'Pre-analyseverktøy'!F185</f>
        <v>Forkrav: flomrisikoanalyse</v>
      </c>
      <c r="CS247" s="35" t="b">
        <f t="shared" si="383"/>
        <v>1</v>
      </c>
    </row>
    <row r="248" spans="1:97" ht="15.75" thickBot="1">
      <c r="A248">
        <v>240</v>
      </c>
      <c r="B248" t="s">
        <v>530</v>
      </c>
      <c r="C248" t="s">
        <v>529</v>
      </c>
      <c r="D248" s="155" t="s">
        <v>530</v>
      </c>
      <c r="E248" s="737" t="s">
        <v>1096</v>
      </c>
      <c r="F248" s="577" t="s">
        <v>1114</v>
      </c>
      <c r="G248" s="577" t="s">
        <v>1114</v>
      </c>
      <c r="H248" s="577" t="s">
        <v>1114</v>
      </c>
      <c r="I248" s="577" t="s">
        <v>1114</v>
      </c>
      <c r="J248" s="577" t="s">
        <v>1114</v>
      </c>
      <c r="K248" s="577" t="s">
        <v>1114</v>
      </c>
      <c r="L248" s="577" t="s">
        <v>1114</v>
      </c>
      <c r="M248" s="577" t="s">
        <v>1114</v>
      </c>
      <c r="N248" s="577" t="s">
        <v>1114</v>
      </c>
      <c r="O248" s="577" t="s">
        <v>1114</v>
      </c>
      <c r="P248" s="577" t="s">
        <v>1114</v>
      </c>
      <c r="Q248" s="578" t="s">
        <v>1114</v>
      </c>
      <c r="R248" s="578" t="s">
        <v>1114</v>
      </c>
      <c r="T248" s="136" t="str">
        <f t="shared" si="393"/>
        <v>Yes/No</v>
      </c>
      <c r="U248" s="194"/>
      <c r="V248" s="192"/>
      <c r="W248" s="35"/>
      <c r="X248" s="35"/>
      <c r="Y248" s="135"/>
      <c r="Z248" s="135"/>
      <c r="AA248" s="136"/>
      <c r="AB248" s="172" t="str">
        <f t="shared" si="394"/>
        <v>Yes/No</v>
      </c>
      <c r="AC248" s="496">
        <v>248</v>
      </c>
      <c r="AD248" s="138"/>
      <c r="AE248" s="193" t="s">
        <v>632</v>
      </c>
      <c r="AF248" s="193" t="s">
        <v>632</v>
      </c>
      <c r="AG248" s="193" t="s">
        <v>632</v>
      </c>
      <c r="AI248" s="139">
        <f t="shared" si="411"/>
        <v>0</v>
      </c>
      <c r="AJ248" s="139">
        <f t="shared" si="412"/>
        <v>0</v>
      </c>
      <c r="AK248" s="139">
        <f t="shared" si="413"/>
        <v>0</v>
      </c>
      <c r="AM248" s="539"/>
      <c r="AN248" s="187"/>
      <c r="AO248" s="187"/>
      <c r="AP248" s="187"/>
      <c r="AQ248" s="188"/>
      <c r="AS248" s="539"/>
      <c r="AT248" s="187"/>
      <c r="AU248" s="187"/>
      <c r="AV248" s="187"/>
      <c r="AW248" s="188"/>
      <c r="AY248" s="148">
        <f t="shared" si="414"/>
        <v>0</v>
      </c>
      <c r="AZ248" s="149">
        <f t="shared" si="414"/>
        <v>0</v>
      </c>
      <c r="BA248" s="149">
        <f t="shared" si="414"/>
        <v>0</v>
      </c>
      <c r="BB248" s="149">
        <f t="shared" si="414"/>
        <v>0</v>
      </c>
      <c r="BC248" s="153">
        <f t="shared" si="406"/>
        <v>0</v>
      </c>
      <c r="BD248" s="826">
        <v>9</v>
      </c>
      <c r="BE248" s="35" t="str">
        <f t="shared" si="399"/>
        <v>N/A</v>
      </c>
      <c r="BF248" s="151"/>
      <c r="BG248" s="826">
        <v>9</v>
      </c>
      <c r="BH248" s="35" t="str">
        <f t="shared" si="400"/>
        <v>N/A</v>
      </c>
      <c r="BI248" s="151"/>
      <c r="BJ248" s="826">
        <v>9</v>
      </c>
      <c r="BK248" s="35" t="str">
        <f t="shared" si="401"/>
        <v>N/A</v>
      </c>
      <c r="BL248" s="151"/>
      <c r="BO248" s="35"/>
      <c r="BP248" s="35"/>
      <c r="BQ248" s="35" t="str">
        <f t="shared" si="347"/>
        <v/>
      </c>
      <c r="BR248" s="35">
        <f t="shared" si="402"/>
        <v>9</v>
      </c>
      <c r="BS248" s="35">
        <f t="shared" si="403"/>
        <v>9</v>
      </c>
      <c r="BT248" s="35">
        <f t="shared" si="404"/>
        <v>9</v>
      </c>
      <c r="BW248" s="40"/>
      <c r="BX248" s="40"/>
      <c r="BY248" s="40"/>
      <c r="BZ248" s="40"/>
      <c r="CA248" s="40"/>
      <c r="CB248" s="40"/>
      <c r="CO248" s="35">
        <f>'Pre-analyseverktøy'!H188</f>
        <v>0</v>
      </c>
      <c r="CP248" s="35">
        <f>'Pre-analyseverktøy'!O188</f>
        <v>0</v>
      </c>
      <c r="CQ248" s="35">
        <f>'Pre-analyseverktøy'!V188</f>
        <v>0</v>
      </c>
      <c r="CR248" s="35" t="str">
        <f>'Pre-analyseverktøy'!F188</f>
        <v>Forkrav: risikokartlegging og tretrinnsstrategi</v>
      </c>
      <c r="CS248" s="35" t="b">
        <f t="shared" si="383"/>
        <v>1</v>
      </c>
    </row>
    <row r="249" spans="1:97" ht="15.75" thickBot="1">
      <c r="A249">
        <v>241</v>
      </c>
      <c r="B249" t="s">
        <v>888</v>
      </c>
      <c r="C249" t="s">
        <v>734</v>
      </c>
      <c r="D249" s="155" t="s">
        <v>888</v>
      </c>
      <c r="E249" s="847" t="s">
        <v>1116</v>
      </c>
      <c r="F249" s="577" t="s">
        <v>1114</v>
      </c>
      <c r="G249" s="577" t="s">
        <v>1114</v>
      </c>
      <c r="H249" s="577" t="s">
        <v>1114</v>
      </c>
      <c r="I249" s="577" t="s">
        <v>1114</v>
      </c>
      <c r="J249" s="577" t="s">
        <v>1114</v>
      </c>
      <c r="K249" s="577" t="s">
        <v>1114</v>
      </c>
      <c r="L249" s="577" t="s">
        <v>1114</v>
      </c>
      <c r="M249" s="577" t="s">
        <v>1114</v>
      </c>
      <c r="N249" s="577" t="s">
        <v>1114</v>
      </c>
      <c r="O249" s="577" t="s">
        <v>1114</v>
      </c>
      <c r="P249" s="577" t="s">
        <v>1114</v>
      </c>
      <c r="Q249" s="578" t="s">
        <v>1114</v>
      </c>
      <c r="R249" s="578" t="s">
        <v>1114</v>
      </c>
      <c r="T249" s="136" t="str">
        <f t="shared" si="393"/>
        <v>Yes/No</v>
      </c>
      <c r="U249" s="194"/>
      <c r="V249" s="192"/>
      <c r="W249" s="35"/>
      <c r="X249" s="35"/>
      <c r="Y249" s="135"/>
      <c r="Z249" s="135"/>
      <c r="AA249" s="136"/>
      <c r="AB249" s="764" t="str">
        <f>IF(Prosjektdetaljer!F24=AD_Yes,Poeng!T249,0)</f>
        <v>Yes/No</v>
      </c>
      <c r="AC249" s="496">
        <v>249</v>
      </c>
      <c r="AD249" s="138"/>
      <c r="AE249" s="193" t="s">
        <v>632</v>
      </c>
      <c r="AF249" s="193" t="s">
        <v>632</v>
      </c>
      <c r="AG249" s="193" t="s">
        <v>632</v>
      </c>
      <c r="AI249" s="139">
        <f t="shared" si="411"/>
        <v>0</v>
      </c>
      <c r="AJ249" s="139">
        <f t="shared" si="412"/>
        <v>0</v>
      </c>
      <c r="AK249" s="139">
        <f t="shared" si="413"/>
        <v>0</v>
      </c>
      <c r="AM249" s="539"/>
      <c r="AN249" s="187"/>
      <c r="AO249" s="187"/>
      <c r="AP249" s="187"/>
      <c r="AQ249" s="188"/>
      <c r="AS249" s="539"/>
      <c r="AT249" s="187"/>
      <c r="AU249" s="187"/>
      <c r="AV249" s="187"/>
      <c r="AW249" s="188"/>
      <c r="AY249" s="148">
        <f t="shared" si="414"/>
        <v>0</v>
      </c>
      <c r="AZ249" s="149">
        <f t="shared" si="414"/>
        <v>0</v>
      </c>
      <c r="BA249" s="149">
        <f t="shared" si="414"/>
        <v>0</v>
      </c>
      <c r="BB249" s="149">
        <f t="shared" si="414"/>
        <v>0</v>
      </c>
      <c r="BC249" s="153">
        <f>IF($E$6=$H$9,AW249,AQ249)</f>
        <v>0</v>
      </c>
      <c r="BD249" s="826">
        <v>9</v>
      </c>
      <c r="BE249" s="35" t="str">
        <f t="shared" si="399"/>
        <v>N/A</v>
      </c>
      <c r="BF249" s="151"/>
      <c r="BG249" s="826">
        <v>9</v>
      </c>
      <c r="BH249" s="35" t="str">
        <f t="shared" si="400"/>
        <v>N/A</v>
      </c>
      <c r="BI249" s="151"/>
      <c r="BJ249" s="826">
        <v>9</v>
      </c>
      <c r="BK249" s="35" t="str">
        <f t="shared" si="401"/>
        <v>N/A</v>
      </c>
      <c r="BL249" s="754"/>
      <c r="BO249" s="35"/>
      <c r="BP249" s="35"/>
      <c r="BQ249" s="35" t="str">
        <f t="shared" si="347"/>
        <v/>
      </c>
      <c r="BR249" s="35">
        <f t="shared" si="402"/>
        <v>9</v>
      </c>
      <c r="BS249" s="35">
        <f t="shared" si="403"/>
        <v>9</v>
      </c>
      <c r="BT249" s="35">
        <f t="shared" si="404"/>
        <v>9</v>
      </c>
      <c r="BW249" s="40"/>
      <c r="BX249" s="40"/>
      <c r="BY249" s="40"/>
      <c r="BZ249" s="40"/>
      <c r="CA249" s="40"/>
      <c r="CB249" s="40"/>
      <c r="CO249" s="35">
        <f>'Pre-analyseverktøy'!H197</f>
        <v>0</v>
      </c>
      <c r="CP249" s="35">
        <f>'Pre-analyseverktøy'!O197</f>
        <v>0</v>
      </c>
      <c r="CQ249" s="35">
        <f>'Pre-analyseverktøy'!V197</f>
        <v>0</v>
      </c>
      <c r="CR249" s="35" t="str">
        <f>'Pre-analyseverktøy'!F197</f>
        <v>Forkrav - Belastning fra kuldemedier</v>
      </c>
      <c r="CS249" s="35" t="b">
        <f t="shared" si="383"/>
        <v>1</v>
      </c>
    </row>
    <row r="250" spans="1:97" ht="15.75" thickBot="1">
      <c r="A250">
        <v>242</v>
      </c>
      <c r="B250" t="s">
        <v>464</v>
      </c>
      <c r="C250" t="s">
        <v>463</v>
      </c>
      <c r="D250" s="155" t="s">
        <v>464</v>
      </c>
      <c r="E250" s="847" t="s">
        <v>1117</v>
      </c>
      <c r="F250" s="577" t="s">
        <v>1114</v>
      </c>
      <c r="G250" s="577" t="s">
        <v>1114</v>
      </c>
      <c r="H250" s="577" t="s">
        <v>1114</v>
      </c>
      <c r="I250" s="577" t="s">
        <v>1114</v>
      </c>
      <c r="J250" s="577" t="s">
        <v>1114</v>
      </c>
      <c r="K250" s="577" t="s">
        <v>1114</v>
      </c>
      <c r="L250" s="577" t="s">
        <v>1114</v>
      </c>
      <c r="M250" s="577" t="s">
        <v>1114</v>
      </c>
      <c r="N250" s="577" t="s">
        <v>1114</v>
      </c>
      <c r="O250" s="577" t="s">
        <v>1114</v>
      </c>
      <c r="P250" s="577" t="s">
        <v>1114</v>
      </c>
      <c r="Q250" s="578" t="s">
        <v>1114</v>
      </c>
      <c r="R250" s="578" t="s">
        <v>1114</v>
      </c>
      <c r="T250" s="136" t="str">
        <f t="shared" si="393"/>
        <v>Yes/No</v>
      </c>
      <c r="U250" s="194"/>
      <c r="V250" s="192"/>
      <c r="W250" s="35"/>
      <c r="X250" s="35"/>
      <c r="Y250" s="135"/>
      <c r="Z250" s="135"/>
      <c r="AA250" s="136"/>
      <c r="AB250" s="764" t="str">
        <f>IF(AB145=0,0,T250)</f>
        <v>Yes/No</v>
      </c>
      <c r="AC250" s="496">
        <v>250</v>
      </c>
      <c r="AD250" s="138"/>
      <c r="AE250" s="193" t="s">
        <v>632</v>
      </c>
      <c r="AF250" s="193" t="s">
        <v>632</v>
      </c>
      <c r="AG250" s="193" t="s">
        <v>632</v>
      </c>
      <c r="AI250" s="139">
        <f t="shared" si="411"/>
        <v>0</v>
      </c>
      <c r="AJ250" s="139">
        <f t="shared" si="412"/>
        <v>0</v>
      </c>
      <c r="AK250" s="139">
        <f t="shared" si="413"/>
        <v>0</v>
      </c>
      <c r="AM250" s="539" t="s">
        <v>119</v>
      </c>
      <c r="AN250" s="187" t="s">
        <v>119</v>
      </c>
      <c r="AO250" s="187" t="s">
        <v>119</v>
      </c>
      <c r="AP250" s="187" t="s">
        <v>119</v>
      </c>
      <c r="AQ250" s="188" t="s">
        <v>119</v>
      </c>
      <c r="AS250" s="539" t="s">
        <v>119</v>
      </c>
      <c r="AT250" s="187" t="s">
        <v>119</v>
      </c>
      <c r="AU250" s="187" t="s">
        <v>119</v>
      </c>
      <c r="AV250" s="187" t="s">
        <v>119</v>
      </c>
      <c r="AW250" s="188" t="s">
        <v>119</v>
      </c>
      <c r="AY250" s="148" t="str">
        <f t="shared" si="414"/>
        <v>Yes</v>
      </c>
      <c r="AZ250" s="149" t="str">
        <f t="shared" si="414"/>
        <v>Yes</v>
      </c>
      <c r="BA250" s="149" t="str">
        <f t="shared" si="414"/>
        <v>Yes</v>
      </c>
      <c r="BB250" s="149" t="str">
        <f t="shared" si="414"/>
        <v>Yes</v>
      </c>
      <c r="BC250" s="153" t="str">
        <f>IF($E$6=$H$9,AW250,AQ250)</f>
        <v>Yes</v>
      </c>
      <c r="BD250" s="750">
        <f>BD145</f>
        <v>0</v>
      </c>
      <c r="BE250" s="35" t="str">
        <f t="shared" si="399"/>
        <v>Unclassified</v>
      </c>
      <c r="BF250" s="151"/>
      <c r="BG250" s="750">
        <f>BG145</f>
        <v>0</v>
      </c>
      <c r="BH250" s="35" t="str">
        <f t="shared" si="400"/>
        <v>Unclassified</v>
      </c>
      <c r="BI250" s="151"/>
      <c r="BJ250" s="750">
        <f>BJ145</f>
        <v>0</v>
      </c>
      <c r="BK250" s="35" t="str">
        <f t="shared" si="401"/>
        <v>Unclassified</v>
      </c>
      <c r="BL250" s="754"/>
      <c r="BO250" s="35"/>
      <c r="BP250" s="35" t="s">
        <v>119</v>
      </c>
      <c r="BQ250" s="35" t="str">
        <f t="shared" si="347"/>
        <v>Yes</v>
      </c>
      <c r="BR250" s="870">
        <f>IF(AB145=0,9,IF(BQ250="",9,(IF(AI250=AD_Yes,5,0))))</f>
        <v>0</v>
      </c>
      <c r="BS250" s="870">
        <f>IF(AB145=0,9,IF(BQ250="",9,(IF(AJ250=AD_Yes,5,0))))</f>
        <v>0</v>
      </c>
      <c r="BT250" s="870">
        <f>IF(AB145=0,9,IF(BQ250="",9,(IF(AK250=AD_Yes,5,0))))</f>
        <v>0</v>
      </c>
      <c r="BW250" s="40"/>
      <c r="BX250" s="40"/>
      <c r="BY250" s="40"/>
      <c r="BZ250" s="40"/>
      <c r="CA250" s="40"/>
      <c r="CB250" s="40"/>
      <c r="CO250" s="35">
        <f>'Pre-analyseverktøy'!H137</f>
        <v>0</v>
      </c>
      <c r="CP250" s="35">
        <f>'Pre-analyseverktøy'!O137</f>
        <v>0</v>
      </c>
      <c r="CQ250" s="35">
        <f>'Pre-analyseverktøy'!V137</f>
        <v>0</v>
      </c>
      <c r="CR250" s="35" t="str">
        <f>'Pre-analyseverktøy'!F137</f>
        <v>Minstekrav: ombrukskartlegging (EU taksonomi: krit. 1)</v>
      </c>
      <c r="CS250" s="35" t="b">
        <f t="shared" si="383"/>
        <v>1</v>
      </c>
    </row>
    <row r="251" spans="1:97" ht="15.75" thickBot="1">
      <c r="A251">
        <v>243</v>
      </c>
      <c r="B251" t="s">
        <v>484</v>
      </c>
      <c r="C251" t="s">
        <v>478</v>
      </c>
      <c r="D251" s="155" t="s">
        <v>484</v>
      </c>
      <c r="E251" s="928" t="s">
        <v>1118</v>
      </c>
      <c r="F251" s="577" t="s">
        <v>1114</v>
      </c>
      <c r="G251" s="577" t="s">
        <v>1114</v>
      </c>
      <c r="H251" s="577" t="s">
        <v>1114</v>
      </c>
      <c r="I251" s="577" t="s">
        <v>1114</v>
      </c>
      <c r="J251" s="577" t="s">
        <v>1114</v>
      </c>
      <c r="K251" s="577" t="s">
        <v>1114</v>
      </c>
      <c r="L251" s="577" t="s">
        <v>1114</v>
      </c>
      <c r="M251" s="577" t="s">
        <v>1114</v>
      </c>
      <c r="N251" s="577" t="s">
        <v>1114</v>
      </c>
      <c r="O251" s="577" t="s">
        <v>1114</v>
      </c>
      <c r="P251" s="577" t="s">
        <v>1114</v>
      </c>
      <c r="Q251" s="578" t="s">
        <v>1114</v>
      </c>
      <c r="R251" s="578" t="s">
        <v>1114</v>
      </c>
      <c r="T251" s="136" t="str">
        <f t="shared" si="393"/>
        <v>Yes/No</v>
      </c>
      <c r="U251" s="194"/>
      <c r="V251" s="192"/>
      <c r="W251" s="35"/>
      <c r="X251" s="35"/>
      <c r="Y251" s="135"/>
      <c r="Z251" s="135"/>
      <c r="AA251" s="136"/>
      <c r="AB251" s="172" t="str">
        <f>T251</f>
        <v>Yes/No</v>
      </c>
      <c r="AC251" s="496">
        <v>251</v>
      </c>
      <c r="AD251" s="138"/>
      <c r="AE251" s="193" t="s">
        <v>632</v>
      </c>
      <c r="AF251" s="193" t="s">
        <v>632</v>
      </c>
      <c r="AG251" s="193" t="s">
        <v>632</v>
      </c>
      <c r="AI251" s="139">
        <f t="shared" si="411"/>
        <v>0</v>
      </c>
      <c r="AJ251" s="139">
        <f t="shared" si="412"/>
        <v>0</v>
      </c>
      <c r="AK251" s="139">
        <f t="shared" si="413"/>
        <v>0</v>
      </c>
      <c r="AM251" s="539" t="s">
        <v>119</v>
      </c>
      <c r="AN251" s="187" t="s">
        <v>119</v>
      </c>
      <c r="AO251" s="187" t="s">
        <v>119</v>
      </c>
      <c r="AP251" s="187"/>
      <c r="AQ251" s="188"/>
      <c r="AS251" s="539" t="s">
        <v>119</v>
      </c>
      <c r="AT251" s="187" t="s">
        <v>119</v>
      </c>
      <c r="AU251" s="187" t="s">
        <v>119</v>
      </c>
      <c r="AV251" s="187"/>
      <c r="AW251" s="188"/>
      <c r="AY251" s="148" t="str">
        <f t="shared" si="414"/>
        <v>Yes</v>
      </c>
      <c r="AZ251" s="149" t="str">
        <f t="shared" si="414"/>
        <v>Yes</v>
      </c>
      <c r="BA251" s="149" t="str">
        <f t="shared" si="414"/>
        <v>Yes</v>
      </c>
      <c r="BB251" s="149">
        <f t="shared" si="414"/>
        <v>0</v>
      </c>
      <c r="BC251" s="153">
        <f>IF($E$6=$H$9,AW251,AQ251)</f>
        <v>0</v>
      </c>
      <c r="BD251" s="875">
        <f>IF(AI251=AD_Yes,5,3)</f>
        <v>3</v>
      </c>
      <c r="BE251" s="35" t="str">
        <f t="shared" si="399"/>
        <v>Very Good</v>
      </c>
      <c r="BF251" s="845">
        <f>IF(AI251="Yes",3,0)</f>
        <v>0</v>
      </c>
      <c r="BG251" s="502">
        <f>IF(AJ251=AD_Yes,5,3)</f>
        <v>3</v>
      </c>
      <c r="BH251" s="35" t="str">
        <f t="shared" si="400"/>
        <v>Very Good</v>
      </c>
      <c r="BI251" s="845">
        <f>IF(AJ251="Yes",3,0)</f>
        <v>0</v>
      </c>
      <c r="BJ251" s="502">
        <f>IF(AK251=AD_Yes,5,3)</f>
        <v>3</v>
      </c>
      <c r="BK251" s="35" t="str">
        <f t="shared" si="401"/>
        <v>Very Good</v>
      </c>
      <c r="BL251" s="845">
        <f>IF(AK251="Yes",3,0)</f>
        <v>0</v>
      </c>
      <c r="BO251" s="35"/>
      <c r="BP251" s="35" t="s">
        <v>119</v>
      </c>
      <c r="BQ251" s="35" t="str">
        <f t="shared" si="347"/>
        <v>Yes</v>
      </c>
      <c r="BR251" s="35">
        <f>IF(BQ251="",9,(IF(AI251=AD_Yes,5,0)))</f>
        <v>0</v>
      </c>
      <c r="BS251" s="35">
        <f>IF(BQ251="",9,(IF(AJ251=AD_Yes,5,0)))</f>
        <v>0</v>
      </c>
      <c r="BT251" s="35">
        <f>IF(BQ251="",9,(IF(AK251=AD_Yes,5,0)))</f>
        <v>0</v>
      </c>
      <c r="BW251" s="40"/>
      <c r="BX251" s="40"/>
      <c r="BY251" s="40"/>
      <c r="BZ251" s="40"/>
      <c r="CA251" s="40"/>
      <c r="CB251" s="40"/>
      <c r="CO251" s="35">
        <f>'Pre-analyseverktøy'!H153</f>
        <v>0</v>
      </c>
      <c r="CP251" s="35">
        <f>'Pre-analyseverktøy'!O153</f>
        <v>0</v>
      </c>
      <c r="CQ251" s="35">
        <f>'Pre-analyseverktøy'!V153</f>
        <v>0</v>
      </c>
      <c r="CR251" s="35" t="str">
        <f>'Pre-analyseverktøy'!F153</f>
        <v>EU taksonomi:krit.  4, &gt; 90 % sortert og &gt; 70 % klargjort for ombruk og materialgjenvinning</v>
      </c>
      <c r="CS251" s="35" t="b">
        <f t="shared" si="383"/>
        <v>1</v>
      </c>
    </row>
    <row r="252" spans="1:97" ht="15.75" thickBot="1">
      <c r="A252">
        <v>244</v>
      </c>
      <c r="B252" t="s">
        <v>502</v>
      </c>
      <c r="C252" t="s">
        <v>499</v>
      </c>
      <c r="D252" s="156" t="s">
        <v>502</v>
      </c>
      <c r="E252" s="928" t="s">
        <v>1119</v>
      </c>
      <c r="F252" s="577" t="s">
        <v>1114</v>
      </c>
      <c r="G252" s="577" t="s">
        <v>1114</v>
      </c>
      <c r="H252" s="577" t="s">
        <v>1114</v>
      </c>
      <c r="I252" s="577" t="s">
        <v>1114</v>
      </c>
      <c r="J252" s="577" t="s">
        <v>1114</v>
      </c>
      <c r="K252" s="577" t="s">
        <v>1114</v>
      </c>
      <c r="L252" s="577" t="s">
        <v>1114</v>
      </c>
      <c r="M252" s="577" t="s">
        <v>1114</v>
      </c>
      <c r="N252" s="577" t="s">
        <v>1114</v>
      </c>
      <c r="O252" s="577" t="s">
        <v>1114</v>
      </c>
      <c r="P252" s="577" t="s">
        <v>1114</v>
      </c>
      <c r="Q252" s="578" t="s">
        <v>1114</v>
      </c>
      <c r="R252" s="578" t="s">
        <v>1114</v>
      </c>
      <c r="T252" s="136" t="str">
        <f t="shared" si="393"/>
        <v>Yes/No</v>
      </c>
      <c r="U252" s="194"/>
      <c r="V252" s="192"/>
      <c r="W252" s="35"/>
      <c r="X252" s="35"/>
      <c r="Y252" s="135"/>
      <c r="Z252" s="135"/>
      <c r="AA252" s="136"/>
      <c r="AB252" s="172" t="str">
        <f>T252</f>
        <v>Yes/No</v>
      </c>
      <c r="AC252" s="496">
        <v>252</v>
      </c>
      <c r="AD252" s="138"/>
      <c r="AE252" s="193" t="s">
        <v>632</v>
      </c>
      <c r="AF252" s="193" t="s">
        <v>632</v>
      </c>
      <c r="AG252" s="193" t="s">
        <v>632</v>
      </c>
      <c r="AI252" s="139">
        <f t="shared" si="411"/>
        <v>0</v>
      </c>
      <c r="AJ252" s="139">
        <f t="shared" si="412"/>
        <v>0</v>
      </c>
      <c r="AK252" s="139">
        <f t="shared" si="413"/>
        <v>0</v>
      </c>
      <c r="AM252" s="253"/>
      <c r="AN252" s="254"/>
      <c r="AO252" s="254"/>
      <c r="AP252" s="254" t="s">
        <v>119</v>
      </c>
      <c r="AQ252" s="255" t="s">
        <v>119</v>
      </c>
      <c r="AS252" s="253"/>
      <c r="AT252" s="254"/>
      <c r="AU252" s="254"/>
      <c r="AV252" s="254" t="s">
        <v>119</v>
      </c>
      <c r="AW252" s="255" t="s">
        <v>119</v>
      </c>
      <c r="AY252" s="148">
        <f t="shared" si="414"/>
        <v>0</v>
      </c>
      <c r="AZ252" s="149">
        <f t="shared" si="414"/>
        <v>0</v>
      </c>
      <c r="BA252" s="149">
        <f t="shared" si="414"/>
        <v>0</v>
      </c>
      <c r="BB252" s="149" t="str">
        <f t="shared" si="414"/>
        <v>Yes</v>
      </c>
      <c r="BC252" s="153" t="str">
        <f>IF($E$6=$H$9,AW252,AQ252)</f>
        <v>Yes</v>
      </c>
      <c r="BD252" s="148">
        <f>IF(AI252="Yes",5,3)</f>
        <v>3</v>
      </c>
      <c r="BE252" s="35" t="str">
        <f t="shared" si="399"/>
        <v>Very Good</v>
      </c>
      <c r="BF252" s="151"/>
      <c r="BG252" s="148">
        <f>IF(AJ252="Yes",5,3)</f>
        <v>3</v>
      </c>
      <c r="BH252" s="35" t="str">
        <f t="shared" si="400"/>
        <v>Very Good</v>
      </c>
      <c r="BI252" s="151"/>
      <c r="BJ252" s="148">
        <f>IF(AK252="Yes",5,3)</f>
        <v>3</v>
      </c>
      <c r="BK252" s="35" t="str">
        <f t="shared" si="401"/>
        <v>Very Good</v>
      </c>
      <c r="BL252" s="151"/>
      <c r="BO252" s="40"/>
      <c r="BP252" s="35" t="s">
        <v>119</v>
      </c>
      <c r="BQ252" s="35" t="str">
        <f>IF(BO252&lt;&gt;"",BO252,IF(BP252&lt;&gt;"",BP252,""))</f>
        <v>Yes</v>
      </c>
      <c r="BR252" s="35">
        <f>IF(BQ252="",9,(IF(AI252=AD_Yes,5,0)))</f>
        <v>0</v>
      </c>
      <c r="BS252" s="35">
        <f>IF(BQ252="",9,(IF(AJ252=AD_Yes,5,0)))</f>
        <v>0</v>
      </c>
      <c r="BT252" s="35">
        <f>IF(BQ252="",9,(IF(AK252=AD_Yes,5,0)))</f>
        <v>0</v>
      </c>
      <c r="BW252" s="158"/>
      <c r="BX252" s="158"/>
      <c r="BY252" s="158">
        <f>IFERROR(VLOOKUP($E252,'Pre-analyseverktøy'!$F$11:$AJ$226,'Pre-analyseverktøy'!AJ$2,FALSE),"")</f>
        <v>0</v>
      </c>
      <c r="BZ252" s="158" t="str">
        <f>IFERROR(VLOOKUP($BX252,$E$293:$H$326,F$291,FALSE),"")</f>
        <v/>
      </c>
      <c r="CA252" s="158" t="str">
        <f>IFERROR(VLOOKUP($BX252,$E$293:$H$326,G$291,FALSE),"")</f>
        <v/>
      </c>
      <c r="CB252" s="158"/>
      <c r="CC252" t="str">
        <f>IFERROR(VLOOKUP($BX252,$E$293:$H$326,I$291,FALSE),"")</f>
        <v/>
      </c>
      <c r="CO252" s="35">
        <f>'Pre-analyseverktøy'!H165</f>
        <v>0</v>
      </c>
      <c r="CP252" s="35">
        <f>'Pre-analyseverktøy'!O165</f>
        <v>0</v>
      </c>
      <c r="CQ252" s="35">
        <f>'Pre-analyseverktøy'!V165</f>
        <v>0</v>
      </c>
      <c r="CR252" s="35" t="str">
        <f>'Pre-analyseverktøy'!F165</f>
        <v>Minstekrav: utbygging på jordbruksareal eller dyrkbar jord (EU taksonomi: krit. 2)</v>
      </c>
      <c r="CS252" s="35" t="b">
        <f t="shared" si="383"/>
        <v>1</v>
      </c>
    </row>
    <row r="253" spans="1:97" ht="15.75" thickBot="1">
      <c r="A253">
        <v>245</v>
      </c>
      <c r="B253" t="s">
        <v>358</v>
      </c>
      <c r="C253" t="s">
        <v>352</v>
      </c>
      <c r="D253" t="s">
        <v>358</v>
      </c>
      <c r="E253" s="925" t="s">
        <v>1120</v>
      </c>
      <c r="F253" s="581" t="s">
        <v>1114</v>
      </c>
      <c r="G253" s="581" t="s">
        <v>1114</v>
      </c>
      <c r="H253" s="581" t="s">
        <v>1114</v>
      </c>
      <c r="I253" s="581" t="s">
        <v>1114</v>
      </c>
      <c r="J253" s="581" t="s">
        <v>1114</v>
      </c>
      <c r="K253" s="581" t="s">
        <v>1114</v>
      </c>
      <c r="L253" s="581" t="s">
        <v>1114</v>
      </c>
      <c r="M253" s="581" t="s">
        <v>1114</v>
      </c>
      <c r="N253" s="581" t="s">
        <v>1114</v>
      </c>
      <c r="O253" s="581" t="s">
        <v>1114</v>
      </c>
      <c r="P253" s="581" t="s">
        <v>1114</v>
      </c>
      <c r="Q253" s="581" t="s">
        <v>1114</v>
      </c>
      <c r="R253" s="582" t="s">
        <v>1114</v>
      </c>
      <c r="T253" s="136" t="str">
        <f>HLOOKUP($E$6,$F$9:$R$255,$A253,FALSE)</f>
        <v>Yes/No</v>
      </c>
      <c r="U253" s="194"/>
      <c r="V253" s="192"/>
      <c r="W253" s="35"/>
      <c r="X253" s="35"/>
      <c r="Y253" s="135"/>
      <c r="Z253" s="135"/>
      <c r="AA253" s="136"/>
      <c r="AB253" s="172" t="str">
        <f>T253</f>
        <v>Yes/No</v>
      </c>
      <c r="AC253" s="496">
        <v>253</v>
      </c>
      <c r="AD253" s="138"/>
      <c r="AE253" s="193" t="s">
        <v>632</v>
      </c>
      <c r="AF253" s="193" t="s">
        <v>632</v>
      </c>
      <c r="AG253" s="193" t="s">
        <v>632</v>
      </c>
      <c r="AI253" s="139">
        <f t="shared" si="411"/>
        <v>0</v>
      </c>
      <c r="AJ253" s="139">
        <f t="shared" si="412"/>
        <v>0</v>
      </c>
      <c r="AK253" s="139">
        <f t="shared" si="413"/>
        <v>0</v>
      </c>
      <c r="AM253" s="483"/>
      <c r="AN253" s="483"/>
      <c r="AO253" s="483"/>
      <c r="AP253" s="483"/>
      <c r="AQ253" s="483"/>
      <c r="AS253" s="483"/>
      <c r="AT253" s="483"/>
      <c r="AU253" s="483"/>
      <c r="AV253" s="483"/>
      <c r="AW253" s="483"/>
      <c r="AY253" s="113"/>
      <c r="AZ253" s="113"/>
      <c r="BA253" s="113"/>
      <c r="BB253" s="113"/>
      <c r="BC253" s="113"/>
      <c r="BD253" s="113"/>
      <c r="BE253" s="496" t="s">
        <v>209</v>
      </c>
      <c r="BG253" s="113"/>
      <c r="BH253" s="496" t="s">
        <v>209</v>
      </c>
      <c r="BI253" s="496"/>
      <c r="BJ253" s="910"/>
      <c r="BK253" s="496" t="s">
        <v>209</v>
      </c>
      <c r="BP253" s="35" t="s">
        <v>119</v>
      </c>
      <c r="BQ253" s="35" t="str">
        <f>IF(BO253&lt;&gt;"",BO253,IF(BP253&lt;&gt;"",BP253,""))</f>
        <v>Yes</v>
      </c>
      <c r="BR253" s="35">
        <f>IF(BQ253="",9,(IF(AI253=AD_Yes,5,0)))</f>
        <v>0</v>
      </c>
      <c r="BS253" s="35">
        <f>IF(BQ253="",9,(IF(AJ253=AD_Yes,5,0)))</f>
        <v>0</v>
      </c>
      <c r="BT253" s="35">
        <f>IF(BQ253="",9,(IF(AK253=AD_Yes,5,0)))</f>
        <v>0</v>
      </c>
      <c r="CO253" s="35">
        <f>'Pre-analyseverktøy'!H70</f>
        <v>0</v>
      </c>
      <c r="CP253" s="35">
        <f>'Pre-analyseverktøy'!O70</f>
        <v>0</v>
      </c>
      <c r="CQ253" s="35">
        <f>'Pre-analyseverktøy'!V70</f>
        <v>0</v>
      </c>
      <c r="CR253" s="35" t="str">
        <f>'Pre-analyseverktøy'!F70</f>
        <v>EU taksonomi: krit. 9 og 10 - Energiytelse</v>
      </c>
      <c r="CS253" s="35" t="b">
        <f t="shared" si="383"/>
        <v>1</v>
      </c>
    </row>
    <row r="254" spans="1:97" ht="15.75" thickBot="1">
      <c r="A254">
        <v>246</v>
      </c>
      <c r="B254" t="s">
        <v>418</v>
      </c>
      <c r="C254" t="s">
        <v>414</v>
      </c>
      <c r="D254" t="s">
        <v>418</v>
      </c>
      <c r="E254" s="926" t="s">
        <v>1121</v>
      </c>
      <c r="F254" s="575" t="s">
        <v>1114</v>
      </c>
      <c r="G254" s="575" t="s">
        <v>1114</v>
      </c>
      <c r="H254" s="575" t="s">
        <v>1114</v>
      </c>
      <c r="I254" s="575" t="s">
        <v>1114</v>
      </c>
      <c r="J254" s="575" t="s">
        <v>1114</v>
      </c>
      <c r="K254" s="575" t="s">
        <v>1114</v>
      </c>
      <c r="L254" s="575" t="s">
        <v>1114</v>
      </c>
      <c r="M254" s="575" t="s">
        <v>1114</v>
      </c>
      <c r="N254" s="575" t="s">
        <v>1114</v>
      </c>
      <c r="O254" s="575" t="s">
        <v>1114</v>
      </c>
      <c r="P254" s="575" t="s">
        <v>1114</v>
      </c>
      <c r="Q254" s="575" t="s">
        <v>1114</v>
      </c>
      <c r="R254" s="576" t="s">
        <v>1114</v>
      </c>
      <c r="T254" s="136" t="str">
        <f>HLOOKUP($E$6,$F$9:$R$255,$A254,FALSE)</f>
        <v>Yes/No</v>
      </c>
      <c r="U254" s="194"/>
      <c r="V254" s="192"/>
      <c r="W254" s="35"/>
      <c r="X254" s="35"/>
      <c r="Y254" s="135"/>
      <c r="Z254" s="135"/>
      <c r="AA254" s="136"/>
      <c r="AB254" s="172" t="str">
        <f>IF(AB114=0,0,T254)</f>
        <v>Yes/No</v>
      </c>
      <c r="AC254" s="496">
        <v>254</v>
      </c>
      <c r="AD254" s="138"/>
      <c r="AE254" s="193" t="s">
        <v>632</v>
      </c>
      <c r="AF254" s="193" t="s">
        <v>632</v>
      </c>
      <c r="AG254" s="193" t="s">
        <v>632</v>
      </c>
      <c r="AI254" s="139">
        <f t="shared" si="411"/>
        <v>0</v>
      </c>
      <c r="AJ254" s="139">
        <f t="shared" si="412"/>
        <v>0</v>
      </c>
      <c r="AK254" s="139">
        <f t="shared" si="413"/>
        <v>0</v>
      </c>
      <c r="AM254" s="483"/>
      <c r="AN254" s="483"/>
      <c r="AO254" s="483"/>
      <c r="AP254" s="483"/>
      <c r="AQ254" s="483"/>
      <c r="AS254" s="483"/>
      <c r="AT254" s="483"/>
      <c r="AU254" s="483"/>
      <c r="AV254" s="483"/>
      <c r="AW254" s="483"/>
      <c r="AY254" s="113"/>
      <c r="AZ254" s="113"/>
      <c r="BA254" s="113"/>
      <c r="BB254" s="113"/>
      <c r="BC254" s="113"/>
      <c r="BD254" s="113"/>
      <c r="BE254" s="496" t="s">
        <v>209</v>
      </c>
      <c r="BG254" s="113"/>
      <c r="BH254" s="496" t="s">
        <v>209</v>
      </c>
      <c r="BI254" s="496"/>
      <c r="BJ254" s="910"/>
      <c r="BK254" s="496" t="s">
        <v>209</v>
      </c>
      <c r="BP254" s="35" t="s">
        <v>119</v>
      </c>
      <c r="BQ254" s="35" t="str">
        <f>IF(BO254&lt;&gt;"",BO254,IF(BP254&lt;&gt;"",BP254,""))</f>
        <v>Yes</v>
      </c>
      <c r="BR254" s="870">
        <f>IF(AB254=0,9,IF(BQ254="",9,(IF(AI254=AD_Yes,5,0))))</f>
        <v>0</v>
      </c>
      <c r="BS254" s="870">
        <f>IF(AB254=0,9,IF(BQ254="",9,(IF(AJ254=AD_Yes,5,0))))</f>
        <v>0</v>
      </c>
      <c r="BT254" s="870">
        <f>IF(AB254=0,9,IF(BQ254="",9,(IF(AK254=AD_Yes,5,0))))</f>
        <v>0</v>
      </c>
      <c r="CO254" s="35">
        <f>'Pre-analyseverktøy'!H106</f>
        <v>0</v>
      </c>
      <c r="CP254" s="35">
        <f>'Pre-analyseverktøy'!O106</f>
        <v>0</v>
      </c>
      <c r="CQ254" s="35">
        <f>'Pre-analyseverktøy'!V106</f>
        <v>0</v>
      </c>
      <c r="CR254" s="35" t="str">
        <f>'Pre-analyseverktøy'!F106</f>
        <v>EU taksonomi: krit. 2</v>
      </c>
      <c r="CS254" s="35" t="b">
        <f t="shared" si="383"/>
        <v>1</v>
      </c>
    </row>
    <row r="255" spans="1:97" ht="15.75" thickBot="1">
      <c r="A255">
        <v>247</v>
      </c>
      <c r="B255" t="s">
        <v>1122</v>
      </c>
      <c r="C255" t="s">
        <v>478</v>
      </c>
      <c r="D255" t="s">
        <v>1122</v>
      </c>
      <c r="E255" s="927" t="s">
        <v>1123</v>
      </c>
      <c r="F255" s="583" t="s">
        <v>1114</v>
      </c>
      <c r="G255" s="583" t="s">
        <v>1114</v>
      </c>
      <c r="H255" s="583" t="s">
        <v>1114</v>
      </c>
      <c r="I255" s="583" t="s">
        <v>1114</v>
      </c>
      <c r="J255" s="583" t="s">
        <v>1114</v>
      </c>
      <c r="K255" s="583" t="s">
        <v>1114</v>
      </c>
      <c r="L255" s="583" t="s">
        <v>1114</v>
      </c>
      <c r="M255" s="583" t="s">
        <v>1114</v>
      </c>
      <c r="N255" s="583" t="s">
        <v>1114</v>
      </c>
      <c r="O255" s="583" t="s">
        <v>1114</v>
      </c>
      <c r="P255" s="583" t="s">
        <v>1114</v>
      </c>
      <c r="Q255" s="583" t="s">
        <v>1114</v>
      </c>
      <c r="R255" s="584" t="s">
        <v>1114</v>
      </c>
      <c r="T255" s="136" t="str">
        <f>HLOOKUP($E$6,$F$9:$R$255,$A255,FALSE)</f>
        <v>Yes/No</v>
      </c>
      <c r="U255" s="194"/>
      <c r="V255" s="192"/>
      <c r="W255" s="35"/>
      <c r="X255" s="35"/>
      <c r="Y255" s="135"/>
      <c r="Z255" s="135"/>
      <c r="AA255" s="136"/>
      <c r="AB255" s="172" t="str">
        <f>T255</f>
        <v>Yes/No</v>
      </c>
      <c r="AC255" s="496">
        <v>255</v>
      </c>
      <c r="AD255" s="138"/>
      <c r="AE255" s="193" t="s">
        <v>632</v>
      </c>
      <c r="AF255" s="193" t="s">
        <v>632</v>
      </c>
      <c r="AG255" s="193" t="s">
        <v>632</v>
      </c>
      <c r="AI255" s="139">
        <f t="shared" si="411"/>
        <v>0</v>
      </c>
      <c r="AJ255" s="139">
        <f t="shared" si="412"/>
        <v>0</v>
      </c>
      <c r="AK255" s="139">
        <f t="shared" si="413"/>
        <v>0</v>
      </c>
      <c r="AM255" s="483"/>
      <c r="AN255" s="483"/>
      <c r="AO255" s="483"/>
      <c r="AP255" s="483"/>
      <c r="AQ255" s="483"/>
      <c r="AS255" s="483"/>
      <c r="AT255" s="483"/>
      <c r="AU255" s="483"/>
      <c r="AV255" s="483"/>
      <c r="AW255" s="483"/>
      <c r="AY255" s="113"/>
      <c r="AZ255" s="113"/>
      <c r="BA255" s="113"/>
      <c r="BB255" s="113"/>
      <c r="BC255" s="113"/>
      <c r="BD255" s="113"/>
      <c r="BE255" s="496" t="s">
        <v>209</v>
      </c>
      <c r="BG255" s="113"/>
      <c r="BH255" s="496" t="s">
        <v>209</v>
      </c>
      <c r="BI255" s="496"/>
      <c r="BJ255" s="910"/>
      <c r="BK255" s="496" t="s">
        <v>209</v>
      </c>
      <c r="BP255" s="35" t="s">
        <v>119</v>
      </c>
      <c r="BQ255" s="35" t="str">
        <f>IF(BO255&lt;&gt;"",BO255,IF(BP255&lt;&gt;"",BP255,""))</f>
        <v>Yes</v>
      </c>
      <c r="BR255" s="35">
        <f>IF(BQ255="",9,(IF(AI255=AD_Yes,5,0)))</f>
        <v>0</v>
      </c>
      <c r="BS255" s="35">
        <f>IF(BQ255="",9,(IF(AJ255=AD_Yes,5,0)))</f>
        <v>0</v>
      </c>
      <c r="BT255" s="35">
        <f>IF(BQ255="",9,(IF(AK255=AD_Yes,5,0)))</f>
        <v>0</v>
      </c>
      <c r="BW255" t="s">
        <v>1124</v>
      </c>
      <c r="CO255" s="35">
        <f>'Pre-analyseverktøy'!H150</f>
        <v>0</v>
      </c>
      <c r="CP255" s="35">
        <f>'Pre-analyseverktøy'!O150</f>
        <v>0</v>
      </c>
      <c r="CQ255" s="35">
        <f>'Pre-analyseverktøy'!V150</f>
        <v>0</v>
      </c>
      <c r="CR255" s="35" t="str">
        <f>'Pre-analyseverktøy'!F150</f>
        <v>EU taksonomi: krit. 1</v>
      </c>
      <c r="CS255" s="35" t="b">
        <f t="shared" si="383"/>
        <v>1</v>
      </c>
    </row>
    <row r="256" spans="1:97" ht="15.75" thickBot="1">
      <c r="A256">
        <v>248</v>
      </c>
      <c r="E256" s="951"/>
      <c r="F256" s="581"/>
      <c r="G256" s="581"/>
      <c r="H256" s="581"/>
      <c r="I256" s="581"/>
      <c r="J256" s="581"/>
      <c r="K256" s="581"/>
      <c r="L256" s="581"/>
      <c r="M256" s="581"/>
      <c r="N256" s="581"/>
      <c r="O256" s="581"/>
      <c r="P256" s="581"/>
      <c r="Q256" s="581"/>
      <c r="R256" s="582"/>
      <c r="T256" s="136"/>
      <c r="U256" s="194"/>
      <c r="V256" s="192"/>
      <c r="W256" s="35"/>
      <c r="X256" s="35"/>
      <c r="Y256" s="135"/>
      <c r="Z256" s="135"/>
      <c r="AA256" s="136"/>
      <c r="AB256" s="172"/>
      <c r="AC256" s="496">
        <v>256</v>
      </c>
      <c r="AD256" s="138"/>
      <c r="AE256" s="193"/>
      <c r="AF256" s="193"/>
      <c r="AG256" s="193"/>
      <c r="AI256" s="173"/>
      <c r="AJ256" s="139"/>
      <c r="AK256" s="139"/>
      <c r="AM256" s="483"/>
      <c r="AN256" s="483"/>
      <c r="AO256" s="483"/>
      <c r="AP256" s="483"/>
      <c r="AQ256" s="483"/>
      <c r="AS256" s="483"/>
      <c r="AT256" s="483"/>
      <c r="AU256" s="483"/>
      <c r="AV256" s="483"/>
      <c r="AW256" s="483"/>
      <c r="AY256" s="113"/>
      <c r="AZ256" s="113"/>
      <c r="BA256" s="113"/>
      <c r="BB256" s="113"/>
      <c r="BC256" s="113"/>
      <c r="BD256" s="113"/>
      <c r="BE256" s="496"/>
      <c r="BG256" s="113"/>
      <c r="BH256" s="496"/>
      <c r="BI256" s="496"/>
      <c r="BJ256" s="910"/>
      <c r="BK256" s="496"/>
      <c r="BP256" s="35"/>
      <c r="BQ256" s="35"/>
      <c r="BR256" s="35"/>
      <c r="BS256" s="35"/>
      <c r="BT256" s="35"/>
      <c r="BW256" t="s">
        <v>1125</v>
      </c>
    </row>
    <row r="257" spans="1:75" ht="15.75" thickBot="1">
      <c r="A257">
        <v>249</v>
      </c>
      <c r="E257" s="846"/>
      <c r="BO257" s="204" t="s">
        <v>1126</v>
      </c>
      <c r="BP257" s="205"/>
      <c r="BQ257" s="205"/>
      <c r="BR257" s="871">
        <f>MIN(BR10:BR255)</f>
        <v>0</v>
      </c>
      <c r="BS257" s="871">
        <f>MIN(BS10:BS255)</f>
        <v>0</v>
      </c>
      <c r="BT257" s="871">
        <f>MIN(BT10:BT25)</f>
        <v>0</v>
      </c>
      <c r="BW257" t="s">
        <v>1127</v>
      </c>
    </row>
    <row r="258" spans="1:75" ht="15.75" thickBot="1">
      <c r="A258">
        <v>250</v>
      </c>
      <c r="E258" t="s">
        <v>1128</v>
      </c>
      <c r="F258" s="569">
        <f t="shared" ref="F258:R258" si="415">F36+F66+F97+F110+F123+F152+F166+F197+F214</f>
        <v>143</v>
      </c>
      <c r="G258" s="569">
        <f t="shared" si="415"/>
        <v>137</v>
      </c>
      <c r="H258" s="569">
        <f t="shared" si="415"/>
        <v>136</v>
      </c>
      <c r="I258" s="569">
        <f t="shared" si="415"/>
        <v>142</v>
      </c>
      <c r="J258" s="569">
        <f t="shared" si="415"/>
        <v>142</v>
      </c>
      <c r="K258" s="569">
        <f t="shared" si="415"/>
        <v>137</v>
      </c>
      <c r="L258" s="569">
        <f t="shared" si="415"/>
        <v>137</v>
      </c>
      <c r="M258" s="569">
        <f t="shared" si="415"/>
        <v>139</v>
      </c>
      <c r="N258" s="569">
        <f t="shared" si="415"/>
        <v>138</v>
      </c>
      <c r="O258" s="569">
        <f t="shared" si="415"/>
        <v>137</v>
      </c>
      <c r="P258" s="569">
        <f t="shared" si="415"/>
        <v>137</v>
      </c>
      <c r="Q258" s="569">
        <f t="shared" si="415"/>
        <v>142</v>
      </c>
      <c r="R258" s="569">
        <f t="shared" si="415"/>
        <v>142</v>
      </c>
      <c r="T258">
        <f>T36+T66+T97+T110+T123+T152+T166+T197+T214+T231</f>
        <v>153</v>
      </c>
      <c r="AA258">
        <f>Poeng_tot-Poeng_tilgj</f>
        <v>5</v>
      </c>
      <c r="AB258">
        <f>AB36+AB66+AB97+AB110+AB123+AB152+AB166+AB197+AB214+AB231</f>
        <v>148</v>
      </c>
      <c r="BE258" t="str">
        <f>VLOOKUP(BD259,$BO$284:$BW$290,9,FALSE)</f>
        <v>Unclassified &lt;30%</v>
      </c>
      <c r="BH258" t="str">
        <f>VLOOKUP(BG259,$BO$284:$BW$290,9,FALSE)</f>
        <v>Unclassified &lt;30%</v>
      </c>
      <c r="BK258" t="str">
        <f>VLOOKUP(BJ259,$BO$284:$BW$290,9,FALSE)</f>
        <v>Unclassified &lt;30%</v>
      </c>
      <c r="BR258" s="35" t="str">
        <f>IF(BR257=0,AD_no,AD_Yes)</f>
        <v>No</v>
      </c>
      <c r="BS258" s="35" t="str">
        <f>IF(BS257=0,AD_no,AD_Yes)</f>
        <v>No</v>
      </c>
      <c r="BT258" s="35" t="str">
        <f>IF(BT257=0,AD_no,AD_Yes)</f>
        <v>No</v>
      </c>
      <c r="BW258" t="s">
        <v>1129</v>
      </c>
    </row>
    <row r="259" spans="1:75">
      <c r="AA259">
        <f>AA36+AA66+AA97+AA110+AA123+AA152+AA166+AA197+AA214+AA231</f>
        <v>5</v>
      </c>
      <c r="AI259" t="str">
        <f>AD_Yes</f>
        <v>Yes</v>
      </c>
      <c r="AX259" s="1158" t="s">
        <v>1130</v>
      </c>
      <c r="AY259" s="1159"/>
      <c r="AZ259" s="1159"/>
      <c r="BA259" s="1159"/>
      <c r="BB259" s="1159"/>
      <c r="BC259" s="1160"/>
      <c r="BD259" s="195">
        <f>MIN(BD10:BD252)</f>
        <v>0</v>
      </c>
      <c r="BE259" s="70" t="str">
        <f>VLOOKUP(BD259,$BO$284:$BP$290,2,FALSE)</f>
        <v>Unclassified</v>
      </c>
      <c r="BF259" s="71">
        <f>VLOOKUP(BP_MinStandards,BQ262:BS267,2,FALSE)</f>
        <v>0</v>
      </c>
      <c r="BG259" s="195">
        <f>MIN(BG10:BG252)</f>
        <v>0</v>
      </c>
      <c r="BH259" s="70" t="str">
        <f>VLOOKUP(BG259,$BO$284:$BP$290,2,FALSE)</f>
        <v>Unclassified</v>
      </c>
      <c r="BI259" s="71">
        <f>VLOOKUP(BP_MinStandards_design,BQ262:BS267,2,FALSE)</f>
        <v>0</v>
      </c>
      <c r="BJ259" s="195">
        <f>MIN(BJ10:BJ252)</f>
        <v>0</v>
      </c>
      <c r="BK259" s="70" t="str">
        <f>VLOOKUP(BJ259,$BO$284:$BP$290,2,FALSE)</f>
        <v>Unclassified</v>
      </c>
      <c r="BL259" s="71">
        <f>VLOOKUP(BP_MinStandards_const,BQ262:BS267,2,FALSE)</f>
        <v>0</v>
      </c>
      <c r="BW259" t="s">
        <v>1131</v>
      </c>
    </row>
    <row r="260" spans="1:75">
      <c r="D260" s="203"/>
      <c r="E260" s="203" t="s">
        <v>1132</v>
      </c>
      <c r="F260" s="512"/>
      <c r="G260" s="512"/>
      <c r="H260" s="512"/>
      <c r="I260" s="512"/>
      <c r="J260" s="512"/>
      <c r="K260" s="512"/>
      <c r="L260" s="512"/>
      <c r="M260" s="512"/>
      <c r="N260" s="512"/>
      <c r="O260" s="512"/>
      <c r="P260" s="512"/>
      <c r="Q260" s="512"/>
      <c r="R260" s="512"/>
      <c r="AE260">
        <f>Man_cont_tot+Hea_cont_tot+Ene_cont_tot+Tra_cont_tot+Wat_cont_tot+Mat_cont_tot+Wst_cont_tot+LE_cont_tot+Pol_cont_tot+Inn_cont_tot</f>
        <v>0</v>
      </c>
      <c r="AI260" t="str">
        <f>AD_no</f>
        <v>No</v>
      </c>
      <c r="AX260" s="1142" t="s">
        <v>1133</v>
      </c>
      <c r="AY260" s="1143"/>
      <c r="AZ260" s="1143"/>
      <c r="BA260" s="1143"/>
      <c r="BB260" s="1143"/>
      <c r="BC260" s="1144"/>
      <c r="BD260" s="192">
        <f>Man_Credits+Hea_Credits+Ene_Credits+Tra_Credits+Wat__Credits+Mat_Credits+Wst_Credits+LE_Credits+Pol_Credits+Inn_Credits</f>
        <v>148</v>
      </c>
      <c r="BE260" s="35"/>
      <c r="BF260" s="151"/>
      <c r="BG260" s="192">
        <f>Man_Credits+Hea_Credits+Ene_Credits+Tra_Credits+Wat__Credits+Mat_Credits+Wst_Credits+LE_Credits+Pol_Credits+Inn_Credits</f>
        <v>148</v>
      </c>
      <c r="BH260" s="35"/>
      <c r="BI260" s="151"/>
      <c r="BJ260" s="192">
        <f>Man_Credits+Hea_Credits+Ene_Credits+Tra_Credits+Wat__Credits+Mat_Credits+Wst_Credits+LE_Credits+Pol_Credits+Inn_Credits</f>
        <v>148</v>
      </c>
      <c r="BK260" s="35"/>
      <c r="BL260" s="151"/>
      <c r="BW260" t="s">
        <v>1134</v>
      </c>
    </row>
    <row r="261" spans="1:75" ht="15.75" thickBot="1">
      <c r="E261" t="s">
        <v>1135</v>
      </c>
      <c r="AX261" s="1142" t="s">
        <v>1136</v>
      </c>
      <c r="AY261" s="1143"/>
      <c r="AZ261" s="1143"/>
      <c r="BA261" s="1143"/>
      <c r="BB261" s="1143"/>
      <c r="BC261" s="1144"/>
      <c r="BD261" s="192">
        <f>Achieved_initial</f>
        <v>0</v>
      </c>
      <c r="BE261" s="35"/>
      <c r="BF261" s="151"/>
      <c r="BG261" s="192">
        <f>Achieved_design</f>
        <v>0</v>
      </c>
      <c r="BH261" s="35"/>
      <c r="BI261" s="151"/>
      <c r="BJ261" s="192">
        <f>Achieved_const</f>
        <v>0</v>
      </c>
      <c r="BK261" s="35"/>
      <c r="BL261" s="151"/>
    </row>
    <row r="262" spans="1:75" ht="15.75" thickBot="1">
      <c r="E262" t="s">
        <v>1137</v>
      </c>
      <c r="N262"/>
      <c r="AX262" s="1146" t="s">
        <v>1138</v>
      </c>
      <c r="AY262" s="1147"/>
      <c r="AZ262" s="1147"/>
      <c r="BA262" s="1147"/>
      <c r="BB262" s="1147"/>
      <c r="BC262" s="1148"/>
      <c r="BD262" s="74">
        <f>Score_Initial</f>
        <v>0</v>
      </c>
      <c r="BE262" s="72" t="str">
        <f>IF(BD262&gt;=BP267,BQ267,IF(BD262&gt;=BP266,BQ266,IF(BD262&gt;=BP265,BQ265,IF(BD262&gt;=BP264,BQ264,IF(BD262&gt;=BP263,BQ263,BQ262)))))</f>
        <v>Unclassified</v>
      </c>
      <c r="BF262" s="73">
        <f>VLOOKUP(BE262,BQ262:BS267,2,FALSE)</f>
        <v>0</v>
      </c>
      <c r="BG262" s="74">
        <f>Score_design</f>
        <v>0</v>
      </c>
      <c r="BH262" s="72" t="str">
        <f>IF(BG262&gt;=BP267,BQ267,IF(BG262&gt;=BP266,BQ266,IF(BG262&gt;=BP265,BQ265,IF(BG262&gt;=BP264,BQ264,IF(BG262&gt;=BP263,BQ263,BQ262)))))</f>
        <v>Unclassified</v>
      </c>
      <c r="BI262" s="73">
        <f>VLOOKUP(BH262,BQ262:BS267,2,FALSE)</f>
        <v>0</v>
      </c>
      <c r="BJ262" s="74">
        <f>Score_const</f>
        <v>0</v>
      </c>
      <c r="BK262" s="72" t="str">
        <f>IF(BJ262&gt;=BP267,BQ267,IF(BJ262&gt;=BP266,BQ266,IF(BJ262&gt;=BP265,BQ265,IF(BJ262&gt;=BP264,BQ264,IF(BJ262&gt;=BP263,BQ263,BQ262)))))</f>
        <v>Unclassified</v>
      </c>
      <c r="BL262" s="73">
        <f>VLOOKUP(BK262,BQ262:BS267,2,FALSE)</f>
        <v>0</v>
      </c>
      <c r="BO262" s="196" t="s">
        <v>1139</v>
      </c>
      <c r="BP262" s="197">
        <v>0</v>
      </c>
      <c r="BQ262" s="198" t="s">
        <v>1140</v>
      </c>
      <c r="BR262" s="199">
        <v>0</v>
      </c>
      <c r="BT262" t="s">
        <v>1140</v>
      </c>
      <c r="BU262" t="s">
        <v>1141</v>
      </c>
    </row>
    <row r="263" spans="1:75" ht="15.75" thickBot="1">
      <c r="E263" t="s">
        <v>1142</v>
      </c>
      <c r="N263"/>
      <c r="BO263" s="200" t="s">
        <v>1143</v>
      </c>
      <c r="BP263" s="201">
        <v>0.3</v>
      </c>
      <c r="BQ263" t="s">
        <v>1144</v>
      </c>
      <c r="BR263" s="202">
        <v>1</v>
      </c>
      <c r="BT263" t="s">
        <v>1144</v>
      </c>
      <c r="BU263" t="s">
        <v>921</v>
      </c>
    </row>
    <row r="264" spans="1:75" ht="15.75" thickBot="1">
      <c r="E264" t="s">
        <v>1145</v>
      </c>
      <c r="L264"/>
      <c r="N264"/>
      <c r="AX264" s="204" t="s">
        <v>1146</v>
      </c>
      <c r="AY264" s="205"/>
      <c r="AZ264" s="205"/>
      <c r="BA264" s="205"/>
      <c r="BB264" s="205"/>
      <c r="BC264" s="206"/>
      <c r="BD264" s="207" t="s">
        <v>1147</v>
      </c>
      <c r="BE264" s="49" t="str">
        <f>IF(BF264=1,(BP_MinStandards&amp;"*"),BE262)</f>
        <v>Unclassified</v>
      </c>
      <c r="BF264" s="48">
        <f>IF(BF259&lt;BF262,1,0)</f>
        <v>0</v>
      </c>
      <c r="BH264" s="49" t="str">
        <f>IF(BI264=1,(BP_MinStandards_design&amp;"*"),BH262)</f>
        <v>Unclassified</v>
      </c>
      <c r="BI264" s="48">
        <f>IF(BI259&lt;BI262,1,0)</f>
        <v>0</v>
      </c>
      <c r="BK264" s="49" t="str">
        <f>IF(BL264=1,(BP_MinStandards_const&amp;"*"),BK262)</f>
        <v>Unclassified</v>
      </c>
      <c r="BL264" s="48">
        <f>IF(BL259&lt;BL262,1,0)</f>
        <v>0</v>
      </c>
      <c r="BO264" s="200" t="s">
        <v>1143</v>
      </c>
      <c r="BP264" s="201">
        <v>0.45</v>
      </c>
      <c r="BQ264" t="s">
        <v>1148</v>
      </c>
      <c r="BR264" s="202">
        <v>2</v>
      </c>
      <c r="BT264" t="s">
        <v>1148</v>
      </c>
      <c r="BU264" t="s">
        <v>922</v>
      </c>
    </row>
    <row r="265" spans="1:75">
      <c r="E265" t="s">
        <v>1149</v>
      </c>
      <c r="L265" t="s">
        <v>1150</v>
      </c>
      <c r="T265">
        <f>IF(OR(AI74&lt;&gt;AB74,Ene02_user&lt;&gt;Ene02_credits),0,1)</f>
        <v>0</v>
      </c>
      <c r="BO265" s="200" t="s">
        <v>1143</v>
      </c>
      <c r="BP265" s="201">
        <v>0.55000000000000004</v>
      </c>
      <c r="BQ265" t="s">
        <v>1151</v>
      </c>
      <c r="BR265" s="202">
        <v>3</v>
      </c>
      <c r="BT265" t="s">
        <v>1151</v>
      </c>
      <c r="BU265" t="s">
        <v>923</v>
      </c>
    </row>
    <row r="266" spans="1:75">
      <c r="E266" t="s">
        <v>1152</v>
      </c>
      <c r="L266" t="s">
        <v>1153</v>
      </c>
      <c r="AX266" t="s">
        <v>1154</v>
      </c>
      <c r="BO266" s="200" t="s">
        <v>1143</v>
      </c>
      <c r="BP266" s="201">
        <v>0.7</v>
      </c>
      <c r="BQ266" t="s">
        <v>1155</v>
      </c>
      <c r="BR266" s="202">
        <v>4</v>
      </c>
      <c r="BT266" t="s">
        <v>1155</v>
      </c>
      <c r="BU266" t="s">
        <v>924</v>
      </c>
    </row>
    <row r="267" spans="1:75" ht="15.75" thickBot="1">
      <c r="E267" t="s">
        <v>1156</v>
      </c>
      <c r="L267" t="s">
        <v>1157</v>
      </c>
      <c r="BE267" s="212" t="str">
        <f>IF(BF264=1,AX266,"")</f>
        <v/>
      </c>
      <c r="BH267" s="212" t="str">
        <f>IF(BI264=1,AX266,"")</f>
        <v/>
      </c>
      <c r="BK267" s="212" t="str">
        <f>IF(BL264=1,AX266,"")</f>
        <v/>
      </c>
      <c r="BO267" s="208" t="s">
        <v>1143</v>
      </c>
      <c r="BP267" s="209">
        <v>0.85</v>
      </c>
      <c r="BQ267" s="210" t="s">
        <v>1158</v>
      </c>
      <c r="BR267" s="211">
        <v>5</v>
      </c>
      <c r="BT267" t="s">
        <v>1158</v>
      </c>
      <c r="BU267" t="s">
        <v>925</v>
      </c>
    </row>
    <row r="268" spans="1:75">
      <c r="E268" t="s">
        <v>1159</v>
      </c>
      <c r="L268"/>
    </row>
    <row r="269" spans="1:75">
      <c r="E269" t="s">
        <v>1160</v>
      </c>
      <c r="L269" t="s">
        <v>1161</v>
      </c>
      <c r="AX269" t="str">
        <f>"* = "&amp;AX266</f>
        <v>* = The rating has been limited to the min. standards level achieved</v>
      </c>
    </row>
    <row r="270" spans="1:75">
      <c r="E270" t="s">
        <v>1162</v>
      </c>
      <c r="L270" t="s">
        <v>1163</v>
      </c>
    </row>
    <row r="271" spans="1:75">
      <c r="E271" t="s">
        <v>1164</v>
      </c>
      <c r="L271"/>
    </row>
    <row r="272" spans="1:75">
      <c r="E272" t="s">
        <v>1165</v>
      </c>
      <c r="L272" t="s">
        <v>1166</v>
      </c>
    </row>
    <row r="273" spans="3:75">
      <c r="E273" t="s">
        <v>1167</v>
      </c>
      <c r="L273" t="s">
        <v>1168</v>
      </c>
    </row>
    <row r="274" spans="3:75">
      <c r="E274" t="s">
        <v>1169</v>
      </c>
      <c r="L274"/>
    </row>
    <row r="275" spans="3:75">
      <c r="E275" t="s">
        <v>1170</v>
      </c>
      <c r="L275"/>
    </row>
    <row r="276" spans="3:75">
      <c r="L276" t="s">
        <v>1171</v>
      </c>
    </row>
    <row r="277" spans="3:75" ht="45">
      <c r="D277" t="s">
        <v>119</v>
      </c>
      <c r="E277" t="s">
        <v>1172</v>
      </c>
      <c r="F277" s="569" t="s">
        <v>1173</v>
      </c>
    </row>
    <row r="278" spans="3:75" ht="45">
      <c r="D278" t="s">
        <v>123</v>
      </c>
      <c r="E278" t="s">
        <v>1172</v>
      </c>
      <c r="F278" s="569" t="s">
        <v>1174</v>
      </c>
    </row>
    <row r="281" spans="3:75">
      <c r="C281" t="s">
        <v>454</v>
      </c>
      <c r="D281" t="s">
        <v>1175</v>
      </c>
      <c r="E281" s="827" t="s">
        <v>1176</v>
      </c>
      <c r="AI281">
        <f>'Pre-analyseverktøy'!H134</f>
        <v>0</v>
      </c>
      <c r="AJ281">
        <f>'Pre-analyseverktøy'!O134</f>
        <v>0</v>
      </c>
      <c r="AK281">
        <f>'Pre-analyseverktøy'!V134</f>
        <v>0</v>
      </c>
    </row>
    <row r="284" spans="3:75">
      <c r="BN284" t="s">
        <v>1158</v>
      </c>
      <c r="BO284">
        <v>5</v>
      </c>
      <c r="BP284" t="s">
        <v>1158</v>
      </c>
      <c r="BR284" t="s">
        <v>1177</v>
      </c>
      <c r="BT284" t="s">
        <v>1158</v>
      </c>
      <c r="BU284" t="s">
        <v>925</v>
      </c>
      <c r="BW284" t="s">
        <v>1178</v>
      </c>
    </row>
    <row r="285" spans="3:75">
      <c r="BN285" t="s">
        <v>1155</v>
      </c>
      <c r="BO285">
        <v>4</v>
      </c>
      <c r="BP285" t="s">
        <v>1155</v>
      </c>
      <c r="BR285" t="s">
        <v>1179</v>
      </c>
      <c r="BT285" t="s">
        <v>1155</v>
      </c>
      <c r="BU285" t="s">
        <v>924</v>
      </c>
      <c r="BW285" t="s">
        <v>1180</v>
      </c>
    </row>
    <row r="286" spans="3:75">
      <c r="BN286" t="s">
        <v>1151</v>
      </c>
      <c r="BO286">
        <v>3</v>
      </c>
      <c r="BP286" t="s">
        <v>1151</v>
      </c>
      <c r="BR286" t="s">
        <v>1181</v>
      </c>
      <c r="BT286" t="s">
        <v>1151</v>
      </c>
      <c r="BU286" t="s">
        <v>923</v>
      </c>
      <c r="BW286" t="s">
        <v>1182</v>
      </c>
    </row>
    <row r="287" spans="3:75">
      <c r="BN287" t="s">
        <v>1148</v>
      </c>
      <c r="BO287">
        <v>2</v>
      </c>
      <c r="BP287" t="s">
        <v>1148</v>
      </c>
      <c r="BR287" t="s">
        <v>1148</v>
      </c>
      <c r="BT287" t="s">
        <v>1148</v>
      </c>
      <c r="BU287" t="s">
        <v>922</v>
      </c>
      <c r="BW287" t="s">
        <v>1183</v>
      </c>
    </row>
    <row r="288" spans="3:75">
      <c r="BN288" t="s">
        <v>1144</v>
      </c>
      <c r="BO288">
        <v>1</v>
      </c>
      <c r="BP288" t="s">
        <v>1144</v>
      </c>
      <c r="BR288" t="s">
        <v>1144</v>
      </c>
      <c r="BT288" t="s">
        <v>1144</v>
      </c>
      <c r="BU288" t="s">
        <v>921</v>
      </c>
      <c r="BW288" t="s">
        <v>1184</v>
      </c>
    </row>
    <row r="289" spans="4:75">
      <c r="BN289" t="s">
        <v>1140</v>
      </c>
      <c r="BO289">
        <v>0</v>
      </c>
      <c r="BP289" t="s">
        <v>1140</v>
      </c>
      <c r="BR289" t="s">
        <v>1140</v>
      </c>
      <c r="BT289" t="s">
        <v>1140</v>
      </c>
      <c r="BU289" t="s">
        <v>1141</v>
      </c>
      <c r="BW289" t="s">
        <v>1185</v>
      </c>
    </row>
    <row r="290" spans="4:75">
      <c r="BN290" t="s">
        <v>209</v>
      </c>
      <c r="BO290">
        <v>9</v>
      </c>
      <c r="BP290" t="s">
        <v>209</v>
      </c>
      <c r="BR290" t="s">
        <v>209</v>
      </c>
      <c r="BT290" t="s">
        <v>209</v>
      </c>
      <c r="BU290" t="s">
        <v>209</v>
      </c>
      <c r="BW290" t="s">
        <v>209</v>
      </c>
    </row>
    <row r="291" spans="4:75" ht="15.75" thickBot="1">
      <c r="E291" s="496">
        <v>1</v>
      </c>
      <c r="F291" s="585">
        <v>2</v>
      </c>
      <c r="G291" s="585">
        <v>3</v>
      </c>
      <c r="H291" s="585">
        <v>4</v>
      </c>
    </row>
    <row r="292" spans="4:75" ht="15.75" thickBot="1">
      <c r="D292" s="115"/>
      <c r="E292" s="487" t="s">
        <v>920</v>
      </c>
      <c r="F292" s="586" t="s">
        <v>1186</v>
      </c>
      <c r="G292" s="586" t="s">
        <v>1187</v>
      </c>
      <c r="H292" s="587" t="s">
        <v>1188</v>
      </c>
    </row>
    <row r="293" spans="4:75" ht="15.75" thickBot="1">
      <c r="D293" s="132" t="s">
        <v>1189</v>
      </c>
      <c r="E293" s="484" t="str">
        <f>'Pre-analyseverktøy'!AL38</f>
        <v>O1: Glare ctrl/artificial light</v>
      </c>
      <c r="F293" s="588">
        <v>0</v>
      </c>
      <c r="G293" s="588" t="s">
        <v>1190</v>
      </c>
      <c r="H293" s="589"/>
    </row>
    <row r="294" spans="4:75" ht="15.75" thickBot="1">
      <c r="D294" s="134" t="s">
        <v>1189</v>
      </c>
      <c r="E294" s="56" t="str">
        <f>'Pre-analyseverktøy'!AM38</f>
        <v>O2: Glare control (-0,5 c)</v>
      </c>
      <c r="F294" s="590">
        <v>-0.5</v>
      </c>
      <c r="G294" s="590" t="s">
        <v>1190</v>
      </c>
      <c r="H294" s="591"/>
      <c r="BI294" s="121" t="s">
        <v>1191</v>
      </c>
      <c r="BJ294" s="121" t="s">
        <v>1192</v>
      </c>
      <c r="BK294" s="122" t="s">
        <v>1193</v>
      </c>
      <c r="BP294" s="120" t="s">
        <v>1194</v>
      </c>
      <c r="BQ294" s="121" t="s">
        <v>768</v>
      </c>
      <c r="BR294" s="121" t="s">
        <v>1191</v>
      </c>
      <c r="BS294" s="121" t="s">
        <v>1192</v>
      </c>
      <c r="BT294" s="122" t="s">
        <v>1193</v>
      </c>
    </row>
    <row r="295" spans="4:75">
      <c r="D295" s="134" t="s">
        <v>1189</v>
      </c>
      <c r="E295" s="56" t="str">
        <f>'Pre-analyseverktøy'!AN38</f>
        <v>O2: Artificial lighting (-0,5 c)</v>
      </c>
      <c r="F295" s="590">
        <v>-0.5</v>
      </c>
      <c r="G295" s="590" t="s">
        <v>1190</v>
      </c>
      <c r="H295" s="591"/>
      <c r="BH295" s="54" t="s">
        <v>250</v>
      </c>
      <c r="BI295">
        <f t="shared" ref="BI295:BI307" si="416">VLOOKUP($BH295,$B$10:$BK$252,BD$1,FALSE)</f>
        <v>3</v>
      </c>
      <c r="BJ295">
        <f t="shared" ref="BJ295:BJ307" si="417">VLOOKUP($BH295,$B$10:$BK$252,BG$1,FALSE)</f>
        <v>3</v>
      </c>
      <c r="BK295">
        <f t="shared" ref="BK295:BK307" si="418">VLOOKUP($BH295,$B$10:$BK$252,BJ$1,FALSE)</f>
        <v>3</v>
      </c>
      <c r="BP295" s="177" t="s">
        <v>1195</v>
      </c>
      <c r="BQ295" s="144" t="s">
        <v>248</v>
      </c>
      <c r="BR295" s="144">
        <f>MIN(BI295:BI296)</f>
        <v>3</v>
      </c>
      <c r="BS295" s="144">
        <f>MIN(BJ295:BJ296)</f>
        <v>3</v>
      </c>
      <c r="BT295" s="144">
        <f>MIN(BK295:BK296)</f>
        <v>3</v>
      </c>
    </row>
    <row r="296" spans="4:75" ht="15.75" thickBot="1">
      <c r="D296" s="134" t="s">
        <v>1189</v>
      </c>
      <c r="E296" s="485" t="str">
        <f>'Pre-analyseverktøy'!AO38</f>
        <v>O2: Glare ctrl &amp; artif light (-1,0 c)</v>
      </c>
      <c r="F296" s="590">
        <v>-1</v>
      </c>
      <c r="G296" s="590" t="s">
        <v>1190</v>
      </c>
      <c r="H296" s="591"/>
      <c r="BH296" s="872" t="s">
        <v>251</v>
      </c>
      <c r="BI296" s="210">
        <f t="shared" si="416"/>
        <v>3</v>
      </c>
      <c r="BJ296" s="210">
        <f t="shared" si="417"/>
        <v>3</v>
      </c>
      <c r="BK296" s="210">
        <f t="shared" si="418"/>
        <v>3</v>
      </c>
      <c r="BP296" s="134" t="s">
        <v>743</v>
      </c>
      <c r="BQ296" s="35" t="s">
        <v>183</v>
      </c>
      <c r="BR296" s="35">
        <f>MIN(BI297:BI299)</f>
        <v>0</v>
      </c>
      <c r="BS296" s="35">
        <f>MIN(BJ297:BJ299)</f>
        <v>0</v>
      </c>
      <c r="BT296" s="35">
        <f>MIN(BK297:BK299)</f>
        <v>0</v>
      </c>
    </row>
    <row r="297" spans="4:75">
      <c r="D297" s="134" t="s">
        <v>1189</v>
      </c>
      <c r="E297" s="484" t="str">
        <f>'Pre-analyseverktøy'!AP38</f>
        <v>O3: Glare ctrl/artif lighting</v>
      </c>
      <c r="F297" s="590">
        <v>0</v>
      </c>
      <c r="G297" s="590" t="s">
        <v>1190</v>
      </c>
      <c r="H297" s="591"/>
      <c r="BH297" s="54" t="s">
        <v>269</v>
      </c>
      <c r="BI297">
        <f t="shared" si="416"/>
        <v>0</v>
      </c>
      <c r="BJ297">
        <f t="shared" si="417"/>
        <v>0</v>
      </c>
      <c r="BK297">
        <f t="shared" si="418"/>
        <v>0</v>
      </c>
      <c r="BP297" s="134" t="s">
        <v>275</v>
      </c>
      <c r="BQ297" s="35" t="s">
        <v>275</v>
      </c>
      <c r="BR297" s="35">
        <f>MIN(BI300:BI301)</f>
        <v>0</v>
      </c>
      <c r="BS297" s="35">
        <f>MIN(BJ300:BJ301)</f>
        <v>0</v>
      </c>
      <c r="BT297" s="35">
        <f>MIN(BK300:BK301)</f>
        <v>0</v>
      </c>
    </row>
    <row r="298" spans="4:75" ht="15.75" thickBot="1">
      <c r="D298" s="156" t="s">
        <v>1189</v>
      </c>
      <c r="E298" s="485" t="str">
        <f>'Pre-analyseverktøy'!AQ38</f>
        <v>Glare ctrl/artif lighting N/A</v>
      </c>
      <c r="F298" s="592">
        <v>0</v>
      </c>
      <c r="G298" s="592" t="s">
        <v>1190</v>
      </c>
      <c r="H298" s="593">
        <v>2</v>
      </c>
      <c r="BH298" s="54" t="s">
        <v>270</v>
      </c>
      <c r="BI298">
        <f t="shared" si="416"/>
        <v>2</v>
      </c>
      <c r="BJ298">
        <f t="shared" si="417"/>
        <v>2</v>
      </c>
      <c r="BK298">
        <f t="shared" si="418"/>
        <v>2</v>
      </c>
      <c r="BP298" s="134" t="s">
        <v>1196</v>
      </c>
      <c r="BQ298" s="35" t="str">
        <f>IF(E6=H9,"","Man 05")</f>
        <v>Man 05</v>
      </c>
      <c r="BR298" s="35">
        <f t="shared" ref="BR298:BT299" si="419">MIN(BI302)</f>
        <v>3</v>
      </c>
      <c r="BS298" s="35">
        <f t="shared" si="419"/>
        <v>3</v>
      </c>
      <c r="BT298" s="35">
        <f t="shared" si="419"/>
        <v>3</v>
      </c>
      <c r="BU298" s="180" t="s">
        <v>1197</v>
      </c>
    </row>
    <row r="299" spans="4:75" ht="15.75" thickBot="1">
      <c r="D299" s="132" t="s">
        <v>1198</v>
      </c>
      <c r="E299" s="484" t="str">
        <f>'Pre-analyseverktøy'!AL46</f>
        <v>O1: VOC</v>
      </c>
      <c r="F299" s="588">
        <v>0</v>
      </c>
      <c r="G299" s="588" t="s">
        <v>1190</v>
      </c>
      <c r="H299" s="589"/>
      <c r="BH299" s="872" t="s">
        <v>273</v>
      </c>
      <c r="BI299" s="210">
        <f t="shared" si="416"/>
        <v>3</v>
      </c>
      <c r="BJ299" s="210">
        <f t="shared" si="417"/>
        <v>3</v>
      </c>
      <c r="BK299" s="210">
        <f t="shared" si="418"/>
        <v>3</v>
      </c>
      <c r="BP299" s="134" t="s">
        <v>745</v>
      </c>
      <c r="BQ299" t="s">
        <v>298</v>
      </c>
      <c r="BR299" s="35">
        <f t="shared" si="419"/>
        <v>0</v>
      </c>
      <c r="BS299" s="35">
        <f t="shared" si="419"/>
        <v>0</v>
      </c>
      <c r="BT299" s="35">
        <f t="shared" si="419"/>
        <v>0</v>
      </c>
    </row>
    <row r="300" spans="4:75">
      <c r="D300" s="134" t="s">
        <v>1198</v>
      </c>
      <c r="E300" s="56" t="str">
        <f>'Pre-analyseverktøy'!AM46</f>
        <v>O2: VOC (AC 6-7: -0,5 c)</v>
      </c>
      <c r="F300" s="590">
        <v>-0.5</v>
      </c>
      <c r="G300" s="590" t="s">
        <v>1190</v>
      </c>
      <c r="H300" s="591"/>
      <c r="BH300" s="54" t="s">
        <v>280</v>
      </c>
      <c r="BI300">
        <f t="shared" si="416"/>
        <v>0</v>
      </c>
      <c r="BJ300">
        <f t="shared" si="417"/>
        <v>0</v>
      </c>
      <c r="BK300">
        <f t="shared" si="418"/>
        <v>0</v>
      </c>
      <c r="BP300" s="134" t="s">
        <v>748</v>
      </c>
      <c r="BQ300" s="35" t="s">
        <v>182</v>
      </c>
      <c r="BR300" s="35">
        <f>MIN(BI304:BI305)</f>
        <v>0</v>
      </c>
      <c r="BS300" s="35">
        <f>MIN(BJ304:BJ305)</f>
        <v>0</v>
      </c>
      <c r="BT300" s="35">
        <f>MIN(BK304:BK305)</f>
        <v>0</v>
      </c>
    </row>
    <row r="301" spans="4:75" ht="15.75" thickBot="1">
      <c r="D301" s="134" t="s">
        <v>1198</v>
      </c>
      <c r="E301" s="56" t="str">
        <f>'Pre-analyseverktøy'!AN46</f>
        <v>O2: VOC (AC 8-9: -1,0 c)</v>
      </c>
      <c r="F301" s="590">
        <v>-1</v>
      </c>
      <c r="G301" s="590" t="s">
        <v>1190</v>
      </c>
      <c r="H301" s="591"/>
      <c r="BH301" s="872" t="s">
        <v>283</v>
      </c>
      <c r="BI301" s="210">
        <f t="shared" si="416"/>
        <v>2</v>
      </c>
      <c r="BJ301" s="210">
        <f t="shared" si="417"/>
        <v>2</v>
      </c>
      <c r="BK301" s="210">
        <f t="shared" si="418"/>
        <v>2</v>
      </c>
      <c r="BP301" s="134" t="s">
        <v>750</v>
      </c>
      <c r="BQ301" s="35" t="s">
        <v>352</v>
      </c>
      <c r="BR301" s="35">
        <f t="shared" ref="BR301:BT302" si="420">MIN(BI306)</f>
        <v>3</v>
      </c>
      <c r="BS301" s="35">
        <f t="shared" si="420"/>
        <v>3</v>
      </c>
      <c r="BT301" s="35">
        <f t="shared" si="420"/>
        <v>3</v>
      </c>
      <c r="BU301" s="180"/>
    </row>
    <row r="302" spans="4:75" ht="15.75" thickBot="1">
      <c r="D302" s="134" t="s">
        <v>1198</v>
      </c>
      <c r="E302" s="56" t="str">
        <f>'Pre-analyseverktøy'!AO46</f>
        <v>O3: VOC</v>
      </c>
      <c r="F302" s="590">
        <v>0</v>
      </c>
      <c r="G302" s="590" t="s">
        <v>1190</v>
      </c>
      <c r="H302" s="591"/>
      <c r="BH302" s="873" t="s">
        <v>289</v>
      </c>
      <c r="BI302" s="205">
        <f t="shared" si="416"/>
        <v>3</v>
      </c>
      <c r="BJ302" s="205">
        <f t="shared" si="417"/>
        <v>3</v>
      </c>
      <c r="BK302" s="205">
        <f t="shared" si="418"/>
        <v>3</v>
      </c>
      <c r="BP302" s="134" t="s">
        <v>1199</v>
      </c>
      <c r="BQ302" s="35" t="s">
        <v>387</v>
      </c>
      <c r="BR302" s="35">
        <f t="shared" si="420"/>
        <v>9</v>
      </c>
      <c r="BS302" s="35">
        <f t="shared" si="420"/>
        <v>9</v>
      </c>
      <c r="BT302" s="35">
        <f t="shared" si="420"/>
        <v>9</v>
      </c>
    </row>
    <row r="303" spans="4:75" ht="15.75" thickBot="1">
      <c r="D303" s="155" t="s">
        <v>1198</v>
      </c>
      <c r="E303" s="489" t="str">
        <f>'Pre-analyseverktøy'!AP46</f>
        <v>VOC N/A</v>
      </c>
      <c r="F303" s="594">
        <v>0</v>
      </c>
      <c r="G303" s="594" t="s">
        <v>1190</v>
      </c>
      <c r="H303" s="595">
        <v>5</v>
      </c>
      <c r="BH303" s="873" t="s">
        <v>306</v>
      </c>
      <c r="BI303" s="205">
        <f t="shared" si="416"/>
        <v>0</v>
      </c>
      <c r="BJ303" s="205">
        <f t="shared" si="417"/>
        <v>0</v>
      </c>
      <c r="BK303" s="205">
        <f t="shared" si="418"/>
        <v>0</v>
      </c>
      <c r="BP303" s="134" t="s">
        <v>185</v>
      </c>
      <c r="BQ303" s="35" t="s">
        <v>400</v>
      </c>
      <c r="BR303" s="35">
        <f>MIN(BI308:BI309)</f>
        <v>3</v>
      </c>
      <c r="BS303" s="35">
        <f t="shared" ref="BS303:BT303" si="421">MIN(BJ308:BJ309)</f>
        <v>3</v>
      </c>
      <c r="BT303" s="35">
        <f t="shared" si="421"/>
        <v>3</v>
      </c>
      <c r="BU303" s="180"/>
    </row>
    <row r="304" spans="4:75">
      <c r="D304" s="177" t="s">
        <v>1200</v>
      </c>
      <c r="E304" s="488" t="str">
        <f>'Pre-analyseverktøy'!AL73</f>
        <v>O1: Sub-metering</v>
      </c>
      <c r="F304" s="596">
        <v>0</v>
      </c>
      <c r="G304" s="596" t="s">
        <v>1190</v>
      </c>
      <c r="H304" s="597"/>
      <c r="BH304" s="874" t="s">
        <v>319</v>
      </c>
      <c r="BI304" s="198">
        <f t="shared" si="416"/>
        <v>0</v>
      </c>
      <c r="BJ304" s="198">
        <f t="shared" si="417"/>
        <v>0</v>
      </c>
      <c r="BK304" s="198">
        <f t="shared" si="418"/>
        <v>0</v>
      </c>
      <c r="BP304" s="134" t="s">
        <v>414</v>
      </c>
      <c r="BQ304" s="35" t="s">
        <v>414</v>
      </c>
      <c r="BR304" s="35">
        <f>MIN(BI310)</f>
        <v>3</v>
      </c>
      <c r="BS304" s="35">
        <f>MIN(BJ310)</f>
        <v>3</v>
      </c>
      <c r="BT304" s="35">
        <f>MIN(BK310)</f>
        <v>3</v>
      </c>
      <c r="BU304" s="180"/>
    </row>
    <row r="305" spans="4:72" ht="15.75" thickBot="1">
      <c r="D305" s="134" t="s">
        <v>1200</v>
      </c>
      <c r="E305" s="56" t="str">
        <f>'Pre-analyseverktøy'!AM73</f>
        <v>O2: Sub-met. (AC 1-3: -0,5 c)</v>
      </c>
      <c r="F305" s="590">
        <v>-0.5</v>
      </c>
      <c r="G305" s="590" t="s">
        <v>1190</v>
      </c>
      <c r="H305" s="591"/>
      <c r="BH305" s="872" t="s">
        <v>321</v>
      </c>
      <c r="BI305" s="210">
        <f t="shared" si="416"/>
        <v>2</v>
      </c>
      <c r="BJ305" s="210">
        <f t="shared" si="417"/>
        <v>2</v>
      </c>
      <c r="BK305" s="210">
        <f t="shared" si="418"/>
        <v>2</v>
      </c>
      <c r="BP305" s="134" t="s">
        <v>186</v>
      </c>
      <c r="BQ305" s="35" t="s">
        <v>440</v>
      </c>
      <c r="BR305" s="35">
        <f>MIN(BI311:BI312)</f>
        <v>0</v>
      </c>
      <c r="BS305" s="35">
        <f>MIN(BJ311:BJ312)</f>
        <v>0</v>
      </c>
      <c r="BT305" s="35">
        <f>MIN(BK311:BK312)</f>
        <v>0</v>
      </c>
    </row>
    <row r="306" spans="4:72" ht="15.75" thickBot="1">
      <c r="D306" s="134" t="s">
        <v>1200</v>
      </c>
      <c r="E306" s="56" t="str">
        <f>'Pre-analyseverktøy'!AN73</f>
        <v>O2: Sub-met. (AC 4-7: -1,0 c)</v>
      </c>
      <c r="F306" s="590">
        <v>-1</v>
      </c>
      <c r="G306" s="590" t="s">
        <v>1190</v>
      </c>
      <c r="H306" s="591"/>
      <c r="BH306" s="873" t="s">
        <v>360</v>
      </c>
      <c r="BI306" s="205">
        <f t="shared" si="416"/>
        <v>3</v>
      </c>
      <c r="BJ306" s="205">
        <f t="shared" si="417"/>
        <v>3</v>
      </c>
      <c r="BK306" s="205">
        <f t="shared" si="418"/>
        <v>3</v>
      </c>
      <c r="BP306" s="134" t="s">
        <v>1201</v>
      </c>
      <c r="BQ306" s="35" t="s">
        <v>445</v>
      </c>
      <c r="BR306" s="35">
        <f t="shared" ref="BR306:BT309" si="422">MIN(BI313)</f>
        <v>0</v>
      </c>
      <c r="BS306" s="35">
        <f t="shared" si="422"/>
        <v>0</v>
      </c>
      <c r="BT306" s="35">
        <f t="shared" si="422"/>
        <v>0</v>
      </c>
    </row>
    <row r="307" spans="4:72" ht="15.75" thickBot="1">
      <c r="D307" s="134" t="s">
        <v>1200</v>
      </c>
      <c r="E307" s="56" t="str">
        <f>'Pre-analyseverktøy'!AO73</f>
        <v>O3: Sub-metering</v>
      </c>
      <c r="F307" s="590">
        <v>0</v>
      </c>
      <c r="G307" s="590" t="s">
        <v>1190</v>
      </c>
      <c r="H307" s="591"/>
      <c r="BH307" s="873" t="s">
        <v>389</v>
      </c>
      <c r="BI307" s="205">
        <f t="shared" si="416"/>
        <v>9</v>
      </c>
      <c r="BJ307" s="205">
        <f t="shared" si="417"/>
        <v>9</v>
      </c>
      <c r="BK307" s="205">
        <f t="shared" si="418"/>
        <v>9</v>
      </c>
      <c r="BP307" s="134" t="s">
        <v>1202</v>
      </c>
      <c r="BQ307" s="35" t="s">
        <v>449</v>
      </c>
      <c r="BR307" s="35">
        <f t="shared" si="422"/>
        <v>0</v>
      </c>
      <c r="BS307" s="35">
        <f t="shared" si="422"/>
        <v>0</v>
      </c>
      <c r="BT307" s="35">
        <f t="shared" si="422"/>
        <v>0</v>
      </c>
    </row>
    <row r="308" spans="4:72" ht="15.75" thickBot="1">
      <c r="D308" s="155" t="s">
        <v>1200</v>
      </c>
      <c r="E308" s="489" t="str">
        <f>'Pre-analyseverktøy'!AP73</f>
        <v>Sub-metering N/A</v>
      </c>
      <c r="F308" s="594">
        <v>0</v>
      </c>
      <c r="G308" s="594" t="s">
        <v>1190</v>
      </c>
      <c r="H308" s="595">
        <v>1</v>
      </c>
      <c r="BH308" s="1082" t="s">
        <v>402</v>
      </c>
      <c r="BI308" s="210">
        <f t="shared" ref="BI308:BI329" si="423">VLOOKUP($BH308,$B$10:$BK$252,BD$1,FALSE)</f>
        <v>3</v>
      </c>
      <c r="BJ308" s="210">
        <f t="shared" ref="BJ308:BJ329" si="424">VLOOKUP($BH308,$B$10:$BK$252,BG$1,FALSE)</f>
        <v>3</v>
      </c>
      <c r="BK308" s="210">
        <f t="shared" ref="BK308:BK329" si="425">VLOOKUP($BH308,$B$10:$BK$252,BJ$1,FALSE)</f>
        <v>3</v>
      </c>
      <c r="BP308" s="134" t="s">
        <v>1203</v>
      </c>
      <c r="BQ308" s="35" t="s">
        <v>454</v>
      </c>
      <c r="BR308" s="35">
        <f t="shared" si="422"/>
        <v>3</v>
      </c>
      <c r="BS308" s="35">
        <f t="shared" si="422"/>
        <v>3</v>
      </c>
      <c r="BT308" s="35">
        <f t="shared" si="422"/>
        <v>3</v>
      </c>
    </row>
    <row r="309" spans="4:72" ht="15.75" thickBot="1">
      <c r="D309" s="177" t="s">
        <v>1204</v>
      </c>
      <c r="E309" s="488" t="str">
        <f>'Pre-analyseverktøy'!AL109</f>
        <v>O1: Flow control</v>
      </c>
      <c r="F309" s="596">
        <v>0</v>
      </c>
      <c r="G309" s="596" t="s">
        <v>1190</v>
      </c>
      <c r="H309" s="597"/>
      <c r="BH309" s="872" t="s">
        <v>403</v>
      </c>
      <c r="BI309" s="210">
        <f t="shared" si="423"/>
        <v>3</v>
      </c>
      <c r="BJ309" s="210">
        <f t="shared" si="424"/>
        <v>3</v>
      </c>
      <c r="BK309" s="210">
        <f t="shared" si="425"/>
        <v>3</v>
      </c>
      <c r="BP309" s="134" t="s">
        <v>187</v>
      </c>
      <c r="BQ309" s="35" t="s">
        <v>463</v>
      </c>
      <c r="BR309" s="35">
        <f t="shared" si="422"/>
        <v>0</v>
      </c>
      <c r="BS309" s="35">
        <f t="shared" si="422"/>
        <v>0</v>
      </c>
      <c r="BT309" s="35">
        <f t="shared" si="422"/>
        <v>0</v>
      </c>
    </row>
    <row r="310" spans="4:72" ht="15.75" thickBot="1">
      <c r="D310" s="134" t="s">
        <v>1204</v>
      </c>
      <c r="E310" s="56" t="str">
        <f>'Pre-analyseverktøy'!AM109</f>
        <v>O2: Flow control (-0,5 c)</v>
      </c>
      <c r="F310" s="590">
        <v>-0.5</v>
      </c>
      <c r="G310" s="590" t="s">
        <v>1190</v>
      </c>
      <c r="H310" s="591"/>
      <c r="BH310" s="873" t="s">
        <v>416</v>
      </c>
      <c r="BI310" s="205">
        <f t="shared" si="423"/>
        <v>3</v>
      </c>
      <c r="BJ310" s="205">
        <f t="shared" si="424"/>
        <v>3</v>
      </c>
      <c r="BK310" s="205">
        <f t="shared" si="425"/>
        <v>3</v>
      </c>
      <c r="BP310" s="134" t="s">
        <v>188</v>
      </c>
      <c r="BQ310" s="35" t="s">
        <v>468</v>
      </c>
      <c r="BR310" s="35">
        <f>MIN(BI317:BI318)</f>
        <v>3</v>
      </c>
      <c r="BS310" s="35">
        <f>MIN(BJ317:BJ318)</f>
        <v>3</v>
      </c>
      <c r="BT310" s="35">
        <f>MIN(BK317:BK318)</f>
        <v>3</v>
      </c>
    </row>
    <row r="311" spans="4:72">
      <c r="D311" s="134" t="s">
        <v>1204</v>
      </c>
      <c r="E311" s="56" t="str">
        <f>'Pre-analyseverktøy'!AN109</f>
        <v xml:space="preserve">O3: Flow control </v>
      </c>
      <c r="F311" s="590">
        <v>0</v>
      </c>
      <c r="G311" s="590" t="s">
        <v>1190</v>
      </c>
      <c r="H311" s="591"/>
      <c r="BH311" s="874" t="s">
        <v>442</v>
      </c>
      <c r="BI311" s="198">
        <f t="shared" si="423"/>
        <v>0</v>
      </c>
      <c r="BJ311" s="198">
        <f t="shared" si="424"/>
        <v>0</v>
      </c>
      <c r="BK311" s="198">
        <f t="shared" si="425"/>
        <v>0</v>
      </c>
      <c r="BP311" s="134" t="s">
        <v>189</v>
      </c>
      <c r="BQ311" s="35" t="s">
        <v>478</v>
      </c>
      <c r="BR311" s="35">
        <f>MIN(BI319:BI322)</f>
        <v>2</v>
      </c>
      <c r="BS311" s="35">
        <f>MIN(BJ319:BJ322)</f>
        <v>2</v>
      </c>
      <c r="BT311" s="35">
        <f>MIN(BK319:BK322)</f>
        <v>2</v>
      </c>
    </row>
    <row r="312" spans="4:72" ht="15.75" thickBot="1">
      <c r="D312" s="156" t="s">
        <v>1204</v>
      </c>
      <c r="E312" s="485" t="str">
        <f>'Pre-analyseverktøy'!AO109</f>
        <v>Flow control N/A</v>
      </c>
      <c r="F312" s="592">
        <v>0</v>
      </c>
      <c r="G312" s="592" t="s">
        <v>1190</v>
      </c>
      <c r="H312" s="593">
        <v>1</v>
      </c>
      <c r="BH312" s="872" t="s">
        <v>443</v>
      </c>
      <c r="BI312" s="210">
        <f t="shared" si="423"/>
        <v>2</v>
      </c>
      <c r="BJ312" s="210">
        <f t="shared" si="424"/>
        <v>2</v>
      </c>
      <c r="BK312" s="210">
        <f t="shared" si="425"/>
        <v>2</v>
      </c>
      <c r="BP312" s="134" t="s">
        <v>1205</v>
      </c>
      <c r="BQ312" s="35" t="s">
        <v>1206</v>
      </c>
      <c r="BR312" s="35">
        <f>MIN(BI323:BI324)</f>
        <v>3</v>
      </c>
      <c r="BS312" s="35">
        <f>MIN(BJ323:BJ324)</f>
        <v>3</v>
      </c>
      <c r="BT312" s="35">
        <f>MIN(BK323:BK324)</f>
        <v>3</v>
      </c>
    </row>
    <row r="313" spans="4:72" ht="15.75" thickBot="1">
      <c r="D313" s="493" t="s">
        <v>541</v>
      </c>
      <c r="E313" s="494" t="s">
        <v>543</v>
      </c>
      <c r="F313" s="598">
        <v>1</v>
      </c>
      <c r="G313" s="598" t="s">
        <v>1207</v>
      </c>
      <c r="H313" s="599"/>
      <c r="BH313" s="873" t="s">
        <v>446</v>
      </c>
      <c r="BI313" s="198">
        <f t="shared" si="423"/>
        <v>0</v>
      </c>
      <c r="BJ313" s="198">
        <f t="shared" si="424"/>
        <v>0</v>
      </c>
      <c r="BK313" s="198">
        <f t="shared" si="425"/>
        <v>0</v>
      </c>
      <c r="BP313" s="134" t="s">
        <v>499</v>
      </c>
      <c r="BQ313" s="35" t="s">
        <v>499</v>
      </c>
      <c r="BR313" s="35">
        <f t="shared" ref="BR313:BT314" si="426">MIN(BI325)</f>
        <v>3</v>
      </c>
      <c r="BS313" s="35">
        <f t="shared" si="426"/>
        <v>3</v>
      </c>
      <c r="BT313" s="35">
        <f t="shared" si="426"/>
        <v>3</v>
      </c>
    </row>
    <row r="314" spans="4:72" ht="15.75" thickBot="1">
      <c r="D314" s="177"/>
      <c r="E314" s="492" t="s">
        <v>1208</v>
      </c>
      <c r="F314" s="596"/>
      <c r="G314" s="596"/>
      <c r="H314" s="597"/>
      <c r="BH314" s="873" t="s">
        <v>451</v>
      </c>
      <c r="BI314" s="205">
        <f t="shared" si="423"/>
        <v>0</v>
      </c>
      <c r="BJ314" s="205">
        <f t="shared" si="424"/>
        <v>0</v>
      </c>
      <c r="BK314" s="205">
        <f t="shared" si="425"/>
        <v>0</v>
      </c>
      <c r="BP314" s="134" t="s">
        <v>503</v>
      </c>
      <c r="BQ314" s="35" t="s">
        <v>503</v>
      </c>
      <c r="BR314" s="35">
        <f t="shared" si="426"/>
        <v>2</v>
      </c>
      <c r="BS314" s="35">
        <f t="shared" si="426"/>
        <v>2</v>
      </c>
      <c r="BT314" s="35">
        <f t="shared" si="426"/>
        <v>2</v>
      </c>
    </row>
    <row r="315" spans="4:72" ht="15.75" thickBot="1">
      <c r="D315" s="134"/>
      <c r="E315" s="486" t="s">
        <v>1208</v>
      </c>
      <c r="F315" s="590"/>
      <c r="G315" s="590"/>
      <c r="H315" s="591"/>
      <c r="BH315" s="872" t="s">
        <v>460</v>
      </c>
      <c r="BI315" s="210">
        <f t="shared" si="423"/>
        <v>3</v>
      </c>
      <c r="BJ315" s="210">
        <f t="shared" si="424"/>
        <v>3</v>
      </c>
      <c r="BK315" s="210">
        <f t="shared" si="425"/>
        <v>3</v>
      </c>
      <c r="BP315" s="134" t="s">
        <v>512</v>
      </c>
      <c r="BQ315" s="35" t="s">
        <v>512</v>
      </c>
      <c r="BR315" s="35">
        <f>MIN(BI327:BI328)</f>
        <v>4</v>
      </c>
      <c r="BS315" s="35">
        <f t="shared" ref="BS315:BT315" si="427">MIN(BJ327:BJ328)</f>
        <v>4</v>
      </c>
      <c r="BT315" s="35">
        <f t="shared" si="427"/>
        <v>4</v>
      </c>
    </row>
    <row r="316" spans="4:72" ht="15.75" thickBot="1">
      <c r="D316" s="134"/>
      <c r="E316" s="486" t="s">
        <v>1208</v>
      </c>
      <c r="F316" s="590"/>
      <c r="G316" s="590"/>
      <c r="H316" s="591"/>
      <c r="BH316" s="872" t="s">
        <v>465</v>
      </c>
      <c r="BI316" s="210">
        <f t="shared" si="423"/>
        <v>0</v>
      </c>
      <c r="BJ316" s="210">
        <f t="shared" si="424"/>
        <v>0</v>
      </c>
      <c r="BK316" s="210">
        <f t="shared" si="425"/>
        <v>0</v>
      </c>
      <c r="BP316" s="134" t="s">
        <v>522</v>
      </c>
      <c r="BQ316" s="35" t="s">
        <v>522</v>
      </c>
      <c r="BR316" s="35">
        <f>MIN(BI329)</f>
        <v>3</v>
      </c>
      <c r="BS316" s="35">
        <f>MIN(BJ329)</f>
        <v>3</v>
      </c>
      <c r="BT316" s="35">
        <f>MIN(BK329)</f>
        <v>3</v>
      </c>
    </row>
    <row r="317" spans="4:72">
      <c r="D317" s="134"/>
      <c r="E317" s="486" t="s">
        <v>1208</v>
      </c>
      <c r="F317" s="590"/>
      <c r="G317" s="590"/>
      <c r="H317" s="591"/>
      <c r="BH317" s="54" t="s">
        <v>470</v>
      </c>
      <c r="BI317">
        <f t="shared" si="423"/>
        <v>3</v>
      </c>
      <c r="BJ317">
        <f t="shared" si="424"/>
        <v>3</v>
      </c>
      <c r="BK317">
        <f t="shared" si="425"/>
        <v>3</v>
      </c>
    </row>
    <row r="318" spans="4:72" ht="15.75" thickBot="1">
      <c r="D318" s="155"/>
      <c r="E318" s="491" t="s">
        <v>1208</v>
      </c>
      <c r="F318" s="594"/>
      <c r="G318" s="594"/>
      <c r="H318" s="595"/>
      <c r="BH318" s="872" t="s">
        <v>471</v>
      </c>
      <c r="BI318" s="210">
        <f t="shared" si="423"/>
        <v>3</v>
      </c>
      <c r="BJ318" s="210">
        <f t="shared" si="424"/>
        <v>3</v>
      </c>
      <c r="BK318" s="210">
        <f t="shared" si="425"/>
        <v>3</v>
      </c>
    </row>
    <row r="319" spans="4:72">
      <c r="D319" s="177"/>
      <c r="E319" s="144" t="s">
        <v>277</v>
      </c>
      <c r="F319" s="596">
        <v>1</v>
      </c>
      <c r="G319" s="596"/>
      <c r="H319" s="597"/>
      <c r="BH319" s="54" t="s">
        <v>480</v>
      </c>
      <c r="BI319">
        <f t="shared" si="423"/>
        <v>2</v>
      </c>
      <c r="BJ319">
        <f t="shared" si="424"/>
        <v>2</v>
      </c>
      <c r="BK319">
        <f t="shared" si="425"/>
        <v>2</v>
      </c>
    </row>
    <row r="320" spans="4:72">
      <c r="D320" s="134"/>
      <c r="E320" s="35" t="s">
        <v>1209</v>
      </c>
      <c r="F320" s="590">
        <v>0.5</v>
      </c>
      <c r="G320" s="590"/>
      <c r="H320" s="591"/>
      <c r="BH320" s="54" t="s">
        <v>482</v>
      </c>
      <c r="BI320">
        <f t="shared" si="423"/>
        <v>4</v>
      </c>
      <c r="BJ320">
        <f t="shared" si="424"/>
        <v>4</v>
      </c>
      <c r="BK320">
        <f t="shared" si="425"/>
        <v>4</v>
      </c>
    </row>
    <row r="321" spans="4:63" ht="15.75" thickBot="1">
      <c r="D321" s="156"/>
      <c r="E321" s="158" t="s">
        <v>279</v>
      </c>
      <c r="F321" s="592">
        <v>1</v>
      </c>
      <c r="G321" s="592"/>
      <c r="H321" s="593"/>
      <c r="BH321" s="54" t="s">
        <v>483</v>
      </c>
      <c r="BI321">
        <f t="shared" si="423"/>
        <v>3</v>
      </c>
      <c r="BJ321">
        <f t="shared" si="424"/>
        <v>3</v>
      </c>
      <c r="BK321">
        <f t="shared" si="425"/>
        <v>3</v>
      </c>
    </row>
    <row r="322" spans="4:63" ht="15.75" thickBot="1">
      <c r="D322" s="132"/>
      <c r="E322" s="490" t="s">
        <v>1208</v>
      </c>
      <c r="F322" s="588"/>
      <c r="G322" s="588"/>
      <c r="H322" s="589"/>
      <c r="BH322" s="872" t="s">
        <v>484</v>
      </c>
      <c r="BI322" s="210">
        <f t="shared" si="423"/>
        <v>3</v>
      </c>
      <c r="BJ322" s="210">
        <f t="shared" si="424"/>
        <v>3</v>
      </c>
      <c r="BK322" s="210">
        <f t="shared" si="425"/>
        <v>3</v>
      </c>
    </row>
    <row r="323" spans="4:63">
      <c r="D323" s="134"/>
      <c r="E323" s="486" t="s">
        <v>1208</v>
      </c>
      <c r="F323" s="590"/>
      <c r="G323" s="590"/>
      <c r="H323" s="591"/>
      <c r="BH323" s="54" t="s">
        <v>487</v>
      </c>
      <c r="BI323">
        <f t="shared" si="423"/>
        <v>3</v>
      </c>
      <c r="BJ323">
        <f t="shared" si="424"/>
        <v>3</v>
      </c>
      <c r="BK323">
        <f t="shared" si="425"/>
        <v>3</v>
      </c>
    </row>
    <row r="324" spans="4:63" ht="15.75" thickBot="1">
      <c r="D324" s="134"/>
      <c r="E324" s="486" t="s">
        <v>1208</v>
      </c>
      <c r="F324" s="590"/>
      <c r="G324" s="590"/>
      <c r="H324" s="591"/>
      <c r="BH324" s="872" t="s">
        <v>489</v>
      </c>
      <c r="BI324" s="210">
        <f t="shared" si="423"/>
        <v>9</v>
      </c>
      <c r="BJ324" s="210">
        <f t="shared" si="424"/>
        <v>9</v>
      </c>
      <c r="BK324" s="210">
        <f t="shared" si="425"/>
        <v>9</v>
      </c>
    </row>
    <row r="325" spans="4:63" ht="15.75" thickBot="1">
      <c r="D325" s="134"/>
      <c r="E325" s="35" t="str">
        <f>AIS_NA</f>
        <v>N/A</v>
      </c>
      <c r="F325" s="590">
        <v>1</v>
      </c>
      <c r="G325" s="590"/>
      <c r="H325" s="591"/>
      <c r="BH325" s="873" t="s">
        <v>502</v>
      </c>
      <c r="BI325" s="205">
        <f t="shared" si="423"/>
        <v>3</v>
      </c>
      <c r="BJ325" s="205">
        <f t="shared" si="424"/>
        <v>3</v>
      </c>
      <c r="BK325" s="205">
        <f t="shared" si="425"/>
        <v>3</v>
      </c>
    </row>
    <row r="326" spans="4:63" ht="15.75" thickBot="1">
      <c r="D326" s="156"/>
      <c r="E326" s="158" t="s">
        <v>123</v>
      </c>
      <c r="F326" s="592">
        <v>1</v>
      </c>
      <c r="G326" s="592"/>
      <c r="H326" s="593"/>
      <c r="BH326" s="872" t="s">
        <v>506</v>
      </c>
      <c r="BI326" s="210">
        <f t="shared" si="423"/>
        <v>2</v>
      </c>
      <c r="BJ326" s="210">
        <f t="shared" si="424"/>
        <v>2</v>
      </c>
      <c r="BK326" s="210">
        <f t="shared" si="425"/>
        <v>2</v>
      </c>
    </row>
    <row r="327" spans="4:63">
      <c r="BH327" s="54" t="s">
        <v>514</v>
      </c>
      <c r="BI327" s="1083">
        <f t="shared" si="423"/>
        <v>4</v>
      </c>
      <c r="BJ327" s="1083">
        <f t="shared" si="424"/>
        <v>4</v>
      </c>
      <c r="BK327" s="1083">
        <f t="shared" si="425"/>
        <v>4</v>
      </c>
    </row>
    <row r="328" spans="4:63" ht="15.75" thickBot="1">
      <c r="BH328" s="872" t="s">
        <v>515</v>
      </c>
      <c r="BI328" s="210">
        <f t="shared" si="423"/>
        <v>4</v>
      </c>
      <c r="BJ328" s="210">
        <f t="shared" si="424"/>
        <v>4</v>
      </c>
      <c r="BK328" s="210">
        <f t="shared" si="425"/>
        <v>4</v>
      </c>
    </row>
    <row r="329" spans="4:63" ht="15.75" thickBot="1">
      <c r="BH329" s="872" t="s">
        <v>524</v>
      </c>
      <c r="BI329" s="210">
        <f t="shared" si="423"/>
        <v>3</v>
      </c>
      <c r="BJ329" s="210">
        <f t="shared" si="424"/>
        <v>3</v>
      </c>
      <c r="BK329" s="210">
        <f t="shared" si="425"/>
        <v>3</v>
      </c>
    </row>
    <row r="335" spans="4:63">
      <c r="E335" s="109" t="s">
        <v>1210</v>
      </c>
    </row>
    <row r="337" spans="5:71">
      <c r="E337" t="s">
        <v>1211</v>
      </c>
    </row>
    <row r="338" spans="5:71">
      <c r="E338" t="s">
        <v>1212</v>
      </c>
    </row>
    <row r="339" spans="5:71">
      <c r="E339" t="s">
        <v>1213</v>
      </c>
    </row>
    <row r="340" spans="5:71">
      <c r="E340" t="s">
        <v>1214</v>
      </c>
    </row>
    <row r="341" spans="5:71">
      <c r="E341" t="s">
        <v>1215</v>
      </c>
      <c r="BP341" t="s">
        <v>1216</v>
      </c>
      <c r="BR341" t="s">
        <v>1217</v>
      </c>
      <c r="BS341" t="str">
        <f>ADPT</f>
        <v>Nybygg (innredet)</v>
      </c>
    </row>
    <row r="342" spans="5:71">
      <c r="E342" t="s">
        <v>1218</v>
      </c>
      <c r="BO342" s="834"/>
      <c r="BP342" s="834" t="s">
        <v>1219</v>
      </c>
      <c r="BQ342" s="834" t="s">
        <v>1220</v>
      </c>
      <c r="BR342" s="834" t="s">
        <v>1221</v>
      </c>
      <c r="BS342" s="834" t="s">
        <v>1222</v>
      </c>
    </row>
    <row r="343" spans="5:71">
      <c r="E343" t="s">
        <v>1223</v>
      </c>
      <c r="BO343" s="35" t="s">
        <v>1224</v>
      </c>
      <c r="BP343" s="833">
        <v>0.13</v>
      </c>
      <c r="BQ343" s="833">
        <v>0.13</v>
      </c>
      <c r="BR343" s="833">
        <v>0.13</v>
      </c>
      <c r="BS343" s="835">
        <f>IF($BS$341=Prosjektdetaljer!$Q$12,Poeng!BQ343,IF(Poeng!$BS$341=ADPT02,Poeng!BR343,Poeng!BP343))</f>
        <v>0.13</v>
      </c>
    </row>
    <row r="344" spans="5:71">
      <c r="E344" t="s">
        <v>1225</v>
      </c>
      <c r="BO344" s="35" t="s">
        <v>245</v>
      </c>
      <c r="BP344" s="833">
        <v>0.16</v>
      </c>
      <c r="BQ344" s="833">
        <v>0.09</v>
      </c>
      <c r="BR344" s="833">
        <v>0.08</v>
      </c>
      <c r="BS344" s="835">
        <f>IF($BS$341=Prosjektdetaljer!$Q$12,Poeng!BQ344,IF(Poeng!$BS$341=ADPT02,Poeng!BR344,Poeng!BP344))</f>
        <v>0.16</v>
      </c>
    </row>
    <row r="345" spans="5:71">
      <c r="E345" t="s">
        <v>1226</v>
      </c>
      <c r="BO345" s="35" t="s">
        <v>295</v>
      </c>
      <c r="BP345" s="833">
        <v>0.14000000000000001</v>
      </c>
      <c r="BQ345" s="833">
        <v>0.12</v>
      </c>
      <c r="BR345" s="833">
        <v>7.0000000000000007E-2</v>
      </c>
      <c r="BS345" s="835">
        <f>IF($BS$341=Prosjektdetaljer!$Q$12,Poeng!BQ345,IF(Poeng!$BS$341=ADPT02,Poeng!BR345,Poeng!BP345))</f>
        <v>0.14000000000000001</v>
      </c>
    </row>
    <row r="346" spans="5:71">
      <c r="E346" t="s">
        <v>1227</v>
      </c>
      <c r="BO346" s="35" t="s">
        <v>349</v>
      </c>
      <c r="BP346" s="833">
        <v>0.1</v>
      </c>
      <c r="BQ346" s="833">
        <v>0.12</v>
      </c>
      <c r="BR346" s="833">
        <v>0.15</v>
      </c>
      <c r="BS346" s="835">
        <f>IF($BS$341=Prosjektdetaljer!$Q$12,Poeng!BQ346,IF(Poeng!$BS$341=ADPT02,Poeng!BR346,Poeng!BP346))</f>
        <v>0.1</v>
      </c>
    </row>
    <row r="347" spans="5:71">
      <c r="E347" t="s">
        <v>1228</v>
      </c>
      <c r="BO347" s="35" t="s">
        <v>398</v>
      </c>
      <c r="BP347" s="833">
        <v>0.04</v>
      </c>
      <c r="BQ347" s="833">
        <v>0.04</v>
      </c>
      <c r="BR347" s="833">
        <v>0.01</v>
      </c>
      <c r="BS347" s="835">
        <f>IF($BS$341=Prosjektdetaljer!$Q$12,Poeng!BQ347,IF(Poeng!$BS$341=ADPT02,Poeng!BR347,Poeng!BP347))</f>
        <v>0.04</v>
      </c>
    </row>
    <row r="348" spans="5:71">
      <c r="E348" t="s">
        <v>1229</v>
      </c>
      <c r="BO348" s="35" t="s">
        <v>411</v>
      </c>
      <c r="BP348" s="833">
        <v>0.17</v>
      </c>
      <c r="BQ348" s="833">
        <v>0.2</v>
      </c>
      <c r="BR348" s="833">
        <v>0.24</v>
      </c>
      <c r="BS348" s="835">
        <f>IF($BS$341=Prosjektdetaljer!$Q$12,Poeng!BQ348,IF(Poeng!$BS$341=ADPT02,Poeng!BR348,Poeng!BP348))</f>
        <v>0.17</v>
      </c>
    </row>
    <row r="349" spans="5:71">
      <c r="BO349" s="35" t="s">
        <v>437</v>
      </c>
      <c r="BP349" s="833">
        <v>7.0000000000000007E-2</v>
      </c>
      <c r="BQ349" s="833">
        <v>0.08</v>
      </c>
      <c r="BR349" s="833">
        <v>0.09</v>
      </c>
      <c r="BS349" s="835">
        <f>IF($BS$341=Prosjektdetaljer!$Q$12,Poeng!BQ349,IF(Poeng!$BS$341=ADPT02,Poeng!BR349,Poeng!BP349))</f>
        <v>7.0000000000000007E-2</v>
      </c>
    </row>
    <row r="350" spans="5:71">
      <c r="BO350" s="35" t="s">
        <v>475</v>
      </c>
      <c r="BP350" s="833">
        <v>0.15</v>
      </c>
      <c r="BQ350" s="833">
        <v>0.17</v>
      </c>
      <c r="BR350" s="833">
        <v>0.21</v>
      </c>
      <c r="BS350" s="835">
        <f>IF($BS$341=Prosjektdetaljer!$Q$12,Poeng!BQ350,IF(Poeng!$BS$341=ADPT02,Poeng!BR350,Poeng!BP350))</f>
        <v>0.15</v>
      </c>
    </row>
    <row r="351" spans="5:71">
      <c r="BO351" s="35" t="s">
        <v>496</v>
      </c>
      <c r="BP351" s="833">
        <v>0.04</v>
      </c>
      <c r="BQ351" s="833">
        <v>0.05</v>
      </c>
      <c r="BR351" s="833">
        <v>0.02</v>
      </c>
      <c r="BS351" s="835">
        <f>IF($BS$341=Prosjektdetaljer!$Q$12,Poeng!BQ351,IF(Poeng!$BS$341=ADPT02,Poeng!BR351,Poeng!BP351))</f>
        <v>0.04</v>
      </c>
    </row>
    <row r="352" spans="5:71">
      <c r="BO352" s="35" t="s">
        <v>538</v>
      </c>
      <c r="BP352" s="833">
        <v>0.1</v>
      </c>
      <c r="BQ352" s="833">
        <v>0.1</v>
      </c>
      <c r="BR352" s="833">
        <v>0.1</v>
      </c>
      <c r="BS352" s="835">
        <f>IF($BS$341=Prosjektdetaljer!$Q$12,Poeng!BQ352,IF(Poeng!$BS$341=ADPT02,Poeng!BR352,Poeng!BP352))</f>
        <v>0.1</v>
      </c>
    </row>
    <row r="353" spans="9:71">
      <c r="BO353" s="35" t="s">
        <v>1230</v>
      </c>
      <c r="BP353" s="833">
        <v>0.1</v>
      </c>
      <c r="BQ353" s="833">
        <v>0.1</v>
      </c>
      <c r="BR353" s="833">
        <v>0.1</v>
      </c>
      <c r="BS353" s="835">
        <f>IF($BS$341=Prosjektdetaljer!$Q$12,Poeng!BQ353,IF(Poeng!$BS$341=ADPT02,Poeng!BR353,Poeng!BP353))</f>
        <v>0.1</v>
      </c>
    </row>
    <row r="360" spans="9:71">
      <c r="I360" t="s">
        <v>735</v>
      </c>
    </row>
    <row r="361" spans="9:71">
      <c r="I361" t="s">
        <v>860</v>
      </c>
    </row>
    <row r="362" spans="9:71">
      <c r="I362" t="s">
        <v>735</v>
      </c>
    </row>
    <row r="363" spans="9:71">
      <c r="I363" t="s">
        <v>862</v>
      </c>
    </row>
    <row r="364" spans="9:71">
      <c r="I364" t="s">
        <v>737</v>
      </c>
    </row>
    <row r="365" spans="9:71">
      <c r="I365" t="s">
        <v>864</v>
      </c>
    </row>
    <row r="366" spans="9:71">
      <c r="I366" t="s">
        <v>865</v>
      </c>
    </row>
    <row r="367" spans="9:71">
      <c r="I367" t="s">
        <v>1231</v>
      </c>
    </row>
    <row r="368" spans="9:71">
      <c r="I368" t="s">
        <v>867</v>
      </c>
    </row>
    <row r="369" spans="9:9">
      <c r="I369" t="s">
        <v>868</v>
      </c>
    </row>
    <row r="370" spans="9:9">
      <c r="I370" t="s">
        <v>741</v>
      </c>
    </row>
    <row r="371" spans="9:9">
      <c r="I371" t="s">
        <v>870</v>
      </c>
    </row>
    <row r="372" spans="9:9">
      <c r="I372" t="s">
        <v>871</v>
      </c>
    </row>
  </sheetData>
  <sheetProtection algorithmName="SHA-512" hashValue="5I5tYBSEUD9WUOztIsxgxofoT1j/Me7/DP1y1FlC4coNDxQQ/EPFBDV5Ab3B9EEO4NHuMNO0wP+W9RMJcHYT7A==" saltValue="cP3+5NS4Py7Cai67BWawFA==" spinCount="100000" sheet="1" selectLockedCells="1"/>
  <autoFilter ref="A8:CL278" xr:uid="{00000000-0001-0000-0300-00000000000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20" showButton="0"/>
    <filterColumn colId="21" showButton="0"/>
    <filterColumn colId="22" showButton="0"/>
    <filterColumn colId="23" showButton="0"/>
    <filterColumn colId="24" showButton="0"/>
    <filterColumn colId="38" showButton="0"/>
    <filterColumn colId="39" showButton="0"/>
    <filterColumn colId="40" showButton="0"/>
    <filterColumn colId="41" showButton="0"/>
    <filterColumn colId="44" showButton="0"/>
    <filterColumn colId="45" showButton="0"/>
    <filterColumn colId="46" showButton="0"/>
    <filterColumn colId="47" showButton="0"/>
    <filterColumn colId="50" showButton="0"/>
    <filterColumn colId="51"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6" showButton="0"/>
    <filterColumn colId="67" showButton="0"/>
  </autoFilter>
  <sortState xmlns:xlrd2="http://schemas.microsoft.com/office/spreadsheetml/2017/richdata2" ref="E311:F394">
    <sortCondition ref="F311:F394"/>
  </sortState>
  <mergeCells count="15">
    <mergeCell ref="CO7:CQ7"/>
    <mergeCell ref="AX260:BC260"/>
    <mergeCell ref="AE7:AG7"/>
    <mergeCell ref="AX261:BC261"/>
    <mergeCell ref="AX262:BC262"/>
    <mergeCell ref="BO8:BQ8"/>
    <mergeCell ref="BJ8:BL8"/>
    <mergeCell ref="BD8:BF8"/>
    <mergeCell ref="BG8:BI8"/>
    <mergeCell ref="AX259:BC259"/>
    <mergeCell ref="F8:R8"/>
    <mergeCell ref="U8:Z8"/>
    <mergeCell ref="AM8:AQ8"/>
    <mergeCell ref="AS8:AW8"/>
    <mergeCell ref="AY8:BC8"/>
  </mergeCells>
  <phoneticPr fontId="49"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V306"/>
  <sheetViews>
    <sheetView zoomScaleNormal="100" workbookViewId="0">
      <selection activeCell="H11" sqref="H11:I11"/>
    </sheetView>
  </sheetViews>
  <sheetFormatPr baseColWidth="10" defaultColWidth="9.28515625" defaultRowHeight="15"/>
  <cols>
    <col min="1" max="1" width="3" style="335" customWidth="1"/>
    <col min="2" max="2" width="25.85546875" style="335" customWidth="1"/>
    <col min="3" max="3" width="16.28515625" style="335" customWidth="1"/>
    <col min="4" max="4" width="10.7109375" style="335" customWidth="1"/>
    <col min="5" max="5" width="12" style="335" customWidth="1"/>
    <col min="6" max="6" width="10.28515625" style="335" customWidth="1"/>
    <col min="7" max="7" width="10.5703125" style="335" customWidth="1"/>
    <col min="8" max="8" width="11" style="335" customWidth="1"/>
    <col min="9" max="9" width="11.28515625" style="335" customWidth="1"/>
    <col min="10" max="10" width="13" style="335" customWidth="1"/>
    <col min="11" max="11" width="20.28515625" style="335" customWidth="1"/>
    <col min="12" max="12" width="18.5703125" style="335" customWidth="1"/>
    <col min="13" max="13" width="19.5703125" style="335" customWidth="1"/>
    <col min="14" max="14" width="13.5703125" style="335" customWidth="1"/>
    <col min="15" max="15" width="13.28515625" style="335" customWidth="1"/>
    <col min="16" max="16" width="8" style="335" customWidth="1"/>
    <col min="17" max="17" width="16.5703125" style="335" customWidth="1"/>
    <col min="18" max="19" width="9.28515625" style="335" customWidth="1"/>
    <col min="20" max="42" width="9.28515625" style="335" hidden="1" customWidth="1"/>
    <col min="43" max="43" width="9.7109375" style="335" hidden="1" customWidth="1"/>
    <col min="44" max="46" width="9.28515625" style="335" hidden="1" customWidth="1"/>
    <col min="47" max="48" width="0" style="335" hidden="1" customWidth="1"/>
    <col min="49" max="16384" width="9.28515625" style="335"/>
  </cols>
  <sheetData>
    <row r="1" spans="1:40">
      <c r="A1" s="334"/>
      <c r="B1" s="334"/>
      <c r="C1" s="334"/>
      <c r="D1" s="334"/>
      <c r="E1" s="334"/>
      <c r="F1" s="334"/>
      <c r="G1" s="334"/>
      <c r="H1" s="334"/>
      <c r="I1" s="334"/>
      <c r="J1" s="334"/>
      <c r="K1" s="334"/>
      <c r="L1" s="334"/>
      <c r="M1" s="334"/>
      <c r="N1" s="334"/>
      <c r="O1" s="334"/>
      <c r="P1" s="334"/>
      <c r="Q1" s="334"/>
      <c r="R1" s="334"/>
      <c r="S1" s="334"/>
    </row>
    <row r="2" spans="1:40" ht="42" customHeight="1">
      <c r="A2" s="334"/>
      <c r="B2" s="536" t="s">
        <v>1232</v>
      </c>
      <c r="C2" s="536"/>
      <c r="D2" s="536"/>
      <c r="E2" s="536"/>
      <c r="F2" s="536"/>
      <c r="G2" s="536"/>
      <c r="H2" s="1021"/>
      <c r="I2" s="1021"/>
      <c r="J2" s="1021"/>
      <c r="K2" s="1021"/>
      <c r="L2" s="302"/>
      <c r="M2" s="1021"/>
      <c r="N2" s="465" t="str">
        <f>IF('Manuell filtrering og justering'!I2='Manuell filtrering og justering'!J2,"Bespoke","")</f>
        <v/>
      </c>
      <c r="O2" s="465" t="str">
        <f>IF('Manuell filtrering og justering'!J2='Manuell filtrering og justering'!K2,"Bespoke","")</f>
        <v/>
      </c>
      <c r="P2" s="302"/>
      <c r="Q2" s="334"/>
      <c r="R2" s="334"/>
      <c r="S2" s="334"/>
    </row>
    <row r="3" spans="1:40" ht="15" customHeight="1">
      <c r="A3" s="334"/>
      <c r="B3" s="1022"/>
      <c r="C3" s="334"/>
      <c r="D3" s="334"/>
      <c r="E3" s="334"/>
      <c r="F3" s="334"/>
      <c r="G3" s="334"/>
      <c r="H3" s="334"/>
      <c r="I3" s="334"/>
      <c r="J3" s="334"/>
      <c r="K3" s="334"/>
      <c r="L3" s="334"/>
      <c r="M3" s="334"/>
      <c r="N3" s="379"/>
      <c r="O3" s="334"/>
      <c r="P3" s="334"/>
      <c r="Q3" s="334"/>
      <c r="R3" s="334"/>
      <c r="S3" s="334"/>
    </row>
    <row r="4" spans="1:40" ht="18.75">
      <c r="A4" s="334"/>
      <c r="B4" s="380" t="s">
        <v>1233</v>
      </c>
      <c r="C4" s="1023"/>
      <c r="D4" s="1024"/>
      <c r="E4" s="1024"/>
      <c r="F4" s="1024"/>
      <c r="G4" s="1024"/>
      <c r="H4" s="1024"/>
      <c r="I4" s="1024"/>
      <c r="J4" s="1024"/>
      <c r="K4" s="1024"/>
      <c r="L4" s="1024"/>
      <c r="M4" s="1024"/>
      <c r="N4" s="1024"/>
      <c r="O4" s="1024"/>
      <c r="P4" s="1024"/>
      <c r="Q4" s="334"/>
      <c r="R4" s="334"/>
      <c r="S4" s="334"/>
    </row>
    <row r="5" spans="1:40">
      <c r="A5" s="334"/>
      <c r="B5" s="334"/>
      <c r="C5" s="334"/>
      <c r="D5" s="334"/>
      <c r="E5" s="334"/>
      <c r="F5" s="334"/>
      <c r="G5" s="334"/>
      <c r="H5" s="334"/>
      <c r="I5" s="334"/>
      <c r="J5" s="334"/>
      <c r="K5" s="334"/>
      <c r="L5" s="334"/>
      <c r="M5" s="334"/>
      <c r="N5" s="334"/>
      <c r="O5" s="334"/>
      <c r="P5" s="334"/>
      <c r="Q5" s="334"/>
      <c r="R5" s="334"/>
      <c r="S5" s="334"/>
    </row>
    <row r="6" spans="1:40" ht="15.75">
      <c r="A6" s="334"/>
      <c r="B6" s="336"/>
      <c r="C6" s="997" t="s">
        <v>87</v>
      </c>
      <c r="D6" s="1025" t="str">
        <f>IF(ADBN="","",ADBN)</f>
        <v/>
      </c>
      <c r="E6" s="337"/>
      <c r="F6" s="337"/>
      <c r="G6" s="337"/>
      <c r="H6" s="337"/>
      <c r="I6" s="338"/>
      <c r="J6" s="343"/>
      <c r="K6" s="339"/>
      <c r="L6" s="340"/>
      <c r="M6" s="339" t="str">
        <f>"Pre-analyseverktøy versjon: "&amp;TVC_current_version&amp;". Dato: "</f>
        <v xml:space="preserve">Pre-analyseverktøy versjon: 1.03. Dato: </v>
      </c>
      <c r="N6" s="341">
        <f>TVC_current_date</f>
        <v>45954</v>
      </c>
      <c r="O6" s="334"/>
      <c r="P6" s="334"/>
      <c r="Q6" s="334"/>
      <c r="R6" s="334"/>
      <c r="S6" s="334"/>
    </row>
    <row r="7" spans="1:40">
      <c r="A7" s="334"/>
      <c r="B7" s="343"/>
      <c r="C7" s="343"/>
      <c r="D7" s="343"/>
      <c r="E7" s="343"/>
      <c r="F7" s="343"/>
      <c r="G7" s="343"/>
      <c r="H7" s="343"/>
      <c r="I7" s="343"/>
      <c r="J7" s="343"/>
      <c r="K7" s="343"/>
      <c r="L7" s="334"/>
      <c r="M7" s="334"/>
      <c r="N7" s="334"/>
      <c r="O7" s="334"/>
      <c r="P7" s="334"/>
      <c r="Q7" s="334"/>
      <c r="R7" s="334"/>
      <c r="S7" s="334"/>
    </row>
    <row r="8" spans="1:40" ht="15.75">
      <c r="A8" s="334"/>
      <c r="B8" s="342"/>
      <c r="C8" s="22"/>
      <c r="D8" s="1169" t="s">
        <v>217</v>
      </c>
      <c r="E8" s="1170"/>
      <c r="F8" s="1161" t="s">
        <v>1234</v>
      </c>
      <c r="G8" s="1162"/>
      <c r="H8" s="1161" t="s">
        <v>1235</v>
      </c>
      <c r="I8" s="1162"/>
      <c r="J8" s="343"/>
      <c r="K8" s="343"/>
      <c r="L8" s="334"/>
      <c r="M8" s="334"/>
      <c r="N8" s="334"/>
      <c r="O8" s="334"/>
      <c r="P8" s="334"/>
      <c r="Q8" s="334"/>
      <c r="R8" s="334"/>
      <c r="S8" s="334"/>
    </row>
    <row r="9" spans="1:40" ht="15.75">
      <c r="A9" s="343"/>
      <c r="B9" s="1026"/>
      <c r="C9" s="998" t="s">
        <v>1236</v>
      </c>
      <c r="D9" s="1180" t="s">
        <v>119</v>
      </c>
      <c r="E9" s="1180"/>
      <c r="F9" s="1180" t="s">
        <v>119</v>
      </c>
      <c r="G9" s="1180"/>
      <c r="H9" s="1180" t="s">
        <v>119</v>
      </c>
      <c r="I9" s="1180"/>
      <c r="J9" s="343"/>
      <c r="K9" s="343"/>
      <c r="L9" s="343"/>
      <c r="M9" s="343"/>
      <c r="N9" s="343"/>
      <c r="O9" s="343"/>
      <c r="P9" s="343"/>
      <c r="Q9" s="343"/>
      <c r="Z9" s="1027"/>
      <c r="AA9" s="1027"/>
      <c r="AB9" s="1027"/>
      <c r="AC9" s="1027"/>
      <c r="AD9" s="1027"/>
      <c r="AE9" s="1027"/>
      <c r="AF9" s="1027"/>
      <c r="AG9" s="1027"/>
      <c r="AH9" s="1027"/>
      <c r="AI9" s="1027"/>
      <c r="AJ9" s="1027"/>
      <c r="AK9" s="1027"/>
      <c r="AL9" s="1027"/>
      <c r="AM9" s="1027"/>
      <c r="AN9" s="1027"/>
    </row>
    <row r="10" spans="1:40" ht="15.75">
      <c r="A10" s="334"/>
      <c r="B10" s="1028"/>
      <c r="C10" s="999" t="s">
        <v>1237</v>
      </c>
      <c r="D10" s="1171" t="str">
        <f>BP_BREEAMRating</f>
        <v>Unclassified</v>
      </c>
      <c r="E10" s="1172"/>
      <c r="F10" s="1163" t="str">
        <f>Poeng!BH264</f>
        <v>Unclassified</v>
      </c>
      <c r="G10" s="1164"/>
      <c r="H10" s="1163" t="str">
        <f>Poeng!BK264</f>
        <v>Unclassified</v>
      </c>
      <c r="I10" s="1164"/>
      <c r="J10" s="343"/>
      <c r="K10" s="343" t="str">
        <f>IF(OR(Poeng!BF264=1,Poeng!BI264=1,Poeng!BL264=1),Poeng!AX269,"")</f>
        <v/>
      </c>
      <c r="L10" s="343"/>
      <c r="M10" s="343"/>
      <c r="N10" s="343"/>
      <c r="O10" s="343"/>
      <c r="P10" s="343"/>
      <c r="Q10" s="343"/>
      <c r="Z10" s="1179"/>
      <c r="AA10" s="1179"/>
      <c r="AB10" s="1179"/>
      <c r="AC10" s="1179"/>
      <c r="AD10" s="1179"/>
      <c r="AE10" s="1179"/>
      <c r="AF10" s="1179"/>
      <c r="AG10" s="1179"/>
      <c r="AH10" s="1179"/>
      <c r="AI10" s="1179"/>
      <c r="AJ10" s="1179"/>
      <c r="AK10" s="1179"/>
      <c r="AL10" s="1179"/>
      <c r="AM10" s="1179"/>
      <c r="AN10" s="1179"/>
    </row>
    <row r="11" spans="1:40" ht="18" customHeight="1">
      <c r="A11" s="334"/>
      <c r="B11" s="1029"/>
      <c r="C11" s="999" t="s">
        <v>224</v>
      </c>
      <c r="D11" s="1173">
        <f>Score_Initial</f>
        <v>0</v>
      </c>
      <c r="E11" s="1174"/>
      <c r="F11" s="1165">
        <f>Poeng!BG262</f>
        <v>0</v>
      </c>
      <c r="G11" s="1166"/>
      <c r="H11" s="1165">
        <f>Poeng!BJ262</f>
        <v>0</v>
      </c>
      <c r="I11" s="1166"/>
      <c r="J11" s="343"/>
      <c r="K11" s="343"/>
      <c r="L11" s="343"/>
      <c r="M11" s="343"/>
      <c r="N11" s="343"/>
      <c r="O11" s="343"/>
      <c r="P11" s="343"/>
      <c r="Q11" s="343"/>
      <c r="Z11" s="1179"/>
      <c r="AA11" s="1179"/>
      <c r="AB11" s="1179"/>
      <c r="AC11" s="1179"/>
      <c r="AD11" s="1179"/>
      <c r="AE11" s="1179"/>
      <c r="AF11" s="1179"/>
      <c r="AG11" s="1179"/>
      <c r="AH11" s="1179"/>
      <c r="AI11" s="1179"/>
      <c r="AJ11" s="1179"/>
      <c r="AK11" s="1179"/>
      <c r="AL11" s="1179"/>
      <c r="AM11" s="1179"/>
      <c r="AN11" s="1179"/>
    </row>
    <row r="12" spans="1:40" ht="18" customHeight="1">
      <c r="A12" s="334"/>
      <c r="B12" s="1030"/>
      <c r="C12" s="999" t="s">
        <v>225</v>
      </c>
      <c r="D12" s="1173" t="str">
        <f>Poeng!BE258</f>
        <v>Unclassified &lt;30%</v>
      </c>
      <c r="E12" s="1174"/>
      <c r="F12" s="1165" t="str">
        <f>Poeng!BH258</f>
        <v>Unclassified &lt;30%</v>
      </c>
      <c r="G12" s="1166"/>
      <c r="H12" s="1165" t="str">
        <f>Poeng!BK258</f>
        <v>Unclassified &lt;30%</v>
      </c>
      <c r="I12" s="1166"/>
      <c r="J12" s="343"/>
      <c r="K12" s="343"/>
      <c r="L12" s="343"/>
      <c r="M12" s="343"/>
      <c r="N12" s="343"/>
      <c r="O12" s="343"/>
      <c r="P12" s="343"/>
      <c r="Q12" s="343"/>
      <c r="Z12" s="1179"/>
      <c r="AA12" s="1179"/>
      <c r="AB12" s="1179"/>
      <c r="AC12" s="1179"/>
      <c r="AD12" s="1179"/>
      <c r="AE12" s="1179"/>
      <c r="AF12" s="1179"/>
      <c r="AG12" s="1179"/>
      <c r="AH12" s="1179"/>
      <c r="AI12" s="1179"/>
      <c r="AJ12" s="1179"/>
      <c r="AK12" s="1179"/>
      <c r="AL12" s="1179"/>
      <c r="AM12" s="1179"/>
      <c r="AN12" s="1179"/>
    </row>
    <row r="13" spans="1:40" ht="15.75">
      <c r="A13" s="334"/>
      <c r="B13" s="1031"/>
      <c r="C13" s="844" t="str">
        <f>'Pre-analyseverktøy'!H7</f>
        <v>Krav i EUs taksonomi</v>
      </c>
      <c r="D13" s="1175" t="str">
        <f>Poeng!BR258</f>
        <v>No</v>
      </c>
      <c r="E13" s="1176"/>
      <c r="F13" s="1167" t="str">
        <f>Poeng!BS258</f>
        <v>No</v>
      </c>
      <c r="G13" s="1168"/>
      <c r="H13" s="1167" t="str">
        <f>Poeng!BT258</f>
        <v>No</v>
      </c>
      <c r="I13" s="1168"/>
      <c r="J13" s="343"/>
      <c r="K13" s="343"/>
      <c r="L13" s="343"/>
      <c r="M13" s="343"/>
      <c r="N13" s="343"/>
      <c r="O13" s="343"/>
      <c r="P13" s="343"/>
      <c r="Q13" s="343"/>
      <c r="Z13" s="1179"/>
      <c r="AA13" s="1179"/>
      <c r="AB13" s="1179"/>
      <c r="AC13" s="1179"/>
      <c r="AD13" s="1179"/>
      <c r="AE13" s="1179"/>
      <c r="AF13" s="1179"/>
      <c r="AG13" s="1179"/>
      <c r="AH13" s="1179"/>
      <c r="AI13" s="1179"/>
      <c r="AJ13" s="1179"/>
      <c r="AK13" s="1179"/>
      <c r="AL13" s="1179"/>
      <c r="AM13" s="1179"/>
      <c r="AN13" s="1179"/>
    </row>
    <row r="14" spans="1:40" ht="42" customHeight="1">
      <c r="A14" s="334"/>
      <c r="B14" s="380" t="s">
        <v>1238</v>
      </c>
      <c r="C14" s="1023"/>
      <c r="D14" s="1024"/>
      <c r="E14" s="1024"/>
      <c r="F14" s="1024"/>
      <c r="G14" s="1024"/>
      <c r="H14" s="1024"/>
      <c r="I14" s="380" t="s">
        <v>225</v>
      </c>
      <c r="J14" s="1024"/>
      <c r="K14" s="1024"/>
      <c r="L14" s="534"/>
      <c r="M14" s="1024"/>
      <c r="N14" s="1024"/>
      <c r="O14" s="372"/>
      <c r="P14" s="372"/>
      <c r="Q14" s="334"/>
      <c r="R14" s="334"/>
      <c r="S14" s="334"/>
    </row>
    <row r="15" spans="1:40" ht="15" customHeight="1">
      <c r="A15" s="334"/>
      <c r="B15" s="344"/>
      <c r="C15" s="344"/>
      <c r="D15" s="344"/>
      <c r="E15" s="344"/>
      <c r="F15" s="344"/>
      <c r="G15" s="344"/>
      <c r="H15" s="344"/>
      <c r="I15" s="344"/>
      <c r="J15" s="344"/>
      <c r="K15" s="343"/>
      <c r="L15" s="334"/>
      <c r="M15" s="334"/>
      <c r="N15" s="334"/>
      <c r="O15" s="334"/>
      <c r="P15" s="334"/>
      <c r="Q15" s="334"/>
      <c r="R15" s="334"/>
      <c r="S15" s="334"/>
    </row>
    <row r="16" spans="1:40" ht="15" customHeight="1">
      <c r="A16" s="334"/>
      <c r="B16" s="334"/>
      <c r="C16" s="334"/>
      <c r="D16" s="334"/>
      <c r="E16" s="334"/>
      <c r="F16" s="334"/>
      <c r="G16" s="334"/>
      <c r="H16" s="334"/>
      <c r="I16" s="334"/>
      <c r="J16" s="334"/>
      <c r="K16" s="343"/>
      <c r="L16" s="334"/>
      <c r="M16" s="334"/>
      <c r="N16" s="334"/>
      <c r="O16" s="334"/>
      <c r="P16" s="334"/>
      <c r="Q16" s="334"/>
      <c r="R16" s="334"/>
      <c r="S16" s="334"/>
    </row>
    <row r="17" spans="1:32" ht="15" customHeight="1">
      <c r="A17" s="334"/>
      <c r="B17" s="334"/>
      <c r="C17" s="334"/>
      <c r="D17" s="334"/>
      <c r="E17" s="334"/>
      <c r="F17" s="334"/>
      <c r="G17" s="334"/>
      <c r="H17" s="334"/>
      <c r="I17" s="334"/>
      <c r="J17" s="334"/>
      <c r="K17" s="343"/>
      <c r="L17" s="334"/>
      <c r="M17" s="334"/>
      <c r="N17" s="334"/>
      <c r="O17" s="334"/>
      <c r="P17" s="334"/>
      <c r="Q17" s="334"/>
      <c r="R17" s="334"/>
      <c r="S17" s="334"/>
    </row>
    <row r="18" spans="1:32" ht="15" customHeight="1">
      <c r="A18" s="334"/>
      <c r="B18" s="334"/>
      <c r="C18" s="334"/>
      <c r="D18" s="334"/>
      <c r="E18" s="334"/>
      <c r="F18" s="334"/>
      <c r="G18" s="334"/>
      <c r="H18" s="334"/>
      <c r="I18" s="334"/>
      <c r="J18" s="334"/>
      <c r="K18" s="343"/>
      <c r="L18" s="334"/>
      <c r="M18" s="334"/>
      <c r="N18" s="334"/>
      <c r="O18" s="334"/>
      <c r="P18" s="343"/>
      <c r="Q18" s="334"/>
      <c r="R18" s="334"/>
      <c r="S18" s="334"/>
    </row>
    <row r="19" spans="1:32" ht="15" customHeight="1">
      <c r="A19" s="334"/>
      <c r="B19" s="334"/>
      <c r="C19" s="334"/>
      <c r="D19" s="334"/>
      <c r="E19" s="334"/>
      <c r="F19" s="334"/>
      <c r="G19" s="334"/>
      <c r="H19" s="334"/>
      <c r="I19" s="334"/>
      <c r="J19" s="334"/>
      <c r="K19" s="343"/>
      <c r="L19" s="334"/>
      <c r="M19" s="334"/>
      <c r="N19" s="334"/>
      <c r="O19" s="334"/>
      <c r="P19" s="343"/>
      <c r="Q19" s="334"/>
      <c r="R19" s="334"/>
      <c r="S19" s="334"/>
    </row>
    <row r="20" spans="1:32" ht="15" customHeight="1">
      <c r="A20" s="334"/>
      <c r="B20" s="334"/>
      <c r="C20" s="334"/>
      <c r="D20" s="334"/>
      <c r="E20" s="334"/>
      <c r="F20" s="334"/>
      <c r="G20" s="334"/>
      <c r="H20" s="334"/>
      <c r="I20" s="334"/>
      <c r="J20" s="334"/>
      <c r="K20" s="343"/>
      <c r="L20" s="334"/>
      <c r="M20" s="334"/>
      <c r="N20" s="334"/>
      <c r="O20" s="334"/>
      <c r="P20" s="343"/>
      <c r="Q20" s="334"/>
      <c r="R20" s="334"/>
      <c r="S20" s="334"/>
    </row>
    <row r="21" spans="1:32" ht="15" customHeight="1" thickBot="1">
      <c r="A21" s="334"/>
      <c r="B21" s="334"/>
      <c r="C21" s="334"/>
      <c r="D21" s="334"/>
      <c r="E21" s="334"/>
      <c r="F21" s="334"/>
      <c r="G21" s="334"/>
      <c r="H21" s="334"/>
      <c r="I21" s="334"/>
      <c r="J21" s="334"/>
      <c r="K21" s="343"/>
      <c r="L21" s="334"/>
      <c r="M21" s="334"/>
      <c r="N21" s="334"/>
      <c r="O21" s="334"/>
      <c r="P21" s="343"/>
      <c r="Q21" s="334"/>
      <c r="R21" s="334"/>
      <c r="S21" s="334"/>
    </row>
    <row r="22" spans="1:32" ht="15" customHeight="1">
      <c r="A22" s="334"/>
      <c r="B22" s="334"/>
      <c r="C22" s="334"/>
      <c r="D22" s="334"/>
      <c r="E22" s="334"/>
      <c r="F22" s="334"/>
      <c r="G22" s="334"/>
      <c r="H22" s="334"/>
      <c r="I22" s="334"/>
      <c r="J22" s="334"/>
      <c r="K22" s="343"/>
      <c r="L22" s="334"/>
      <c r="M22" s="334"/>
      <c r="N22" s="334"/>
      <c r="O22" s="334"/>
      <c r="P22" s="343"/>
      <c r="Q22" s="334"/>
      <c r="R22" s="334"/>
      <c r="S22" s="334"/>
      <c r="AB22" s="345"/>
      <c r="AC22" s="346" t="s">
        <v>1382</v>
      </c>
      <c r="AD22" s="346" t="str">
        <f>D34</f>
        <v>Innledende målsetning</v>
      </c>
      <c r="AE22" s="346" t="str">
        <f>F34</f>
        <v>Prosjekteringsfase</v>
      </c>
      <c r="AF22" s="347" t="str">
        <f>H34</f>
        <v>Ferdigstillelse</v>
      </c>
    </row>
    <row r="23" spans="1:32" ht="15" customHeight="1">
      <c r="A23" s="334"/>
      <c r="B23" s="334"/>
      <c r="C23" s="334"/>
      <c r="D23" s="334"/>
      <c r="E23" s="334"/>
      <c r="F23" s="334"/>
      <c r="G23" s="334"/>
      <c r="H23" s="334"/>
      <c r="I23" s="334"/>
      <c r="J23" s="334"/>
      <c r="K23" s="343"/>
      <c r="L23" s="334"/>
      <c r="M23" s="334"/>
      <c r="N23" s="334"/>
      <c r="O23" s="334"/>
      <c r="P23" s="343"/>
      <c r="Q23" s="334"/>
      <c r="R23" s="334"/>
      <c r="S23" s="334"/>
      <c r="AB23" s="348" t="s">
        <v>1239</v>
      </c>
      <c r="AC23" s="349">
        <f>Man_Weight</f>
        <v>0.13</v>
      </c>
      <c r="AD23" s="349">
        <f t="shared" ref="AD23:AD32" si="0">IF(D$9=$AA$36,K36,"")</f>
        <v>0</v>
      </c>
      <c r="AE23" s="349">
        <f t="shared" ref="AE23:AE32" si="1">IF(F$9=$AA$36,L36,"")</f>
        <v>0</v>
      </c>
      <c r="AF23" s="350">
        <f t="shared" ref="AF23:AF32" si="2">IF(H$9=$AA$36,M36,"")</f>
        <v>0</v>
      </c>
    </row>
    <row r="24" spans="1:32" ht="15" customHeight="1">
      <c r="A24" s="334"/>
      <c r="B24" s="334"/>
      <c r="C24" s="334"/>
      <c r="D24" s="334"/>
      <c r="E24" s="334"/>
      <c r="F24" s="334"/>
      <c r="G24" s="334"/>
      <c r="H24" s="334"/>
      <c r="I24" s="334"/>
      <c r="J24" s="334"/>
      <c r="K24" s="343"/>
      <c r="L24" s="334"/>
      <c r="M24" s="334"/>
      <c r="N24" s="334"/>
      <c r="O24" s="334"/>
      <c r="P24" s="334"/>
      <c r="Q24" s="334"/>
      <c r="R24" s="334"/>
      <c r="S24" s="334"/>
      <c r="AB24" s="348" t="s">
        <v>1240</v>
      </c>
      <c r="AC24" s="349">
        <f>J37</f>
        <v>0.16</v>
      </c>
      <c r="AD24" s="349">
        <f t="shared" si="0"/>
        <v>0</v>
      </c>
      <c r="AE24" s="349">
        <f t="shared" si="1"/>
        <v>0</v>
      </c>
      <c r="AF24" s="350">
        <f t="shared" si="2"/>
        <v>0</v>
      </c>
    </row>
    <row r="25" spans="1:32" ht="15" customHeight="1">
      <c r="A25" s="334"/>
      <c r="B25" s="334"/>
      <c r="C25" s="334"/>
      <c r="D25" s="334"/>
      <c r="E25" s="334"/>
      <c r="F25" s="334"/>
      <c r="G25" s="334"/>
      <c r="H25" s="334"/>
      <c r="I25" s="334"/>
      <c r="J25" s="334"/>
      <c r="K25" s="343"/>
      <c r="L25" s="334"/>
      <c r="M25" s="334"/>
      <c r="N25" s="334"/>
      <c r="O25" s="334"/>
      <c r="P25" s="334"/>
      <c r="Q25" s="334"/>
      <c r="R25" s="334"/>
      <c r="S25" s="334"/>
      <c r="AB25" s="348" t="s">
        <v>1241</v>
      </c>
      <c r="AC25" s="349">
        <f>Ene_Weight</f>
        <v>0.14000000000000001</v>
      </c>
      <c r="AD25" s="349">
        <f t="shared" si="0"/>
        <v>0</v>
      </c>
      <c r="AE25" s="349">
        <f t="shared" si="1"/>
        <v>0</v>
      </c>
      <c r="AF25" s="350">
        <f t="shared" si="2"/>
        <v>0</v>
      </c>
    </row>
    <row r="26" spans="1:32" ht="15" customHeight="1">
      <c r="A26" s="334"/>
      <c r="B26" s="334"/>
      <c r="C26" s="334"/>
      <c r="D26" s="334"/>
      <c r="E26" s="334"/>
      <c r="F26" s="334"/>
      <c r="G26" s="334"/>
      <c r="H26" s="334"/>
      <c r="I26" s="334"/>
      <c r="J26" s="334"/>
      <c r="K26" s="343"/>
      <c r="L26" s="334"/>
      <c r="M26" s="334"/>
      <c r="N26" s="334"/>
      <c r="O26" s="334"/>
      <c r="P26" s="334"/>
      <c r="Q26" s="334"/>
      <c r="R26" s="334"/>
      <c r="S26" s="334"/>
      <c r="AB26" s="348" t="s">
        <v>1242</v>
      </c>
      <c r="AC26" s="349">
        <f>Tra_Weight</f>
        <v>0.1</v>
      </c>
      <c r="AD26" s="349">
        <f t="shared" si="0"/>
        <v>0</v>
      </c>
      <c r="AE26" s="349">
        <f t="shared" si="1"/>
        <v>0</v>
      </c>
      <c r="AF26" s="350">
        <f t="shared" si="2"/>
        <v>0</v>
      </c>
    </row>
    <row r="27" spans="1:32" ht="15" customHeight="1">
      <c r="A27" s="334"/>
      <c r="B27" s="334"/>
      <c r="C27" s="334"/>
      <c r="D27" s="334"/>
      <c r="E27" s="334"/>
      <c r="F27" s="334"/>
      <c r="G27" s="334"/>
      <c r="H27" s="334"/>
      <c r="I27" s="334"/>
      <c r="J27" s="334"/>
      <c r="K27" s="343"/>
      <c r="L27" s="334"/>
      <c r="M27" s="334"/>
      <c r="N27" s="334"/>
      <c r="O27" s="334"/>
      <c r="P27" s="334"/>
      <c r="Q27" s="334"/>
      <c r="R27" s="334"/>
      <c r="S27" s="334"/>
      <c r="AB27" s="348" t="s">
        <v>1243</v>
      </c>
      <c r="AC27" s="349">
        <f>Wat_Weight</f>
        <v>0.04</v>
      </c>
      <c r="AD27" s="349">
        <f t="shared" si="0"/>
        <v>0</v>
      </c>
      <c r="AE27" s="349">
        <f t="shared" si="1"/>
        <v>0</v>
      </c>
      <c r="AF27" s="350">
        <f t="shared" si="2"/>
        <v>0</v>
      </c>
    </row>
    <row r="28" spans="1:32" ht="15" customHeight="1">
      <c r="A28" s="334"/>
      <c r="B28" s="334"/>
      <c r="C28" s="334"/>
      <c r="D28" s="334"/>
      <c r="E28" s="334"/>
      <c r="F28" s="334"/>
      <c r="G28" s="334"/>
      <c r="H28" s="334"/>
      <c r="I28" s="334"/>
      <c r="J28" s="334"/>
      <c r="K28" s="343"/>
      <c r="L28" s="334"/>
      <c r="M28" s="334"/>
      <c r="N28" s="334"/>
      <c r="O28" s="334"/>
      <c r="P28" s="334"/>
      <c r="Q28" s="334"/>
      <c r="R28" s="334"/>
      <c r="S28" s="334"/>
      <c r="AB28" s="348" t="s">
        <v>1244</v>
      </c>
      <c r="AC28" s="349">
        <f>Mat_Weight</f>
        <v>0.17</v>
      </c>
      <c r="AD28" s="349">
        <f t="shared" si="0"/>
        <v>0</v>
      </c>
      <c r="AE28" s="349">
        <f t="shared" si="1"/>
        <v>0</v>
      </c>
      <c r="AF28" s="350">
        <f t="shared" si="2"/>
        <v>0</v>
      </c>
    </row>
    <row r="29" spans="1:32" ht="15" customHeight="1">
      <c r="A29" s="334"/>
      <c r="B29" s="334"/>
      <c r="C29" s="334"/>
      <c r="D29" s="334"/>
      <c r="E29" s="334"/>
      <c r="F29" s="334"/>
      <c r="G29" s="334"/>
      <c r="H29" s="334"/>
      <c r="I29" s="334"/>
      <c r="J29" s="334"/>
      <c r="K29" s="343"/>
      <c r="L29" s="334"/>
      <c r="M29" s="334"/>
      <c r="N29" s="334"/>
      <c r="O29" s="334"/>
      <c r="P29" s="334"/>
      <c r="Q29" s="334"/>
      <c r="R29" s="334"/>
      <c r="S29" s="334"/>
      <c r="AB29" s="348" t="s">
        <v>1245</v>
      </c>
      <c r="AC29" s="349">
        <f>Wst_Weight</f>
        <v>7.0000000000000007E-2</v>
      </c>
      <c r="AD29" s="349">
        <f t="shared" si="0"/>
        <v>0</v>
      </c>
      <c r="AE29" s="349">
        <f t="shared" si="1"/>
        <v>0</v>
      </c>
      <c r="AF29" s="350">
        <f t="shared" si="2"/>
        <v>0</v>
      </c>
    </row>
    <row r="30" spans="1:32" ht="15" customHeight="1">
      <c r="A30" s="334"/>
      <c r="B30" s="334"/>
      <c r="C30" s="334"/>
      <c r="D30" s="334"/>
      <c r="E30" s="334"/>
      <c r="F30" s="334"/>
      <c r="G30" s="334"/>
      <c r="H30" s="334"/>
      <c r="I30" s="334"/>
      <c r="J30" s="334"/>
      <c r="K30" s="343"/>
      <c r="L30" s="334"/>
      <c r="M30" s="334"/>
      <c r="N30" s="334"/>
      <c r="O30" s="334"/>
      <c r="P30" s="334"/>
      <c r="Q30" s="334"/>
      <c r="R30" s="334"/>
      <c r="S30" s="334"/>
      <c r="AB30" s="348" t="s">
        <v>1246</v>
      </c>
      <c r="AC30" s="349">
        <f>LE_Weight</f>
        <v>0.15</v>
      </c>
      <c r="AD30" s="349">
        <f t="shared" si="0"/>
        <v>0</v>
      </c>
      <c r="AE30" s="349">
        <f t="shared" si="1"/>
        <v>0</v>
      </c>
      <c r="AF30" s="350">
        <f t="shared" si="2"/>
        <v>0</v>
      </c>
    </row>
    <row r="31" spans="1:32" ht="15" customHeight="1">
      <c r="A31" s="334"/>
      <c r="B31" s="334"/>
      <c r="C31" s="334"/>
      <c r="D31" s="334"/>
      <c r="E31" s="334"/>
      <c r="F31" s="334"/>
      <c r="G31" s="334"/>
      <c r="H31" s="334"/>
      <c r="I31" s="334"/>
      <c r="J31" s="334"/>
      <c r="K31" s="343"/>
      <c r="L31" s="334"/>
      <c r="M31" s="334"/>
      <c r="N31" s="334"/>
      <c r="O31" s="334"/>
      <c r="P31" s="334"/>
      <c r="Q31" s="334"/>
      <c r="R31" s="334"/>
      <c r="S31" s="334"/>
      <c r="AB31" s="348" t="s">
        <v>1247</v>
      </c>
      <c r="AC31" s="349">
        <f>J44</f>
        <v>0.04</v>
      </c>
      <c r="AD31" s="349">
        <f t="shared" si="0"/>
        <v>0</v>
      </c>
      <c r="AE31" s="349">
        <f t="shared" si="1"/>
        <v>0</v>
      </c>
      <c r="AF31" s="350">
        <f t="shared" si="2"/>
        <v>0</v>
      </c>
    </row>
    <row r="32" spans="1:32" ht="15" customHeight="1" thickBot="1">
      <c r="A32" s="334"/>
      <c r="B32" s="334"/>
      <c r="C32" s="334"/>
      <c r="D32" s="334"/>
      <c r="E32" s="334"/>
      <c r="F32" s="334"/>
      <c r="G32" s="334"/>
      <c r="H32" s="334"/>
      <c r="I32" s="334"/>
      <c r="J32" s="334"/>
      <c r="K32" s="343"/>
      <c r="L32" s="334"/>
      <c r="M32" s="334"/>
      <c r="N32" s="334"/>
      <c r="O32" s="334"/>
      <c r="P32" s="334"/>
      <c r="Q32" s="334"/>
      <c r="R32" s="334"/>
      <c r="S32" s="334"/>
      <c r="AB32" s="351" t="s">
        <v>1248</v>
      </c>
      <c r="AC32" s="352">
        <f>J45</f>
        <v>0.1</v>
      </c>
      <c r="AD32" s="352">
        <f t="shared" si="0"/>
        <v>0</v>
      </c>
      <c r="AE32" s="352">
        <f t="shared" si="1"/>
        <v>0</v>
      </c>
      <c r="AF32" s="353">
        <f t="shared" si="2"/>
        <v>0</v>
      </c>
    </row>
    <row r="33" spans="1:32" ht="15" customHeight="1">
      <c r="A33" s="334"/>
      <c r="B33" s="334"/>
      <c r="C33" s="334"/>
      <c r="D33" s="334"/>
      <c r="E33" s="334"/>
      <c r="F33" s="334"/>
      <c r="G33" s="334"/>
      <c r="H33" s="334"/>
      <c r="I33" s="334"/>
      <c r="J33" s="334"/>
      <c r="K33" s="343"/>
      <c r="L33" s="334"/>
      <c r="M33" s="334"/>
      <c r="N33" s="334"/>
      <c r="O33" s="334"/>
      <c r="P33" s="334"/>
      <c r="Q33" s="334"/>
      <c r="R33" s="334"/>
      <c r="S33" s="334"/>
    </row>
    <row r="34" spans="1:32" ht="15.75">
      <c r="A34" s="334"/>
      <c r="B34" s="937"/>
      <c r="C34" s="343"/>
      <c r="D34" s="1177" t="s">
        <v>217</v>
      </c>
      <c r="E34" s="1178"/>
      <c r="F34" s="1177" t="s">
        <v>1234</v>
      </c>
      <c r="G34" s="1178"/>
      <c r="H34" s="1177" t="s">
        <v>1235</v>
      </c>
      <c r="I34" s="1178"/>
      <c r="J34" s="354" t="s">
        <v>1224</v>
      </c>
      <c r="K34" s="1177" t="s">
        <v>1249</v>
      </c>
      <c r="L34" s="1181"/>
      <c r="M34" s="1178"/>
      <c r="N34" s="343"/>
      <c r="O34" s="343"/>
      <c r="P34" s="343"/>
      <c r="Q34" s="343"/>
    </row>
    <row r="35" spans="1:32" ht="32.25" thickBot="1">
      <c r="A35" s="334"/>
      <c r="B35" s="355" t="s">
        <v>1250</v>
      </c>
      <c r="C35" s="356" t="s">
        <v>1251</v>
      </c>
      <c r="D35" s="357" t="s">
        <v>1252</v>
      </c>
      <c r="E35" s="358" t="s">
        <v>1253</v>
      </c>
      <c r="F35" s="356" t="s">
        <v>1254</v>
      </c>
      <c r="G35" s="356" t="s">
        <v>1255</v>
      </c>
      <c r="H35" s="357" t="s">
        <v>1254</v>
      </c>
      <c r="I35" s="358" t="s">
        <v>1255</v>
      </c>
      <c r="J35" s="359"/>
      <c r="K35" s="357" t="s">
        <v>217</v>
      </c>
      <c r="L35" s="360" t="s">
        <v>1234</v>
      </c>
      <c r="M35" s="1088" t="s">
        <v>1235</v>
      </c>
      <c r="N35" s="343"/>
      <c r="O35" s="343"/>
      <c r="P35" s="343"/>
      <c r="Q35" s="343"/>
    </row>
    <row r="36" spans="1:32" ht="15.75" customHeight="1">
      <c r="A36" s="334"/>
      <c r="B36" s="1000" t="s">
        <v>1256</v>
      </c>
      <c r="C36" s="1032">
        <f>Man_Credits</f>
        <v>21</v>
      </c>
      <c r="D36" s="1033">
        <f>Man_tot_user</f>
        <v>0</v>
      </c>
      <c r="E36" s="1034">
        <f>BP_11/BP_01</f>
        <v>0</v>
      </c>
      <c r="F36" s="1033">
        <f>Man_d_user</f>
        <v>0</v>
      </c>
      <c r="G36" s="1035">
        <f>F36/C36</f>
        <v>0</v>
      </c>
      <c r="H36" s="1033">
        <f>Man_c_user</f>
        <v>0</v>
      </c>
      <c r="I36" s="1034">
        <f>H36/C36</f>
        <v>0</v>
      </c>
      <c r="J36" s="836">
        <f>Poeng!BS343</f>
        <v>0.13</v>
      </c>
      <c r="K36" s="1036">
        <f>BP_22*J36</f>
        <v>0</v>
      </c>
      <c r="L36" s="1037">
        <f>G36*J36</f>
        <v>0</v>
      </c>
      <c r="M36" s="1038">
        <f>I36*J36</f>
        <v>0</v>
      </c>
      <c r="N36" s="343"/>
      <c r="O36" s="343"/>
      <c r="P36" s="343"/>
      <c r="Q36" s="343"/>
      <c r="AA36" s="361" t="s">
        <v>119</v>
      </c>
      <c r="AB36" s="346" t="str">
        <f>Poeng!BQ294</f>
        <v>Navn</v>
      </c>
      <c r="AC36" s="346" t="str">
        <f>AD22</f>
        <v>Innledende målsetning</v>
      </c>
      <c r="AD36" s="346" t="str">
        <f>AE22</f>
        <v>Prosjekteringsfase</v>
      </c>
      <c r="AE36" s="362" t="str">
        <f>AF22</f>
        <v>Ferdigstillelse</v>
      </c>
    </row>
    <row r="37" spans="1:32" ht="16.5" thickBot="1">
      <c r="A37" s="334"/>
      <c r="B37" s="1001" t="s">
        <v>1257</v>
      </c>
      <c r="C37" s="1039">
        <f>Hea_Credits</f>
        <v>19</v>
      </c>
      <c r="D37" s="1040">
        <f>HW_tot_user</f>
        <v>0</v>
      </c>
      <c r="E37" s="1041">
        <f>BP_12/BP_02</f>
        <v>0</v>
      </c>
      <c r="F37" s="1040">
        <f>HW_d_user</f>
        <v>0</v>
      </c>
      <c r="G37" s="1035">
        <f t="shared" ref="G37:G45" si="3">F37/C37</f>
        <v>0</v>
      </c>
      <c r="H37" s="1040">
        <f>HW_c_user</f>
        <v>0</v>
      </c>
      <c r="I37" s="1034">
        <f t="shared" ref="I37:I45" si="4">H37/C37</f>
        <v>0</v>
      </c>
      <c r="J37" s="837">
        <f>Poeng!BS344</f>
        <v>0.16</v>
      </c>
      <c r="K37" s="1042">
        <f>BP_23*J37</f>
        <v>0</v>
      </c>
      <c r="L37" s="1037">
        <f t="shared" ref="L37:L45" si="5">G37*J37</f>
        <v>0</v>
      </c>
      <c r="M37" s="1043">
        <f t="shared" ref="M37:M45" si="6">I37*J37</f>
        <v>0</v>
      </c>
      <c r="N37" s="343"/>
      <c r="O37" s="343"/>
      <c r="P37" s="343"/>
      <c r="Q37" s="343"/>
      <c r="AA37" s="363" t="s">
        <v>123</v>
      </c>
      <c r="AB37" s="364" t="str">
        <f>Poeng!BQ295</f>
        <v>Man 01</v>
      </c>
      <c r="AC37" s="365">
        <f>IF(D$9=$AA$36,Poeng!BR295,"")</f>
        <v>3</v>
      </c>
      <c r="AD37" s="365">
        <f>IF(F$9=$AA$36,Poeng!BS295,"")</f>
        <v>3</v>
      </c>
      <c r="AE37" s="366">
        <f>IF(H$9=$AA$36,Poeng!BT295,"")</f>
        <v>3</v>
      </c>
    </row>
    <row r="38" spans="1:32" s="367" customFormat="1" ht="15.75">
      <c r="A38" s="334"/>
      <c r="B38" s="1001" t="s">
        <v>991</v>
      </c>
      <c r="C38" s="1039">
        <f>Ene_Credits</f>
        <v>22</v>
      </c>
      <c r="D38" s="1040">
        <f>Ene_tot_user</f>
        <v>0</v>
      </c>
      <c r="E38" s="1041">
        <f>BP_13/BP_03</f>
        <v>0</v>
      </c>
      <c r="F38" s="1040">
        <f>Ene_d_user</f>
        <v>0</v>
      </c>
      <c r="G38" s="1035">
        <f t="shared" si="3"/>
        <v>0</v>
      </c>
      <c r="H38" s="1040">
        <f>Ene_c_user</f>
        <v>0</v>
      </c>
      <c r="I38" s="1034">
        <f t="shared" si="4"/>
        <v>0</v>
      </c>
      <c r="J38" s="837">
        <f>Poeng!BS345</f>
        <v>0.14000000000000001</v>
      </c>
      <c r="K38" s="1042">
        <f>BP_24*J38</f>
        <v>0</v>
      </c>
      <c r="L38" s="1037">
        <f t="shared" si="5"/>
        <v>0</v>
      </c>
      <c r="M38" s="1043">
        <f t="shared" si="6"/>
        <v>0</v>
      </c>
      <c r="N38" s="1044"/>
      <c r="O38" s="1044"/>
      <c r="P38" s="1044"/>
      <c r="Q38" s="1044"/>
      <c r="R38" s="1045"/>
      <c r="S38" s="1045"/>
      <c r="T38" s="1045"/>
      <c r="U38" s="1045"/>
      <c r="V38" s="1045"/>
      <c r="W38" s="1045"/>
      <c r="X38" s="1045"/>
      <c r="Y38" s="1045"/>
      <c r="Z38" s="1045"/>
      <c r="AA38" s="335"/>
      <c r="AB38" s="364" t="str">
        <f>Poeng!BQ296</f>
        <v>Man 03</v>
      </c>
      <c r="AC38" s="365">
        <f>IF(D$9=$AA$36,Poeng!BR296,"")</f>
        <v>0</v>
      </c>
      <c r="AD38" s="365">
        <f>IF(F$9=$AA$36,Poeng!BS296,"")</f>
        <v>0</v>
      </c>
      <c r="AE38" s="366">
        <f>IF(H$9=$AA$36,Poeng!BT296,"")</f>
        <v>0</v>
      </c>
      <c r="AF38" s="1045"/>
    </row>
    <row r="39" spans="1:32" s="367" customFormat="1" ht="15.75">
      <c r="A39" s="334"/>
      <c r="B39" s="1001" t="s">
        <v>398</v>
      </c>
      <c r="C39" s="1039">
        <f>Tra_Credits</f>
        <v>13</v>
      </c>
      <c r="D39" s="1070">
        <f>Tra_tot_user</f>
        <v>0</v>
      </c>
      <c r="E39" s="1041">
        <f>BP_14/BP_04</f>
        <v>0</v>
      </c>
      <c r="F39" s="1040">
        <f>Tra_d_user</f>
        <v>0</v>
      </c>
      <c r="G39" s="1035">
        <f t="shared" si="3"/>
        <v>0</v>
      </c>
      <c r="H39" s="1040">
        <f>Tra_c_user</f>
        <v>0</v>
      </c>
      <c r="I39" s="1034">
        <f t="shared" si="4"/>
        <v>0</v>
      </c>
      <c r="J39" s="837">
        <f>Poeng!BS346</f>
        <v>0.1</v>
      </c>
      <c r="K39" s="1042">
        <f>BP_25*J39</f>
        <v>0</v>
      </c>
      <c r="L39" s="1037">
        <f t="shared" si="5"/>
        <v>0</v>
      </c>
      <c r="M39" s="1043">
        <f t="shared" si="6"/>
        <v>0</v>
      </c>
      <c r="N39" s="1044"/>
      <c r="O39" s="1044"/>
      <c r="P39" s="1044"/>
      <c r="Q39" s="1044"/>
      <c r="R39" s="1045"/>
      <c r="S39" s="1045"/>
      <c r="T39" s="1045"/>
      <c r="U39" s="1045"/>
      <c r="V39" s="1045"/>
      <c r="W39" s="1045"/>
      <c r="X39" s="1045"/>
      <c r="Y39" s="1045"/>
      <c r="Z39" s="1045"/>
      <c r="AA39" s="335"/>
      <c r="AB39" s="364" t="str">
        <f>Poeng!BQ297</f>
        <v>Man 04</v>
      </c>
      <c r="AC39" s="365">
        <f>IF(D$9=$AA$36,Poeng!BR297,"")</f>
        <v>0</v>
      </c>
      <c r="AD39" s="365">
        <f>IF(F$9=$AA$36,Poeng!BS297,"")</f>
        <v>0</v>
      </c>
      <c r="AE39" s="366">
        <f>IF(H$9=$AA$36,Poeng!BT297,"")</f>
        <v>0</v>
      </c>
      <c r="AF39" s="1045"/>
    </row>
    <row r="40" spans="1:32" s="367" customFormat="1" ht="15.75">
      <c r="A40" s="334"/>
      <c r="B40" s="1001" t="s">
        <v>1023</v>
      </c>
      <c r="C40" s="1039">
        <f>Wat_Credits</f>
        <v>9</v>
      </c>
      <c r="D40" s="1040">
        <f>Wat_tot_user</f>
        <v>0</v>
      </c>
      <c r="E40" s="1041">
        <f>BP_15/BP_05</f>
        <v>0</v>
      </c>
      <c r="F40" s="1040">
        <f>Wat_d_user</f>
        <v>0</v>
      </c>
      <c r="G40" s="1035">
        <f t="shared" si="3"/>
        <v>0</v>
      </c>
      <c r="H40" s="1040">
        <f>Wat_c_user</f>
        <v>0</v>
      </c>
      <c r="I40" s="1034">
        <f t="shared" si="4"/>
        <v>0</v>
      </c>
      <c r="J40" s="837">
        <f>Poeng!BS347</f>
        <v>0.04</v>
      </c>
      <c r="K40" s="1042">
        <f>BP_26*J40</f>
        <v>0</v>
      </c>
      <c r="L40" s="1037">
        <f t="shared" si="5"/>
        <v>0</v>
      </c>
      <c r="M40" s="1043">
        <f t="shared" si="6"/>
        <v>0</v>
      </c>
      <c r="N40" s="1044"/>
      <c r="O40" s="1044"/>
      <c r="P40" s="1044"/>
      <c r="Q40" s="1044"/>
      <c r="R40" s="1045"/>
      <c r="S40" s="1045"/>
      <c r="T40" s="1045"/>
      <c r="U40" s="1045"/>
      <c r="V40" s="1045"/>
      <c r="W40" s="1045"/>
      <c r="X40" s="1045"/>
      <c r="Y40" s="1045"/>
      <c r="Z40" s="1045"/>
      <c r="AA40" s="335"/>
      <c r="AB40" s="364" t="str">
        <f>Poeng!BQ298</f>
        <v>Man 05</v>
      </c>
      <c r="AC40" s="365">
        <f>IF(D$9=$AA$36,Poeng!BR298,"")</f>
        <v>3</v>
      </c>
      <c r="AD40" s="365">
        <f>IF(F$9=$AA$36,Poeng!BS298,"")</f>
        <v>3</v>
      </c>
      <c r="AE40" s="366">
        <f>IF(H$9=$AA$36,Poeng!BT298,"")</f>
        <v>3</v>
      </c>
      <c r="AF40" s="1045"/>
    </row>
    <row r="41" spans="1:32" s="367" customFormat="1" ht="15.75">
      <c r="A41" s="334"/>
      <c r="B41" s="1001" t="s">
        <v>1034</v>
      </c>
      <c r="C41" s="1039">
        <f>Mat_Credits</f>
        <v>21</v>
      </c>
      <c r="D41" s="1040">
        <f>Mat_tot_user</f>
        <v>0</v>
      </c>
      <c r="E41" s="1041">
        <f>BP_16/BP_06</f>
        <v>0</v>
      </c>
      <c r="F41" s="1040">
        <f>Mat_d_user</f>
        <v>0</v>
      </c>
      <c r="G41" s="1035">
        <f t="shared" si="3"/>
        <v>0</v>
      </c>
      <c r="H41" s="1040">
        <f>Mat_c_user</f>
        <v>0</v>
      </c>
      <c r="I41" s="1034">
        <f t="shared" si="4"/>
        <v>0</v>
      </c>
      <c r="J41" s="837">
        <f>Poeng!BS348</f>
        <v>0.17</v>
      </c>
      <c r="K41" s="1042">
        <f>BP_27*J41</f>
        <v>0</v>
      </c>
      <c r="L41" s="1037">
        <f t="shared" si="5"/>
        <v>0</v>
      </c>
      <c r="M41" s="1043">
        <f t="shared" si="6"/>
        <v>0</v>
      </c>
      <c r="N41" s="1044"/>
      <c r="O41" s="1044"/>
      <c r="P41" s="1044"/>
      <c r="Q41" s="1044"/>
      <c r="R41" s="1045"/>
      <c r="S41" s="1045"/>
      <c r="T41" s="1045"/>
      <c r="U41" s="1045"/>
      <c r="V41" s="1045"/>
      <c r="W41" s="1045"/>
      <c r="X41" s="1045"/>
      <c r="Y41" s="1045"/>
      <c r="Z41" s="1045"/>
      <c r="AA41" s="335"/>
      <c r="AB41" s="364" t="str">
        <f>Poeng!BQ299</f>
        <v>Hea 01</v>
      </c>
      <c r="AC41" s="365">
        <f>IF(D$9=$AA$36,Poeng!BR299,"")</f>
        <v>0</v>
      </c>
      <c r="AD41" s="365">
        <f>IF(F$9=$AA$36,Poeng!BS299,"")</f>
        <v>0</v>
      </c>
      <c r="AE41" s="366">
        <f>IF(H$9=$AA$36,Poeng!BT299,"")</f>
        <v>0</v>
      </c>
      <c r="AF41" s="1045"/>
    </row>
    <row r="42" spans="1:32" ht="15.75">
      <c r="A42" s="334"/>
      <c r="B42" s="1001" t="s">
        <v>1060</v>
      </c>
      <c r="C42" s="1039">
        <f>Wst_Credits</f>
        <v>7</v>
      </c>
      <c r="D42" s="1040">
        <f>Wst_tot_user</f>
        <v>0</v>
      </c>
      <c r="E42" s="1041">
        <f>BP_18/BP_07</f>
        <v>0</v>
      </c>
      <c r="F42" s="1040">
        <f>Wst_d_user</f>
        <v>0</v>
      </c>
      <c r="G42" s="1035">
        <f t="shared" si="3"/>
        <v>0</v>
      </c>
      <c r="H42" s="1040">
        <f>Wst_c_user</f>
        <v>0</v>
      </c>
      <c r="I42" s="1034">
        <f t="shared" si="4"/>
        <v>0</v>
      </c>
      <c r="J42" s="837">
        <f>Poeng!BS349</f>
        <v>7.0000000000000007E-2</v>
      </c>
      <c r="K42" s="1042">
        <f>BP_28*J42</f>
        <v>0</v>
      </c>
      <c r="L42" s="1037">
        <f t="shared" si="5"/>
        <v>0</v>
      </c>
      <c r="M42" s="1043">
        <f t="shared" si="6"/>
        <v>0</v>
      </c>
      <c r="N42" s="343"/>
      <c r="O42" s="343"/>
      <c r="P42" s="343"/>
      <c r="Q42" s="343"/>
      <c r="AB42" s="364" t="str">
        <f>Poeng!BQ300</f>
        <v>Hea 02</v>
      </c>
      <c r="AC42" s="365">
        <f>IF(D$9=$AA$36,Poeng!BR300,"")</f>
        <v>0</v>
      </c>
      <c r="AD42" s="365">
        <f>IF(F$9=$AA$36,Poeng!BS300,"")</f>
        <v>0</v>
      </c>
      <c r="AE42" s="366">
        <f>IF(H$9=$AA$36,Poeng!BT300,"")</f>
        <v>0</v>
      </c>
    </row>
    <row r="43" spans="1:32" ht="15.75">
      <c r="A43" s="334"/>
      <c r="B43" s="1001" t="s">
        <v>1071</v>
      </c>
      <c r="C43" s="1039">
        <f>LE_Credits</f>
        <v>19</v>
      </c>
      <c r="D43" s="1040">
        <f>Lue_tot_user</f>
        <v>0</v>
      </c>
      <c r="E43" s="1041">
        <f>BP_19/BP_08</f>
        <v>0</v>
      </c>
      <c r="F43" s="1040">
        <f>Lue_d_user</f>
        <v>0</v>
      </c>
      <c r="G43" s="1035">
        <f t="shared" si="3"/>
        <v>0</v>
      </c>
      <c r="H43" s="1040">
        <f>Lue_c_user</f>
        <v>0</v>
      </c>
      <c r="I43" s="1034">
        <f t="shared" si="4"/>
        <v>0</v>
      </c>
      <c r="J43" s="837">
        <f>Poeng!BS350</f>
        <v>0.15</v>
      </c>
      <c r="K43" s="1042">
        <f>BP_29*J43</f>
        <v>0</v>
      </c>
      <c r="L43" s="1037">
        <f t="shared" si="5"/>
        <v>0</v>
      </c>
      <c r="M43" s="1043">
        <f t="shared" si="6"/>
        <v>0</v>
      </c>
      <c r="N43" s="343"/>
      <c r="O43" s="343"/>
      <c r="P43" s="343"/>
      <c r="Q43" s="343"/>
      <c r="AB43" s="364" t="str">
        <f>Poeng!BQ301</f>
        <v>Ene 01</v>
      </c>
      <c r="AC43" s="365">
        <f>IF(D$9=$AA$36,Poeng!BR301,"")</f>
        <v>3</v>
      </c>
      <c r="AD43" s="365">
        <f>IF(F$9=$AA$36,Poeng!BS301,"")</f>
        <v>3</v>
      </c>
      <c r="AE43" s="366">
        <f>IF(H$9=$AA$36,Poeng!BT301,"")</f>
        <v>3</v>
      </c>
    </row>
    <row r="44" spans="1:32" ht="15.75" customHeight="1">
      <c r="A44" s="334"/>
      <c r="B44" s="1001" t="s">
        <v>1100</v>
      </c>
      <c r="C44" s="1039">
        <f>Pol_Credits</f>
        <v>7</v>
      </c>
      <c r="D44" s="1040">
        <f>Pol_tot_user</f>
        <v>0</v>
      </c>
      <c r="E44" s="1041">
        <f>BP_20/BP_09</f>
        <v>0</v>
      </c>
      <c r="F44" s="1040">
        <f>Pol_d_user</f>
        <v>0</v>
      </c>
      <c r="G44" s="1035">
        <f t="shared" si="3"/>
        <v>0</v>
      </c>
      <c r="H44" s="1040">
        <f>Pol_c_user</f>
        <v>0</v>
      </c>
      <c r="I44" s="1034">
        <f t="shared" si="4"/>
        <v>0</v>
      </c>
      <c r="J44" s="837">
        <f>Poeng!BS351</f>
        <v>0.04</v>
      </c>
      <c r="K44" s="1042">
        <f>BP_30*J44</f>
        <v>0</v>
      </c>
      <c r="L44" s="1037">
        <f t="shared" si="5"/>
        <v>0</v>
      </c>
      <c r="M44" s="1043">
        <f t="shared" si="6"/>
        <v>0</v>
      </c>
      <c r="N44" s="343"/>
      <c r="O44" s="343"/>
      <c r="P44" s="343"/>
      <c r="Q44" s="343"/>
      <c r="AB44" s="364" t="str">
        <f>IF(AF44=9,"",Poeng!BQ302)</f>
        <v/>
      </c>
      <c r="AC44" s="365" t="str">
        <f>IF(AF44=9,"",IF(D$9=$AA$36,Poeng!BR302,""))</f>
        <v/>
      </c>
      <c r="AD44" s="365" t="str">
        <f>IF(AF44=9,"",IF(F$9=$AA$36,Poeng!BS302,""))</f>
        <v/>
      </c>
      <c r="AE44" s="366" t="str">
        <f>IF(AF44=9,"",IF(H$9=$AA$36,Poeng!BT302,""))</f>
        <v/>
      </c>
      <c r="AF44" s="335">
        <f>Poeng!BR302</f>
        <v>9</v>
      </c>
    </row>
    <row r="45" spans="1:32" ht="15.75">
      <c r="A45" s="334"/>
      <c r="B45" s="1001" t="s">
        <v>916</v>
      </c>
      <c r="C45" s="1039">
        <f>Inn_Credits</f>
        <v>10</v>
      </c>
      <c r="D45" s="1040">
        <f>Inn_tot_user</f>
        <v>0</v>
      </c>
      <c r="E45" s="1041">
        <f>BP_21/BP_10</f>
        <v>0</v>
      </c>
      <c r="F45" s="1040">
        <f>Inn_d_user</f>
        <v>0</v>
      </c>
      <c r="G45" s="1035">
        <f t="shared" si="3"/>
        <v>0</v>
      </c>
      <c r="H45" s="1040">
        <f>Inn_c_user</f>
        <v>0</v>
      </c>
      <c r="I45" s="1034">
        <f t="shared" si="4"/>
        <v>0</v>
      </c>
      <c r="J45" s="837">
        <v>0.1</v>
      </c>
      <c r="K45" s="1042">
        <f>BP_31*J45</f>
        <v>0</v>
      </c>
      <c r="L45" s="1037">
        <f t="shared" si="5"/>
        <v>0</v>
      </c>
      <c r="M45" s="1043">
        <f t="shared" si="6"/>
        <v>0</v>
      </c>
      <c r="N45" s="343"/>
      <c r="O45" s="343"/>
      <c r="P45" s="343"/>
      <c r="Q45" s="343"/>
      <c r="AB45" s="364" t="str">
        <f>Poeng!BQ303</f>
        <v>Tra 01</v>
      </c>
      <c r="AC45" s="365">
        <f>IF(D$9=$AA$36,Poeng!BR303,"")</f>
        <v>3</v>
      </c>
      <c r="AD45" s="365">
        <f>IF(F$9=$AA$36,Poeng!BS303,"")</f>
        <v>3</v>
      </c>
      <c r="AE45" s="366">
        <f>IF(H$9=$AA$36,Poeng!BT303,"")</f>
        <v>3</v>
      </c>
    </row>
    <row r="46" spans="1:32" ht="15.75">
      <c r="A46" s="334"/>
      <c r="B46" s="368" t="s">
        <v>771</v>
      </c>
      <c r="C46" s="1046">
        <f>SUM(C36:C45)</f>
        <v>148</v>
      </c>
      <c r="D46" s="1071">
        <f>SUM(D36:D45)</f>
        <v>0</v>
      </c>
      <c r="E46" s="1048"/>
      <c r="F46" s="1049">
        <f>SUM(F36:F45)</f>
        <v>0</v>
      </c>
      <c r="G46" s="1050"/>
      <c r="H46" s="1047">
        <f>SUM(H36:H45)</f>
        <v>0</v>
      </c>
      <c r="I46" s="1048"/>
      <c r="J46" s="1051">
        <f>SUM(J36:J45)</f>
        <v>1.1000000000000001</v>
      </c>
      <c r="K46" s="1052">
        <f>IF(SUM(K36:K45)&gt;1,1,SUM(K36:K45))</f>
        <v>0</v>
      </c>
      <c r="L46" s="1053">
        <f>IF(SUM(L36:L45)&gt;1,1,SUM(L36:L45))</f>
        <v>0</v>
      </c>
      <c r="M46" s="1054">
        <f>IF(SUM(M36:M45)&gt;1,1,SUM(M36:M45))</f>
        <v>0</v>
      </c>
      <c r="N46" s="343"/>
      <c r="O46" s="1004"/>
      <c r="P46" s="343"/>
      <c r="Q46" s="343"/>
      <c r="AB46" s="364" t="str">
        <f>Poeng!BQ304</f>
        <v>Wat 01</v>
      </c>
      <c r="AC46" s="365">
        <f>IF(D$9=$AA$36,Poeng!BR304,"")</f>
        <v>3</v>
      </c>
      <c r="AD46" s="365">
        <f>IF(F$9=$AA$36,Poeng!BS304,"")</f>
        <v>3</v>
      </c>
      <c r="AE46" s="366">
        <f>IF(H$9=$AA$36,Poeng!BT304,"")</f>
        <v>3</v>
      </c>
    </row>
    <row r="47" spans="1:32" ht="15.75">
      <c r="A47" s="334"/>
      <c r="B47" s="1002" t="s">
        <v>1237</v>
      </c>
      <c r="C47" s="1055"/>
      <c r="D47" s="1055"/>
      <c r="E47" s="1055"/>
      <c r="F47" s="1055"/>
      <c r="G47" s="1055"/>
      <c r="H47" s="1055"/>
      <c r="I47" s="1055"/>
      <c r="J47" s="1056"/>
      <c r="K47" s="1042" t="str">
        <f>D10</f>
        <v>Unclassified</v>
      </c>
      <c r="L47" s="1057" t="str">
        <f>F10</f>
        <v>Unclassified</v>
      </c>
      <c r="M47" s="1048" t="str">
        <f>H10</f>
        <v>Unclassified</v>
      </c>
      <c r="N47" s="343"/>
      <c r="O47" s="343"/>
      <c r="P47" s="343"/>
      <c r="Q47" s="343"/>
      <c r="AB47" s="364" t="str">
        <f>Poeng!BQ305</f>
        <v>Mat 01</v>
      </c>
      <c r="AC47" s="365">
        <f>IF(D$9=$AA$36,Poeng!BR305,"")</f>
        <v>0</v>
      </c>
      <c r="AD47" s="365">
        <f>IF(F$9=$AA$36,Poeng!BS305,"")</f>
        <v>0</v>
      </c>
      <c r="AE47" s="366">
        <f>IF(H$9=$AA$36,Poeng!BT305,"")</f>
        <v>0</v>
      </c>
    </row>
    <row r="48" spans="1:32" ht="15.75">
      <c r="A48" s="938"/>
      <c r="B48" s="1002" t="s">
        <v>225</v>
      </c>
      <c r="C48" s="1055"/>
      <c r="D48" s="1055"/>
      <c r="E48" s="1055"/>
      <c r="F48" s="1055"/>
      <c r="G48" s="1055"/>
      <c r="H48" s="1055"/>
      <c r="I48" s="1055"/>
      <c r="J48" s="1056"/>
      <c r="K48" s="1042" t="str">
        <f>D12</f>
        <v>Unclassified &lt;30%</v>
      </c>
      <c r="L48" s="1057" t="str">
        <f>F12</f>
        <v>Unclassified &lt;30%</v>
      </c>
      <c r="M48" s="1048" t="str">
        <f>H12</f>
        <v>Unclassified &lt;30%</v>
      </c>
      <c r="N48" s="3"/>
      <c r="O48" s="1058"/>
      <c r="P48" s="369"/>
      <c r="Q48" s="369"/>
      <c r="R48" s="369"/>
      <c r="S48" s="369"/>
      <c r="AB48" s="364" t="str">
        <f>Poeng!BQ306</f>
        <v>Mat 02</v>
      </c>
      <c r="AC48" s="365">
        <f>IF(D$9=$AA$36,Poeng!BR306,"")</f>
        <v>0</v>
      </c>
      <c r="AD48" s="365">
        <f>IF(F$9=$AA$36,Poeng!BS306,"")</f>
        <v>0</v>
      </c>
      <c r="AE48" s="366">
        <f>IF(H$9=$AA$36,Poeng!BT306,"")</f>
        <v>0</v>
      </c>
    </row>
    <row r="49" spans="1:48" s="370" customFormat="1" ht="15.75">
      <c r="A49" s="328"/>
      <c r="B49" s="1002" t="str">
        <f>C13</f>
        <v>Krav i EUs taksonomi</v>
      </c>
      <c r="C49" s="1055"/>
      <c r="D49" s="1055"/>
      <c r="E49" s="1055"/>
      <c r="F49" s="1055"/>
      <c r="G49" s="1055"/>
      <c r="H49" s="1055"/>
      <c r="I49" s="1055"/>
      <c r="J49" s="1056"/>
      <c r="K49" s="1042" t="str">
        <f>D13</f>
        <v>No</v>
      </c>
      <c r="L49" s="1057" t="str">
        <f>F13</f>
        <v>No</v>
      </c>
      <c r="M49" s="1048" t="str">
        <f>H13</f>
        <v>No</v>
      </c>
      <c r="N49" s="328"/>
      <c r="O49" s="371"/>
      <c r="P49" s="371"/>
      <c r="Q49" s="371"/>
      <c r="R49" s="371"/>
      <c r="S49" s="371"/>
      <c r="T49" s="371"/>
      <c r="U49" s="371"/>
      <c r="V49" s="328"/>
      <c r="W49" s="328"/>
      <c r="X49" s="328"/>
      <c r="Y49" s="328"/>
      <c r="Z49" s="328"/>
      <c r="AA49" s="335"/>
      <c r="AB49" s="364" t="str">
        <f>Poeng!BQ307</f>
        <v>Mat 03</v>
      </c>
      <c r="AC49" s="365">
        <f>IF(D$9=$AA$36,Poeng!BR307,"")</f>
        <v>0</v>
      </c>
      <c r="AD49" s="365">
        <f>IF(F$9=$AA$36,Poeng!BS307,"")</f>
        <v>0</v>
      </c>
      <c r="AE49" s="366">
        <f>IF(H$9=$AA$36,Poeng!BT307,"")</f>
        <v>0</v>
      </c>
      <c r="AF49" s="335"/>
      <c r="AG49" s="335"/>
    </row>
    <row r="50" spans="1:48" s="370" customFormat="1">
      <c r="A50" s="328"/>
      <c r="B50" s="334"/>
      <c r="C50" s="334"/>
      <c r="D50" s="334"/>
      <c r="E50" s="334"/>
      <c r="F50" s="334"/>
      <c r="G50" s="334"/>
      <c r="H50" s="334"/>
      <c r="I50" s="334"/>
      <c r="J50" s="334"/>
      <c r="K50" s="334"/>
      <c r="L50" s="334"/>
      <c r="M50" s="334"/>
      <c r="N50" s="328"/>
      <c r="O50" s="328"/>
      <c r="P50" s="328"/>
      <c r="Q50" s="328"/>
      <c r="R50" s="328"/>
      <c r="S50" s="328"/>
      <c r="T50" s="328"/>
      <c r="U50" s="328"/>
      <c r="V50" s="328"/>
      <c r="W50" s="328"/>
      <c r="X50" s="328"/>
      <c r="Y50" s="328"/>
      <c r="Z50" s="328"/>
      <c r="AA50" s="335"/>
      <c r="AB50" s="364" t="str">
        <f>Poeng!BQ308</f>
        <v>Mat 05</v>
      </c>
      <c r="AC50" s="365">
        <f>IF(D$9=$AA$36,Poeng!BR308,"")</f>
        <v>3</v>
      </c>
      <c r="AD50" s="365">
        <f>IF(F$9=$AA$36,Poeng!BS308,"")</f>
        <v>3</v>
      </c>
      <c r="AE50" s="366">
        <f>IF(H$9=$AA$36,Poeng!BT308,"")</f>
        <v>3</v>
      </c>
      <c r="AF50" s="335"/>
      <c r="AG50" s="335"/>
    </row>
    <row r="51" spans="1:48" s="334" customFormat="1">
      <c r="AA51" s="335"/>
      <c r="AB51" s="364" t="str">
        <f>Poeng!BQ309</f>
        <v>Mat 06</v>
      </c>
      <c r="AC51" s="365">
        <f>IF(D$9=$AA$36,Poeng!BR309,"")</f>
        <v>0</v>
      </c>
      <c r="AD51" s="365">
        <f>IF(F$9=$AA$36,Poeng!BS309,"")</f>
        <v>0</v>
      </c>
      <c r="AE51" s="366">
        <f>IF(H$9=$AA$36,Poeng!BT309,"")</f>
        <v>0</v>
      </c>
      <c r="AF51" s="328"/>
      <c r="AG51" s="328"/>
    </row>
    <row r="52" spans="1:48" s="334" customFormat="1" ht="32.25">
      <c r="A52" s="14"/>
      <c r="B52" s="380" t="s">
        <v>227</v>
      </c>
      <c r="C52" s="1023"/>
      <c r="D52" s="1024"/>
      <c r="E52" s="1024"/>
      <c r="F52" s="1024"/>
      <c r="G52" s="1024"/>
      <c r="H52" s="1024"/>
      <c r="I52" s="1024"/>
      <c r="J52" s="357" t="s">
        <v>1258</v>
      </c>
      <c r="K52" s="357" t="s">
        <v>217</v>
      </c>
      <c r="L52" s="360" t="s">
        <v>1234</v>
      </c>
      <c r="M52" s="360" t="s">
        <v>1235</v>
      </c>
      <c r="N52" s="1089"/>
      <c r="O52" s="1019"/>
      <c r="AA52" s="373"/>
      <c r="AB52" s="364" t="str">
        <f>Poeng!BQ310</f>
        <v>Mat 07</v>
      </c>
      <c r="AC52" s="365">
        <f>IF(D$9=$AA$36,Poeng!BR310,"")</f>
        <v>3</v>
      </c>
      <c r="AD52" s="365">
        <f>IF(F$9=$AA$36,Poeng!BS310,"")</f>
        <v>3</v>
      </c>
      <c r="AE52" s="366">
        <f>IF(H$9=$AA$36,Poeng!BT310,"")</f>
        <v>3</v>
      </c>
      <c r="AF52" s="328"/>
      <c r="AG52" s="328"/>
    </row>
    <row r="53" spans="1:48" s="334" customFormat="1">
      <c r="A53" s="50"/>
      <c r="B53" s="880" t="s">
        <v>1256</v>
      </c>
      <c r="AB53" s="364" t="str">
        <f>Poeng!BQ311</f>
        <v>Wst 01</v>
      </c>
      <c r="AC53" s="365">
        <f>IF(D$9=$AA$36,Poeng!BR311,"")</f>
        <v>2</v>
      </c>
      <c r="AD53" s="365">
        <f>IF(F$9=$AA$36,Poeng!BS311,"")</f>
        <v>2</v>
      </c>
      <c r="AE53" s="366">
        <f>IF(H$9=$AA$36,Poeng!BT311,"")</f>
        <v>2</v>
      </c>
    </row>
    <row r="54" spans="1:48" s="334" customFormat="1">
      <c r="A54" s="331" t="s">
        <v>251</v>
      </c>
      <c r="B54" s="939" t="s">
        <v>248</v>
      </c>
      <c r="C54" s="940" t="s">
        <v>1259</v>
      </c>
      <c r="D54" s="941"/>
      <c r="E54" s="941"/>
      <c r="F54" s="941"/>
      <c r="G54" s="941"/>
      <c r="H54" s="941"/>
      <c r="I54" s="941"/>
      <c r="J54" s="942">
        <f t="shared" ref="J54:M56" si="7">AR54</f>
        <v>1</v>
      </c>
      <c r="K54" s="943">
        <f t="shared" si="7"/>
        <v>0</v>
      </c>
      <c r="L54" s="943">
        <f t="shared" si="7"/>
        <v>0</v>
      </c>
      <c r="M54" s="943">
        <f t="shared" si="7"/>
        <v>0</v>
      </c>
      <c r="T54" s="334" t="str">
        <f>IFERROR(AO54,"")</f>
        <v>Samlet klimagassregnskap for byggets levetid (EU taksonomi: krit. 2-3)</v>
      </c>
      <c r="AB54" s="364" t="str">
        <f>Poeng!BQ312</f>
        <v>Wst 03</v>
      </c>
      <c r="AC54" s="365">
        <f>IF(D$9=$AA$36,Poeng!BR312,"")</f>
        <v>3</v>
      </c>
      <c r="AD54" s="365">
        <f>IF(F$9=$AA$36,Poeng!BS312,"")</f>
        <v>3</v>
      </c>
      <c r="AE54" s="366">
        <f>IF(H$9=$AA$36,Poeng!BT312,"")</f>
        <v>3</v>
      </c>
      <c r="AO54" s="334" t="str">
        <f>Poeng!E12</f>
        <v>Samlet klimagassregnskap for byggets levetid (EU taksonomi: krit. 2-3)</v>
      </c>
      <c r="AP54" s="334" t="b">
        <f>A54=AQ54</f>
        <v>1</v>
      </c>
      <c r="AQ54" s="334" t="str">
        <f>Poeng!B12</f>
        <v>Man 01b</v>
      </c>
      <c r="AR54" s="334">
        <f>Poeng!BQ12</f>
        <v>1</v>
      </c>
      <c r="AS54" s="334">
        <f>Poeng!AI12</f>
        <v>0</v>
      </c>
      <c r="AT54" s="334">
        <f>Poeng!AJ12</f>
        <v>0</v>
      </c>
      <c r="AU54" s="334">
        <f>Poeng!AK12</f>
        <v>0</v>
      </c>
      <c r="AV54" s="334" t="str">
        <f>A54</f>
        <v>Man 01b</v>
      </c>
    </row>
    <row r="55" spans="1:48">
      <c r="A55" s="331" t="s">
        <v>269</v>
      </c>
      <c r="B55" s="944" t="s">
        <v>183</v>
      </c>
      <c r="C55" s="940" t="s">
        <v>1260</v>
      </c>
      <c r="D55" s="941"/>
      <c r="E55" s="941"/>
      <c r="F55" s="941"/>
      <c r="G55" s="941"/>
      <c r="H55" s="941"/>
      <c r="I55" s="941"/>
      <c r="J55" s="942">
        <f t="shared" si="7"/>
        <v>1</v>
      </c>
      <c r="K55" s="943">
        <f t="shared" si="7"/>
        <v>0</v>
      </c>
      <c r="L55" s="943">
        <f t="shared" si="7"/>
        <v>0</v>
      </c>
      <c r="M55" s="943">
        <f t="shared" si="7"/>
        <v>0</v>
      </c>
      <c r="N55" s="343"/>
      <c r="O55" s="343"/>
      <c r="P55" s="343"/>
      <c r="Q55" s="343"/>
      <c r="S55" s="334"/>
      <c r="T55" s="334" t="str">
        <f t="shared" ref="T55:T81" si="8">IFERROR(AO55,"")</f>
        <v>Ansvarlig byggeledelse: rent tørt bygg og sjekkliste A1 (EU taksonomi: krit. 5-6)</v>
      </c>
      <c r="AB55" s="364" t="str">
        <f>Poeng!BQ313</f>
        <v>LE 01</v>
      </c>
      <c r="AC55" s="365">
        <f>IF(D$9=$AA$36,Poeng!BR313,"")</f>
        <v>3</v>
      </c>
      <c r="AD55" s="365">
        <f>IF(F$9=$AA$36,Poeng!BS313,"")</f>
        <v>3</v>
      </c>
      <c r="AE55" s="366">
        <f>IF(H$9=$AA$36,Poeng!BT313,"")</f>
        <v>3</v>
      </c>
      <c r="AF55" s="334"/>
      <c r="AG55" s="334"/>
      <c r="AO55" s="334" t="str">
        <f>Poeng!E22</f>
        <v>Ansvarlig byggeledelse: rent tørt bygg og sjekkliste A1 (EU taksonomi: krit. 5-6)</v>
      </c>
      <c r="AP55" s="334" t="b">
        <f>A55=AQ55</f>
        <v>1</v>
      </c>
      <c r="AQ55" s="334" t="str">
        <f>Poeng!B22</f>
        <v>Man 03c</v>
      </c>
      <c r="AR55" s="334">
        <f>Poeng!BQ22</f>
        <v>1</v>
      </c>
      <c r="AS55" s="334">
        <f>Poeng!AI22</f>
        <v>0</v>
      </c>
      <c r="AT55" s="334">
        <f>Poeng!AJ22</f>
        <v>0</v>
      </c>
      <c r="AU55" s="334">
        <f>Poeng!AK22</f>
        <v>0</v>
      </c>
      <c r="AV55" s="334" t="str">
        <f t="shared" ref="AV55:AV81" si="9">A55</f>
        <v>Man 03c</v>
      </c>
    </row>
    <row r="56" spans="1:48">
      <c r="A56" s="331" t="s">
        <v>270</v>
      </c>
      <c r="B56" s="944" t="s">
        <v>183</v>
      </c>
      <c r="C56" s="940" t="s">
        <v>1261</v>
      </c>
      <c r="D56" s="941"/>
      <c r="E56" s="941"/>
      <c r="F56" s="941"/>
      <c r="G56" s="941"/>
      <c r="H56" s="941"/>
      <c r="I56" s="941"/>
      <c r="J56" s="942">
        <f t="shared" si="7"/>
        <v>1</v>
      </c>
      <c r="K56" s="943">
        <f t="shared" si="7"/>
        <v>0</v>
      </c>
      <c r="L56" s="943">
        <f t="shared" si="7"/>
        <v>0</v>
      </c>
      <c r="M56" s="943">
        <f t="shared" si="7"/>
        <v>0</v>
      </c>
      <c r="N56" s="343"/>
      <c r="O56" s="343"/>
      <c r="P56" s="343"/>
      <c r="Q56" s="343"/>
      <c r="S56" s="334"/>
      <c r="T56" s="334" t="str">
        <f t="shared" si="8"/>
        <v>Ansvarlig byggeledelse: INSTA 800 og sjekkliste A1 (EU taksonomi: krit. 7-9)</v>
      </c>
      <c r="AB56" s="364" t="str">
        <f>Poeng!BQ314</f>
        <v>LE 02</v>
      </c>
      <c r="AC56" s="365">
        <f>IF(D$9=$AA$36,Poeng!BR314,"")</f>
        <v>2</v>
      </c>
      <c r="AD56" s="365">
        <f>IF(F$9=$AA$36,Poeng!BS314,"")</f>
        <v>2</v>
      </c>
      <c r="AE56" s="366">
        <f>IF(H$9=$AA$36,Poeng!BT314,"")</f>
        <v>2</v>
      </c>
      <c r="AF56" s="334"/>
      <c r="AG56" s="334"/>
      <c r="AO56" s="334" t="str">
        <f>Poeng!E23</f>
        <v>Ansvarlig byggeledelse: INSTA 800 og sjekkliste A1 (EU taksonomi: krit. 7-9)</v>
      </c>
      <c r="AP56" s="334" t="b">
        <f>A56=AQ56</f>
        <v>1</v>
      </c>
      <c r="AQ56" s="334" t="str">
        <f>Poeng!B23</f>
        <v>Man 03d</v>
      </c>
      <c r="AR56" s="334">
        <f>Poeng!BQ23</f>
        <v>1</v>
      </c>
      <c r="AS56" s="334">
        <f>Poeng!AI23</f>
        <v>0</v>
      </c>
      <c r="AT56" s="334">
        <f>Poeng!AJ23</f>
        <v>0</v>
      </c>
      <c r="AU56" s="334">
        <f>Poeng!AK23</f>
        <v>0</v>
      </c>
      <c r="AV56" s="334" t="str">
        <f t="shared" si="9"/>
        <v>Man 03d</v>
      </c>
    </row>
    <row r="57" spans="1:48">
      <c r="A57" s="331"/>
      <c r="B57" s="343"/>
      <c r="C57" s="343" t="s">
        <v>1262</v>
      </c>
      <c r="D57" s="343"/>
      <c r="E57" s="343"/>
      <c r="F57" s="343"/>
      <c r="G57" s="343"/>
      <c r="H57" s="343"/>
      <c r="I57" s="343"/>
      <c r="J57" s="945"/>
      <c r="K57" s="343"/>
      <c r="L57" s="343"/>
      <c r="M57" s="343"/>
      <c r="N57" s="343"/>
      <c r="O57" s="343"/>
      <c r="P57" s="343"/>
      <c r="Q57" s="343"/>
      <c r="S57" s="334"/>
      <c r="T57" s="334"/>
      <c r="AB57" s="364" t="str">
        <f>Poeng!BQ315</f>
        <v>LE 04</v>
      </c>
      <c r="AC57" s="365">
        <f>IF(D$9=$AA$36,Poeng!BR315,"")</f>
        <v>4</v>
      </c>
      <c r="AD57" s="365">
        <f>IF(F$9=$AA$36,Poeng!BS315,"")</f>
        <v>4</v>
      </c>
      <c r="AE57" s="366">
        <f>IF(H$9=$AA$36,Poeng!BT315,"")</f>
        <v>4</v>
      </c>
      <c r="AO57" s="334"/>
      <c r="AQ57" s="334"/>
      <c r="AR57" s="334"/>
      <c r="AS57" s="334"/>
      <c r="AT57" s="334"/>
      <c r="AU57" s="334"/>
      <c r="AV57" s="334"/>
    </row>
    <row r="58" spans="1:48">
      <c r="A58" s="331"/>
      <c r="B58" s="880" t="s">
        <v>1257</v>
      </c>
      <c r="C58" s="334" t="s">
        <v>1262</v>
      </c>
      <c r="D58" s="343"/>
      <c r="E58" s="343"/>
      <c r="F58" s="343"/>
      <c r="G58" s="343"/>
      <c r="H58" s="343"/>
      <c r="I58" s="343"/>
      <c r="J58" s="945"/>
      <c r="K58" s="343"/>
      <c r="L58" s="343"/>
      <c r="M58" s="343"/>
      <c r="N58" s="343"/>
      <c r="O58" s="343"/>
      <c r="P58" s="343"/>
      <c r="Q58" s="343"/>
      <c r="S58" s="334"/>
      <c r="T58" s="334"/>
      <c r="AB58" s="364" t="str">
        <f>Poeng!BQ316</f>
        <v>LE 06</v>
      </c>
      <c r="AC58" s="365">
        <f>IF(D$9=$AA$36,Poeng!BR316,"")</f>
        <v>3</v>
      </c>
      <c r="AD58" s="365">
        <f>IF(F$9=$AA$36,Poeng!BS316,"")</f>
        <v>3</v>
      </c>
      <c r="AE58" s="366">
        <f>IF(H$9=$AA$36,Poeng!BT316,"")</f>
        <v>3</v>
      </c>
      <c r="AO58" s="334"/>
      <c r="AQ58" s="334"/>
      <c r="AR58" s="334"/>
      <c r="AS58" s="334"/>
      <c r="AT58" s="334"/>
      <c r="AU58" s="334"/>
      <c r="AV58" s="334"/>
    </row>
    <row r="59" spans="1:48">
      <c r="A59" s="331" t="s">
        <v>321</v>
      </c>
      <c r="B59" s="939" t="s">
        <v>182</v>
      </c>
      <c r="C59" s="940" t="s">
        <v>1263</v>
      </c>
      <c r="D59" s="941"/>
      <c r="E59" s="941"/>
      <c r="F59" s="941"/>
      <c r="G59" s="941"/>
      <c r="H59" s="941"/>
      <c r="I59" s="941"/>
      <c r="J59" s="942">
        <f>AR59</f>
        <v>2</v>
      </c>
      <c r="K59" s="943">
        <f>AS59</f>
        <v>0</v>
      </c>
      <c r="L59" s="943">
        <f>AT59</f>
        <v>0</v>
      </c>
      <c r="M59" s="943">
        <f>AU59</f>
        <v>0</v>
      </c>
      <c r="N59" s="343"/>
      <c r="O59" s="343"/>
      <c r="P59" s="343"/>
      <c r="Q59" s="343"/>
      <c r="S59" s="334"/>
      <c r="T59" s="334" t="str">
        <f t="shared" si="8"/>
        <v>Emisjoner fra bygningsprodukter (EU taksonomi: krit. 5)</v>
      </c>
      <c r="AO59" s="334" t="str">
        <f>Poeng!E49</f>
        <v>Emisjoner fra bygningsprodukter (EU taksonomi: krit. 5)</v>
      </c>
      <c r="AP59" s="334" t="b">
        <f>A59=AQ59</f>
        <v>1</v>
      </c>
      <c r="AQ59" s="334" t="str">
        <f>Poeng!B49</f>
        <v>Hea 02c</v>
      </c>
      <c r="AR59" s="334">
        <f>Poeng!BQ49</f>
        <v>2</v>
      </c>
      <c r="AS59" s="334">
        <f>Poeng!AI49</f>
        <v>0</v>
      </c>
      <c r="AT59" s="334">
        <f>Poeng!AJ49</f>
        <v>0</v>
      </c>
      <c r="AU59" s="334">
        <f>Poeng!AK49</f>
        <v>0</v>
      </c>
      <c r="AV59" s="334" t="str">
        <f t="shared" si="9"/>
        <v>Hea 02c</v>
      </c>
    </row>
    <row r="60" spans="1:48">
      <c r="A60" s="331"/>
      <c r="B60" s="334"/>
      <c r="C60" s="334" t="s">
        <v>1262</v>
      </c>
      <c r="D60" s="343"/>
      <c r="E60" s="343"/>
      <c r="F60" s="343"/>
      <c r="G60" s="343"/>
      <c r="H60" s="343"/>
      <c r="I60" s="343"/>
      <c r="J60" s="945"/>
      <c r="K60" s="343"/>
      <c r="L60" s="343"/>
      <c r="M60" s="343"/>
      <c r="N60" s="343"/>
      <c r="O60" s="343"/>
      <c r="P60" s="343"/>
      <c r="Q60" s="343"/>
      <c r="S60" s="334"/>
      <c r="T60" s="334"/>
      <c r="AO60" s="334"/>
      <c r="AQ60" s="334"/>
      <c r="AR60" s="334"/>
      <c r="AS60" s="334"/>
      <c r="AT60" s="334"/>
      <c r="AU60" s="334"/>
      <c r="AV60" s="334"/>
    </row>
    <row r="61" spans="1:48">
      <c r="A61" s="331"/>
      <c r="B61" s="880" t="s">
        <v>991</v>
      </c>
      <c r="C61" s="334" t="s">
        <v>1262</v>
      </c>
      <c r="D61" s="343"/>
      <c r="E61" s="343"/>
      <c r="F61" s="343"/>
      <c r="G61" s="343"/>
      <c r="H61" s="343"/>
      <c r="I61" s="343"/>
      <c r="J61" s="945"/>
      <c r="K61" s="343"/>
      <c r="L61" s="343"/>
      <c r="M61" s="343"/>
      <c r="N61" s="343"/>
      <c r="O61" s="343"/>
      <c r="P61" s="343"/>
      <c r="Q61" s="343"/>
      <c r="S61" s="334"/>
      <c r="T61" s="334"/>
      <c r="AB61" s="335" t="s">
        <v>1264</v>
      </c>
      <c r="AC61" s="335">
        <v>5</v>
      </c>
      <c r="AO61" s="334"/>
      <c r="AQ61" s="334"/>
      <c r="AR61" s="334"/>
      <c r="AS61" s="334"/>
      <c r="AT61" s="334"/>
      <c r="AU61" s="334"/>
      <c r="AV61" s="334"/>
    </row>
    <row r="62" spans="1:48">
      <c r="A62" s="331" t="s">
        <v>358</v>
      </c>
      <c r="B62" s="939" t="s">
        <v>352</v>
      </c>
      <c r="C62" s="940" t="s">
        <v>1265</v>
      </c>
      <c r="D62" s="941"/>
      <c r="E62" s="941"/>
      <c r="F62" s="941"/>
      <c r="G62" s="941"/>
      <c r="H62" s="941"/>
      <c r="I62" s="941"/>
      <c r="J62" s="942" t="str">
        <f t="shared" ref="J62:M63" si="10">AR62</f>
        <v>Yes</v>
      </c>
      <c r="K62" s="943">
        <f t="shared" si="10"/>
        <v>0</v>
      </c>
      <c r="L62" s="943">
        <f t="shared" si="10"/>
        <v>0</v>
      </c>
      <c r="M62" s="943">
        <f t="shared" si="10"/>
        <v>0</v>
      </c>
      <c r="N62" s="343"/>
      <c r="O62" s="343"/>
      <c r="P62" s="343"/>
      <c r="Q62" s="343"/>
      <c r="S62" s="334"/>
      <c r="T62" s="334" t="str">
        <f t="shared" si="8"/>
        <v>EU taksonomi: krit. 9 og 10 - Energiytelse</v>
      </c>
      <c r="AB62" s="335" t="s">
        <v>1266</v>
      </c>
      <c r="AO62" s="334" t="str">
        <f>Poeng!E253</f>
        <v>EU taksonomi: krit. 9 og 10 - Energiytelse</v>
      </c>
      <c r="AP62" s="334" t="b">
        <f>A62=AQ62</f>
        <v>1</v>
      </c>
      <c r="AQ62" s="334" t="str">
        <f>Poeng!B253</f>
        <v>Ene 01Tx</v>
      </c>
      <c r="AR62" s="334" t="str">
        <f>Poeng!BQ253</f>
        <v>Yes</v>
      </c>
      <c r="AS62" s="334">
        <f>Poeng!AI253</f>
        <v>0</v>
      </c>
      <c r="AT62" s="334">
        <f>Poeng!AJ253</f>
        <v>0</v>
      </c>
      <c r="AU62" s="334">
        <f>Poeng!AK253</f>
        <v>0</v>
      </c>
      <c r="AV62" s="334" t="str">
        <f t="shared" si="9"/>
        <v>Ene 01Tx</v>
      </c>
    </row>
    <row r="63" spans="1:48">
      <c r="A63" s="331" t="s">
        <v>360</v>
      </c>
      <c r="B63" s="939" t="s">
        <v>352</v>
      </c>
      <c r="C63" s="940" t="s">
        <v>1267</v>
      </c>
      <c r="D63" s="941"/>
      <c r="E63" s="941"/>
      <c r="F63" s="941"/>
      <c r="G63" s="941"/>
      <c r="H63" s="941"/>
      <c r="I63" s="941"/>
      <c r="J63" s="942">
        <f t="shared" si="10"/>
        <v>1</v>
      </c>
      <c r="K63" s="943">
        <f t="shared" si="10"/>
        <v>0</v>
      </c>
      <c r="L63" s="943">
        <f t="shared" si="10"/>
        <v>0</v>
      </c>
      <c r="M63" s="943">
        <f t="shared" si="10"/>
        <v>0</v>
      </c>
      <c r="N63" s="343"/>
      <c r="O63" s="343"/>
      <c r="P63" s="938"/>
      <c r="Q63" s="343"/>
      <c r="S63" s="334"/>
      <c r="T63" s="334" t="str">
        <f t="shared" si="8"/>
        <v>Tilpasning til EUs taksonomi (EU taksonomi: krit. 12)</v>
      </c>
      <c r="AO63" s="334" t="str">
        <f>Poeng!E73</f>
        <v>Tilpasning til EUs taksonomi (EU taksonomi: krit. 12)</v>
      </c>
      <c r="AP63" s="334" t="b">
        <f>A63=AQ63</f>
        <v>1</v>
      </c>
      <c r="AQ63" s="334" t="str">
        <f>Poeng!B73</f>
        <v>Ene 01d</v>
      </c>
      <c r="AR63" s="334">
        <f>Poeng!BQ73</f>
        <v>1</v>
      </c>
      <c r="AS63" s="334">
        <f>Poeng!AI73</f>
        <v>0</v>
      </c>
      <c r="AT63" s="334">
        <f>Poeng!AJ73</f>
        <v>0</v>
      </c>
      <c r="AU63" s="334">
        <f>Poeng!AK73</f>
        <v>0</v>
      </c>
      <c r="AV63" s="334" t="str">
        <f t="shared" si="9"/>
        <v>Ene 01d</v>
      </c>
    </row>
    <row r="64" spans="1:48">
      <c r="A64" s="331"/>
      <c r="B64" s="334"/>
      <c r="C64" s="334" t="s">
        <v>1262</v>
      </c>
      <c r="D64" s="343"/>
      <c r="E64" s="343"/>
      <c r="F64" s="343"/>
      <c r="G64" s="343"/>
      <c r="H64" s="343"/>
      <c r="I64" s="343"/>
      <c r="J64" s="945"/>
      <c r="K64" s="343"/>
      <c r="L64" s="343"/>
      <c r="M64" s="343"/>
      <c r="N64" s="343"/>
      <c r="O64" s="343"/>
      <c r="P64" s="343"/>
      <c r="Q64" s="343"/>
      <c r="S64" s="334"/>
      <c r="T64" s="334"/>
      <c r="AO64" s="334"/>
      <c r="AQ64" s="334"/>
      <c r="AR64" s="334"/>
      <c r="AS64" s="334"/>
      <c r="AT64" s="334"/>
      <c r="AU64" s="334"/>
      <c r="AV64" s="334"/>
    </row>
    <row r="65" spans="1:48">
      <c r="A65" s="331"/>
      <c r="B65" s="880" t="s">
        <v>1023</v>
      </c>
      <c r="C65" s="334" t="s">
        <v>1262</v>
      </c>
      <c r="D65" s="343"/>
      <c r="E65" s="343"/>
      <c r="F65" s="343"/>
      <c r="G65" s="343"/>
      <c r="H65" s="343"/>
      <c r="I65" s="343"/>
      <c r="J65" s="945"/>
      <c r="K65" s="343"/>
      <c r="L65" s="343"/>
      <c r="M65" s="343"/>
      <c r="N65" s="343"/>
      <c r="O65" s="343"/>
      <c r="P65" s="343"/>
      <c r="Q65" s="343"/>
      <c r="S65" s="334"/>
      <c r="T65" s="334"/>
      <c r="AO65" s="334"/>
      <c r="AQ65" s="334"/>
      <c r="AR65" s="334"/>
      <c r="AS65" s="334"/>
      <c r="AT65" s="334"/>
      <c r="AU65" s="334"/>
      <c r="AV65" s="334"/>
    </row>
    <row r="66" spans="1:48">
      <c r="A66" s="331" t="s">
        <v>418</v>
      </c>
      <c r="B66" s="939" t="s">
        <v>414</v>
      </c>
      <c r="C66" s="940" t="s">
        <v>1268</v>
      </c>
      <c r="D66" s="941"/>
      <c r="E66" s="941"/>
      <c r="F66" s="941"/>
      <c r="G66" s="941"/>
      <c r="H66" s="941"/>
      <c r="I66" s="941"/>
      <c r="J66" s="942" t="str">
        <f>AR66</f>
        <v>Yes</v>
      </c>
      <c r="K66" s="943">
        <f>AS66</f>
        <v>0</v>
      </c>
      <c r="L66" s="943">
        <f>AT66</f>
        <v>0</v>
      </c>
      <c r="M66" s="943">
        <f>AU66</f>
        <v>0</v>
      </c>
      <c r="N66" s="343"/>
      <c r="O66" s="343"/>
      <c r="P66" s="343"/>
      <c r="Q66" s="343"/>
      <c r="S66" s="334"/>
      <c r="T66" s="334" t="str">
        <f t="shared" si="8"/>
        <v>EU taksonomi: krit. 2</v>
      </c>
      <c r="AO66" s="334" t="str">
        <f>Poeng!E254</f>
        <v>EU taksonomi: krit. 2</v>
      </c>
      <c r="AP66" s="334" t="b">
        <f>A66=AQ66</f>
        <v>1</v>
      </c>
      <c r="AQ66" s="334" t="str">
        <f>Poeng!B254</f>
        <v>Wat 01Tx</v>
      </c>
      <c r="AR66" s="334" t="str">
        <f>Poeng!BQ254</f>
        <v>Yes</v>
      </c>
      <c r="AS66" s="334">
        <f>Poeng!AI254</f>
        <v>0</v>
      </c>
      <c r="AT66" s="334">
        <f>Poeng!AJ254</f>
        <v>0</v>
      </c>
      <c r="AU66" s="334">
        <f>Poeng!AK254</f>
        <v>0</v>
      </c>
      <c r="AV66" s="334" t="str">
        <f t="shared" si="9"/>
        <v>Wat 01Tx</v>
      </c>
    </row>
    <row r="67" spans="1:48">
      <c r="A67" s="331"/>
      <c r="B67" s="334"/>
      <c r="C67" s="334" t="s">
        <v>1262</v>
      </c>
      <c r="D67" s="343"/>
      <c r="E67" s="343"/>
      <c r="F67" s="343"/>
      <c r="G67" s="343"/>
      <c r="H67" s="343"/>
      <c r="I67" s="343"/>
      <c r="J67" s="945"/>
      <c r="K67" s="343"/>
      <c r="L67" s="343"/>
      <c r="M67" s="343"/>
      <c r="N67" s="343"/>
      <c r="O67" s="343"/>
      <c r="P67" s="938"/>
      <c r="Q67" s="343"/>
      <c r="S67" s="334"/>
      <c r="T67" s="334"/>
      <c r="AO67" s="334"/>
      <c r="AQ67" s="334"/>
      <c r="AR67" s="334"/>
      <c r="AS67" s="334"/>
      <c r="AT67" s="334"/>
      <c r="AU67" s="334"/>
      <c r="AV67" s="334"/>
    </row>
    <row r="68" spans="1:48">
      <c r="A68" s="331"/>
      <c r="B68" s="880" t="s">
        <v>1034</v>
      </c>
      <c r="C68" s="334" t="s">
        <v>1262</v>
      </c>
      <c r="D68" s="343"/>
      <c r="E68" s="343"/>
      <c r="F68" s="343"/>
      <c r="G68" s="343"/>
      <c r="H68" s="343"/>
      <c r="I68" s="343"/>
      <c r="J68" s="945"/>
      <c r="K68" s="343"/>
      <c r="L68" s="343"/>
      <c r="M68" s="343"/>
      <c r="N68" s="343"/>
      <c r="O68" s="343"/>
      <c r="P68" s="343"/>
      <c r="Q68" s="343"/>
      <c r="S68" s="334"/>
      <c r="T68" s="334"/>
      <c r="AO68" s="334"/>
      <c r="AQ68" s="334"/>
      <c r="AR68" s="334"/>
      <c r="AS68" s="334"/>
      <c r="AT68" s="334"/>
      <c r="AU68" s="334"/>
      <c r="AV68" s="334"/>
    </row>
    <row r="69" spans="1:48">
      <c r="A69" s="331" t="s">
        <v>446</v>
      </c>
      <c r="B69" s="939" t="s">
        <v>445</v>
      </c>
      <c r="C69" s="940" t="s">
        <v>1269</v>
      </c>
      <c r="D69" s="941"/>
      <c r="E69" s="941"/>
      <c r="F69" s="941"/>
      <c r="G69" s="941"/>
      <c r="H69" s="941"/>
      <c r="I69" s="941"/>
      <c r="J69" s="942" t="str">
        <f t="shared" ref="J69:M72" si="11">AR69</f>
        <v>Yes</v>
      </c>
      <c r="K69" s="943">
        <f t="shared" si="11"/>
        <v>0</v>
      </c>
      <c r="L69" s="943">
        <f t="shared" si="11"/>
        <v>0</v>
      </c>
      <c r="M69" s="943">
        <f t="shared" si="11"/>
        <v>0</v>
      </c>
      <c r="N69" s="343"/>
      <c r="O69" s="343"/>
      <c r="P69" s="343"/>
      <c r="Q69" s="343"/>
      <c r="S69" s="334"/>
      <c r="T69" s="334" t="str">
        <f t="shared" si="8"/>
        <v>Minstekrav: Fravær av miljøgifter (EU taksonomi: krit. 1)</v>
      </c>
      <c r="AO69" s="334" t="str">
        <f>Poeng!E239</f>
        <v>Minstekrav: Fravær av miljøgifter (EU taksonomi: krit. 1)</v>
      </c>
      <c r="AP69" s="334" t="b">
        <f>A69=AQ69</f>
        <v>1</v>
      </c>
      <c r="AQ69" s="334" t="str">
        <f>Poeng!B239</f>
        <v>Mat 02a</v>
      </c>
      <c r="AR69" s="334" t="str">
        <f>Poeng!BQ239</f>
        <v>Yes</v>
      </c>
      <c r="AS69" s="334">
        <f>Poeng!AI239</f>
        <v>0</v>
      </c>
      <c r="AT69" s="334">
        <f>Poeng!AJ239</f>
        <v>0</v>
      </c>
      <c r="AU69" s="334">
        <f>Poeng!AK239</f>
        <v>0</v>
      </c>
      <c r="AV69" s="334" t="str">
        <f t="shared" si="9"/>
        <v>Mat 02a</v>
      </c>
    </row>
    <row r="70" spans="1:48">
      <c r="A70" s="331" t="s">
        <v>464</v>
      </c>
      <c r="B70" s="939" t="s">
        <v>463</v>
      </c>
      <c r="C70" s="940" t="s">
        <v>1270</v>
      </c>
      <c r="D70" s="941"/>
      <c r="E70" s="941"/>
      <c r="F70" s="941"/>
      <c r="G70" s="941"/>
      <c r="H70" s="941"/>
      <c r="I70" s="941"/>
      <c r="J70" s="942" t="str">
        <f t="shared" si="11"/>
        <v>Yes</v>
      </c>
      <c r="K70" s="943">
        <f t="shared" si="11"/>
        <v>0</v>
      </c>
      <c r="L70" s="943">
        <f t="shared" si="11"/>
        <v>0</v>
      </c>
      <c r="M70" s="943">
        <f t="shared" si="11"/>
        <v>0</v>
      </c>
      <c r="N70" s="343"/>
      <c r="O70" s="343"/>
      <c r="P70" s="343"/>
      <c r="Q70" s="343"/>
      <c r="S70" s="334"/>
      <c r="T70" s="334" t="str">
        <f t="shared" si="8"/>
        <v>Minstekrav: ombrukskartlegging (EU taksonomi: krit. 1)</v>
      </c>
      <c r="AO70" s="334" t="str">
        <f>Poeng!E250</f>
        <v>Minstekrav: ombrukskartlegging (EU taksonomi: krit. 1)</v>
      </c>
      <c r="AP70" s="334" t="b">
        <f t="shared" ref="AP70:AP72" si="12">A70=AQ70</f>
        <v>1</v>
      </c>
      <c r="AQ70" s="334" t="str">
        <f>Poeng!B250</f>
        <v>Mat 06d</v>
      </c>
      <c r="AR70" s="334" t="str">
        <f>Poeng!BQ250</f>
        <v>Yes</v>
      </c>
      <c r="AS70" s="334">
        <f>Poeng!AI250</f>
        <v>0</v>
      </c>
      <c r="AT70" s="334">
        <f>Poeng!AJ250</f>
        <v>0</v>
      </c>
      <c r="AU70" s="334">
        <f>Poeng!AK250</f>
        <v>0</v>
      </c>
      <c r="AV70" s="334" t="str">
        <f t="shared" si="9"/>
        <v>Mat 06d</v>
      </c>
    </row>
    <row r="71" spans="1:48">
      <c r="A71" s="331" t="s">
        <v>470</v>
      </c>
      <c r="B71" s="939" t="s">
        <v>468</v>
      </c>
      <c r="C71" s="940" t="s">
        <v>1271</v>
      </c>
      <c r="D71" s="941"/>
      <c r="E71" s="941"/>
      <c r="F71" s="941"/>
      <c r="G71" s="941"/>
      <c r="H71" s="941"/>
      <c r="I71" s="941"/>
      <c r="J71" s="942">
        <f t="shared" si="11"/>
        <v>1</v>
      </c>
      <c r="K71" s="943">
        <f t="shared" si="11"/>
        <v>0</v>
      </c>
      <c r="L71" s="943">
        <f t="shared" si="11"/>
        <v>0</v>
      </c>
      <c r="M71" s="943">
        <f t="shared" si="11"/>
        <v>0</v>
      </c>
      <c r="N71" s="343"/>
      <c r="O71" s="343"/>
      <c r="P71" s="343"/>
      <c r="Q71" s="343"/>
      <c r="S71" s="334"/>
      <c r="T71" s="334" t="str">
        <f t="shared" si="8"/>
        <v>Endringsdyktighet og ombrukbarhet - anbefalinger (EU taksonomi: krit 2-3)</v>
      </c>
      <c r="AO71" s="334" t="str">
        <f>Poeng!E150</f>
        <v>Endringsdyktighet og ombrukbarhet - anbefalinger (EU taksonomi: krit 2-3)</v>
      </c>
      <c r="AP71" s="334" t="b">
        <f t="shared" si="12"/>
        <v>1</v>
      </c>
      <c r="AQ71" s="334" t="str">
        <f>Poeng!B150</f>
        <v>Mat 07b</v>
      </c>
      <c r="AR71" s="334">
        <f>Poeng!BQ150</f>
        <v>1</v>
      </c>
      <c r="AS71" s="334">
        <f>Poeng!AI150</f>
        <v>0</v>
      </c>
      <c r="AT71" s="334">
        <f>Poeng!AJ150</f>
        <v>0</v>
      </c>
      <c r="AU71" s="334">
        <f>Poeng!AK150</f>
        <v>0</v>
      </c>
      <c r="AV71" s="334" t="str">
        <f t="shared" si="9"/>
        <v>Mat 07b</v>
      </c>
    </row>
    <row r="72" spans="1:48">
      <c r="A72" s="331" t="s">
        <v>471</v>
      </c>
      <c r="B72" s="939" t="s">
        <v>468</v>
      </c>
      <c r="C72" s="940" t="s">
        <v>1272</v>
      </c>
      <c r="D72" s="941"/>
      <c r="E72" s="941"/>
      <c r="F72" s="941"/>
      <c r="G72" s="941"/>
      <c r="H72" s="941"/>
      <c r="I72" s="941"/>
      <c r="J72" s="942">
        <f t="shared" si="11"/>
        <v>1</v>
      </c>
      <c r="K72" s="943">
        <f t="shared" si="11"/>
        <v>0</v>
      </c>
      <c r="L72" s="943">
        <f t="shared" si="11"/>
        <v>0</v>
      </c>
      <c r="M72" s="943">
        <f t="shared" si="11"/>
        <v>0</v>
      </c>
      <c r="N72" s="343"/>
      <c r="O72" s="343"/>
      <c r="P72" s="343"/>
      <c r="Q72" s="343"/>
      <c r="S72" s="334"/>
      <c r="T72" s="334" t="str">
        <f t="shared" si="8"/>
        <v>Endringsdyktighet og ombrukbarhet - gjennomføring (EU taksonomi: krit 4-6)</v>
      </c>
      <c r="AO72" s="334" t="str">
        <f>Poeng!E151</f>
        <v>Endringsdyktighet og ombrukbarhet - gjennomføring (EU taksonomi: krit 4-6)</v>
      </c>
      <c r="AP72" s="334" t="b">
        <f t="shared" si="12"/>
        <v>1</v>
      </c>
      <c r="AQ72" s="334" t="str">
        <f>Poeng!B151</f>
        <v>Mat 07c</v>
      </c>
      <c r="AR72" s="334">
        <f>Poeng!BQ151</f>
        <v>1</v>
      </c>
      <c r="AS72" s="334">
        <f>Poeng!AI151</f>
        <v>0</v>
      </c>
      <c r="AT72" s="334">
        <f>Poeng!AJ151</f>
        <v>0</v>
      </c>
      <c r="AU72" s="334">
        <f>Poeng!AK151</f>
        <v>0</v>
      </c>
      <c r="AV72" s="334" t="str">
        <f t="shared" si="9"/>
        <v>Mat 07c</v>
      </c>
    </row>
    <row r="73" spans="1:48">
      <c r="A73" s="331"/>
      <c r="B73" s="334"/>
      <c r="C73" s="334" t="s">
        <v>1262</v>
      </c>
      <c r="D73" s="343"/>
      <c r="E73" s="343"/>
      <c r="F73" s="343"/>
      <c r="G73" s="343"/>
      <c r="H73" s="343"/>
      <c r="I73" s="343"/>
      <c r="J73" s="945"/>
      <c r="K73" s="343"/>
      <c r="L73" s="343"/>
      <c r="M73" s="343"/>
      <c r="N73" s="343"/>
      <c r="O73" s="343"/>
      <c r="P73" s="343"/>
      <c r="Q73" s="343"/>
      <c r="S73" s="334"/>
      <c r="T73" s="334"/>
      <c r="AO73" s="334"/>
      <c r="AQ73" s="334"/>
      <c r="AR73" s="334"/>
      <c r="AS73" s="334"/>
      <c r="AT73" s="334"/>
      <c r="AU73" s="334"/>
      <c r="AV73" s="334"/>
    </row>
    <row r="74" spans="1:48">
      <c r="A74" s="331"/>
      <c r="B74" s="880" t="s">
        <v>1060</v>
      </c>
      <c r="C74" s="334" t="s">
        <v>1262</v>
      </c>
      <c r="D74" s="343"/>
      <c r="E74" s="343"/>
      <c r="F74" s="343"/>
      <c r="G74" s="343"/>
      <c r="H74" s="343"/>
      <c r="I74" s="343"/>
      <c r="J74" s="945"/>
      <c r="K74" s="343"/>
      <c r="L74" s="343"/>
      <c r="M74" s="343"/>
      <c r="N74" s="343"/>
      <c r="O74" s="343"/>
      <c r="P74" s="343"/>
      <c r="Q74" s="343"/>
      <c r="S74" s="334"/>
      <c r="T74" s="334"/>
      <c r="AO74" s="334"/>
      <c r="AQ74" s="334"/>
      <c r="AR74" s="334"/>
      <c r="AS74" s="334"/>
      <c r="AT74" s="334"/>
      <c r="AU74" s="334"/>
      <c r="AV74" s="334"/>
    </row>
    <row r="75" spans="1:48">
      <c r="A75" s="331" t="s">
        <v>1122</v>
      </c>
      <c r="B75" s="939" t="s">
        <v>478</v>
      </c>
      <c r="C75" s="940" t="s">
        <v>1273</v>
      </c>
      <c r="D75" s="941"/>
      <c r="E75" s="941"/>
      <c r="F75" s="941"/>
      <c r="G75" s="941"/>
      <c r="H75" s="941"/>
      <c r="I75" s="941"/>
      <c r="J75" s="942" t="str">
        <f t="shared" ref="J75:M76" si="13">AR75</f>
        <v>Yes</v>
      </c>
      <c r="K75" s="943">
        <f t="shared" si="13"/>
        <v>0</v>
      </c>
      <c r="L75" s="943">
        <f t="shared" si="13"/>
        <v>0</v>
      </c>
      <c r="M75" s="943">
        <f t="shared" si="13"/>
        <v>0</v>
      </c>
      <c r="N75" s="343"/>
      <c r="O75" s="343"/>
      <c r="P75" s="343"/>
      <c r="Q75" s="343"/>
      <c r="S75" s="334"/>
      <c r="T75" s="334" t="str">
        <f t="shared" si="8"/>
        <v>EU taksonomi: krit. 1</v>
      </c>
      <c r="AO75" s="334" t="str">
        <f>Poeng!E255</f>
        <v>EU taksonomi: krit. 1</v>
      </c>
      <c r="AP75" s="334" t="b">
        <f t="shared" ref="AP75:AP76" si="14">A75=AQ75</f>
        <v>1</v>
      </c>
      <c r="AQ75" s="334" t="str">
        <f>Poeng!B255</f>
        <v>Wst 01TX</v>
      </c>
      <c r="AR75" s="334" t="str">
        <f>Poeng!BQ255</f>
        <v>Yes</v>
      </c>
      <c r="AS75" s="334">
        <f>Poeng!AI255</f>
        <v>0</v>
      </c>
      <c r="AT75" s="334">
        <f>Poeng!AJ255</f>
        <v>0</v>
      </c>
      <c r="AU75" s="334">
        <f>Poeng!AK255</f>
        <v>0</v>
      </c>
      <c r="AV75" s="334" t="str">
        <f t="shared" si="9"/>
        <v>Wst 01TX</v>
      </c>
    </row>
    <row r="76" spans="1:48">
      <c r="A76" s="331" t="s">
        <v>484</v>
      </c>
      <c r="B76" s="939" t="s">
        <v>478</v>
      </c>
      <c r="C76" s="940" t="s">
        <v>1274</v>
      </c>
      <c r="D76" s="941"/>
      <c r="E76" s="941"/>
      <c r="F76" s="941"/>
      <c r="G76" s="941"/>
      <c r="H76" s="941"/>
      <c r="I76" s="941"/>
      <c r="J76" s="942" t="str">
        <f t="shared" si="13"/>
        <v>Yes</v>
      </c>
      <c r="K76" s="943">
        <f t="shared" si="13"/>
        <v>0</v>
      </c>
      <c r="L76" s="943">
        <f t="shared" si="13"/>
        <v>0</v>
      </c>
      <c r="M76" s="943">
        <f t="shared" si="13"/>
        <v>0</v>
      </c>
      <c r="N76" s="343"/>
      <c r="O76" s="343"/>
      <c r="P76" s="343"/>
      <c r="Q76" s="343"/>
      <c r="S76" s="334"/>
      <c r="T76" s="334" t="str">
        <f t="shared" si="8"/>
        <v>EU taksonomi:krit.  4, &gt; 90 % sortert og &gt; 70 % klargjort for ombruk og materialgjenvinning</v>
      </c>
      <c r="AO76" s="334" t="str">
        <f>Poeng!E251</f>
        <v>EU taksonomi:krit.  4, &gt; 90 % sortert og &gt; 70 % klargjort for ombruk og materialgjenvinning</v>
      </c>
      <c r="AP76" s="334" t="b">
        <f t="shared" si="14"/>
        <v>1</v>
      </c>
      <c r="AQ76" s="334" t="str">
        <f>Poeng!B251</f>
        <v>Wst 01d</v>
      </c>
      <c r="AR76" s="334" t="str">
        <f>Poeng!BQ251</f>
        <v>Yes</v>
      </c>
      <c r="AS76" s="334">
        <f>Poeng!AI251</f>
        <v>0</v>
      </c>
      <c r="AT76" s="334">
        <f>Poeng!AJ251</f>
        <v>0</v>
      </c>
      <c r="AU76" s="334">
        <f>Poeng!AK251</f>
        <v>0</v>
      </c>
      <c r="AV76" s="334" t="str">
        <f t="shared" si="9"/>
        <v>Wst 01d</v>
      </c>
    </row>
    <row r="77" spans="1:48">
      <c r="A77" s="331"/>
      <c r="B77" s="334"/>
      <c r="C77" s="334" t="s">
        <v>1262</v>
      </c>
      <c r="D77" s="343"/>
      <c r="E77" s="343"/>
      <c r="F77" s="343"/>
      <c r="G77" s="343"/>
      <c r="H77" s="343"/>
      <c r="I77" s="343"/>
      <c r="J77" s="945"/>
      <c r="K77" s="343"/>
      <c r="L77" s="343"/>
      <c r="M77" s="343"/>
      <c r="N77" s="343"/>
      <c r="O77" s="343"/>
      <c r="P77" s="343"/>
      <c r="Q77" s="343"/>
      <c r="S77" s="334"/>
      <c r="T77" s="334"/>
      <c r="AO77" s="334"/>
      <c r="AQ77" s="334"/>
      <c r="AR77" s="334"/>
      <c r="AS77" s="334"/>
      <c r="AT77" s="334"/>
      <c r="AU77" s="334"/>
      <c r="AV77" s="334"/>
    </row>
    <row r="78" spans="1:48">
      <c r="A78" s="331"/>
      <c r="B78" s="880" t="s">
        <v>1071</v>
      </c>
      <c r="C78" s="334" t="s">
        <v>1262</v>
      </c>
      <c r="D78" s="343"/>
      <c r="E78" s="343"/>
      <c r="F78" s="343"/>
      <c r="G78" s="343"/>
      <c r="H78" s="343"/>
      <c r="I78" s="343"/>
      <c r="J78" s="945"/>
      <c r="K78" s="334"/>
      <c r="L78" s="343"/>
      <c r="M78" s="343"/>
      <c r="N78" s="343"/>
      <c r="O78" s="343"/>
      <c r="P78" s="343"/>
      <c r="Q78" s="343"/>
      <c r="S78" s="334"/>
      <c r="T78" s="334"/>
      <c r="AO78" s="334"/>
      <c r="AQ78" s="334"/>
      <c r="AR78" s="334"/>
      <c r="AS78" s="334"/>
      <c r="AT78" s="334"/>
      <c r="AU78" s="334"/>
      <c r="AV78" s="334"/>
    </row>
    <row r="79" spans="1:48">
      <c r="A79" s="331" t="s">
        <v>502</v>
      </c>
      <c r="B79" s="939" t="s">
        <v>499</v>
      </c>
      <c r="C79" s="940" t="s">
        <v>1275</v>
      </c>
      <c r="D79" s="941"/>
      <c r="E79" s="941"/>
      <c r="F79" s="941"/>
      <c r="G79" s="941"/>
      <c r="H79" s="941"/>
      <c r="I79" s="941"/>
      <c r="J79" s="942" t="str">
        <f t="shared" ref="J79:M81" si="15">AR79</f>
        <v>Yes</v>
      </c>
      <c r="K79" s="943">
        <f t="shared" si="15"/>
        <v>0</v>
      </c>
      <c r="L79" s="943">
        <f t="shared" si="15"/>
        <v>0</v>
      </c>
      <c r="M79" s="943">
        <f t="shared" si="15"/>
        <v>0</v>
      </c>
      <c r="N79" s="343"/>
      <c r="O79" s="343"/>
      <c r="P79" s="343"/>
      <c r="Q79" s="343"/>
      <c r="S79" s="334"/>
      <c r="T79" s="334" t="str">
        <f t="shared" si="8"/>
        <v>Minstekrav: utbygging på jordbruksareal eller dyrkbar jord (EU taksonomi: krit. 2)</v>
      </c>
      <c r="AO79" s="334" t="str">
        <f>Poeng!E252</f>
        <v>Minstekrav: utbygging på jordbruksareal eller dyrkbar jord (EU taksonomi: krit. 2)</v>
      </c>
      <c r="AP79" s="334" t="b">
        <f t="shared" ref="AP79:AP81" si="16">A79=AQ79</f>
        <v>1</v>
      </c>
      <c r="AQ79" s="334" t="str">
        <f>Poeng!B252</f>
        <v>LE 01b</v>
      </c>
      <c r="AR79" s="334" t="str">
        <f>Poeng!BQ252</f>
        <v>Yes</v>
      </c>
      <c r="AS79" s="334">
        <f>Poeng!AI252</f>
        <v>0</v>
      </c>
      <c r="AT79" s="334">
        <f>Poeng!AJ252</f>
        <v>0</v>
      </c>
      <c r="AU79" s="334">
        <f>Poeng!AK252</f>
        <v>0</v>
      </c>
      <c r="AV79" s="334" t="str">
        <f t="shared" si="9"/>
        <v>LE 01b</v>
      </c>
    </row>
    <row r="80" spans="1:48">
      <c r="A80" s="331" t="s">
        <v>506</v>
      </c>
      <c r="B80" s="939" t="s">
        <v>503</v>
      </c>
      <c r="C80" s="940" t="s">
        <v>1276</v>
      </c>
      <c r="D80" s="941"/>
      <c r="E80" s="941"/>
      <c r="F80" s="941"/>
      <c r="G80" s="941"/>
      <c r="H80" s="941"/>
      <c r="I80" s="941"/>
      <c r="J80" s="942">
        <f t="shared" si="15"/>
        <v>1</v>
      </c>
      <c r="K80" s="943">
        <f t="shared" si="15"/>
        <v>0</v>
      </c>
      <c r="L80" s="943">
        <f t="shared" si="15"/>
        <v>0</v>
      </c>
      <c r="M80" s="943">
        <f t="shared" si="15"/>
        <v>0</v>
      </c>
      <c r="N80" s="343"/>
      <c r="O80" s="343"/>
      <c r="P80" s="343"/>
      <c r="Q80" s="343"/>
      <c r="S80" s="334"/>
      <c r="T80" s="334" t="str">
        <f t="shared" si="8"/>
        <v>Kartlegging og vurdering (EU taksonomi: krit 2-4)</v>
      </c>
      <c r="AO80" s="334" t="str">
        <f>Poeng!E173</f>
        <v>Kartlegging og vurdering (EU taksonomi: krit 2-4)</v>
      </c>
      <c r="AP80" s="334" t="b">
        <f t="shared" si="16"/>
        <v>1</v>
      </c>
      <c r="AQ80" s="334" t="str">
        <f>Poeng!B173</f>
        <v>LE 02b</v>
      </c>
      <c r="AR80" s="334">
        <f>Poeng!BQ173</f>
        <v>1</v>
      </c>
      <c r="AS80" s="334">
        <f>Poeng!AI173</f>
        <v>0</v>
      </c>
      <c r="AT80" s="334">
        <f>Poeng!AJ173</f>
        <v>0</v>
      </c>
      <c r="AU80" s="334">
        <f>Poeng!AK173</f>
        <v>0</v>
      </c>
      <c r="AV80" s="334" t="str">
        <f t="shared" si="9"/>
        <v>LE 02b</v>
      </c>
    </row>
    <row r="81" spans="1:48">
      <c r="A81" s="331" t="s">
        <v>524</v>
      </c>
      <c r="B81" s="939" t="s">
        <v>522</v>
      </c>
      <c r="C81" s="940" t="s">
        <v>1277</v>
      </c>
      <c r="D81" s="941"/>
      <c r="E81" s="941"/>
      <c r="F81" s="941"/>
      <c r="G81" s="941"/>
      <c r="H81" s="941"/>
      <c r="I81" s="941"/>
      <c r="J81" s="942">
        <f t="shared" si="15"/>
        <v>1</v>
      </c>
      <c r="K81" s="943">
        <f t="shared" si="15"/>
        <v>0</v>
      </c>
      <c r="L81" s="943">
        <f t="shared" si="15"/>
        <v>0</v>
      </c>
      <c r="M81" s="943">
        <f t="shared" si="15"/>
        <v>0</v>
      </c>
      <c r="N81" s="343"/>
      <c r="O81" s="343"/>
      <c r="P81" s="343"/>
      <c r="Q81" s="343"/>
      <c r="S81" s="334"/>
      <c r="T81" s="334" t="str">
        <f t="shared" si="8"/>
        <v>Risikovurdering (EU taksonomi: krit. 1-6)</v>
      </c>
      <c r="AO81" s="334" t="str">
        <f>Poeng!E188</f>
        <v>Risikovurdering (EU taksonomi: krit. 1-6)</v>
      </c>
      <c r="AP81" s="334" t="b">
        <f t="shared" si="16"/>
        <v>1</v>
      </c>
      <c r="AQ81" s="334" t="str">
        <f>Poeng!B188</f>
        <v>LE 06a</v>
      </c>
      <c r="AR81" s="334">
        <f>Poeng!BQ188</f>
        <v>1</v>
      </c>
      <c r="AS81" s="334">
        <f>Poeng!AI188</f>
        <v>0</v>
      </c>
      <c r="AT81" s="334">
        <f>Poeng!AJ188</f>
        <v>0</v>
      </c>
      <c r="AU81" s="334">
        <f>Poeng!AK188</f>
        <v>0</v>
      </c>
      <c r="AV81" s="334" t="str">
        <f t="shared" si="9"/>
        <v>LE 06a</v>
      </c>
    </row>
    <row r="82" spans="1:48">
      <c r="A82" s="331"/>
      <c r="B82" s="343"/>
      <c r="C82" s="343"/>
      <c r="D82" s="343"/>
      <c r="E82" s="343"/>
      <c r="F82" s="343"/>
      <c r="G82" s="343"/>
      <c r="H82" s="343"/>
      <c r="I82" s="343"/>
      <c r="J82" s="334"/>
      <c r="K82" s="343"/>
      <c r="L82" s="343"/>
      <c r="M82" s="343"/>
      <c r="N82" s="343"/>
      <c r="O82" s="343"/>
      <c r="P82" s="343"/>
      <c r="Q82" s="343"/>
      <c r="T82" s="334" t="str">
        <f>IFERROR(VLOOKUP(A82,Poeng!$B$8:$BU$255,Poeng!$E$1,FALSE),"")</f>
        <v/>
      </c>
      <c r="AQ82" s="334"/>
      <c r="AR82" s="334"/>
      <c r="AS82" s="334"/>
      <c r="AT82" s="334"/>
      <c r="AU82" s="334"/>
      <c r="AV82" s="334"/>
    </row>
    <row r="83" spans="1:48">
      <c r="A83" s="622"/>
      <c r="B83" s="343"/>
      <c r="C83" s="343"/>
      <c r="D83" s="343"/>
      <c r="E83" s="343"/>
      <c r="F83" s="343"/>
      <c r="G83" s="343"/>
      <c r="H83" s="343"/>
      <c r="I83" s="343"/>
      <c r="J83" s="343"/>
      <c r="K83" s="343"/>
      <c r="L83" s="343"/>
      <c r="M83" s="343"/>
      <c r="N83" s="343"/>
      <c r="O83" s="343"/>
      <c r="P83" s="343"/>
      <c r="Q83" s="343"/>
      <c r="T83" s="334" t="str">
        <f>IFERROR(VLOOKUP(A83,Poeng!$B$8:$BU$255,Poeng!$E$1,FALSE),"")</f>
        <v/>
      </c>
    </row>
    <row r="84" spans="1:48">
      <c r="A84" s="622"/>
      <c r="B84" s="343"/>
      <c r="C84" s="343"/>
      <c r="D84" s="343"/>
      <c r="E84" s="343"/>
      <c r="F84" s="343"/>
      <c r="G84" s="343"/>
      <c r="H84" s="343"/>
      <c r="I84" s="343"/>
      <c r="J84" s="343"/>
      <c r="K84" s="343"/>
      <c r="L84" s="343"/>
      <c r="M84" s="343"/>
      <c r="N84" s="343"/>
      <c r="O84" s="343"/>
      <c r="P84" s="343"/>
      <c r="Q84" s="343"/>
    </row>
    <row r="85" spans="1:48">
      <c r="A85" s="622"/>
      <c r="B85" s="343"/>
      <c r="C85" s="343"/>
      <c r="D85" s="343"/>
      <c r="E85" s="343"/>
      <c r="F85" s="343"/>
      <c r="G85" s="343"/>
      <c r="H85" s="343"/>
      <c r="I85" s="343"/>
      <c r="J85" s="343"/>
      <c r="K85" s="334"/>
      <c r="L85" s="343"/>
      <c r="M85" s="343"/>
      <c r="N85" s="343"/>
      <c r="O85" s="343"/>
      <c r="P85" s="343"/>
      <c r="Q85" s="343"/>
      <c r="AL85" s="334"/>
      <c r="AP85" s="334"/>
      <c r="AS85" s="334"/>
    </row>
    <row r="86" spans="1:48">
      <c r="A86" s="622"/>
      <c r="B86" s="343"/>
      <c r="C86" s="343"/>
      <c r="D86" s="343"/>
      <c r="E86" s="343"/>
      <c r="F86" s="343"/>
      <c r="G86" s="343"/>
      <c r="H86" s="343"/>
      <c r="I86" s="343"/>
      <c r="J86" s="343"/>
      <c r="K86" s="343"/>
      <c r="L86" s="343"/>
      <c r="M86" s="343"/>
      <c r="N86" s="343"/>
      <c r="O86" s="343"/>
      <c r="P86" s="343"/>
      <c r="Q86" s="343"/>
      <c r="AL86" s="334"/>
      <c r="AP86" s="334"/>
      <c r="AS86" s="334"/>
    </row>
    <row r="87" spans="1:48">
      <c r="A87" s="622"/>
      <c r="B87" s="343"/>
      <c r="C87" s="343"/>
      <c r="D87" s="343"/>
      <c r="E87" s="343"/>
      <c r="F87" s="343"/>
      <c r="G87" s="343"/>
      <c r="H87" s="343"/>
      <c r="I87" s="343"/>
      <c r="J87" s="343"/>
      <c r="K87" s="343"/>
      <c r="L87" s="343"/>
      <c r="M87" s="343"/>
      <c r="N87" s="343"/>
      <c r="O87" s="343"/>
      <c r="P87" s="343"/>
      <c r="Q87" s="343"/>
      <c r="AL87" s="334"/>
      <c r="AP87" s="334"/>
      <c r="AS87" s="334"/>
    </row>
    <row r="88" spans="1:48">
      <c r="A88" s="622"/>
      <c r="B88" s="343"/>
      <c r="C88" s="343"/>
      <c r="D88" s="343"/>
      <c r="E88" s="343"/>
      <c r="F88" s="343"/>
      <c r="G88" s="343"/>
      <c r="H88" s="343"/>
      <c r="I88" s="343"/>
      <c r="J88" s="343"/>
      <c r="K88" s="343"/>
      <c r="L88" s="343"/>
      <c r="M88" s="343"/>
      <c r="N88" s="343"/>
      <c r="O88" s="343"/>
      <c r="P88" s="343"/>
      <c r="Q88" s="343"/>
      <c r="AL88" s="334"/>
      <c r="AP88" s="334"/>
      <c r="AS88" s="334"/>
    </row>
    <row r="89" spans="1:48">
      <c r="A89" s="622"/>
      <c r="B89" s="343"/>
      <c r="C89" s="343"/>
      <c r="D89" s="343"/>
      <c r="E89" s="343"/>
      <c r="F89" s="343"/>
      <c r="G89" s="343"/>
      <c r="H89" s="343"/>
      <c r="I89" s="343"/>
      <c r="J89" s="343"/>
      <c r="K89" s="343"/>
      <c r="L89" s="343"/>
      <c r="M89" s="343"/>
      <c r="N89" s="343"/>
      <c r="O89" s="343"/>
      <c r="P89" s="343"/>
      <c r="Q89" s="343"/>
      <c r="AL89" s="334"/>
      <c r="AP89" s="334"/>
      <c r="AS89" s="334"/>
    </row>
    <row r="90" spans="1:48">
      <c r="A90" s="622"/>
      <c r="B90" s="622"/>
      <c r="C90" s="622"/>
      <c r="D90" s="622"/>
      <c r="E90" s="622"/>
      <c r="F90" s="622"/>
      <c r="G90" s="622"/>
      <c r="H90" s="622"/>
      <c r="I90" s="622"/>
      <c r="J90" s="622"/>
      <c r="K90" s="622"/>
      <c r="L90" s="622"/>
      <c r="M90" s="622"/>
      <c r="N90" s="343"/>
      <c r="O90" s="343"/>
      <c r="P90" s="343"/>
      <c r="Q90" s="343"/>
      <c r="AL90" s="334"/>
      <c r="AP90" s="334"/>
      <c r="AS90" s="334"/>
    </row>
    <row r="91" spans="1:48">
      <c r="A91" s="622"/>
      <c r="B91" s="622"/>
      <c r="C91" s="622"/>
      <c r="D91" s="622"/>
      <c r="E91" s="622"/>
      <c r="F91" s="622"/>
      <c r="G91" s="622"/>
      <c r="H91" s="622"/>
      <c r="I91" s="622"/>
      <c r="J91" s="622"/>
      <c r="K91" s="622"/>
      <c r="L91" s="622"/>
      <c r="M91" s="622"/>
      <c r="N91" s="343"/>
      <c r="O91" s="343"/>
      <c r="P91" s="343"/>
      <c r="Q91" s="343"/>
      <c r="AL91" s="334"/>
      <c r="AP91" s="334"/>
      <c r="AS91" s="334"/>
    </row>
    <row r="92" spans="1:48">
      <c r="A92" s="622"/>
      <c r="B92" s="622"/>
      <c r="C92" s="622"/>
      <c r="D92" s="622"/>
      <c r="E92" s="622"/>
      <c r="F92" s="622"/>
      <c r="G92" s="622"/>
      <c r="H92" s="622"/>
      <c r="I92" s="622"/>
      <c r="J92" s="622"/>
      <c r="K92" s="622"/>
      <c r="L92" s="622"/>
      <c r="M92" s="622"/>
      <c r="N92" s="343"/>
      <c r="O92" s="343"/>
      <c r="P92" s="343"/>
      <c r="Q92" s="343"/>
      <c r="AL92" s="334"/>
      <c r="AP92" s="334"/>
      <c r="AS92" s="334"/>
    </row>
    <row r="93" spans="1:48" hidden="1">
      <c r="A93" s="622" t="s">
        <v>480</v>
      </c>
      <c r="B93" s="622"/>
      <c r="C93" s="622"/>
      <c r="D93" s="622"/>
      <c r="E93" s="622"/>
      <c r="F93" s="622"/>
      <c r="G93" s="622"/>
      <c r="H93" s="622"/>
      <c r="I93" s="622"/>
      <c r="J93" s="622"/>
      <c r="K93" s="622"/>
      <c r="L93" s="622"/>
      <c r="M93" s="622"/>
      <c r="N93" s="343"/>
      <c r="O93" s="343"/>
      <c r="P93" s="343"/>
      <c r="Q93" s="343"/>
      <c r="AL93" s="334"/>
      <c r="AP93" s="334"/>
      <c r="AS93" s="334"/>
    </row>
    <row r="94" spans="1:48" hidden="1">
      <c r="A94" s="622" t="s">
        <v>483</v>
      </c>
      <c r="B94" s="622"/>
      <c r="C94" s="622"/>
      <c r="D94" s="622"/>
      <c r="E94" s="622"/>
      <c r="F94" s="622"/>
      <c r="G94" s="622"/>
      <c r="H94" s="622"/>
      <c r="I94" s="622"/>
      <c r="J94" s="622"/>
      <c r="K94" s="622"/>
      <c r="L94" s="622"/>
      <c r="M94" s="622"/>
      <c r="N94" s="343"/>
      <c r="O94" s="343"/>
      <c r="P94" s="343"/>
      <c r="Q94" s="343"/>
      <c r="AL94" s="334"/>
      <c r="AP94" s="334"/>
      <c r="AS94" s="334"/>
    </row>
    <row r="95" spans="1:48" hidden="1">
      <c r="A95" s="622"/>
      <c r="B95" s="622"/>
      <c r="C95" s="622"/>
      <c r="D95" s="622"/>
      <c r="E95" s="622"/>
      <c r="F95" s="622"/>
      <c r="G95" s="622"/>
      <c r="H95" s="622"/>
      <c r="I95" s="622"/>
      <c r="J95" s="622"/>
      <c r="K95" s="622"/>
      <c r="L95" s="622"/>
      <c r="M95" s="622"/>
      <c r="N95" s="343"/>
      <c r="O95" s="343"/>
      <c r="P95" s="343"/>
      <c r="Q95" s="343"/>
      <c r="AL95" s="334"/>
      <c r="AP95" s="334"/>
      <c r="AS95" s="334"/>
    </row>
    <row r="96" spans="1:48" hidden="1">
      <c r="A96" s="622" t="s">
        <v>466</v>
      </c>
      <c r="B96" s="622"/>
      <c r="C96" s="622"/>
      <c r="D96" s="622"/>
      <c r="E96" s="622"/>
      <c r="F96" s="622"/>
      <c r="G96" s="622"/>
      <c r="H96" s="622"/>
      <c r="I96" s="622"/>
      <c r="J96" s="622"/>
      <c r="K96" s="622"/>
      <c r="L96" s="622"/>
      <c r="M96" s="622"/>
      <c r="N96" s="343"/>
      <c r="O96" s="343"/>
      <c r="P96" s="343"/>
      <c r="Q96" s="343"/>
      <c r="AL96" s="334"/>
      <c r="AP96" s="334"/>
      <c r="AS96" s="334"/>
    </row>
    <row r="97" spans="1:45" hidden="1">
      <c r="A97" s="622" t="s">
        <v>467</v>
      </c>
      <c r="B97" s="622"/>
      <c r="C97" s="622"/>
      <c r="D97" s="622"/>
      <c r="E97" s="622"/>
      <c r="F97" s="622"/>
      <c r="G97" s="622"/>
      <c r="H97" s="622"/>
      <c r="I97" s="622"/>
      <c r="J97" s="622"/>
      <c r="K97" s="622"/>
      <c r="L97" s="622"/>
      <c r="M97" s="622"/>
      <c r="N97" s="343"/>
      <c r="O97" s="343"/>
      <c r="P97" s="343"/>
      <c r="Q97" s="343"/>
      <c r="AL97" s="334"/>
      <c r="AP97" s="334"/>
      <c r="AS97" s="334"/>
    </row>
    <row r="98" spans="1:45" hidden="1">
      <c r="A98" s="622" t="s">
        <v>585</v>
      </c>
      <c r="B98" s="622"/>
      <c r="C98" s="622"/>
      <c r="D98" s="622"/>
      <c r="E98" s="622"/>
      <c r="F98" s="622"/>
      <c r="G98" s="622"/>
      <c r="H98" s="622"/>
      <c r="I98" s="622"/>
      <c r="J98" s="622"/>
      <c r="K98" s="622"/>
      <c r="L98" s="622"/>
      <c r="M98" s="622"/>
      <c r="N98" s="343"/>
      <c r="O98" s="343"/>
      <c r="P98" s="343"/>
      <c r="Q98" s="343"/>
      <c r="AL98" s="334"/>
      <c r="AP98" s="334"/>
      <c r="AS98" s="334"/>
    </row>
    <row r="99" spans="1:45" hidden="1">
      <c r="A99" s="622"/>
      <c r="B99" s="622"/>
      <c r="C99" s="622"/>
      <c r="D99" s="622"/>
      <c r="E99" s="622"/>
      <c r="F99" s="622"/>
      <c r="G99" s="622"/>
      <c r="H99" s="622"/>
      <c r="I99" s="622"/>
      <c r="J99" s="622"/>
      <c r="K99" s="622"/>
      <c r="L99" s="622"/>
      <c r="M99" s="622"/>
      <c r="N99" s="343"/>
      <c r="O99" s="343"/>
      <c r="P99" s="343"/>
      <c r="Q99" s="343"/>
      <c r="AL99" s="334"/>
      <c r="AP99" s="334"/>
      <c r="AS99" s="334"/>
    </row>
    <row r="100" spans="1:45">
      <c r="A100" s="622"/>
      <c r="B100" s="622"/>
      <c r="C100" s="622"/>
      <c r="D100" s="622"/>
      <c r="E100" s="622"/>
      <c r="F100" s="622"/>
      <c r="G100" s="622"/>
      <c r="H100" s="622"/>
      <c r="I100" s="622"/>
      <c r="J100" s="622"/>
      <c r="K100" s="622"/>
      <c r="L100" s="622"/>
      <c r="M100" s="622"/>
      <c r="N100" s="343"/>
      <c r="O100" s="343"/>
      <c r="P100" s="343"/>
      <c r="Q100" s="343"/>
      <c r="AL100" s="334"/>
      <c r="AP100" s="334"/>
      <c r="AS100" s="334"/>
    </row>
    <row r="101" spans="1:45">
      <c r="A101" s="622"/>
      <c r="B101" s="622"/>
      <c r="C101" s="622"/>
      <c r="D101" s="622"/>
      <c r="E101" s="622"/>
      <c r="F101" s="622"/>
      <c r="G101" s="622"/>
      <c r="H101" s="622"/>
      <c r="I101" s="622"/>
      <c r="J101" s="622"/>
      <c r="K101" s="622"/>
      <c r="L101" s="622"/>
      <c r="M101" s="622"/>
      <c r="N101" s="343"/>
      <c r="O101" s="343"/>
      <c r="P101" s="343"/>
      <c r="Q101" s="343"/>
      <c r="AL101" s="334"/>
      <c r="AP101" s="334"/>
      <c r="AS101" s="334"/>
    </row>
    <row r="102" spans="1:45">
      <c r="A102" s="622"/>
      <c r="B102" s="622"/>
      <c r="C102" s="622"/>
      <c r="D102" s="622"/>
      <c r="E102" s="622"/>
      <c r="F102" s="622"/>
      <c r="G102" s="622"/>
      <c r="H102" s="622"/>
      <c r="I102" s="622"/>
      <c r="J102" s="622"/>
      <c r="K102" s="622"/>
      <c r="L102" s="622"/>
      <c r="M102" s="622"/>
      <c r="N102" s="343"/>
      <c r="O102" s="343"/>
      <c r="P102" s="343"/>
      <c r="Q102" s="343"/>
      <c r="AL102" s="334"/>
      <c r="AP102" s="334"/>
      <c r="AS102" s="334"/>
    </row>
    <row r="103" spans="1:45">
      <c r="A103" s="622"/>
      <c r="B103" s="622"/>
      <c r="C103" s="622"/>
      <c r="D103" s="622"/>
      <c r="E103" s="622"/>
      <c r="F103" s="622"/>
      <c r="G103" s="622"/>
      <c r="H103" s="622"/>
      <c r="I103" s="622"/>
      <c r="J103" s="622"/>
      <c r="K103" s="622"/>
      <c r="L103" s="622"/>
      <c r="M103" s="622"/>
      <c r="N103" s="343"/>
      <c r="O103" s="343"/>
      <c r="P103" s="343"/>
      <c r="Q103" s="343"/>
      <c r="AL103" s="334"/>
      <c r="AP103" s="334"/>
      <c r="AS103" s="334"/>
    </row>
    <row r="104" spans="1:45">
      <c r="A104" s="622"/>
      <c r="B104" s="622"/>
      <c r="C104" s="622"/>
      <c r="D104" s="622"/>
      <c r="E104" s="622"/>
      <c r="F104" s="622"/>
      <c r="G104" s="622"/>
      <c r="H104" s="622"/>
      <c r="I104" s="622"/>
      <c r="J104" s="622"/>
      <c r="K104" s="622"/>
      <c r="L104" s="622"/>
      <c r="M104" s="622"/>
      <c r="N104" s="343"/>
      <c r="O104" s="343"/>
      <c r="P104" s="343"/>
      <c r="Q104" s="343"/>
      <c r="AL104" s="334"/>
      <c r="AP104" s="334"/>
      <c r="AS104" s="334"/>
    </row>
    <row r="105" spans="1:45">
      <c r="A105" s="622"/>
      <c r="B105" s="622"/>
      <c r="C105" s="622"/>
      <c r="D105" s="622"/>
      <c r="E105" s="622"/>
      <c r="F105" s="622"/>
      <c r="G105" s="622"/>
      <c r="H105" s="622"/>
      <c r="I105" s="622"/>
      <c r="J105" s="622"/>
      <c r="K105" s="622"/>
      <c r="L105" s="622"/>
      <c r="M105" s="622"/>
      <c r="N105" s="343"/>
      <c r="O105" s="343"/>
      <c r="P105" s="343"/>
      <c r="Q105" s="343"/>
      <c r="AL105" s="334"/>
      <c r="AP105" s="334"/>
      <c r="AS105" s="334"/>
    </row>
    <row r="106" spans="1:45">
      <c r="A106" s="622"/>
      <c r="B106" s="622"/>
      <c r="C106" s="622"/>
      <c r="D106" s="622"/>
      <c r="E106" s="622"/>
      <c r="F106" s="622"/>
      <c r="G106" s="622"/>
      <c r="H106" s="622"/>
      <c r="I106" s="622"/>
      <c r="J106" s="622"/>
      <c r="K106" s="622"/>
      <c r="L106" s="622"/>
      <c r="M106" s="622"/>
      <c r="N106" s="343"/>
      <c r="O106" s="343"/>
      <c r="P106" s="343"/>
      <c r="Q106" s="343"/>
      <c r="AL106" s="334"/>
      <c r="AP106" s="334"/>
      <c r="AS106" s="334"/>
    </row>
    <row r="107" spans="1:45">
      <c r="A107" s="622"/>
      <c r="B107" s="622"/>
      <c r="C107" s="622"/>
      <c r="D107" s="622"/>
      <c r="E107" s="622"/>
      <c r="F107" s="622"/>
      <c r="G107" s="622"/>
      <c r="H107" s="622"/>
      <c r="I107" s="622"/>
      <c r="J107" s="622"/>
      <c r="K107" s="622"/>
      <c r="L107" s="622"/>
      <c r="M107" s="622"/>
      <c r="N107" s="343"/>
      <c r="O107" s="343"/>
      <c r="P107" s="343"/>
      <c r="Q107" s="343"/>
      <c r="AL107" s="334"/>
      <c r="AP107" s="334"/>
      <c r="AS107" s="334"/>
    </row>
    <row r="108" spans="1:45">
      <c r="A108" s="622"/>
      <c r="B108" s="622"/>
      <c r="C108" s="622"/>
      <c r="D108" s="622"/>
      <c r="E108" s="622"/>
      <c r="F108" s="622"/>
      <c r="G108" s="622"/>
      <c r="H108" s="622"/>
      <c r="I108" s="622"/>
      <c r="J108" s="622"/>
      <c r="K108" s="622"/>
      <c r="L108" s="622"/>
      <c r="M108" s="622"/>
      <c r="N108" s="343"/>
      <c r="O108" s="343"/>
      <c r="P108" s="343"/>
      <c r="Q108" s="343"/>
      <c r="AL108" s="334"/>
      <c r="AP108" s="334"/>
      <c r="AS108" s="334"/>
    </row>
    <row r="109" spans="1:45">
      <c r="A109" s="622"/>
      <c r="B109" s="622"/>
      <c r="C109" s="622"/>
      <c r="D109" s="622"/>
      <c r="E109" s="622"/>
      <c r="F109" s="622"/>
      <c r="G109" s="622"/>
      <c r="H109" s="622"/>
      <c r="I109" s="622"/>
      <c r="J109" s="622"/>
      <c r="K109" s="622"/>
      <c r="L109" s="622"/>
      <c r="M109" s="622"/>
      <c r="N109" s="343"/>
      <c r="O109" s="343"/>
      <c r="P109" s="343"/>
      <c r="Q109" s="343"/>
      <c r="AL109" s="334"/>
      <c r="AP109" s="334"/>
      <c r="AS109" s="334"/>
    </row>
    <row r="110" spans="1:45">
      <c r="A110" s="622"/>
      <c r="B110" s="622"/>
      <c r="C110" s="622"/>
      <c r="D110" s="622"/>
      <c r="E110" s="622"/>
      <c r="F110" s="622"/>
      <c r="G110" s="622"/>
      <c r="H110" s="622"/>
      <c r="I110" s="622"/>
      <c r="J110" s="622"/>
      <c r="K110" s="622"/>
      <c r="L110" s="622"/>
      <c r="M110" s="622"/>
      <c r="N110" s="343"/>
      <c r="O110" s="343"/>
      <c r="P110" s="343"/>
      <c r="Q110" s="343"/>
      <c r="AL110" s="334"/>
      <c r="AP110" s="334"/>
      <c r="AS110" s="334"/>
    </row>
    <row r="111" spans="1:45">
      <c r="A111" s="622"/>
      <c r="B111" s="622"/>
      <c r="C111" s="622"/>
      <c r="D111" s="622"/>
      <c r="E111" s="622"/>
      <c r="F111" s="622"/>
      <c r="G111" s="622"/>
      <c r="H111" s="622"/>
      <c r="I111" s="622"/>
      <c r="J111" s="622"/>
      <c r="K111" s="622"/>
      <c r="L111" s="622"/>
      <c r="M111" s="622"/>
      <c r="N111" s="343"/>
      <c r="O111" s="343"/>
      <c r="P111" s="343"/>
      <c r="Q111" s="343"/>
      <c r="AL111" s="334"/>
      <c r="AP111" s="334"/>
      <c r="AS111" s="334"/>
    </row>
    <row r="112" spans="1:45">
      <c r="A112" s="622"/>
      <c r="B112" s="622"/>
      <c r="C112" s="622"/>
      <c r="D112" s="622"/>
      <c r="E112" s="622"/>
      <c r="F112" s="622"/>
      <c r="G112" s="622"/>
      <c r="H112" s="622"/>
      <c r="I112" s="622"/>
      <c r="J112" s="622"/>
      <c r="K112" s="622"/>
      <c r="L112" s="622"/>
      <c r="M112" s="622"/>
      <c r="N112" s="343"/>
      <c r="O112" s="343"/>
      <c r="P112" s="343"/>
      <c r="Q112" s="343"/>
      <c r="AL112" s="334"/>
      <c r="AP112" s="334"/>
      <c r="AS112" s="334"/>
    </row>
    <row r="113" spans="1:17">
      <c r="A113" s="622"/>
      <c r="B113" s="622"/>
      <c r="C113" s="622"/>
      <c r="D113" s="622"/>
      <c r="E113" s="622"/>
      <c r="F113" s="622"/>
      <c r="G113" s="622"/>
      <c r="H113" s="622"/>
      <c r="I113" s="622"/>
      <c r="J113" s="622"/>
      <c r="K113" s="622"/>
      <c r="L113" s="622"/>
      <c r="M113" s="622"/>
      <c r="N113" s="343"/>
      <c r="O113" s="343"/>
      <c r="P113" s="343"/>
      <c r="Q113" s="343"/>
    </row>
    <row r="114" spans="1:17">
      <c r="A114" s="331"/>
      <c r="B114" s="343"/>
      <c r="C114" s="343"/>
      <c r="D114" s="343"/>
      <c r="E114" s="343"/>
      <c r="F114" s="343"/>
      <c r="G114" s="343"/>
      <c r="H114" s="343"/>
      <c r="I114" s="343"/>
      <c r="J114" s="343"/>
      <c r="K114" s="343"/>
      <c r="L114" s="343"/>
      <c r="M114" s="343"/>
      <c r="N114" s="343"/>
      <c r="O114" s="343"/>
      <c r="P114" s="343"/>
      <c r="Q114" s="343"/>
    </row>
    <row r="115" spans="1:17">
      <c r="A115" s="331"/>
      <c r="B115" s="343"/>
      <c r="C115" s="343"/>
      <c r="D115" s="343"/>
      <c r="E115" s="343"/>
      <c r="F115" s="343"/>
      <c r="G115" s="343"/>
      <c r="H115" s="343"/>
      <c r="I115" s="343"/>
      <c r="J115" s="343"/>
      <c r="K115" s="343"/>
      <c r="L115" s="343"/>
      <c r="M115" s="343"/>
      <c r="N115" s="343"/>
      <c r="O115" s="343"/>
      <c r="P115" s="343"/>
      <c r="Q115" s="343"/>
    </row>
    <row r="116" spans="1:17">
      <c r="A116" s="331"/>
      <c r="B116" s="343"/>
      <c r="C116" s="343"/>
      <c r="D116" s="343"/>
      <c r="E116" s="343"/>
      <c r="F116" s="343"/>
      <c r="G116" s="343"/>
      <c r="H116" s="343"/>
      <c r="I116" s="343"/>
      <c r="J116" s="343"/>
      <c r="K116" s="343"/>
      <c r="L116" s="343"/>
      <c r="M116" s="343"/>
      <c r="N116" s="343"/>
      <c r="O116" s="343"/>
      <c r="P116" s="343"/>
      <c r="Q116" s="343"/>
    </row>
    <row r="117" spans="1:17">
      <c r="A117" s="331"/>
      <c r="B117" s="343"/>
      <c r="C117" s="343"/>
      <c r="D117" s="343"/>
      <c r="E117" s="343"/>
      <c r="F117" s="343"/>
      <c r="G117" s="343"/>
      <c r="H117" s="343"/>
      <c r="I117" s="343"/>
      <c r="J117" s="343"/>
      <c r="K117" s="343"/>
      <c r="L117" s="343"/>
      <c r="M117" s="343"/>
      <c r="N117" s="343"/>
      <c r="O117" s="343"/>
      <c r="P117" s="343"/>
      <c r="Q117" s="343"/>
    </row>
    <row r="118" spans="1:17">
      <c r="A118" s="331"/>
      <c r="B118" s="343"/>
      <c r="C118" s="343"/>
      <c r="D118" s="343"/>
      <c r="E118" s="343"/>
      <c r="F118" s="343"/>
      <c r="G118" s="343"/>
      <c r="H118" s="343"/>
      <c r="I118" s="343"/>
      <c r="J118" s="343"/>
      <c r="K118" s="343"/>
      <c r="L118" s="343"/>
      <c r="M118" s="343"/>
      <c r="N118" s="343"/>
      <c r="O118" s="343"/>
      <c r="P118" s="343"/>
      <c r="Q118" s="343"/>
    </row>
    <row r="119" spans="1:17">
      <c r="A119" s="331"/>
      <c r="B119" s="343"/>
      <c r="C119" s="343"/>
      <c r="D119" s="343"/>
      <c r="E119" s="343"/>
      <c r="F119" s="343"/>
      <c r="G119" s="343"/>
      <c r="H119" s="343"/>
      <c r="I119" s="343"/>
      <c r="J119" s="343"/>
      <c r="K119" s="343"/>
      <c r="L119" s="343"/>
      <c r="M119" s="343"/>
      <c r="N119" s="343"/>
      <c r="O119" s="343"/>
      <c r="P119" s="343"/>
      <c r="Q119" s="343"/>
    </row>
    <row r="120" spans="1:17">
      <c r="A120" s="331"/>
      <c r="B120" s="343"/>
      <c r="C120" s="343"/>
      <c r="D120" s="343"/>
      <c r="E120" s="343"/>
      <c r="F120" s="343"/>
      <c r="G120" s="343"/>
      <c r="H120" s="343"/>
      <c r="I120" s="343"/>
      <c r="J120" s="343"/>
      <c r="K120" s="343"/>
      <c r="L120" s="343"/>
      <c r="M120" s="343"/>
      <c r="N120" s="343"/>
      <c r="O120" s="343"/>
      <c r="P120" s="343"/>
      <c r="Q120" s="343"/>
    </row>
    <row r="121" spans="1:17">
      <c r="A121" s="331"/>
      <c r="B121" s="343"/>
      <c r="C121" s="343"/>
      <c r="D121" s="343"/>
      <c r="E121" s="343"/>
      <c r="F121" s="343"/>
      <c r="G121" s="343"/>
      <c r="H121" s="343"/>
      <c r="I121" s="343"/>
      <c r="J121" s="343"/>
      <c r="K121" s="343"/>
      <c r="L121" s="343"/>
      <c r="M121" s="343"/>
      <c r="N121" s="343"/>
      <c r="O121" s="343"/>
      <c r="P121" s="343"/>
      <c r="Q121" s="343"/>
    </row>
    <row r="122" spans="1:17">
      <c r="A122" s="331"/>
      <c r="B122" s="343"/>
      <c r="C122" s="343"/>
      <c r="D122" s="343"/>
      <c r="E122" s="343"/>
      <c r="F122" s="343"/>
      <c r="G122" s="343"/>
      <c r="H122" s="343"/>
      <c r="I122" s="343"/>
      <c r="J122" s="343"/>
      <c r="K122" s="343"/>
      <c r="L122" s="343"/>
      <c r="M122" s="343"/>
      <c r="N122" s="343"/>
      <c r="O122" s="343"/>
      <c r="P122" s="343"/>
      <c r="Q122" s="343"/>
    </row>
    <row r="123" spans="1:17">
      <c r="A123" s="331"/>
      <c r="B123" s="343"/>
      <c r="C123" s="343"/>
      <c r="D123" s="343"/>
      <c r="E123" s="343"/>
      <c r="F123" s="343"/>
      <c r="G123" s="343"/>
      <c r="H123" s="343"/>
      <c r="I123" s="343"/>
      <c r="J123" s="343"/>
      <c r="K123" s="343"/>
      <c r="L123" s="343"/>
      <c r="M123" s="343"/>
      <c r="N123" s="343"/>
      <c r="O123" s="343"/>
      <c r="P123" s="343"/>
      <c r="Q123" s="343"/>
    </row>
    <row r="124" spans="1:17">
      <c r="A124" s="331"/>
      <c r="B124" s="343"/>
      <c r="C124" s="343"/>
      <c r="D124" s="343"/>
      <c r="E124" s="343"/>
      <c r="F124" s="343"/>
      <c r="G124" s="343"/>
      <c r="H124" s="343"/>
      <c r="I124" s="343"/>
      <c r="J124" s="343"/>
      <c r="K124" s="343"/>
      <c r="L124" s="343"/>
      <c r="M124" s="343"/>
      <c r="N124" s="343"/>
      <c r="O124" s="343"/>
      <c r="P124" s="343"/>
      <c r="Q124" s="343"/>
    </row>
    <row r="125" spans="1:17">
      <c r="A125" s="331"/>
      <c r="B125" s="343"/>
      <c r="C125" s="343"/>
      <c r="D125" s="343"/>
      <c r="E125" s="343"/>
      <c r="F125" s="343"/>
      <c r="G125" s="343"/>
      <c r="H125" s="343"/>
      <c r="I125" s="343"/>
      <c r="J125" s="343"/>
      <c r="K125" s="343"/>
      <c r="L125" s="343"/>
      <c r="M125" s="343"/>
      <c r="N125" s="343"/>
      <c r="O125" s="343"/>
      <c r="P125" s="343"/>
      <c r="Q125" s="343"/>
    </row>
    <row r="126" spans="1:17">
      <c r="A126" s="331"/>
      <c r="B126" s="343"/>
      <c r="C126" s="343"/>
      <c r="D126" s="343"/>
      <c r="E126" s="343"/>
      <c r="F126" s="343"/>
      <c r="G126" s="343"/>
      <c r="H126" s="343"/>
      <c r="I126" s="343"/>
      <c r="J126" s="343"/>
      <c r="K126" s="343"/>
      <c r="L126" s="343"/>
      <c r="M126" s="343"/>
      <c r="N126" s="343"/>
      <c r="O126" s="343"/>
      <c r="P126" s="343"/>
      <c r="Q126" s="343"/>
    </row>
    <row r="127" spans="1:17">
      <c r="A127" s="331"/>
      <c r="B127" s="343"/>
      <c r="C127" s="343"/>
      <c r="D127" s="343"/>
      <c r="E127" s="343"/>
      <c r="F127" s="343"/>
      <c r="G127" s="343"/>
      <c r="H127" s="343"/>
      <c r="I127" s="343"/>
      <c r="J127" s="343"/>
      <c r="K127" s="343"/>
      <c r="L127" s="343"/>
      <c r="M127" s="343"/>
      <c r="N127" s="343"/>
      <c r="O127" s="343"/>
      <c r="P127" s="343"/>
      <c r="Q127" s="343"/>
    </row>
    <row r="128" spans="1:17">
      <c r="A128" s="331"/>
      <c r="B128" s="343"/>
      <c r="C128" s="343"/>
      <c r="D128" s="343"/>
      <c r="E128" s="343"/>
      <c r="F128" s="343"/>
      <c r="G128" s="343"/>
      <c r="H128" s="343"/>
      <c r="I128" s="343"/>
      <c r="J128" s="343"/>
      <c r="K128" s="343"/>
      <c r="L128" s="343"/>
      <c r="M128" s="343"/>
      <c r="N128" s="343"/>
      <c r="O128" s="343"/>
      <c r="P128" s="343"/>
      <c r="Q128" s="343"/>
    </row>
    <row r="129" spans="1:17">
      <c r="A129" s="331"/>
      <c r="B129" s="343"/>
      <c r="C129" s="343"/>
      <c r="D129" s="343"/>
      <c r="E129" s="343"/>
      <c r="F129" s="343"/>
      <c r="G129" s="343"/>
      <c r="H129" s="343"/>
      <c r="I129" s="343"/>
      <c r="J129" s="343"/>
      <c r="K129" s="343"/>
      <c r="L129" s="343"/>
      <c r="M129" s="343"/>
      <c r="N129" s="343"/>
      <c r="O129" s="343"/>
      <c r="P129" s="343"/>
      <c r="Q129" s="343"/>
    </row>
    <row r="130" spans="1:17">
      <c r="A130" s="331"/>
      <c r="B130" s="343"/>
      <c r="C130" s="343"/>
      <c r="D130" s="343"/>
      <c r="E130" s="343"/>
      <c r="F130" s="343"/>
      <c r="G130" s="343"/>
      <c r="H130" s="343"/>
      <c r="I130" s="343"/>
      <c r="J130" s="343"/>
      <c r="K130" s="343"/>
      <c r="L130" s="343"/>
      <c r="M130" s="343"/>
      <c r="N130" s="343"/>
      <c r="O130" s="343"/>
      <c r="P130" s="343"/>
      <c r="Q130" s="343"/>
    </row>
    <row r="131" spans="1:17">
      <c r="A131" s="331"/>
      <c r="B131" s="343"/>
      <c r="C131" s="343"/>
      <c r="D131" s="343"/>
      <c r="E131" s="343"/>
      <c r="F131" s="343"/>
      <c r="G131" s="343"/>
      <c r="H131" s="343"/>
      <c r="I131" s="343"/>
      <c r="J131" s="343"/>
      <c r="K131" s="343"/>
      <c r="L131" s="343"/>
      <c r="M131" s="343"/>
      <c r="N131" s="343"/>
      <c r="O131" s="343"/>
      <c r="P131" s="343"/>
      <c r="Q131" s="343"/>
    </row>
    <row r="132" spans="1:17">
      <c r="A132" s="331"/>
      <c r="B132" s="343"/>
      <c r="C132" s="343"/>
      <c r="D132" s="343"/>
      <c r="E132" s="343"/>
      <c r="F132" s="343"/>
      <c r="G132" s="343"/>
      <c r="H132" s="343"/>
      <c r="I132" s="343"/>
      <c r="J132" s="343"/>
      <c r="K132" s="343"/>
      <c r="L132" s="343"/>
      <c r="M132" s="343"/>
      <c r="N132" s="343"/>
      <c r="O132" s="343"/>
      <c r="P132" s="343"/>
      <c r="Q132" s="343"/>
    </row>
    <row r="133" spans="1:17">
      <c r="A133" s="331"/>
      <c r="B133" s="343"/>
      <c r="C133" s="343"/>
      <c r="D133" s="343"/>
      <c r="E133" s="343"/>
      <c r="F133" s="343"/>
      <c r="G133" s="343"/>
      <c r="H133" s="343"/>
      <c r="I133" s="343"/>
      <c r="J133" s="343"/>
      <c r="K133" s="343"/>
      <c r="L133" s="343"/>
      <c r="M133" s="343"/>
      <c r="N133" s="343"/>
      <c r="O133" s="343"/>
      <c r="P133" s="343"/>
      <c r="Q133" s="343"/>
    </row>
    <row r="134" spans="1:17">
      <c r="A134" s="331"/>
      <c r="B134" s="343"/>
      <c r="C134" s="343"/>
      <c r="D134" s="343"/>
      <c r="E134" s="343"/>
      <c r="F134" s="343"/>
      <c r="G134" s="343"/>
      <c r="H134" s="343"/>
      <c r="I134" s="343"/>
      <c r="J134" s="343"/>
      <c r="K134" s="343"/>
      <c r="L134" s="343"/>
      <c r="M134" s="343"/>
      <c r="N134" s="343"/>
      <c r="O134" s="343"/>
      <c r="P134" s="343"/>
      <c r="Q134" s="343"/>
    </row>
    <row r="135" spans="1:17">
      <c r="A135" s="331"/>
      <c r="B135" s="343"/>
      <c r="C135" s="343"/>
      <c r="D135" s="343"/>
      <c r="E135" s="343"/>
      <c r="F135" s="343"/>
      <c r="G135" s="343"/>
      <c r="H135" s="343"/>
      <c r="I135" s="343"/>
      <c r="J135" s="343"/>
      <c r="K135" s="343"/>
      <c r="L135" s="343"/>
      <c r="M135" s="343"/>
      <c r="N135" s="343"/>
      <c r="O135" s="343"/>
      <c r="P135" s="343"/>
      <c r="Q135" s="343"/>
    </row>
    <row r="136" spans="1:17">
      <c r="A136" s="331"/>
      <c r="B136" s="343"/>
      <c r="C136" s="343"/>
      <c r="D136" s="343"/>
      <c r="E136" s="343"/>
      <c r="F136" s="343"/>
      <c r="G136" s="343"/>
      <c r="H136" s="343"/>
      <c r="I136" s="343"/>
      <c r="J136" s="343"/>
      <c r="K136" s="343"/>
      <c r="L136" s="343"/>
      <c r="M136" s="343"/>
      <c r="N136" s="343"/>
      <c r="O136" s="343"/>
      <c r="P136" s="343"/>
      <c r="Q136" s="343"/>
    </row>
    <row r="137" spans="1:17">
      <c r="A137" s="331"/>
      <c r="B137" s="343"/>
      <c r="C137" s="343"/>
      <c r="D137" s="343"/>
      <c r="E137" s="343"/>
      <c r="F137" s="343"/>
      <c r="G137" s="343"/>
      <c r="H137" s="343"/>
      <c r="I137" s="343"/>
      <c r="J137" s="343"/>
      <c r="K137" s="343"/>
      <c r="L137" s="343"/>
      <c r="M137" s="343"/>
      <c r="N137" s="343"/>
      <c r="O137" s="343"/>
      <c r="P137" s="343"/>
      <c r="Q137" s="343"/>
    </row>
    <row r="138" spans="1:17">
      <c r="A138" s="331"/>
      <c r="B138" s="343"/>
      <c r="C138" s="343"/>
      <c r="D138" s="343"/>
      <c r="E138" s="343"/>
      <c r="F138" s="343"/>
      <c r="G138" s="343"/>
      <c r="H138" s="343"/>
      <c r="I138" s="343"/>
      <c r="J138" s="343"/>
      <c r="K138" s="343"/>
      <c r="L138" s="343"/>
      <c r="M138" s="343"/>
      <c r="N138" s="343"/>
      <c r="O138" s="343"/>
      <c r="P138" s="343"/>
      <c r="Q138" s="343"/>
    </row>
    <row r="139" spans="1:17">
      <c r="A139" s="331"/>
      <c r="B139" s="343"/>
      <c r="C139" s="343"/>
      <c r="D139" s="343"/>
      <c r="E139" s="343"/>
      <c r="F139" s="343"/>
      <c r="G139" s="343"/>
      <c r="H139" s="343"/>
      <c r="I139" s="343"/>
      <c r="J139" s="343"/>
      <c r="K139" s="343"/>
      <c r="L139" s="343"/>
      <c r="M139" s="343"/>
      <c r="N139" s="343"/>
      <c r="O139" s="343"/>
      <c r="P139" s="343"/>
      <c r="Q139" s="343"/>
    </row>
    <row r="140" spans="1:17">
      <c r="A140" s="331"/>
      <c r="B140" s="343"/>
      <c r="C140" s="343"/>
      <c r="D140" s="343"/>
      <c r="E140" s="343"/>
      <c r="F140" s="343"/>
      <c r="G140" s="343"/>
      <c r="H140" s="343"/>
      <c r="I140" s="343"/>
      <c r="J140" s="343"/>
      <c r="K140" s="343"/>
      <c r="L140" s="343"/>
      <c r="M140" s="343"/>
      <c r="N140" s="343"/>
      <c r="O140" s="343"/>
      <c r="P140" s="343"/>
      <c r="Q140" s="343"/>
    </row>
    <row r="141" spans="1:17">
      <c r="A141" s="331"/>
      <c r="B141" s="343"/>
      <c r="C141" s="343"/>
      <c r="D141" s="343"/>
      <c r="E141" s="343"/>
      <c r="F141" s="343"/>
      <c r="G141" s="343"/>
      <c r="H141" s="343"/>
      <c r="I141" s="343"/>
      <c r="J141" s="343"/>
      <c r="K141" s="343"/>
      <c r="L141" s="343"/>
      <c r="M141" s="343"/>
      <c r="N141" s="343"/>
      <c r="O141" s="343"/>
      <c r="P141" s="343"/>
      <c r="Q141" s="343"/>
    </row>
    <row r="142" spans="1:17">
      <c r="A142" s="331"/>
      <c r="B142" s="343"/>
      <c r="C142" s="343"/>
      <c r="D142" s="343"/>
      <c r="E142" s="343"/>
      <c r="F142" s="343"/>
      <c r="G142" s="343"/>
      <c r="H142" s="343"/>
      <c r="I142" s="343"/>
      <c r="J142" s="343"/>
      <c r="K142" s="343"/>
      <c r="L142" s="343"/>
      <c r="M142" s="343"/>
      <c r="N142" s="343"/>
      <c r="O142" s="343"/>
      <c r="P142" s="343"/>
      <c r="Q142" s="343"/>
    </row>
    <row r="143" spans="1:17">
      <c r="A143" s="331"/>
      <c r="B143" s="343"/>
      <c r="C143" s="343"/>
      <c r="D143" s="343"/>
      <c r="E143" s="343"/>
      <c r="F143" s="343"/>
      <c r="G143" s="343"/>
      <c r="H143" s="343"/>
      <c r="I143" s="343"/>
      <c r="J143" s="343"/>
      <c r="K143" s="343"/>
      <c r="L143" s="343"/>
      <c r="M143" s="343"/>
      <c r="N143" s="343"/>
      <c r="O143" s="343"/>
      <c r="P143" s="343"/>
      <c r="Q143" s="343"/>
    </row>
    <row r="144" spans="1:17">
      <c r="A144" s="331"/>
      <c r="B144" s="343"/>
      <c r="C144" s="343"/>
      <c r="D144" s="343"/>
      <c r="E144" s="343"/>
      <c r="F144" s="343"/>
      <c r="G144" s="343"/>
      <c r="H144" s="343"/>
      <c r="I144" s="343"/>
      <c r="J144" s="343"/>
      <c r="K144" s="343"/>
      <c r="L144" s="343"/>
      <c r="M144" s="343"/>
      <c r="N144" s="343"/>
      <c r="O144" s="343"/>
      <c r="P144" s="343"/>
      <c r="Q144" s="343"/>
    </row>
    <row r="145" spans="1:17">
      <c r="A145" s="331"/>
      <c r="B145" s="343"/>
      <c r="C145" s="343"/>
      <c r="D145" s="343"/>
      <c r="E145" s="343"/>
      <c r="F145" s="343"/>
      <c r="G145" s="343"/>
      <c r="H145" s="343"/>
      <c r="I145" s="343"/>
      <c r="J145" s="343"/>
      <c r="K145" s="343"/>
      <c r="L145" s="343"/>
      <c r="M145" s="343"/>
      <c r="N145" s="343"/>
      <c r="O145" s="343"/>
      <c r="P145" s="343"/>
      <c r="Q145" s="343"/>
    </row>
    <row r="146" spans="1:17">
      <c r="A146" s="331"/>
      <c r="B146" s="343"/>
      <c r="C146" s="343"/>
      <c r="D146" s="343"/>
      <c r="E146" s="343"/>
      <c r="F146" s="343"/>
      <c r="G146" s="343"/>
      <c r="H146" s="343"/>
      <c r="I146" s="343"/>
      <c r="J146" s="343"/>
      <c r="K146" s="343"/>
      <c r="L146" s="343"/>
      <c r="M146" s="343"/>
      <c r="N146" s="343"/>
      <c r="O146" s="343"/>
      <c r="P146" s="343"/>
      <c r="Q146" s="343"/>
    </row>
    <row r="147" spans="1:17">
      <c r="A147" s="331"/>
      <c r="B147" s="343"/>
      <c r="C147" s="343"/>
      <c r="D147" s="343"/>
      <c r="E147" s="343"/>
      <c r="F147" s="343"/>
      <c r="G147" s="343"/>
      <c r="H147" s="343"/>
      <c r="I147" s="343"/>
      <c r="J147" s="343"/>
      <c r="K147" s="343"/>
      <c r="L147" s="343"/>
      <c r="M147" s="343"/>
      <c r="N147" s="343"/>
      <c r="O147" s="343"/>
      <c r="P147" s="343"/>
      <c r="Q147" s="343"/>
    </row>
    <row r="148" spans="1:17">
      <c r="A148" s="331"/>
      <c r="B148" s="343"/>
      <c r="C148" s="343"/>
      <c r="D148" s="343"/>
      <c r="E148" s="343"/>
      <c r="F148" s="343"/>
      <c r="G148" s="343"/>
      <c r="H148" s="343"/>
      <c r="I148" s="343"/>
      <c r="J148" s="343"/>
      <c r="K148" s="343"/>
      <c r="L148" s="343"/>
      <c r="M148" s="343"/>
      <c r="N148" s="343"/>
      <c r="O148" s="343"/>
      <c r="P148" s="343"/>
      <c r="Q148" s="343"/>
    </row>
    <row r="149" spans="1:17">
      <c r="A149" s="331"/>
      <c r="B149" s="343"/>
      <c r="C149" s="343"/>
      <c r="D149" s="343"/>
      <c r="E149" s="343"/>
      <c r="F149" s="343"/>
      <c r="G149" s="343"/>
      <c r="H149" s="343"/>
      <c r="I149" s="343"/>
      <c r="J149" s="343"/>
      <c r="K149" s="343"/>
      <c r="L149" s="343"/>
      <c r="M149" s="343"/>
      <c r="N149" s="343"/>
      <c r="O149" s="343"/>
      <c r="P149" s="343"/>
      <c r="Q149" s="343"/>
    </row>
    <row r="150" spans="1:17">
      <c r="A150" s="331"/>
      <c r="B150" s="343"/>
      <c r="C150" s="343"/>
      <c r="D150" s="343"/>
      <c r="E150" s="343"/>
      <c r="F150" s="343"/>
      <c r="G150" s="343"/>
      <c r="H150" s="343"/>
      <c r="I150" s="343"/>
      <c r="J150" s="343"/>
      <c r="K150" s="343"/>
      <c r="L150" s="343"/>
      <c r="M150" s="343"/>
      <c r="N150" s="343"/>
      <c r="O150" s="343"/>
      <c r="P150" s="343"/>
      <c r="Q150" s="343"/>
    </row>
    <row r="151" spans="1:17">
      <c r="A151" s="331"/>
      <c r="B151" s="343"/>
      <c r="C151" s="343"/>
      <c r="D151" s="343"/>
      <c r="E151" s="343"/>
      <c r="F151" s="343"/>
      <c r="G151" s="343"/>
      <c r="H151" s="343"/>
      <c r="I151" s="343"/>
      <c r="J151" s="343"/>
      <c r="K151" s="343"/>
      <c r="L151" s="343"/>
      <c r="M151" s="343"/>
      <c r="N151" s="343"/>
      <c r="O151" s="343"/>
      <c r="P151" s="343"/>
      <c r="Q151" s="343"/>
    </row>
    <row r="152" spans="1:17">
      <c r="A152" s="331"/>
      <c r="B152" s="343"/>
      <c r="C152" s="343"/>
      <c r="D152" s="343"/>
      <c r="E152" s="343"/>
      <c r="F152" s="343"/>
      <c r="G152" s="343"/>
      <c r="H152" s="343"/>
      <c r="I152" s="343"/>
      <c r="J152" s="343"/>
      <c r="K152" s="343"/>
      <c r="L152" s="343"/>
      <c r="M152" s="343"/>
      <c r="N152" s="343"/>
      <c r="O152" s="343"/>
      <c r="P152" s="343"/>
      <c r="Q152" s="343"/>
    </row>
    <row r="153" spans="1:17">
      <c r="A153" s="331"/>
      <c r="B153" s="343"/>
      <c r="C153" s="343"/>
      <c r="D153" s="343"/>
      <c r="E153" s="343"/>
      <c r="F153" s="343"/>
      <c r="G153" s="343"/>
      <c r="H153" s="343"/>
      <c r="I153" s="343"/>
      <c r="J153" s="343"/>
      <c r="K153" s="343"/>
      <c r="L153" s="343"/>
      <c r="M153" s="343"/>
      <c r="N153" s="343"/>
      <c r="O153" s="343"/>
      <c r="P153" s="343"/>
      <c r="Q153" s="343"/>
    </row>
    <row r="154" spans="1:17">
      <c r="A154" s="914"/>
    </row>
    <row r="155" spans="1:17">
      <c r="A155" s="914"/>
    </row>
    <row r="156" spans="1:17">
      <c r="A156" s="914"/>
    </row>
    <row r="157" spans="1:17">
      <c r="A157" s="914"/>
    </row>
    <row r="158" spans="1:17">
      <c r="A158" s="914"/>
    </row>
    <row r="159" spans="1:17">
      <c r="A159" s="914"/>
    </row>
    <row r="160" spans="1:17">
      <c r="A160" s="914"/>
    </row>
    <row r="161" spans="1:47">
      <c r="A161" s="914"/>
    </row>
    <row r="162" spans="1:47">
      <c r="A162" s="914"/>
      <c r="AQ162" s="334" t="str">
        <f>Poeng!B152</f>
        <v>Mat sum</v>
      </c>
      <c r="AR162" s="334">
        <f>Poeng!BQ152</f>
        <v>0</v>
      </c>
      <c r="AS162" s="334">
        <f>Poeng!AI152</f>
        <v>0</v>
      </c>
      <c r="AT162" s="334">
        <f>Poeng!AJ152</f>
        <v>0</v>
      </c>
      <c r="AU162" s="334">
        <f>Poeng!AK152</f>
        <v>0</v>
      </c>
    </row>
    <row r="163" spans="1:47">
      <c r="A163" s="914"/>
      <c r="AQ163" s="334">
        <f>Poeng!B153</f>
        <v>0</v>
      </c>
      <c r="AR163" s="334">
        <f>Poeng!BQ153</f>
        <v>0</v>
      </c>
      <c r="AS163" s="334">
        <f>Poeng!AI153</f>
        <v>0</v>
      </c>
      <c r="AT163" s="334">
        <f>Poeng!AJ153</f>
        <v>0</v>
      </c>
      <c r="AU163" s="334">
        <f>Poeng!AK153</f>
        <v>0</v>
      </c>
    </row>
    <row r="164" spans="1:47">
      <c r="A164" s="914"/>
      <c r="AQ164" s="334">
        <f>Poeng!B154</f>
        <v>0</v>
      </c>
      <c r="AR164" s="334">
        <f>Poeng!BQ154</f>
        <v>0</v>
      </c>
      <c r="AS164" s="334">
        <f>Poeng!AI154</f>
        <v>0</v>
      </c>
      <c r="AT164" s="334">
        <f>Poeng!AJ154</f>
        <v>0</v>
      </c>
      <c r="AU164" s="334">
        <f>Poeng!AK154</f>
        <v>0</v>
      </c>
    </row>
    <row r="165" spans="1:47">
      <c r="A165" s="914"/>
      <c r="AQ165" s="334" t="str">
        <f>Poeng!B155</f>
        <v>Wst 01</v>
      </c>
      <c r="AR165" s="334" t="str">
        <f>Poeng!BQ155</f>
        <v/>
      </c>
      <c r="AS165" s="334">
        <f>Poeng!AI155</f>
        <v>0</v>
      </c>
      <c r="AT165" s="334">
        <f>Poeng!AJ155</f>
        <v>0</v>
      </c>
      <c r="AU165" s="334">
        <f>Poeng!AK155</f>
        <v>0</v>
      </c>
    </row>
    <row r="166" spans="1:47">
      <c r="A166" s="914"/>
      <c r="AQ166" s="334" t="str">
        <f>Poeng!B156</f>
        <v>Wst 01a</v>
      </c>
      <c r="AR166" s="334">
        <f>Poeng!BQ156</f>
        <v>0</v>
      </c>
      <c r="AS166" s="334">
        <f>Poeng!AI156</f>
        <v>0</v>
      </c>
      <c r="AT166" s="334">
        <f>Poeng!AJ156</f>
        <v>0</v>
      </c>
      <c r="AU166" s="334">
        <f>Poeng!AK156</f>
        <v>0</v>
      </c>
    </row>
    <row r="167" spans="1:47">
      <c r="A167" s="914"/>
      <c r="AQ167" s="334" t="str">
        <f>Poeng!B157</f>
        <v>Wst 01b</v>
      </c>
      <c r="AR167" s="334" t="str">
        <f>Poeng!BQ157</f>
        <v/>
      </c>
      <c r="AS167" s="334">
        <f>Poeng!AI157</f>
        <v>0</v>
      </c>
      <c r="AT167" s="334">
        <f>Poeng!AJ157</f>
        <v>0</v>
      </c>
      <c r="AU167" s="334">
        <f>Poeng!AK157</f>
        <v>0</v>
      </c>
    </row>
    <row r="168" spans="1:47">
      <c r="A168" s="914"/>
      <c r="AQ168" s="334" t="str">
        <f>Poeng!B158</f>
        <v>Wst 01c</v>
      </c>
      <c r="AR168" s="334">
        <f>Poeng!BQ158</f>
        <v>0</v>
      </c>
      <c r="AS168" s="334">
        <f>Poeng!AI158</f>
        <v>0</v>
      </c>
      <c r="AT168" s="334">
        <f>Poeng!AJ158</f>
        <v>0</v>
      </c>
      <c r="AU168" s="334">
        <f>Poeng!AK158</f>
        <v>0</v>
      </c>
    </row>
    <row r="169" spans="1:47">
      <c r="A169" s="914"/>
      <c r="AQ169" s="334">
        <f>Poeng!B159</f>
        <v>0</v>
      </c>
      <c r="AR169" s="334" t="str">
        <f>Poeng!BQ159</f>
        <v/>
      </c>
      <c r="AS169" s="334">
        <f>Poeng!AI159</f>
        <v>0</v>
      </c>
      <c r="AT169" s="334">
        <f>Poeng!AJ159</f>
        <v>0</v>
      </c>
      <c r="AU169" s="334">
        <f>Poeng!AK159</f>
        <v>0</v>
      </c>
    </row>
    <row r="170" spans="1:47">
      <c r="A170" s="914"/>
      <c r="AQ170" s="334" t="str">
        <f>Poeng!B160</f>
        <v>Wst 03a</v>
      </c>
      <c r="AR170" s="334" t="str">
        <f>Poeng!BQ160</f>
        <v/>
      </c>
      <c r="AS170" s="334">
        <f>Poeng!AI160</f>
        <v>0</v>
      </c>
      <c r="AT170" s="334">
        <f>Poeng!AJ160</f>
        <v>0</v>
      </c>
      <c r="AU170" s="334">
        <f>Poeng!AK160</f>
        <v>0</v>
      </c>
    </row>
    <row r="171" spans="1:47">
      <c r="A171" s="914"/>
      <c r="AQ171" s="334" t="str">
        <f>Poeng!B161</f>
        <v>Wst 03aa</v>
      </c>
      <c r="AR171" s="334" t="str">
        <f>Poeng!BQ161</f>
        <v/>
      </c>
      <c r="AS171" s="334">
        <f>Poeng!AI161</f>
        <v>0</v>
      </c>
      <c r="AT171" s="334">
        <f>Poeng!AJ161</f>
        <v>0</v>
      </c>
      <c r="AU171" s="334">
        <f>Poeng!AK161</f>
        <v>0</v>
      </c>
    </row>
    <row r="172" spans="1:47">
      <c r="A172" s="914"/>
      <c r="AQ172" s="334" t="str">
        <f>Poeng!B162</f>
        <v>Wst 03b</v>
      </c>
      <c r="AR172" s="334" t="str">
        <f>Poeng!BQ162</f>
        <v/>
      </c>
      <c r="AS172" s="334">
        <f>Poeng!AI162</f>
        <v>0</v>
      </c>
      <c r="AT172" s="334">
        <f>Poeng!AJ162</f>
        <v>0</v>
      </c>
      <c r="AU172" s="334">
        <f>Poeng!AK162</f>
        <v>0</v>
      </c>
    </row>
    <row r="173" spans="1:47">
      <c r="A173" s="914"/>
      <c r="AQ173" s="334" t="str">
        <f>Poeng!B163</f>
        <v>Wst 03ba</v>
      </c>
      <c r="AR173" s="334" t="str">
        <f>Poeng!BQ163</f>
        <v/>
      </c>
      <c r="AS173" s="334">
        <f>Poeng!AI163</f>
        <v>0</v>
      </c>
      <c r="AT173" s="334">
        <f>Poeng!AJ163</f>
        <v>0</v>
      </c>
      <c r="AU173" s="334">
        <f>Poeng!AK163</f>
        <v>0</v>
      </c>
    </row>
    <row r="174" spans="1:47">
      <c r="A174" s="914"/>
      <c r="AQ174" s="334" t="str">
        <f>Poeng!B164</f>
        <v>Wst 04</v>
      </c>
      <c r="AR174" s="334" t="str">
        <f>Poeng!BQ164</f>
        <v/>
      </c>
      <c r="AS174" s="334">
        <f>Poeng!AI164</f>
        <v>0</v>
      </c>
      <c r="AT174" s="334">
        <f>Poeng!AJ164</f>
        <v>0</v>
      </c>
      <c r="AU174" s="334">
        <f>Poeng!AK164</f>
        <v>0</v>
      </c>
    </row>
    <row r="175" spans="1:47">
      <c r="A175" s="914"/>
      <c r="AQ175" s="334" t="str">
        <f>Poeng!B165</f>
        <v>Wst 04a</v>
      </c>
      <c r="AR175" s="334" t="str">
        <f>Poeng!BQ165</f>
        <v/>
      </c>
      <c r="AS175" s="334">
        <f>Poeng!AI165</f>
        <v>0</v>
      </c>
      <c r="AT175" s="334">
        <f>Poeng!AJ165</f>
        <v>0</v>
      </c>
      <c r="AU175" s="334">
        <f>Poeng!AK165</f>
        <v>0</v>
      </c>
    </row>
    <row r="176" spans="1:47">
      <c r="A176" s="914"/>
      <c r="AQ176" s="334" t="str">
        <f>Poeng!B166</f>
        <v>Wst sum</v>
      </c>
      <c r="AR176" s="334">
        <f>Poeng!BQ166</f>
        <v>0</v>
      </c>
      <c r="AS176" s="334">
        <f>Poeng!AI166</f>
        <v>0</v>
      </c>
      <c r="AT176" s="334">
        <f>Poeng!AJ166</f>
        <v>0</v>
      </c>
      <c r="AU176" s="334">
        <f>Poeng!AK166</f>
        <v>0</v>
      </c>
    </row>
    <row r="177" spans="1:47">
      <c r="A177" s="914"/>
      <c r="AQ177" s="334">
        <f>Poeng!B167</f>
        <v>0</v>
      </c>
      <c r="AR177" s="334">
        <f>Poeng!BQ167</f>
        <v>0</v>
      </c>
      <c r="AS177" s="334">
        <f>Poeng!AI167</f>
        <v>0</v>
      </c>
      <c r="AT177" s="334">
        <f>Poeng!AJ167</f>
        <v>0</v>
      </c>
      <c r="AU177" s="334">
        <f>Poeng!AK167</f>
        <v>0</v>
      </c>
    </row>
    <row r="178" spans="1:47">
      <c r="A178" s="914"/>
      <c r="AQ178" s="334">
        <f>Poeng!B168</f>
        <v>0</v>
      </c>
      <c r="AR178" s="334">
        <f>Poeng!BQ168</f>
        <v>0</v>
      </c>
      <c r="AS178" s="334">
        <f>Poeng!AI168</f>
        <v>0</v>
      </c>
      <c r="AT178" s="334">
        <f>Poeng!AJ168</f>
        <v>0</v>
      </c>
      <c r="AU178" s="334">
        <f>Poeng!AK168</f>
        <v>0</v>
      </c>
    </row>
    <row r="179" spans="1:47">
      <c r="A179" s="914"/>
      <c r="AQ179" s="334" t="str">
        <f>Poeng!B169</f>
        <v>LE 01</v>
      </c>
      <c r="AR179" s="334" t="str">
        <f>Poeng!BQ169</f>
        <v/>
      </c>
      <c r="AS179" s="334">
        <f>Poeng!AI169</f>
        <v>0</v>
      </c>
      <c r="AT179" s="334">
        <f>Poeng!AJ169</f>
        <v>0</v>
      </c>
      <c r="AU179" s="334">
        <f>Poeng!AK169</f>
        <v>0</v>
      </c>
    </row>
    <row r="180" spans="1:47">
      <c r="A180" s="914"/>
      <c r="AQ180" s="334" t="str">
        <f>Poeng!B170</f>
        <v>LE 01a</v>
      </c>
      <c r="AR180" s="334" t="str">
        <f>Poeng!BQ170</f>
        <v/>
      </c>
      <c r="AS180" s="334">
        <f>Poeng!AI170</f>
        <v>0</v>
      </c>
      <c r="AT180" s="334">
        <f>Poeng!AJ170</f>
        <v>0</v>
      </c>
      <c r="AU180" s="334">
        <f>Poeng!AK170</f>
        <v>0</v>
      </c>
    </row>
    <row r="181" spans="1:47">
      <c r="A181" s="914"/>
      <c r="AQ181" s="334" t="str">
        <f>Poeng!B171</f>
        <v>LE 02</v>
      </c>
      <c r="AR181" s="334" t="str">
        <f>Poeng!BQ171</f>
        <v/>
      </c>
      <c r="AS181" s="334">
        <f>Poeng!AI171</f>
        <v>0</v>
      </c>
      <c r="AT181" s="334">
        <f>Poeng!AJ171</f>
        <v>0</v>
      </c>
      <c r="AU181" s="334">
        <f>Poeng!AK171</f>
        <v>0</v>
      </c>
    </row>
    <row r="182" spans="1:47">
      <c r="A182" s="914"/>
      <c r="AQ182" s="334">
        <f>Poeng!B172</f>
        <v>0</v>
      </c>
      <c r="AR182" s="334" t="str">
        <f>Poeng!BQ172</f>
        <v/>
      </c>
      <c r="AS182" s="334">
        <f>Poeng!AI172</f>
        <v>0</v>
      </c>
      <c r="AT182" s="334">
        <f>Poeng!AJ172</f>
        <v>0</v>
      </c>
      <c r="AU182" s="334">
        <f>Poeng!AK172</f>
        <v>0</v>
      </c>
    </row>
    <row r="183" spans="1:47">
      <c r="A183" s="914"/>
    </row>
    <row r="184" spans="1:47">
      <c r="A184" s="914"/>
      <c r="AQ184" s="334" t="str">
        <f>Poeng!B174</f>
        <v>LE 02c</v>
      </c>
      <c r="AR184" s="334">
        <f>Poeng!BQ174</f>
        <v>0</v>
      </c>
      <c r="AS184" s="334">
        <f>Poeng!AI174</f>
        <v>0</v>
      </c>
      <c r="AT184" s="334">
        <f>Poeng!AJ174</f>
        <v>0</v>
      </c>
      <c r="AU184" s="334">
        <f>Poeng!AK174</f>
        <v>0</v>
      </c>
    </row>
    <row r="185" spans="1:47">
      <c r="A185" s="914"/>
      <c r="AQ185" s="334" t="str">
        <f>Poeng!B175</f>
        <v>LE 03</v>
      </c>
      <c r="AR185" s="334" t="str">
        <f>Poeng!BQ175</f>
        <v/>
      </c>
      <c r="AS185" s="334">
        <f>Poeng!AI175</f>
        <v>0</v>
      </c>
      <c r="AT185" s="334">
        <f>Poeng!AJ175</f>
        <v>0</v>
      </c>
      <c r="AU185" s="334">
        <f>Poeng!AK175</f>
        <v>0</v>
      </c>
    </row>
    <row r="186" spans="1:47">
      <c r="A186" s="914"/>
      <c r="AQ186" s="334">
        <f>Poeng!B176</f>
        <v>0</v>
      </c>
      <c r="AR186" s="334" t="str">
        <f>Poeng!BQ176</f>
        <v/>
      </c>
      <c r="AS186" s="334">
        <f>Poeng!AI176</f>
        <v>0</v>
      </c>
      <c r="AT186" s="334">
        <f>Poeng!AJ176</f>
        <v>0</v>
      </c>
      <c r="AU186" s="334">
        <f>Poeng!AK176</f>
        <v>0</v>
      </c>
    </row>
    <row r="187" spans="1:47">
      <c r="A187" s="914"/>
      <c r="AQ187" s="334" t="str">
        <f>Poeng!B177</f>
        <v>LE 03b</v>
      </c>
      <c r="AR187" s="334" t="str">
        <f>Poeng!BQ177</f>
        <v/>
      </c>
      <c r="AS187" s="334">
        <f>Poeng!AI177</f>
        <v>0</v>
      </c>
      <c r="AT187" s="334">
        <f>Poeng!AJ177</f>
        <v>0</v>
      </c>
      <c r="AU187" s="334">
        <f>Poeng!AK177</f>
        <v>0</v>
      </c>
    </row>
    <row r="188" spans="1:47">
      <c r="A188" s="914"/>
      <c r="AQ188" s="334" t="str">
        <f>Poeng!B178</f>
        <v>LE 03c</v>
      </c>
      <c r="AR188" s="334" t="str">
        <f>Poeng!BQ178</f>
        <v/>
      </c>
      <c r="AS188" s="334">
        <f>Poeng!AI178</f>
        <v>0</v>
      </c>
      <c r="AT188" s="334">
        <f>Poeng!AJ178</f>
        <v>0</v>
      </c>
      <c r="AU188" s="334">
        <f>Poeng!AK178</f>
        <v>0</v>
      </c>
    </row>
    <row r="189" spans="1:47">
      <c r="A189" s="914"/>
      <c r="AQ189" s="334" t="str">
        <f>Poeng!B179</f>
        <v>LE 04</v>
      </c>
      <c r="AR189" s="334" t="str">
        <f>Poeng!BQ179</f>
        <v/>
      </c>
      <c r="AS189" s="334">
        <f>Poeng!AI179</f>
        <v>0</v>
      </c>
      <c r="AT189" s="334">
        <f>Poeng!AJ179</f>
        <v>0</v>
      </c>
      <c r="AU189" s="334">
        <f>Poeng!AK179</f>
        <v>0</v>
      </c>
    </row>
    <row r="190" spans="1:47">
      <c r="A190" s="914"/>
      <c r="AQ190" s="334">
        <f>Poeng!B180</f>
        <v>0</v>
      </c>
      <c r="AR190" s="334" t="str">
        <f>Poeng!BQ180</f>
        <v/>
      </c>
      <c r="AS190" s="334">
        <f>Poeng!AI180</f>
        <v>0</v>
      </c>
      <c r="AT190" s="334">
        <f>Poeng!AJ180</f>
        <v>0</v>
      </c>
      <c r="AU190" s="334">
        <f>Poeng!AK180</f>
        <v>0</v>
      </c>
    </row>
    <row r="191" spans="1:47">
      <c r="A191" s="914"/>
      <c r="AQ191" s="334" t="str">
        <f>Poeng!B181</f>
        <v>LE 04b</v>
      </c>
      <c r="AR191" s="334" t="str">
        <f>Poeng!BQ181</f>
        <v/>
      </c>
      <c r="AS191" s="334">
        <f>Poeng!AI181</f>
        <v>0</v>
      </c>
      <c r="AT191" s="334">
        <f>Poeng!AJ181</f>
        <v>0</v>
      </c>
      <c r="AU191" s="334">
        <f>Poeng!AK181</f>
        <v>0</v>
      </c>
    </row>
    <row r="192" spans="1:47">
      <c r="A192" s="914"/>
      <c r="AQ192" s="334" t="str">
        <f>Poeng!B182</f>
        <v>LE 04c</v>
      </c>
      <c r="AR192" s="334" t="str">
        <f>Poeng!BQ182</f>
        <v/>
      </c>
      <c r="AS192" s="334">
        <f>Poeng!AI182</f>
        <v>0</v>
      </c>
      <c r="AT192" s="334">
        <f>Poeng!AJ182</f>
        <v>0</v>
      </c>
      <c r="AU192" s="334">
        <f>Poeng!AK182</f>
        <v>0</v>
      </c>
    </row>
    <row r="193" spans="1:47">
      <c r="A193" s="914"/>
      <c r="AQ193" s="334" t="str">
        <f>Poeng!B183</f>
        <v>LE 05</v>
      </c>
      <c r="AR193" s="334" t="str">
        <f>Poeng!BQ183</f>
        <v/>
      </c>
      <c r="AS193" s="334">
        <f>Poeng!AI183</f>
        <v>0</v>
      </c>
      <c r="AT193" s="334">
        <f>Poeng!AJ183</f>
        <v>0</v>
      </c>
      <c r="AU193" s="334">
        <f>Poeng!AK183</f>
        <v>0</v>
      </c>
    </row>
    <row r="194" spans="1:47">
      <c r="A194" s="914"/>
      <c r="AQ194" s="334">
        <f>Poeng!B184</f>
        <v>0</v>
      </c>
      <c r="AR194" s="334" t="str">
        <f>Poeng!BQ184</f>
        <v/>
      </c>
      <c r="AS194" s="334">
        <f>Poeng!AI184</f>
        <v>0</v>
      </c>
      <c r="AT194" s="334">
        <f>Poeng!AJ184</f>
        <v>0</v>
      </c>
      <c r="AU194" s="334">
        <f>Poeng!AK184</f>
        <v>0</v>
      </c>
    </row>
    <row r="195" spans="1:47">
      <c r="A195" s="914"/>
      <c r="AQ195" s="334" t="str">
        <f>Poeng!B185</f>
        <v>LE 05b</v>
      </c>
      <c r="AR195" s="334" t="str">
        <f>Poeng!BQ185</f>
        <v/>
      </c>
      <c r="AS195" s="334">
        <f>Poeng!AI185</f>
        <v>0</v>
      </c>
      <c r="AT195" s="334">
        <f>Poeng!AJ185</f>
        <v>0</v>
      </c>
      <c r="AU195" s="334">
        <f>Poeng!AK185</f>
        <v>0</v>
      </c>
    </row>
    <row r="196" spans="1:47">
      <c r="A196" s="914"/>
      <c r="AQ196" s="334" t="str">
        <f>Poeng!B186</f>
        <v>LE 05c</v>
      </c>
      <c r="AR196" s="334" t="str">
        <f>Poeng!BQ186</f>
        <v/>
      </c>
      <c r="AS196" s="334">
        <f>Poeng!AI186</f>
        <v>0</v>
      </c>
      <c r="AT196" s="334">
        <f>Poeng!AJ186</f>
        <v>0</v>
      </c>
      <c r="AU196" s="334">
        <f>Poeng!AK186</f>
        <v>0</v>
      </c>
    </row>
    <row r="197" spans="1:47">
      <c r="A197" s="914"/>
      <c r="AQ197" s="334" t="str">
        <f>Poeng!B187</f>
        <v>LE 06</v>
      </c>
      <c r="AR197" s="334" t="str">
        <f>Poeng!BQ187</f>
        <v/>
      </c>
      <c r="AS197" s="334">
        <f>Poeng!AI187</f>
        <v>0</v>
      </c>
      <c r="AT197" s="334">
        <f>Poeng!AJ187</f>
        <v>0</v>
      </c>
      <c r="AU197" s="334">
        <f>Poeng!AK187</f>
        <v>0</v>
      </c>
    </row>
    <row r="198" spans="1:47">
      <c r="A198" s="914"/>
    </row>
    <row r="199" spans="1:47">
      <c r="A199" s="914"/>
      <c r="AQ199" s="334" t="str">
        <f>Poeng!B189</f>
        <v>LE 07</v>
      </c>
      <c r="AR199" s="334" t="str">
        <f>Poeng!BQ189</f>
        <v/>
      </c>
      <c r="AS199" s="334">
        <f>Poeng!AI189</f>
        <v>0</v>
      </c>
      <c r="AT199" s="334">
        <f>Poeng!AJ189</f>
        <v>0</v>
      </c>
      <c r="AU199" s="334">
        <f>Poeng!AK189</f>
        <v>0</v>
      </c>
    </row>
    <row r="200" spans="1:47">
      <c r="A200" s="914"/>
      <c r="AQ200" s="334">
        <f>Poeng!B190</f>
        <v>0</v>
      </c>
      <c r="AR200" s="334" t="str">
        <f>Poeng!BQ190</f>
        <v/>
      </c>
      <c r="AS200" s="334">
        <f>Poeng!AI190</f>
        <v>0</v>
      </c>
      <c r="AT200" s="334">
        <f>Poeng!AJ190</f>
        <v>0</v>
      </c>
      <c r="AU200" s="334">
        <f>Poeng!AK190</f>
        <v>0</v>
      </c>
    </row>
    <row r="201" spans="1:47">
      <c r="A201" s="914"/>
      <c r="AQ201" s="334" t="str">
        <f>Poeng!B191</f>
        <v>LE 07b</v>
      </c>
      <c r="AR201" s="334" t="str">
        <f>Poeng!BQ191</f>
        <v/>
      </c>
      <c r="AS201" s="334">
        <f>Poeng!AI191</f>
        <v>0</v>
      </c>
      <c r="AT201" s="334">
        <f>Poeng!AJ191</f>
        <v>0</v>
      </c>
      <c r="AU201" s="334">
        <f>Poeng!AK191</f>
        <v>0</v>
      </c>
    </row>
    <row r="202" spans="1:47">
      <c r="A202" s="914"/>
      <c r="AQ202" s="334" t="str">
        <f>Poeng!B192</f>
        <v>LE 08</v>
      </c>
      <c r="AR202" s="334" t="str">
        <f>Poeng!BQ192</f>
        <v/>
      </c>
      <c r="AS202" s="334">
        <f>Poeng!AI192</f>
        <v>0</v>
      </c>
      <c r="AT202" s="334">
        <f>Poeng!AJ192</f>
        <v>0</v>
      </c>
      <c r="AU202" s="334">
        <f>Poeng!AK192</f>
        <v>0</v>
      </c>
    </row>
    <row r="203" spans="1:47">
      <c r="A203" s="914"/>
      <c r="AQ203" s="334">
        <f>Poeng!B193</f>
        <v>0</v>
      </c>
      <c r="AR203" s="334" t="str">
        <f>Poeng!BQ193</f>
        <v/>
      </c>
      <c r="AS203" s="334">
        <f>Poeng!AI193</f>
        <v>0</v>
      </c>
      <c r="AT203" s="334">
        <f>Poeng!AJ193</f>
        <v>0</v>
      </c>
      <c r="AU203" s="334">
        <f>Poeng!AK193</f>
        <v>0</v>
      </c>
    </row>
    <row r="204" spans="1:47">
      <c r="A204" s="914"/>
      <c r="AQ204" s="334" t="str">
        <f>Poeng!B194</f>
        <v>LE 08b</v>
      </c>
      <c r="AR204" s="334" t="str">
        <f>Poeng!BQ194</f>
        <v/>
      </c>
      <c r="AS204" s="334">
        <f>Poeng!AI194</f>
        <v>0</v>
      </c>
      <c r="AT204" s="334">
        <f>Poeng!AJ194</f>
        <v>0</v>
      </c>
      <c r="AU204" s="334">
        <f>Poeng!AK194</f>
        <v>0</v>
      </c>
    </row>
    <row r="205" spans="1:47">
      <c r="A205" s="914"/>
      <c r="AQ205" s="334" t="str">
        <f>Poeng!B195</f>
        <v>LE 08c</v>
      </c>
      <c r="AR205" s="334" t="str">
        <f>Poeng!BQ195</f>
        <v/>
      </c>
      <c r="AS205" s="334">
        <f>Poeng!AI195</f>
        <v>0</v>
      </c>
      <c r="AT205" s="334">
        <f>Poeng!AJ195</f>
        <v>0</v>
      </c>
      <c r="AU205" s="334">
        <f>Poeng!AK195</f>
        <v>0</v>
      </c>
    </row>
    <row r="206" spans="1:47">
      <c r="A206" s="914"/>
      <c r="AQ206" s="334" t="str">
        <f>Poeng!B196</f>
        <v>LE 08d</v>
      </c>
      <c r="AR206" s="334" t="str">
        <f>Poeng!BQ196</f>
        <v/>
      </c>
      <c r="AS206" s="334">
        <f>Poeng!AI196</f>
        <v>0</v>
      </c>
      <c r="AT206" s="334">
        <f>Poeng!AJ196</f>
        <v>0</v>
      </c>
      <c r="AU206" s="334">
        <f>Poeng!AK196</f>
        <v>0</v>
      </c>
    </row>
    <row r="207" spans="1:47">
      <c r="A207" s="914"/>
      <c r="AQ207" s="334" t="str">
        <f>Poeng!B197</f>
        <v>LE sum</v>
      </c>
      <c r="AR207" s="334">
        <f>Poeng!BQ197</f>
        <v>0</v>
      </c>
      <c r="AS207" s="334">
        <f>Poeng!AI197</f>
        <v>0</v>
      </c>
      <c r="AT207" s="334">
        <f>Poeng!AJ197</f>
        <v>0</v>
      </c>
      <c r="AU207" s="334">
        <f>Poeng!AK197</f>
        <v>0</v>
      </c>
    </row>
    <row r="208" spans="1:47">
      <c r="A208" s="914"/>
      <c r="AQ208" s="334">
        <f>Poeng!B198</f>
        <v>0</v>
      </c>
      <c r="AR208" s="334">
        <f>Poeng!BQ198</f>
        <v>0</v>
      </c>
      <c r="AS208" s="334">
        <f>Poeng!AI198</f>
        <v>0</v>
      </c>
      <c r="AT208" s="334">
        <f>Poeng!AJ198</f>
        <v>0</v>
      </c>
      <c r="AU208" s="334">
        <f>Poeng!AK198</f>
        <v>0</v>
      </c>
    </row>
    <row r="209" spans="1:47">
      <c r="AQ209" s="334">
        <f>Poeng!B199</f>
        <v>0</v>
      </c>
      <c r="AR209" s="334">
        <f>Poeng!BQ199</f>
        <v>0</v>
      </c>
      <c r="AS209" s="334">
        <f>Poeng!AI199</f>
        <v>0</v>
      </c>
      <c r="AT209" s="334">
        <f>Poeng!AJ199</f>
        <v>0</v>
      </c>
      <c r="AU209" s="334">
        <f>Poeng!AK199</f>
        <v>0</v>
      </c>
    </row>
    <row r="210" spans="1:47">
      <c r="AQ210" s="334" t="str">
        <f>Poeng!B200</f>
        <v>POL 01</v>
      </c>
      <c r="AR210" s="334" t="str">
        <f>Poeng!BQ200</f>
        <v/>
      </c>
      <c r="AS210" s="334">
        <f>Poeng!AI200</f>
        <v>0</v>
      </c>
      <c r="AT210" s="334">
        <f>Poeng!AJ200</f>
        <v>0</v>
      </c>
      <c r="AU210" s="334">
        <f>Poeng!AK200</f>
        <v>0</v>
      </c>
    </row>
    <row r="211" spans="1:47">
      <c r="AQ211" s="334" t="str">
        <f>Poeng!B201</f>
        <v>POL 01a</v>
      </c>
      <c r="AR211" s="334" t="str">
        <f>Poeng!BQ201</f>
        <v/>
      </c>
      <c r="AS211" s="334">
        <f>Poeng!AI201</f>
        <v>0</v>
      </c>
      <c r="AT211" s="334">
        <f>Poeng!AJ201</f>
        <v>0</v>
      </c>
      <c r="AU211" s="334">
        <f>Poeng!AK201</f>
        <v>0</v>
      </c>
    </row>
    <row r="212" spans="1:47">
      <c r="AQ212" s="334" t="str">
        <f>Poeng!B202</f>
        <v>POL 01c</v>
      </c>
      <c r="AR212" s="334" t="str">
        <f>Poeng!BQ202</f>
        <v/>
      </c>
      <c r="AS212" s="334">
        <f>Poeng!AI202</f>
        <v>0</v>
      </c>
      <c r="AT212" s="334">
        <f>Poeng!AJ202</f>
        <v>0</v>
      </c>
      <c r="AU212" s="334">
        <f>Poeng!AK202</f>
        <v>0</v>
      </c>
    </row>
    <row r="213" spans="1:47">
      <c r="A213" s="914"/>
      <c r="AQ213" s="334" t="str">
        <f>Poeng!B203</f>
        <v>POL 01d</v>
      </c>
      <c r="AR213" s="334" t="str">
        <f>Poeng!BQ203</f>
        <v/>
      </c>
      <c r="AS213" s="334">
        <f>Poeng!AI203</f>
        <v>0</v>
      </c>
      <c r="AT213" s="334">
        <f>Poeng!AJ203</f>
        <v>0</v>
      </c>
      <c r="AU213" s="334">
        <f>Poeng!AK203</f>
        <v>0</v>
      </c>
    </row>
    <row r="214" spans="1:47">
      <c r="A214" s="914"/>
      <c r="AQ214" s="334" t="str">
        <f>Poeng!B204</f>
        <v>POL 02</v>
      </c>
      <c r="AR214" s="334" t="str">
        <f>Poeng!BQ204</f>
        <v/>
      </c>
      <c r="AS214" s="334">
        <f>Poeng!AI204</f>
        <v>0</v>
      </c>
      <c r="AT214" s="334">
        <f>Poeng!AJ204</f>
        <v>0</v>
      </c>
      <c r="AU214" s="334">
        <f>Poeng!AK204</f>
        <v>0</v>
      </c>
    </row>
    <row r="215" spans="1:47">
      <c r="A215" s="914"/>
      <c r="AQ215" s="334" t="str">
        <f>Poeng!B205</f>
        <v>POL 02a</v>
      </c>
      <c r="AR215" s="334" t="str">
        <f>Poeng!BQ205</f>
        <v/>
      </c>
      <c r="AS215" s="334">
        <f>Poeng!AI205</f>
        <v>0</v>
      </c>
      <c r="AT215" s="334">
        <f>Poeng!AJ205</f>
        <v>0</v>
      </c>
      <c r="AU215" s="334">
        <f>Poeng!AK205</f>
        <v>0</v>
      </c>
    </row>
    <row r="216" spans="1:47">
      <c r="A216" s="914"/>
      <c r="AQ216" s="334" t="str">
        <f>Poeng!B206</f>
        <v>POL 02b</v>
      </c>
      <c r="AR216" s="334" t="str">
        <f>Poeng!BQ206</f>
        <v/>
      </c>
      <c r="AS216" s="334">
        <f>Poeng!AI206</f>
        <v>0</v>
      </c>
      <c r="AT216" s="334">
        <f>Poeng!AJ206</f>
        <v>0</v>
      </c>
      <c r="AU216" s="334">
        <f>Poeng!AK206</f>
        <v>0</v>
      </c>
    </row>
    <row r="217" spans="1:47">
      <c r="A217" s="914"/>
      <c r="AQ217" s="334">
        <f>Poeng!B207</f>
        <v>0</v>
      </c>
      <c r="AR217" s="334" t="str">
        <f>Poeng!BQ207</f>
        <v/>
      </c>
      <c r="AS217" s="334">
        <f>Poeng!AI207</f>
        <v>0</v>
      </c>
      <c r="AT217" s="334">
        <f>Poeng!AJ207</f>
        <v>0</v>
      </c>
      <c r="AU217" s="334">
        <f>Poeng!AK207</f>
        <v>0</v>
      </c>
    </row>
    <row r="218" spans="1:47">
      <c r="A218" s="914"/>
      <c r="AQ218" s="334" t="str">
        <f>Poeng!B208</f>
        <v>POL 04</v>
      </c>
      <c r="AR218" s="334" t="str">
        <f>Poeng!BQ208</f>
        <v/>
      </c>
      <c r="AS218" s="334">
        <f>Poeng!AI208</f>
        <v>0</v>
      </c>
      <c r="AT218" s="334">
        <f>Poeng!AJ208</f>
        <v>0</v>
      </c>
      <c r="AU218" s="334">
        <f>Poeng!AK208</f>
        <v>0</v>
      </c>
    </row>
    <row r="219" spans="1:47">
      <c r="A219" s="914"/>
      <c r="AQ219" s="334" t="str">
        <f>Poeng!B209</f>
        <v>POL 04a</v>
      </c>
      <c r="AR219" s="334" t="str">
        <f>Poeng!BQ209</f>
        <v/>
      </c>
      <c r="AS219" s="334">
        <f>Poeng!AI209</f>
        <v>0</v>
      </c>
      <c r="AT219" s="334">
        <f>Poeng!AJ209</f>
        <v>0</v>
      </c>
      <c r="AU219" s="334">
        <f>Poeng!AK209</f>
        <v>0</v>
      </c>
    </row>
    <row r="220" spans="1:47">
      <c r="A220" s="914"/>
      <c r="AQ220" s="334" t="str">
        <f>Poeng!B210</f>
        <v>POL 04b</v>
      </c>
      <c r="AR220" s="334" t="str">
        <f>Poeng!BQ210</f>
        <v/>
      </c>
      <c r="AS220" s="334">
        <f>Poeng!AI210</f>
        <v>0</v>
      </c>
      <c r="AT220" s="334">
        <f>Poeng!AJ210</f>
        <v>0</v>
      </c>
      <c r="AU220" s="334">
        <f>Poeng!AK210</f>
        <v>0</v>
      </c>
    </row>
    <row r="221" spans="1:47">
      <c r="AQ221" s="334" t="str">
        <f>Poeng!B211</f>
        <v>POL 05</v>
      </c>
      <c r="AR221" s="334" t="str">
        <f>Poeng!BQ211</f>
        <v/>
      </c>
      <c r="AS221" s="334">
        <f>Poeng!AI211</f>
        <v>0</v>
      </c>
      <c r="AT221" s="334">
        <f>Poeng!AJ211</f>
        <v>0</v>
      </c>
      <c r="AU221" s="334">
        <f>Poeng!AK211</f>
        <v>0</v>
      </c>
    </row>
    <row r="222" spans="1:47">
      <c r="AQ222" s="334" t="str">
        <f>Poeng!B212</f>
        <v>POL 05a</v>
      </c>
      <c r="AR222" s="334" t="str">
        <f>Poeng!BQ212</f>
        <v/>
      </c>
      <c r="AS222" s="334">
        <f>Poeng!AI212</f>
        <v>0</v>
      </c>
      <c r="AT222" s="334">
        <f>Poeng!AJ212</f>
        <v>0</v>
      </c>
      <c r="AU222" s="334">
        <f>Poeng!AK212</f>
        <v>0</v>
      </c>
    </row>
    <row r="223" spans="1:47">
      <c r="AQ223" s="334" t="str">
        <f>Poeng!B213</f>
        <v>POL 05b</v>
      </c>
      <c r="AR223" s="334" t="str">
        <f>Poeng!BQ213</f>
        <v/>
      </c>
      <c r="AS223" s="334">
        <f>Poeng!AI213</f>
        <v>0</v>
      </c>
      <c r="AT223" s="334">
        <f>Poeng!AJ213</f>
        <v>0</v>
      </c>
      <c r="AU223" s="334">
        <f>Poeng!AK213</f>
        <v>0</v>
      </c>
    </row>
    <row r="224" spans="1:47">
      <c r="AQ224" s="334" t="str">
        <f>Poeng!B214</f>
        <v>POL sum</v>
      </c>
      <c r="AR224" s="334">
        <f>Poeng!BQ214</f>
        <v>0</v>
      </c>
      <c r="AS224" s="334">
        <f>Poeng!AI214</f>
        <v>0</v>
      </c>
      <c r="AT224" s="334">
        <f>Poeng!AJ214</f>
        <v>0</v>
      </c>
      <c r="AU224" s="334">
        <f>Poeng!AK214</f>
        <v>0</v>
      </c>
    </row>
    <row r="225" spans="43:47">
      <c r="AQ225" s="334">
        <f>Poeng!B215</f>
        <v>0</v>
      </c>
      <c r="AR225" s="334">
        <f>Poeng!BQ215</f>
        <v>0</v>
      </c>
      <c r="AS225" s="334">
        <f>Poeng!AI215</f>
        <v>0</v>
      </c>
      <c r="AT225" s="334">
        <f>Poeng!AJ215</f>
        <v>0</v>
      </c>
      <c r="AU225" s="334">
        <f>Poeng!AK215</f>
        <v>0</v>
      </c>
    </row>
    <row r="226" spans="43:47">
      <c r="AQ226" s="334">
        <f>Poeng!B216</f>
        <v>0</v>
      </c>
      <c r="AR226" s="334">
        <f>Poeng!BQ216</f>
        <v>0</v>
      </c>
      <c r="AS226" s="334">
        <f>Poeng!AI216</f>
        <v>0</v>
      </c>
      <c r="AT226" s="334">
        <f>Poeng!AJ216</f>
        <v>0</v>
      </c>
      <c r="AU226" s="334">
        <f>Poeng!AK216</f>
        <v>0</v>
      </c>
    </row>
    <row r="227" spans="43:47">
      <c r="AQ227" s="334" t="str">
        <f>Poeng!B217</f>
        <v>Inn 01</v>
      </c>
      <c r="AR227" s="334" t="str">
        <f>Poeng!BQ217</f>
        <v/>
      </c>
      <c r="AS227" s="334">
        <f>Poeng!AI217</f>
        <v>0</v>
      </c>
      <c r="AT227" s="334">
        <f>Poeng!AJ217</f>
        <v>0</v>
      </c>
      <c r="AU227" s="334">
        <f>Poeng!AK217</f>
        <v>0</v>
      </c>
    </row>
    <row r="228" spans="43:47">
      <c r="AQ228" s="334" t="str">
        <f>Poeng!B218</f>
        <v>Inn 02</v>
      </c>
      <c r="AR228" s="334" t="str">
        <f>Poeng!BQ218</f>
        <v/>
      </c>
      <c r="AS228" s="334">
        <f>Poeng!AI218</f>
        <v>0</v>
      </c>
      <c r="AT228" s="334">
        <f>Poeng!AJ218</f>
        <v>0</v>
      </c>
      <c r="AU228" s="334">
        <f>Poeng!AK218</f>
        <v>0</v>
      </c>
    </row>
    <row r="229" spans="43:47">
      <c r="AQ229" s="334" t="str">
        <f>Poeng!B219</f>
        <v>Inn 03</v>
      </c>
      <c r="AR229" s="334" t="str">
        <f>Poeng!BQ219</f>
        <v/>
      </c>
      <c r="AS229" s="334">
        <f>Poeng!AI219</f>
        <v>0</v>
      </c>
      <c r="AT229" s="334">
        <f>Poeng!AJ219</f>
        <v>0</v>
      </c>
      <c r="AU229" s="334">
        <f>Poeng!AK219</f>
        <v>0</v>
      </c>
    </row>
    <row r="230" spans="43:47">
      <c r="AQ230" s="334" t="str">
        <f>Poeng!B220</f>
        <v>Inn 04</v>
      </c>
      <c r="AR230" s="334" t="str">
        <f>Poeng!BQ220</f>
        <v/>
      </c>
      <c r="AS230" s="334">
        <f>Poeng!AI220</f>
        <v>0</v>
      </c>
      <c r="AT230" s="334">
        <f>Poeng!AJ220</f>
        <v>0</v>
      </c>
      <c r="AU230" s="334">
        <f>Poeng!AK220</f>
        <v>0</v>
      </c>
    </row>
    <row r="231" spans="43:47">
      <c r="AQ231" s="334" t="str">
        <f>Poeng!B221</f>
        <v>Inn 05</v>
      </c>
      <c r="AR231" s="334" t="str">
        <f>Poeng!BQ221</f>
        <v/>
      </c>
      <c r="AS231" s="334">
        <f>Poeng!AI221</f>
        <v>0</v>
      </c>
      <c r="AT231" s="334">
        <f>Poeng!AJ221</f>
        <v>0</v>
      </c>
      <c r="AU231" s="334">
        <f>Poeng!AK221</f>
        <v>0</v>
      </c>
    </row>
    <row r="232" spans="43:47">
      <c r="AQ232" s="334" t="str">
        <f>Poeng!B222</f>
        <v>Inn 06</v>
      </c>
      <c r="AR232" s="334" t="str">
        <f>Poeng!BQ222</f>
        <v/>
      </c>
      <c r="AS232" s="334">
        <f>Poeng!AI222</f>
        <v>0</v>
      </c>
      <c r="AT232" s="334">
        <f>Poeng!AJ222</f>
        <v>0</v>
      </c>
      <c r="AU232" s="334">
        <f>Poeng!AK222</f>
        <v>0</v>
      </c>
    </row>
    <row r="233" spans="43:47">
      <c r="AQ233" s="334" t="str">
        <f>Poeng!B223</f>
        <v>Inn 07</v>
      </c>
      <c r="AR233" s="334" t="str">
        <f>Poeng!BQ223</f>
        <v/>
      </c>
      <c r="AS233" s="334">
        <f>Poeng!AI223</f>
        <v>0</v>
      </c>
      <c r="AT233" s="334">
        <f>Poeng!AJ223</f>
        <v>0</v>
      </c>
      <c r="AU233" s="334">
        <f>Poeng!AK223</f>
        <v>0</v>
      </c>
    </row>
    <row r="234" spans="43:47">
      <c r="AQ234" s="334" t="str">
        <f>Poeng!B224</f>
        <v>Inn 08</v>
      </c>
      <c r="AR234" s="334" t="str">
        <f>Poeng!BQ224</f>
        <v/>
      </c>
      <c r="AS234" s="334">
        <f>Poeng!AI224</f>
        <v>0</v>
      </c>
      <c r="AT234" s="334">
        <f>Poeng!AJ224</f>
        <v>0</v>
      </c>
      <c r="AU234" s="334">
        <f>Poeng!AK224</f>
        <v>0</v>
      </c>
    </row>
    <row r="235" spans="43:47">
      <c r="AQ235" s="334" t="str">
        <f>Poeng!B225</f>
        <v>Inn 09</v>
      </c>
      <c r="AR235" s="334" t="str">
        <f>Poeng!BQ225</f>
        <v/>
      </c>
      <c r="AS235" s="334">
        <f>Poeng!AI225</f>
        <v>0</v>
      </c>
      <c r="AT235" s="334">
        <f>Poeng!AJ225</f>
        <v>0</v>
      </c>
      <c r="AU235" s="334">
        <f>Poeng!AK225</f>
        <v>0</v>
      </c>
    </row>
    <row r="236" spans="43:47">
      <c r="AQ236" s="334" t="str">
        <f>Poeng!B226</f>
        <v>Inn 10</v>
      </c>
      <c r="AR236" s="334" t="str">
        <f>Poeng!BQ226</f>
        <v/>
      </c>
      <c r="AS236" s="334">
        <f>Poeng!AI226</f>
        <v>0</v>
      </c>
      <c r="AT236" s="334">
        <f>Poeng!AJ226</f>
        <v>0</v>
      </c>
      <c r="AU236" s="334">
        <f>Poeng!AK226</f>
        <v>0</v>
      </c>
    </row>
    <row r="237" spans="43:47">
      <c r="AQ237" s="334" t="str">
        <f>Poeng!B227</f>
        <v>Inn 11</v>
      </c>
      <c r="AR237" s="334" t="str">
        <f>Poeng!BQ227</f>
        <v/>
      </c>
      <c r="AS237" s="334">
        <f>Poeng!AI227</f>
        <v>0</v>
      </c>
      <c r="AT237" s="334">
        <f>Poeng!AJ227</f>
        <v>0</v>
      </c>
      <c r="AU237" s="334">
        <f>Poeng!AK227</f>
        <v>0</v>
      </c>
    </row>
    <row r="238" spans="43:47">
      <c r="AQ238" s="334" t="str">
        <f>Poeng!B228</f>
        <v>Inn 12</v>
      </c>
      <c r="AR238" s="334" t="str">
        <f>Poeng!BQ228</f>
        <v/>
      </c>
      <c r="AS238" s="334">
        <f>Poeng!AI228</f>
        <v>0</v>
      </c>
      <c r="AT238" s="334">
        <f>Poeng!AJ228</f>
        <v>0</v>
      </c>
      <c r="AU238" s="334">
        <f>Poeng!AK228</f>
        <v>0</v>
      </c>
    </row>
    <row r="239" spans="43:47">
      <c r="AQ239" s="334" t="str">
        <f>Poeng!B229</f>
        <v>Inn 13</v>
      </c>
      <c r="AR239" s="334" t="str">
        <f>Poeng!BQ229</f>
        <v/>
      </c>
      <c r="AS239" s="334">
        <f>Poeng!AI229</f>
        <v>0</v>
      </c>
      <c r="AT239" s="334">
        <f>Poeng!AJ229</f>
        <v>0</v>
      </c>
      <c r="AU239" s="334">
        <f>Poeng!AK229</f>
        <v>0</v>
      </c>
    </row>
    <row r="240" spans="43:47">
      <c r="AQ240" s="334" t="str">
        <f>Poeng!B230</f>
        <v>Inn 14</v>
      </c>
      <c r="AR240" s="334" t="str">
        <f>Poeng!BQ230</f>
        <v/>
      </c>
      <c r="AS240" s="334">
        <f>Poeng!AI230</f>
        <v>0</v>
      </c>
      <c r="AT240" s="334">
        <f>Poeng!AJ230</f>
        <v>0</v>
      </c>
      <c r="AU240" s="334">
        <f>Poeng!AK230</f>
        <v>0</v>
      </c>
    </row>
    <row r="241" spans="43:47">
      <c r="AQ241" s="334" t="str">
        <f>Poeng!B231</f>
        <v>Inn sum</v>
      </c>
      <c r="AR241" s="334">
        <f>Poeng!BQ231</f>
        <v>0</v>
      </c>
      <c r="AS241" s="334">
        <f>Poeng!AI231</f>
        <v>0</v>
      </c>
      <c r="AT241" s="334">
        <f>Poeng!AJ231</f>
        <v>0</v>
      </c>
      <c r="AU241" s="334">
        <f>Poeng!AK231</f>
        <v>0</v>
      </c>
    </row>
    <row r="242" spans="43:47">
      <c r="AQ242" s="334">
        <f>Poeng!B232</f>
        <v>0</v>
      </c>
      <c r="AR242" s="334">
        <f>Poeng!BQ232</f>
        <v>0</v>
      </c>
      <c r="AS242" s="334">
        <f>Poeng!AI232</f>
        <v>0</v>
      </c>
      <c r="AT242" s="334">
        <f>Poeng!AJ232</f>
        <v>0</v>
      </c>
      <c r="AU242" s="334">
        <f>Poeng!AK232</f>
        <v>0</v>
      </c>
    </row>
    <row r="243" spans="43:47">
      <c r="AQ243" s="334">
        <f>Poeng!B233</f>
        <v>0</v>
      </c>
      <c r="AR243" s="334">
        <f>Poeng!BQ233</f>
        <v>0</v>
      </c>
      <c r="AS243" s="334">
        <f>Poeng!AI233</f>
        <v>0</v>
      </c>
      <c r="AT243" s="334">
        <f>Poeng!AJ233</f>
        <v>0</v>
      </c>
      <c r="AU243" s="334">
        <f>Poeng!AK233</f>
        <v>0</v>
      </c>
    </row>
    <row r="244" spans="43:47">
      <c r="AQ244" s="334" t="str">
        <f>Poeng!B234</f>
        <v>Hea 01a</v>
      </c>
      <c r="AR244" s="334" t="str">
        <f>Poeng!BQ234</f>
        <v/>
      </c>
      <c r="AS244" s="334">
        <f>Poeng!AI234</f>
        <v>0</v>
      </c>
      <c r="AT244" s="334">
        <f>Poeng!AJ234</f>
        <v>0</v>
      </c>
      <c r="AU244" s="334">
        <f>Poeng!AK234</f>
        <v>0</v>
      </c>
    </row>
    <row r="245" spans="43:47">
      <c r="AQ245" s="334" t="str">
        <f>Poeng!B235</f>
        <v>Hea 01g</v>
      </c>
      <c r="AR245" s="334">
        <f>Poeng!BQ235</f>
        <v>0</v>
      </c>
      <c r="AS245" s="334">
        <f>Poeng!AI235</f>
        <v>0</v>
      </c>
      <c r="AT245" s="334">
        <f>Poeng!AJ235</f>
        <v>0</v>
      </c>
      <c r="AU245" s="334">
        <f>Poeng!AK235</f>
        <v>0</v>
      </c>
    </row>
    <row r="246" spans="43:47">
      <c r="AQ246" s="334" t="str">
        <f>Poeng!B236</f>
        <v>Hea 02a</v>
      </c>
      <c r="AR246" s="334" t="str">
        <f>Poeng!BQ236</f>
        <v/>
      </c>
      <c r="AS246" s="334">
        <f>Poeng!AI236</f>
        <v>0</v>
      </c>
      <c r="AT246" s="334">
        <f>Poeng!AJ236</f>
        <v>0</v>
      </c>
      <c r="AU246" s="334">
        <f>Poeng!AK236</f>
        <v>0</v>
      </c>
    </row>
    <row r="247" spans="43:47">
      <c r="AQ247" s="334" t="str">
        <f>Poeng!B237</f>
        <v>Hea 05a</v>
      </c>
      <c r="AR247" s="334" t="str">
        <f>Poeng!BQ237</f>
        <v/>
      </c>
      <c r="AS247" s="334">
        <f>Poeng!AI237</f>
        <v>0</v>
      </c>
      <c r="AT247" s="334">
        <f>Poeng!AJ237</f>
        <v>0</v>
      </c>
      <c r="AU247" s="334">
        <f>Poeng!AK237</f>
        <v>0</v>
      </c>
    </row>
    <row r="248" spans="43:47">
      <c r="AQ248" s="334" t="str">
        <f>Poeng!B238</f>
        <v>Mat 01a</v>
      </c>
      <c r="AR248" s="334" t="str">
        <f>Poeng!BQ238</f>
        <v/>
      </c>
      <c r="AS248" s="334">
        <f>Poeng!AI238</f>
        <v>0</v>
      </c>
      <c r="AT248" s="334">
        <f>Poeng!AJ238</f>
        <v>0</v>
      </c>
      <c r="AU248" s="334">
        <f>Poeng!AK238</f>
        <v>0</v>
      </c>
    </row>
    <row r="250" spans="43:47">
      <c r="AQ250" s="334" t="str">
        <f>Poeng!B240</f>
        <v>Mat 03a</v>
      </c>
      <c r="AR250" s="334" t="str">
        <f>Poeng!BQ240</f>
        <v/>
      </c>
      <c r="AS250" s="334">
        <f>Poeng!AI240</f>
        <v>0</v>
      </c>
      <c r="AT250" s="334">
        <f>Poeng!AJ240</f>
        <v>0</v>
      </c>
      <c r="AU250" s="334">
        <f>Poeng!AK240</f>
        <v>0</v>
      </c>
    </row>
    <row r="251" spans="43:47">
      <c r="AQ251" s="334" t="str">
        <f>Poeng!B241</f>
        <v>Mat 05a</v>
      </c>
      <c r="AR251" s="334" t="str">
        <f>Poeng!BQ241</f>
        <v/>
      </c>
      <c r="AS251" s="334">
        <f>Poeng!AI241</f>
        <v>0</v>
      </c>
      <c r="AT251" s="334">
        <f>Poeng!AJ241</f>
        <v>0</v>
      </c>
      <c r="AU251" s="334">
        <f>Poeng!AK241</f>
        <v>0</v>
      </c>
    </row>
    <row r="252" spans="43:47">
      <c r="AQ252" s="334" t="str">
        <f>Poeng!B242</f>
        <v>LE 02a</v>
      </c>
      <c r="AR252" s="334">
        <f>Poeng!BQ242</f>
        <v>0</v>
      </c>
      <c r="AS252" s="334">
        <f>Poeng!AI242</f>
        <v>0</v>
      </c>
      <c r="AT252" s="334">
        <f>Poeng!AJ242</f>
        <v>0</v>
      </c>
      <c r="AU252" s="334">
        <f>Poeng!AK242</f>
        <v>0</v>
      </c>
    </row>
    <row r="253" spans="43:47">
      <c r="AQ253" s="334" t="str">
        <f>Poeng!B243</f>
        <v>LE 03a</v>
      </c>
      <c r="AR253" s="334" t="str">
        <f>Poeng!BQ243</f>
        <v/>
      </c>
      <c r="AS253" s="334" t="str">
        <f>Poeng!AI243</f>
        <v>No</v>
      </c>
      <c r="AT253" s="334" t="str">
        <f>Poeng!AJ243</f>
        <v>No</v>
      </c>
      <c r="AU253" s="334" t="str">
        <f>Poeng!AK243</f>
        <v>No</v>
      </c>
    </row>
    <row r="254" spans="43:47">
      <c r="AQ254" s="334" t="str">
        <f>Poeng!B244</f>
        <v>LE 04a</v>
      </c>
      <c r="AR254" s="334" t="str">
        <f>Poeng!BQ244</f>
        <v/>
      </c>
      <c r="AS254" s="334">
        <f>Poeng!AI244</f>
        <v>0</v>
      </c>
      <c r="AT254" s="334">
        <f>Poeng!AJ244</f>
        <v>0</v>
      </c>
      <c r="AU254" s="334">
        <f>Poeng!AK244</f>
        <v>0</v>
      </c>
    </row>
    <row r="255" spans="43:47">
      <c r="AQ255" s="334" t="str">
        <f>Poeng!B245</f>
        <v>LE 05a</v>
      </c>
      <c r="AR255" s="334" t="str">
        <f>Poeng!BQ245</f>
        <v/>
      </c>
      <c r="AS255" s="334">
        <f>Poeng!AI245</f>
        <v>0</v>
      </c>
      <c r="AT255" s="334">
        <f>Poeng!AJ245</f>
        <v>0</v>
      </c>
      <c r="AU255" s="334">
        <f>Poeng!AK245</f>
        <v>0</v>
      </c>
    </row>
    <row r="256" spans="43:47">
      <c r="AQ256" s="334" t="str">
        <f>Poeng!B246</f>
        <v>Tra 02a</v>
      </c>
      <c r="AR256" s="334" t="str">
        <f>Poeng!BQ246</f>
        <v/>
      </c>
      <c r="AS256" s="334">
        <f>Poeng!AI246</f>
        <v>0</v>
      </c>
      <c r="AT256" s="334">
        <f>Poeng!AJ246</f>
        <v>0</v>
      </c>
      <c r="AU256" s="334">
        <f>Poeng!AK246</f>
        <v>0</v>
      </c>
    </row>
    <row r="257" spans="43:47">
      <c r="AQ257" s="334" t="str">
        <f>Poeng!B247</f>
        <v>LE 07a</v>
      </c>
      <c r="AR257" s="334" t="str">
        <f>Poeng!BQ247</f>
        <v/>
      </c>
      <c r="AS257" s="334">
        <f>Poeng!AI247</f>
        <v>0</v>
      </c>
      <c r="AT257" s="334">
        <f>Poeng!AJ247</f>
        <v>0</v>
      </c>
      <c r="AU257" s="334">
        <f>Poeng!AK247</f>
        <v>0</v>
      </c>
    </row>
    <row r="258" spans="43:47">
      <c r="AQ258" s="334" t="str">
        <f>Poeng!B248</f>
        <v>LE 08a</v>
      </c>
      <c r="AR258" s="334" t="str">
        <f>Poeng!BQ248</f>
        <v/>
      </c>
      <c r="AS258" s="334">
        <f>Poeng!AI248</f>
        <v>0</v>
      </c>
      <c r="AT258" s="334">
        <f>Poeng!AJ248</f>
        <v>0</v>
      </c>
      <c r="AU258" s="334">
        <f>Poeng!AK248</f>
        <v>0</v>
      </c>
    </row>
    <row r="259" spans="43:47">
      <c r="AQ259" s="334" t="str">
        <f>Poeng!B249</f>
        <v>Pol 01b</v>
      </c>
      <c r="AR259" s="334" t="str">
        <f>Poeng!BQ249</f>
        <v/>
      </c>
      <c r="AS259" s="334">
        <f>Poeng!AI249</f>
        <v>0</v>
      </c>
      <c r="AT259" s="334">
        <f>Poeng!AJ249</f>
        <v>0</v>
      </c>
      <c r="AU259" s="334">
        <f>Poeng!AK249</f>
        <v>0</v>
      </c>
    </row>
    <row r="266" spans="43:47">
      <c r="AQ266" s="334"/>
      <c r="AR266" s="334"/>
      <c r="AS266" s="334"/>
      <c r="AT266" s="334"/>
      <c r="AU266" s="334"/>
    </row>
    <row r="267" spans="43:47">
      <c r="AQ267" s="334"/>
      <c r="AR267" s="334"/>
      <c r="AS267" s="334"/>
      <c r="AT267" s="334"/>
      <c r="AU267" s="334"/>
    </row>
    <row r="268" spans="43:47">
      <c r="AQ268" s="334"/>
      <c r="AR268" s="334"/>
      <c r="AS268" s="334"/>
      <c r="AT268" s="334"/>
      <c r="AU268" s="334"/>
    </row>
    <row r="269" spans="43:47">
      <c r="AQ269" s="334"/>
      <c r="AR269" s="334"/>
      <c r="AS269" s="334"/>
      <c r="AT269" s="334"/>
      <c r="AU269" s="334"/>
    </row>
    <row r="270" spans="43:47">
      <c r="AQ270" s="334"/>
      <c r="AR270" s="334"/>
      <c r="AS270" s="334"/>
      <c r="AT270" s="334"/>
      <c r="AU270" s="334"/>
    </row>
    <row r="271" spans="43:47">
      <c r="AQ271" s="334"/>
      <c r="AR271" s="334"/>
      <c r="AS271" s="334"/>
      <c r="AT271" s="334"/>
      <c r="AU271" s="334"/>
    </row>
    <row r="272" spans="43:47">
      <c r="AQ272" s="334"/>
      <c r="AR272" s="334"/>
      <c r="AS272" s="334"/>
      <c r="AT272" s="334"/>
      <c r="AU272" s="334"/>
    </row>
    <row r="273" spans="43:47">
      <c r="AQ273" s="334"/>
      <c r="AR273" s="334"/>
      <c r="AS273" s="334"/>
      <c r="AT273" s="334"/>
      <c r="AU273" s="334"/>
    </row>
    <row r="274" spans="43:47">
      <c r="AQ274" s="334"/>
      <c r="AR274" s="334"/>
      <c r="AS274" s="334"/>
      <c r="AT274" s="334"/>
      <c r="AU274" s="334"/>
    </row>
    <row r="275" spans="43:47">
      <c r="AQ275" s="334"/>
      <c r="AR275" s="334"/>
      <c r="AS275" s="334"/>
      <c r="AT275" s="334"/>
      <c r="AU275" s="334"/>
    </row>
    <row r="296" spans="20:22" ht="15.75" thickBot="1"/>
    <row r="297" spans="20:22">
      <c r="T297" s="1059" t="str">
        <f t="shared" ref="T297:T306" si="17">B36</f>
        <v>Ledelse</v>
      </c>
      <c r="U297" s="1060"/>
      <c r="V297" s="1061">
        <f t="shared" ref="V297:V306" si="18">J36</f>
        <v>0.13</v>
      </c>
    </row>
    <row r="298" spans="20:22">
      <c r="T298" s="1062" t="str">
        <f t="shared" si="17"/>
        <v>Helse og innemiljø</v>
      </c>
      <c r="U298" s="417"/>
      <c r="V298" s="1063">
        <f t="shared" si="18"/>
        <v>0.16</v>
      </c>
    </row>
    <row r="299" spans="20:22">
      <c r="T299" s="1062" t="str">
        <f t="shared" si="17"/>
        <v>Energi</v>
      </c>
      <c r="U299" s="417"/>
      <c r="V299" s="1063">
        <f t="shared" si="18"/>
        <v>0.14000000000000001</v>
      </c>
    </row>
    <row r="300" spans="20:22">
      <c r="T300" s="1062" t="str">
        <f t="shared" si="17"/>
        <v>Transport</v>
      </c>
      <c r="U300" s="417"/>
      <c r="V300" s="1063">
        <f t="shared" si="18"/>
        <v>0.1</v>
      </c>
    </row>
    <row r="301" spans="20:22">
      <c r="T301" s="1062" t="str">
        <f t="shared" si="17"/>
        <v>Vann</v>
      </c>
      <c r="U301" s="417"/>
      <c r="V301" s="1063">
        <f t="shared" si="18"/>
        <v>0.04</v>
      </c>
    </row>
    <row r="302" spans="20:22">
      <c r="T302" s="1062" t="str">
        <f t="shared" si="17"/>
        <v>Materialer</v>
      </c>
      <c r="U302" s="417"/>
      <c r="V302" s="1063">
        <f t="shared" si="18"/>
        <v>0.17</v>
      </c>
    </row>
    <row r="303" spans="20:22">
      <c r="T303" s="1062" t="str">
        <f t="shared" si="17"/>
        <v>Avfall</v>
      </c>
      <c r="U303" s="417"/>
      <c r="V303" s="1063">
        <f t="shared" si="18"/>
        <v>7.0000000000000007E-2</v>
      </c>
    </row>
    <row r="304" spans="20:22">
      <c r="T304" s="1062" t="str">
        <f t="shared" si="17"/>
        <v>Arealbruk og økologi</v>
      </c>
      <c r="U304" s="417"/>
      <c r="V304" s="1063">
        <f t="shared" si="18"/>
        <v>0.15</v>
      </c>
    </row>
    <row r="305" spans="20:22">
      <c r="T305" s="1062" t="str">
        <f t="shared" si="17"/>
        <v>Forurensing</v>
      </c>
      <c r="U305" s="417"/>
      <c r="V305" s="1063">
        <f t="shared" si="18"/>
        <v>0.04</v>
      </c>
    </row>
    <row r="306" spans="20:22" ht="15.75" thickBot="1">
      <c r="T306" s="1064" t="str">
        <f t="shared" si="17"/>
        <v>Innovasjon</v>
      </c>
      <c r="U306" s="1065"/>
      <c r="V306" s="1066">
        <f t="shared" si="18"/>
        <v>0.1</v>
      </c>
    </row>
  </sheetData>
  <sheetProtection algorithmName="SHA-512" hashValue="BdZIybJ+phBnymkUrF7RW+9yQ7/9EGlSlQuzj6ZMp+LOSRqqRK4IJeeMQKEPY0MoA3nLqgTMmNkeknXWbCz3FA==" saltValue="FUrEmXfOfbDe6nm48ZfM3g==" spinCount="100000" sheet="1" objects="1" scenarios="1"/>
  <mergeCells count="23">
    <mergeCell ref="D34:E34"/>
    <mergeCell ref="F34:G34"/>
    <mergeCell ref="H34:I34"/>
    <mergeCell ref="Z10:AN13"/>
    <mergeCell ref="D9:E9"/>
    <mergeCell ref="F9:G9"/>
    <mergeCell ref="H9:I9"/>
    <mergeCell ref="K34:M34"/>
    <mergeCell ref="H8:I8"/>
    <mergeCell ref="H10:I10"/>
    <mergeCell ref="H11:I11"/>
    <mergeCell ref="H13:I13"/>
    <mergeCell ref="D8:E8"/>
    <mergeCell ref="D10:E10"/>
    <mergeCell ref="D11:E11"/>
    <mergeCell ref="D13:E13"/>
    <mergeCell ref="F8:G8"/>
    <mergeCell ref="F10:G10"/>
    <mergeCell ref="F11:G11"/>
    <mergeCell ref="F13:G13"/>
    <mergeCell ref="D12:E12"/>
    <mergeCell ref="F12:G12"/>
    <mergeCell ref="H12:I12"/>
  </mergeCells>
  <conditionalFormatting sqref="D10:E11 D12 D13:E13">
    <cfRule type="expression" dxfId="35" priority="237">
      <formula>$D$9=$AA$37</formula>
    </cfRule>
  </conditionalFormatting>
  <conditionalFormatting sqref="D34:E35 K69:K72 K79:K81">
    <cfRule type="expression" dxfId="34" priority="34">
      <formula>$D$9=AD_no</formula>
    </cfRule>
  </conditionalFormatting>
  <conditionalFormatting sqref="D36:E46">
    <cfRule type="expression" dxfId="33" priority="231">
      <formula>$D$9=AD_no</formula>
    </cfRule>
  </conditionalFormatting>
  <conditionalFormatting sqref="F10:G11 F12 F13:G13">
    <cfRule type="expression" dxfId="32" priority="236">
      <formula>$F$9=$AA$37</formula>
    </cfRule>
  </conditionalFormatting>
  <conditionalFormatting sqref="F34:G35 L69:L72 L79:L81">
    <cfRule type="expression" dxfId="31" priority="33">
      <formula>$F$9=AD_no</formula>
    </cfRule>
  </conditionalFormatting>
  <conditionalFormatting sqref="F36:G46">
    <cfRule type="expression" dxfId="30" priority="230">
      <formula>$F$9=AD_no</formula>
    </cfRule>
  </conditionalFormatting>
  <conditionalFormatting sqref="H10:I11 H12 H13:I13">
    <cfRule type="expression" dxfId="29" priority="235">
      <formula>$H$9=$AA$37</formula>
    </cfRule>
  </conditionalFormatting>
  <conditionalFormatting sqref="H34:I35 M69:M72 M79:M81">
    <cfRule type="expression" dxfId="28" priority="32">
      <formula>$H$9=AD_no</formula>
    </cfRule>
  </conditionalFormatting>
  <conditionalFormatting sqref="H36:I46">
    <cfRule type="expression" dxfId="27" priority="227">
      <formula>$H$9=AD_no</formula>
    </cfRule>
  </conditionalFormatting>
  <conditionalFormatting sqref="K36:K49">
    <cfRule type="expression" dxfId="26" priority="225">
      <formula>$D$9=AD_no</formula>
    </cfRule>
  </conditionalFormatting>
  <conditionalFormatting sqref="K52">
    <cfRule type="expression" dxfId="25" priority="1">
      <formula>$D$9=$AA$37</formula>
    </cfRule>
  </conditionalFormatting>
  <conditionalFormatting sqref="K54:K56">
    <cfRule type="expression" dxfId="24" priority="25">
      <formula>$D$9=AD_no</formula>
    </cfRule>
  </conditionalFormatting>
  <conditionalFormatting sqref="K54:K81">
    <cfRule type="expression" dxfId="23" priority="234">
      <formula>K54&gt;J54</formula>
    </cfRule>
  </conditionalFormatting>
  <conditionalFormatting sqref="K59">
    <cfRule type="expression" dxfId="22" priority="22">
      <formula>$D$9=AD_no</formula>
    </cfRule>
  </conditionalFormatting>
  <conditionalFormatting sqref="K62:K63">
    <cfRule type="expression" dxfId="21" priority="19">
      <formula>$D$9=AD_no</formula>
    </cfRule>
  </conditionalFormatting>
  <conditionalFormatting sqref="K66">
    <cfRule type="expression" dxfId="20" priority="13">
      <formula>$D$9=AD_no</formula>
    </cfRule>
  </conditionalFormatting>
  <conditionalFormatting sqref="K75:K76">
    <cfRule type="expression" dxfId="19" priority="7">
      <formula>$D$9=AD_no</formula>
    </cfRule>
  </conditionalFormatting>
  <conditionalFormatting sqref="K54:M56 K59:M59 K62:M63 K66:M66 K69:M72 K75:M76 K79:M81">
    <cfRule type="expression" dxfId="18" priority="6893">
      <formula>$J54&lt;&gt;K54</formula>
    </cfRule>
  </conditionalFormatting>
  <conditionalFormatting sqref="L35">
    <cfRule type="expression" dxfId="17" priority="4">
      <formula>$F$9=$AA$37</formula>
    </cfRule>
  </conditionalFormatting>
  <conditionalFormatting sqref="L36:L49">
    <cfRule type="expression" dxfId="16" priority="224">
      <formula>$F$9=AD_no</formula>
    </cfRule>
  </conditionalFormatting>
  <conditionalFormatting sqref="L52">
    <cfRule type="expression" dxfId="15" priority="2">
      <formula>$F$9=$AA$37</formula>
    </cfRule>
  </conditionalFormatting>
  <conditionalFormatting sqref="L54:L56">
    <cfRule type="expression" dxfId="14" priority="24">
      <formula>$F$9=AD_no</formula>
    </cfRule>
  </conditionalFormatting>
  <conditionalFormatting sqref="L54:L81">
    <cfRule type="expression" dxfId="13" priority="233">
      <formula>L54&gt;J54</formula>
    </cfRule>
  </conditionalFormatting>
  <conditionalFormatting sqref="L59">
    <cfRule type="expression" dxfId="12" priority="21">
      <formula>$F$9=AD_no</formula>
    </cfRule>
  </conditionalFormatting>
  <conditionalFormatting sqref="L62:L63">
    <cfRule type="expression" dxfId="11" priority="18">
      <formula>$F$9=AD_no</formula>
    </cfRule>
  </conditionalFormatting>
  <conditionalFormatting sqref="L66">
    <cfRule type="expression" dxfId="10" priority="12">
      <formula>$F$9=AD_no</formula>
    </cfRule>
  </conditionalFormatting>
  <conditionalFormatting sqref="L75:L76">
    <cfRule type="expression" dxfId="9" priority="6">
      <formula>$F$9=AD_no</formula>
    </cfRule>
  </conditionalFormatting>
  <conditionalFormatting sqref="M35">
    <cfRule type="expression" dxfId="8" priority="3">
      <formula>$H$9=$AA$37</formula>
    </cfRule>
  </conditionalFormatting>
  <conditionalFormatting sqref="M36:M49">
    <cfRule type="expression" dxfId="7" priority="223">
      <formula>$H$9=AD_no</formula>
    </cfRule>
  </conditionalFormatting>
  <conditionalFormatting sqref="M52">
    <cfRule type="expression" dxfId="6" priority="221">
      <formula>$H$9=$AA$37</formula>
    </cfRule>
  </conditionalFormatting>
  <conditionalFormatting sqref="M53:M81">
    <cfRule type="expression" dxfId="5" priority="232">
      <formula>M53&gt;J53</formula>
    </cfRule>
  </conditionalFormatting>
  <conditionalFormatting sqref="M54:M56">
    <cfRule type="expression" dxfId="4" priority="23">
      <formula>$H$9=AD_no</formula>
    </cfRule>
  </conditionalFormatting>
  <conditionalFormatting sqref="M59">
    <cfRule type="expression" dxfId="3" priority="20">
      <formula>$H$9=AD_no</formula>
    </cfRule>
  </conditionalFormatting>
  <conditionalFormatting sqref="M62:M63">
    <cfRule type="expression" dxfId="2" priority="17">
      <formula>$H$9=AD_no</formula>
    </cfRule>
  </conditionalFormatting>
  <conditionalFormatting sqref="M66">
    <cfRule type="expression" dxfId="1" priority="11">
      <formula>$H$9=AD_no</formula>
    </cfRule>
  </conditionalFormatting>
  <conditionalFormatting sqref="M75:M76">
    <cfRule type="expression" dxfId="0" priority="5">
      <formula>$H$9=AD_no</formula>
    </cfRule>
  </conditionalFormatting>
  <dataValidations count="1">
    <dataValidation type="list" allowBlank="1" showInputMessage="1" showErrorMessage="1" sqref="D9 H9 F9" xr:uid="{00000000-0002-0000-0500-000000000000}">
      <formula1>$AA$36:$AA$37</formula1>
    </dataValidation>
  </dataValidations>
  <pageMargins left="0.51181102362204722" right="0.51181102362204722" top="0.35433070866141736" bottom="0.35433070866141736" header="0.31496062992125984" footer="0.31496062992125984"/>
  <pageSetup paperSize="9" scale="65" fitToHeight="2" orientation="landscape"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DA20-C87E-40B1-8DA2-65043C94E5CF}">
  <sheetPr>
    <pageSetUpPr fitToPage="1"/>
  </sheetPr>
  <dimension ref="A1:AP382"/>
  <sheetViews>
    <sheetView topLeftCell="C1" zoomScale="85" zoomScaleNormal="85" zoomScalePageLayoutView="30" workbookViewId="0">
      <pane ySplit="9" topLeftCell="A10" activePane="bottomLeft" state="frozen"/>
      <selection activeCell="H9" sqref="H9:I9"/>
      <selection pane="bottomLeft" activeCell="I40" sqref="I40"/>
    </sheetView>
  </sheetViews>
  <sheetFormatPr baseColWidth="10" defaultColWidth="9.28515625" defaultRowHeight="15"/>
  <cols>
    <col min="1" max="1" width="15.7109375" style="1" hidden="1" customWidth="1"/>
    <col min="2" max="2" width="28.5703125" style="1" hidden="1" customWidth="1"/>
    <col min="3" max="3" width="5.7109375" style="1" customWidth="1"/>
    <col min="4" max="4" width="16.7109375" style="1" bestFit="1" customWidth="1"/>
    <col min="5" max="5" width="16.7109375" style="1" customWidth="1"/>
    <col min="6" max="6" width="66.7109375" style="5" customWidth="1"/>
    <col min="7" max="7" width="12.7109375" style="1" bestFit="1" customWidth="1"/>
    <col min="8" max="8" width="15" style="1" customWidth="1"/>
    <col min="9" max="9" width="15.42578125" style="1" bestFit="1" customWidth="1"/>
    <col min="10" max="10" width="22.42578125" style="1" bestFit="1" customWidth="1"/>
    <col min="11" max="11" width="12.7109375" style="1" bestFit="1" customWidth="1"/>
    <col min="12" max="12" width="8.28515625" style="1" bestFit="1" customWidth="1"/>
    <col min="13" max="13" width="36.42578125" style="1" customWidth="1"/>
    <col min="14" max="14" width="1.7109375" style="13" customWidth="1"/>
    <col min="15" max="15" width="26.7109375" style="1" customWidth="1"/>
    <col min="16" max="16" width="14.28515625" style="1" bestFit="1" customWidth="1"/>
    <col min="17" max="17" width="21.5703125" style="1" bestFit="1" customWidth="1"/>
    <col min="18" max="18" width="10.7109375" style="1" bestFit="1" customWidth="1"/>
    <col min="19" max="19" width="10.5703125" style="1" bestFit="1" customWidth="1"/>
    <col min="20" max="20" width="20" style="1" bestFit="1" customWidth="1"/>
    <col min="21" max="21" width="3.7109375" style="13" bestFit="1" customWidth="1"/>
    <col min="22" max="22" width="15.42578125" style="1" customWidth="1"/>
    <col min="23" max="23" width="12" style="1" bestFit="1" customWidth="1"/>
    <col min="24" max="24" width="22.42578125" style="1" bestFit="1" customWidth="1"/>
    <col min="25" max="25" width="10.7109375" style="1" bestFit="1" customWidth="1"/>
    <col min="26" max="26" width="10.5703125" style="1" bestFit="1" customWidth="1"/>
    <col min="27" max="27" width="20" style="1" bestFit="1" customWidth="1"/>
    <col min="28" max="28" width="9.28515625" style="1" customWidth="1"/>
    <col min="29" max="29" width="11.7109375" style="1" customWidth="1"/>
    <col min="30" max="30" width="2" style="1" customWidth="1"/>
    <col min="31" max="70" width="9.28515625" style="1" customWidth="1"/>
    <col min="71" max="16384" width="9.28515625" style="1"/>
  </cols>
  <sheetData>
    <row r="1" spans="1:42" ht="48" customHeight="1">
      <c r="A1" s="318"/>
      <c r="B1" s="318"/>
      <c r="C1" s="318"/>
      <c r="D1" s="374"/>
      <c r="E1" s="374"/>
      <c r="F1" s="896" t="s">
        <v>1278</v>
      </c>
      <c r="G1" s="374"/>
      <c r="H1" s="374"/>
      <c r="I1" s="374"/>
      <c r="J1" s="374"/>
      <c r="K1" s="374"/>
      <c r="L1" s="374"/>
      <c r="M1" s="375" t="s">
        <v>1279</v>
      </c>
      <c r="N1" s="374"/>
      <c r="O1" s="374"/>
      <c r="P1" s="374"/>
      <c r="Q1" s="374"/>
      <c r="R1" s="374"/>
      <c r="S1" s="374"/>
      <c r="T1" s="374"/>
      <c r="U1" s="374"/>
      <c r="V1" s="374"/>
      <c r="W1" s="374"/>
      <c r="X1" s="374"/>
      <c r="Y1" s="374"/>
      <c r="Z1" s="374"/>
      <c r="AA1" s="466" t="str">
        <f>IF('Manuell filtrering og justering'!I2='Manuell filtrering og justering'!J2,"Bespoke","")</f>
        <v/>
      </c>
    </row>
    <row r="2" spans="1:42" s="50" customFormat="1" ht="15.75">
      <c r="D2" s="50">
        <v>3</v>
      </c>
      <c r="E2" s="50">
        <v>5</v>
      </c>
      <c r="F2" s="906">
        <v>6</v>
      </c>
      <c r="G2" s="331">
        <v>7</v>
      </c>
      <c r="H2" s="331">
        <v>8</v>
      </c>
      <c r="I2" s="331">
        <v>9</v>
      </c>
      <c r="J2" s="331">
        <v>10</v>
      </c>
      <c r="K2" s="331">
        <v>11</v>
      </c>
      <c r="L2" s="331">
        <v>12</v>
      </c>
      <c r="M2" s="331">
        <v>13</v>
      </c>
      <c r="N2" s="331"/>
      <c r="O2" s="331">
        <v>15</v>
      </c>
      <c r="P2" s="331">
        <v>16</v>
      </c>
      <c r="Q2" s="331">
        <v>17</v>
      </c>
      <c r="R2" s="331">
        <v>18</v>
      </c>
      <c r="S2" s="331">
        <v>19</v>
      </c>
      <c r="T2" s="331">
        <v>20</v>
      </c>
      <c r="U2" s="331">
        <v>21</v>
      </c>
      <c r="V2" s="331">
        <v>22</v>
      </c>
      <c r="W2" s="331">
        <v>23</v>
      </c>
      <c r="X2" s="331">
        <v>24</v>
      </c>
      <c r="Y2" s="331">
        <v>25</v>
      </c>
      <c r="Z2" s="331">
        <v>26</v>
      </c>
      <c r="AA2" s="331">
        <v>27</v>
      </c>
    </row>
    <row r="3" spans="1:42" ht="26.25">
      <c r="D3" s="4"/>
      <c r="E3" s="4"/>
      <c r="F3" s="897"/>
      <c r="G3" s="1067"/>
      <c r="H3" s="305" t="s">
        <v>1280</v>
      </c>
      <c r="I3" s="319"/>
      <c r="J3" s="319"/>
      <c r="K3" s="319"/>
      <c r="L3" s="320"/>
      <c r="M3" s="321"/>
      <c r="N3" s="322"/>
      <c r="O3" s="305" t="s">
        <v>1281</v>
      </c>
      <c r="P3" s="305"/>
      <c r="Q3" s="305"/>
      <c r="R3" s="319"/>
      <c r="S3" s="319"/>
      <c r="T3" s="319"/>
      <c r="U3" s="322"/>
      <c r="V3" s="305" t="s">
        <v>1282</v>
      </c>
      <c r="W3" s="305"/>
      <c r="X3" s="305"/>
      <c r="Y3" s="319"/>
      <c r="Z3" s="319"/>
      <c r="AA3" s="323"/>
    </row>
    <row r="4" spans="1:42">
      <c r="D4" s="898"/>
      <c r="E4" s="898"/>
      <c r="F4" s="898" t="s">
        <v>1283</v>
      </c>
      <c r="G4" s="324"/>
      <c r="H4" s="307" t="s">
        <v>1172</v>
      </c>
      <c r="I4" s="308"/>
      <c r="J4" s="309"/>
      <c r="K4" s="310" t="str">
        <f>'Pre-analyseverktøy'!M4</f>
        <v>Unclassified</v>
      </c>
      <c r="L4" s="311"/>
      <c r="M4" s="315" t="s">
        <v>1284</v>
      </c>
      <c r="N4" s="325"/>
      <c r="O4" s="307" t="s">
        <v>1172</v>
      </c>
      <c r="P4" s="308"/>
      <c r="Q4" s="308"/>
      <c r="R4" s="308"/>
      <c r="S4" s="308"/>
      <c r="T4" s="311" t="str">
        <f>'Pre-analyseverktøy'!T4</f>
        <v>Unclassified</v>
      </c>
      <c r="U4" s="325"/>
      <c r="V4" s="307" t="s">
        <v>1172</v>
      </c>
      <c r="W4" s="308"/>
      <c r="X4" s="308"/>
      <c r="Y4" s="308"/>
      <c r="Z4" s="308"/>
      <c r="AA4" s="306" t="str">
        <f>'Pre-analyseverktøy'!AA4</f>
        <v>Unclassified</v>
      </c>
      <c r="AH4" s="15"/>
    </row>
    <row r="5" spans="1:42">
      <c r="D5" s="899"/>
      <c r="E5" s="899"/>
      <c r="F5" s="899" t="str">
        <f>'Pre-analyseverktøy'!F5</f>
        <v/>
      </c>
      <c r="G5" s="324"/>
      <c r="H5" s="307" t="s">
        <v>1285</v>
      </c>
      <c r="I5" s="308"/>
      <c r="J5" s="309"/>
      <c r="K5" s="312">
        <f>'Pre-analyseverktøy'!M5</f>
        <v>0</v>
      </c>
      <c r="L5" s="313"/>
      <c r="M5" s="315" t="s">
        <v>1286</v>
      </c>
      <c r="N5" s="325"/>
      <c r="O5" s="307" t="s">
        <v>1285</v>
      </c>
      <c r="P5" s="308"/>
      <c r="Q5" s="308"/>
      <c r="R5" s="308"/>
      <c r="S5" s="308"/>
      <c r="T5" s="1086">
        <f>'Pre-analyseverktøy'!T5</f>
        <v>0</v>
      </c>
      <c r="U5" s="325"/>
      <c r="V5" s="307" t="s">
        <v>1285</v>
      </c>
      <c r="W5" s="308"/>
      <c r="X5" s="308"/>
      <c r="Y5" s="308"/>
      <c r="Z5" s="308"/>
      <c r="AA5" s="1087">
        <f>'Pre-analyseverktøy'!AA5</f>
        <v>0</v>
      </c>
    </row>
    <row r="6" spans="1:42">
      <c r="D6" s="900"/>
      <c r="E6" s="900"/>
      <c r="F6" s="900" t="str">
        <f>'Pre-analyseverktøy'!F6</f>
        <v>Pre-analyseverktøy versjon: 1.03</v>
      </c>
      <c r="G6" s="324"/>
      <c r="H6" s="307" t="s">
        <v>1287</v>
      </c>
      <c r="I6" s="308"/>
      <c r="J6" s="309"/>
      <c r="K6" s="312" t="str">
        <f>'Pre-analyseverktøy'!M6</f>
        <v>Unclassified &lt;30%</v>
      </c>
      <c r="L6" s="313"/>
      <c r="M6" s="315" t="s">
        <v>1288</v>
      </c>
      <c r="N6" s="325"/>
      <c r="O6" s="307" t="s">
        <v>1287</v>
      </c>
      <c r="P6" s="308"/>
      <c r="Q6" s="308"/>
      <c r="R6" s="308"/>
      <c r="S6" s="308"/>
      <c r="T6" s="311" t="str">
        <f>'Pre-analyseverktøy'!T6</f>
        <v>Unclassified &lt;30%</v>
      </c>
      <c r="U6" s="325"/>
      <c r="V6" s="307" t="s">
        <v>1287</v>
      </c>
      <c r="W6" s="308"/>
      <c r="X6" s="308"/>
      <c r="Y6" s="308"/>
      <c r="Z6" s="308"/>
      <c r="AA6" s="306" t="str">
        <f>'Pre-analyseverktøy'!AA6</f>
        <v>Unclassified &lt;30%</v>
      </c>
    </row>
    <row r="7" spans="1:42">
      <c r="D7" s="900"/>
      <c r="E7" s="900"/>
      <c r="F7" s="900" t="str">
        <f>'Pre-analyseverktøy'!F7</f>
        <v>Nybygg (innredet)</v>
      </c>
      <c r="G7" s="324"/>
      <c r="H7" s="307" t="s">
        <v>1289</v>
      </c>
      <c r="I7" s="308"/>
      <c r="J7" s="309"/>
      <c r="K7" s="312" t="str">
        <f>'Pre-analyseverktøy'!M7</f>
        <v>No</v>
      </c>
      <c r="L7" s="314"/>
      <c r="M7" s="315"/>
      <c r="N7" s="325"/>
      <c r="O7" s="307" t="s">
        <v>1289</v>
      </c>
      <c r="P7" s="308"/>
      <c r="Q7" s="308"/>
      <c r="R7" s="308"/>
      <c r="S7" s="308"/>
      <c r="T7" s="311" t="str">
        <f>'Pre-analyseverktøy'!T7</f>
        <v>No</v>
      </c>
      <c r="U7" s="325"/>
      <c r="V7" s="307" t="s">
        <v>1289</v>
      </c>
      <c r="W7" s="308"/>
      <c r="X7" s="308"/>
      <c r="Y7" s="308"/>
      <c r="Z7" s="308"/>
      <c r="AA7" s="306" t="str">
        <f>'Pre-analyseverktøy'!AA7</f>
        <v>No</v>
      </c>
    </row>
    <row r="8" spans="1:42">
      <c r="D8" s="912"/>
      <c r="E8" s="912"/>
      <c r="F8" s="913" t="str">
        <f>'Pre-analyseverktøy'!F8</f>
        <v/>
      </c>
      <c r="H8" s="326"/>
      <c r="J8" s="13"/>
      <c r="K8" s="13"/>
      <c r="L8" s="13"/>
      <c r="M8" s="13"/>
      <c r="O8" s="13"/>
      <c r="P8" s="13"/>
      <c r="Q8" s="13"/>
      <c r="R8" s="13"/>
      <c r="S8" s="13"/>
      <c r="T8" s="13"/>
      <c r="V8" s="13"/>
      <c r="W8" s="13"/>
      <c r="X8" s="13"/>
      <c r="Y8" s="13"/>
      <c r="Z8" s="13"/>
      <c r="AA8" s="13"/>
    </row>
    <row r="9" spans="1:42" ht="30.75">
      <c r="A9" s="327" t="s">
        <v>230</v>
      </c>
      <c r="B9" s="327" t="s">
        <v>231</v>
      </c>
      <c r="C9" s="327"/>
      <c r="D9" s="901"/>
      <c r="E9" s="901" t="s">
        <v>232</v>
      </c>
      <c r="F9" s="901" t="s">
        <v>1393</v>
      </c>
      <c r="G9" s="885" t="s">
        <v>1290</v>
      </c>
      <c r="H9" s="423" t="s">
        <v>1291</v>
      </c>
      <c r="I9" s="886" t="s">
        <v>1292</v>
      </c>
      <c r="J9" s="887" t="s">
        <v>1293</v>
      </c>
      <c r="K9" s="888" t="s">
        <v>1294</v>
      </c>
      <c r="L9" s="889" t="s">
        <v>239</v>
      </c>
      <c r="M9" s="890" t="s">
        <v>1295</v>
      </c>
      <c r="N9" s="891"/>
      <c r="O9" s="424" t="s">
        <v>1291</v>
      </c>
      <c r="P9" s="424" t="s">
        <v>1296</v>
      </c>
      <c r="Q9" s="424" t="s">
        <v>1293</v>
      </c>
      <c r="R9" s="892" t="s">
        <v>1294</v>
      </c>
      <c r="S9" s="892" t="s">
        <v>239</v>
      </c>
      <c r="T9" s="893" t="s">
        <v>1297</v>
      </c>
      <c r="U9" s="894"/>
      <c r="V9" s="424" t="s">
        <v>1291</v>
      </c>
      <c r="W9" s="424" t="s">
        <v>1296</v>
      </c>
      <c r="X9" s="424" t="s">
        <v>1293</v>
      </c>
      <c r="Y9" s="892" t="s">
        <v>1294</v>
      </c>
      <c r="Z9" s="892" t="s">
        <v>239</v>
      </c>
      <c r="AA9" s="895" t="s">
        <v>1297</v>
      </c>
      <c r="AL9" s="328"/>
      <c r="AP9" s="12"/>
    </row>
    <row r="10" spans="1:42" ht="18.75">
      <c r="A10" s="620">
        <v>1</v>
      </c>
      <c r="B10" s="620" t="s">
        <v>245</v>
      </c>
      <c r="C10" s="620"/>
      <c r="D10" s="425"/>
      <c r="E10" s="425"/>
      <c r="F10" s="425" t="s">
        <v>245</v>
      </c>
      <c r="G10" s="426"/>
      <c r="H10" s="426"/>
      <c r="I10" s="426"/>
      <c r="J10" s="426"/>
      <c r="K10" s="427"/>
      <c r="L10" s="426"/>
      <c r="M10" s="427"/>
      <c r="N10" s="428"/>
      <c r="O10" s="426"/>
      <c r="P10" s="426"/>
      <c r="Q10" s="426"/>
      <c r="R10" s="427"/>
      <c r="S10" s="426"/>
      <c r="T10" s="427"/>
      <c r="U10" s="429"/>
      <c r="V10" s="426"/>
      <c r="W10" s="426"/>
      <c r="X10" s="426"/>
      <c r="Y10" s="427"/>
      <c r="Z10" s="426"/>
      <c r="AA10" s="329"/>
      <c r="AN10" s="328"/>
    </row>
    <row r="11" spans="1:42">
      <c r="A11" s="620">
        <v>2</v>
      </c>
      <c r="B11" s="911" t="s">
        <v>245</v>
      </c>
      <c r="C11" s="911"/>
      <c r="D11" s="931" t="str">
        <f>'Pre-analyseverktøy'!C11</f>
        <v>Man 01</v>
      </c>
      <c r="E11" s="932"/>
      <c r="F11" s="931" t="str">
        <f>'Pre-analyseverktøy'!F11</f>
        <v>Man 01 Konseptutvikling og prosjektoptimalisering</v>
      </c>
      <c r="G11" s="430">
        <f>'Pre-analyseverktøy'!G11</f>
        <v>5</v>
      </c>
      <c r="H11" s="436">
        <f>'Pre-analyseverktøy'!H11</f>
        <v>0</v>
      </c>
      <c r="I11" s="902" t="str">
        <f>'Pre-analyseverktøy'!I11</f>
        <v>0 c. 0 %</v>
      </c>
      <c r="J11" s="432" t="str">
        <f>'Pre-analyseverktøy'!J11</f>
        <v>N/A</v>
      </c>
      <c r="K11" s="433" t="str">
        <f>IF('Pre-analyseverktøy'!K11=0,"",'Pre-analyseverktøy'!K11)</f>
        <v/>
      </c>
      <c r="L11" s="433" t="str">
        <f>IF('Pre-analyseverktøy'!L11=0,"",'Pre-analyseverktøy'!L11)</f>
        <v/>
      </c>
      <c r="M11" s="434" t="str">
        <f>IF('Pre-analyseverktøy'!M11=0,"",'Pre-analyseverktøy'!M11)</f>
        <v/>
      </c>
      <c r="N11" s="435">
        <f>'Pre-analyseverktøy'!N11</f>
        <v>0</v>
      </c>
      <c r="O11" s="436">
        <f>'Pre-analyseverktøy'!O11</f>
        <v>0</v>
      </c>
      <c r="P11" s="431" t="str">
        <f>'Pre-analyseverktøy'!P11</f>
        <v>0 c. 0 %</v>
      </c>
      <c r="Q11" s="430" t="str">
        <f>'Pre-analyseverktøy'!Q11</f>
        <v>N/A</v>
      </c>
      <c r="R11" s="433" t="str">
        <f>IF('Pre-analyseverktøy'!R11=0,"",'Pre-analyseverktøy'!R11)</f>
        <v/>
      </c>
      <c r="S11" s="433" t="str">
        <f>IF('Pre-analyseverktøy'!S11=0,"",'Pre-analyseverktøy'!S11)</f>
        <v/>
      </c>
      <c r="T11" s="434" t="str">
        <f>IF('Pre-analyseverktøy'!T11=0,"",'Pre-analyseverktøy'!T11)</f>
        <v/>
      </c>
      <c r="U11" s="437"/>
      <c r="V11" s="436">
        <f>'Pre-analyseverktøy'!V11</f>
        <v>0</v>
      </c>
      <c r="W11" s="431" t="str">
        <f>'Pre-analyseverktøy'!W11</f>
        <v>0 c. 0 %</v>
      </c>
      <c r="X11" s="430" t="str">
        <f>'Pre-analyseverktøy'!X11</f>
        <v>N/A</v>
      </c>
      <c r="Y11" s="433" t="str">
        <f>IF('Pre-analyseverktøy'!Y11=0,"",'Pre-analyseverktøy'!Y11)</f>
        <v/>
      </c>
      <c r="Z11" s="433" t="str">
        <f>IF('Pre-analyseverktøy'!Z11=0,"",'Pre-analyseverktøy'!Z11)</f>
        <v/>
      </c>
      <c r="AA11" s="433" t="str">
        <f>IF('Pre-analyseverktøy'!AA11=0,"",'Pre-analyseverktøy'!AA11)</f>
        <v/>
      </c>
    </row>
    <row r="12" spans="1:42">
      <c r="A12" s="620">
        <v>3</v>
      </c>
      <c r="B12" s="911" t="s">
        <v>245</v>
      </c>
      <c r="C12" s="911"/>
      <c r="D12" s="932" t="str">
        <f>'Pre-analyseverktøy'!C12</f>
        <v>Man 01</v>
      </c>
      <c r="E12" s="932">
        <f>'Pre-analyseverktøy'!E12</f>
        <v>1</v>
      </c>
      <c r="F12" s="933" t="str">
        <f>'Pre-analyseverktøy'!F12</f>
        <v>Planlegging av  prosjektering  og utførelse</v>
      </c>
      <c r="G12" s="430">
        <f>'Pre-analyseverktøy'!G12</f>
        <v>1</v>
      </c>
      <c r="H12" s="436">
        <f>'Pre-analyseverktøy'!H12</f>
        <v>0</v>
      </c>
      <c r="I12" s="431">
        <f>'Pre-analyseverktøy'!I12</f>
        <v>0</v>
      </c>
      <c r="J12" s="430" t="str">
        <f>'Pre-analyseverktøy'!J12</f>
        <v>Very Good</v>
      </c>
      <c r="K12" s="433" t="str">
        <f>IF('Pre-analyseverktøy'!K12=0,"",'Pre-analyseverktøy'!K12)</f>
        <v/>
      </c>
      <c r="L12" s="433" t="str">
        <f>IF('Pre-analyseverktøy'!L12=0,"",'Pre-analyseverktøy'!L12)</f>
        <v/>
      </c>
      <c r="M12" s="434" t="str">
        <f>IF('Pre-analyseverktøy'!M12=0,"",'Pre-analyseverktøy'!M12)</f>
        <v/>
      </c>
      <c r="N12" s="435">
        <f>'Pre-analyseverktøy'!N12</f>
        <v>0</v>
      </c>
      <c r="O12" s="436">
        <f>'Pre-analyseverktøy'!O12</f>
        <v>0</v>
      </c>
      <c r="P12" s="431">
        <f>'Pre-analyseverktøy'!P12</f>
        <v>0</v>
      </c>
      <c r="Q12" s="430" t="str">
        <f>'Pre-analyseverktøy'!Q12</f>
        <v>Very Good</v>
      </c>
      <c r="R12" s="433" t="str">
        <f>IF('Pre-analyseverktøy'!R12=0,"",'Pre-analyseverktøy'!R12)</f>
        <v/>
      </c>
      <c r="S12" s="433" t="str">
        <f>IF('Pre-analyseverktøy'!S12=0,"",'Pre-analyseverktøy'!S12)</f>
        <v/>
      </c>
      <c r="T12" s="434" t="str">
        <f>IF('Pre-analyseverktøy'!T12=0,"",'Pre-analyseverktøy'!T12)</f>
        <v/>
      </c>
      <c r="U12" s="437"/>
      <c r="V12" s="436">
        <f>'Pre-analyseverktøy'!V12</f>
        <v>0</v>
      </c>
      <c r="W12" s="431">
        <f>'Pre-analyseverktøy'!W12</f>
        <v>0</v>
      </c>
      <c r="X12" s="430" t="str">
        <f>'Pre-analyseverktøy'!X12</f>
        <v>Very Good</v>
      </c>
      <c r="Y12" s="433" t="str">
        <f>IF('Pre-analyseverktøy'!Y12=0,"",'Pre-analyseverktøy'!Y12)</f>
        <v/>
      </c>
      <c r="Z12" s="433" t="str">
        <f>IF('Pre-analyseverktøy'!Z12=0,"",'Pre-analyseverktøy'!Z12)</f>
        <v/>
      </c>
      <c r="AA12" s="433" t="str">
        <f>IF('Pre-analyseverktøy'!AA12=0,"",'Pre-analyseverktøy'!AA12)</f>
        <v/>
      </c>
      <c r="AD12" s="14"/>
    </row>
    <row r="13" spans="1:42">
      <c r="A13" s="620">
        <v>4</v>
      </c>
      <c r="B13" s="911" t="s">
        <v>245</v>
      </c>
      <c r="C13" s="911"/>
      <c r="D13" s="932" t="str">
        <f>'Pre-analyseverktøy'!C13</f>
        <v>Man 01</v>
      </c>
      <c r="E13" s="932" t="str">
        <f>'Pre-analyseverktøy'!E13</f>
        <v>2-3</v>
      </c>
      <c r="F13" s="933" t="str">
        <f>'Pre-analyseverktøy'!F13</f>
        <v>Samlet klimagassregnskap for byggets levetid (EU taksonomi: krit. 2-3)</v>
      </c>
      <c r="G13" s="430">
        <f>'Pre-analyseverktøy'!G13</f>
        <v>1</v>
      </c>
      <c r="H13" s="436">
        <f>'Pre-analyseverktøy'!H13</f>
        <v>0</v>
      </c>
      <c r="I13" s="431">
        <f>'Pre-analyseverktøy'!I13</f>
        <v>0</v>
      </c>
      <c r="J13" s="430" t="str">
        <f>'Pre-analyseverktøy'!J13</f>
        <v>Very Good</v>
      </c>
      <c r="K13" s="433" t="str">
        <f>IF('Pre-analyseverktøy'!K13=0,"",'Pre-analyseverktøy'!K13)</f>
        <v/>
      </c>
      <c r="L13" s="433" t="str">
        <f>IF('Pre-analyseverktøy'!L13=0,"",'Pre-analyseverktøy'!L13)</f>
        <v/>
      </c>
      <c r="M13" s="434" t="str">
        <f>IF('Pre-analyseverktøy'!M13=0,"",'Pre-analyseverktøy'!M13)</f>
        <v/>
      </c>
      <c r="N13" s="435">
        <f>'Pre-analyseverktøy'!N13</f>
        <v>0</v>
      </c>
      <c r="O13" s="436">
        <f>'Pre-analyseverktøy'!O13</f>
        <v>0</v>
      </c>
      <c r="P13" s="431">
        <f>'Pre-analyseverktøy'!P13</f>
        <v>0</v>
      </c>
      <c r="Q13" s="430" t="str">
        <f>'Pre-analyseverktøy'!Q13</f>
        <v>Very Good</v>
      </c>
      <c r="R13" s="433" t="str">
        <f>IF('Pre-analyseverktøy'!R13=0,"",'Pre-analyseverktøy'!R13)</f>
        <v/>
      </c>
      <c r="S13" s="433" t="str">
        <f>IF('Pre-analyseverktøy'!S13=0,"",'Pre-analyseverktøy'!S13)</f>
        <v/>
      </c>
      <c r="T13" s="434" t="str">
        <f>IF('Pre-analyseverktøy'!T13=0,"",'Pre-analyseverktøy'!T13)</f>
        <v/>
      </c>
      <c r="U13" s="437"/>
      <c r="V13" s="436">
        <f>'Pre-analyseverktøy'!V13</f>
        <v>0</v>
      </c>
      <c r="W13" s="431">
        <f>'Pre-analyseverktøy'!W13</f>
        <v>0</v>
      </c>
      <c r="X13" s="430" t="str">
        <f>'Pre-analyseverktøy'!X13</f>
        <v>Very Good</v>
      </c>
      <c r="Y13" s="433" t="str">
        <f>IF('Pre-analyseverktøy'!Y13=0,"",'Pre-analyseverktøy'!Y13)</f>
        <v/>
      </c>
      <c r="Z13" s="433" t="str">
        <f>IF('Pre-analyseverktøy'!Z13=0,"",'Pre-analyseverktøy'!Z13)</f>
        <v/>
      </c>
      <c r="AA13" s="433" t="str">
        <f>IF('Pre-analyseverktøy'!AA13=0,"",'Pre-analyseverktøy'!AA13)</f>
        <v/>
      </c>
      <c r="AD13" s="14"/>
    </row>
    <row r="14" spans="1:42">
      <c r="A14" s="620">
        <v>5</v>
      </c>
      <c r="B14" s="911" t="s">
        <v>245</v>
      </c>
      <c r="C14" s="911"/>
      <c r="D14" s="932" t="str">
        <f>'Pre-analyseverktøy'!C14</f>
        <v>Man 01</v>
      </c>
      <c r="E14" s="932" t="str">
        <f>'Pre-analyseverktøy'!E14</f>
        <v>4-6</v>
      </c>
      <c r="F14" s="933" t="str">
        <f>'Pre-analyseverktøy'!F14</f>
        <v>Involvering av eksterne interessenter</v>
      </c>
      <c r="G14" s="430">
        <f>'Pre-analyseverktøy'!G14</f>
        <v>1</v>
      </c>
      <c r="H14" s="436">
        <f>'Pre-analyseverktøy'!H14</f>
        <v>0</v>
      </c>
      <c r="I14" s="431">
        <f>'Pre-analyseverktøy'!I14</f>
        <v>0</v>
      </c>
      <c r="J14" s="430" t="str">
        <f>'Pre-analyseverktøy'!J14</f>
        <v>N/A</v>
      </c>
      <c r="K14" s="433" t="str">
        <f>IF('Pre-analyseverktøy'!K14=0,"",'Pre-analyseverktøy'!K14)</f>
        <v/>
      </c>
      <c r="L14" s="433" t="str">
        <f>IF('Pre-analyseverktøy'!L14=0,"",'Pre-analyseverktøy'!L14)</f>
        <v/>
      </c>
      <c r="M14" s="434" t="str">
        <f>IF('Pre-analyseverktøy'!M14=0,"",'Pre-analyseverktøy'!M14)</f>
        <v/>
      </c>
      <c r="N14" s="435">
        <f>'Pre-analyseverktøy'!N14</f>
        <v>0</v>
      </c>
      <c r="O14" s="436">
        <f>'Pre-analyseverktøy'!O14</f>
        <v>0</v>
      </c>
      <c r="P14" s="431">
        <f>'Pre-analyseverktøy'!P14</f>
        <v>0</v>
      </c>
      <c r="Q14" s="430" t="str">
        <f>'Pre-analyseverktøy'!Q14</f>
        <v>N/A</v>
      </c>
      <c r="R14" s="433" t="str">
        <f>IF('Pre-analyseverktøy'!R14=0,"",'Pre-analyseverktøy'!R14)</f>
        <v/>
      </c>
      <c r="S14" s="433" t="str">
        <f>IF('Pre-analyseverktøy'!S14=0,"",'Pre-analyseverktøy'!S14)</f>
        <v/>
      </c>
      <c r="T14" s="434" t="str">
        <f>IF('Pre-analyseverktøy'!T14=0,"",'Pre-analyseverktøy'!T14)</f>
        <v/>
      </c>
      <c r="U14" s="437"/>
      <c r="V14" s="436">
        <f>'Pre-analyseverktøy'!V14</f>
        <v>0</v>
      </c>
      <c r="W14" s="431">
        <f>'Pre-analyseverktøy'!W14</f>
        <v>0</v>
      </c>
      <c r="X14" s="430" t="str">
        <f>'Pre-analyseverktøy'!X14</f>
        <v>N/A</v>
      </c>
      <c r="Y14" s="433" t="str">
        <f>IF('Pre-analyseverktøy'!Y14=0,"",'Pre-analyseverktøy'!Y14)</f>
        <v/>
      </c>
      <c r="Z14" s="433" t="str">
        <f>IF('Pre-analyseverktøy'!Z14=0,"",'Pre-analyseverktøy'!Z14)</f>
        <v/>
      </c>
      <c r="AA14" s="433" t="str">
        <f>IF('Pre-analyseverktøy'!AA14=0,"",'Pre-analyseverktøy'!AA14)</f>
        <v/>
      </c>
      <c r="AD14" s="14"/>
      <c r="AF14" s="328"/>
    </row>
    <row r="15" spans="1:42">
      <c r="A15" s="620">
        <v>6</v>
      </c>
      <c r="B15" s="911" t="s">
        <v>245</v>
      </c>
      <c r="C15" s="911"/>
      <c r="D15" s="932" t="str">
        <f>'Pre-analyseverktøy'!C15</f>
        <v>Man 01</v>
      </c>
      <c r="E15" s="932" t="str">
        <f>'Pre-analyseverktøy'!E15</f>
        <v>7-9</v>
      </c>
      <c r="F15" s="933" t="str">
        <f>'Pre-analyseverktøy'!F15</f>
        <v>BREEAM-NOR AP (steg 2 og 3)</v>
      </c>
      <c r="G15" s="430">
        <f>'Pre-analyseverktøy'!G15</f>
        <v>1</v>
      </c>
      <c r="H15" s="436">
        <f>'Pre-analyseverktøy'!H15</f>
        <v>0</v>
      </c>
      <c r="I15" s="431">
        <f>'Pre-analyseverktøy'!I15</f>
        <v>0</v>
      </c>
      <c r="J15" s="430" t="str">
        <f>'Pre-analyseverktøy'!J15</f>
        <v>N/A</v>
      </c>
      <c r="K15" s="433" t="str">
        <f>IF('Pre-analyseverktøy'!K15=0,"",'Pre-analyseverktøy'!K15)</f>
        <v/>
      </c>
      <c r="L15" s="433" t="str">
        <f>IF('Pre-analyseverktøy'!L15=0,"",'Pre-analyseverktøy'!L15)</f>
        <v/>
      </c>
      <c r="M15" s="434" t="str">
        <f>IF('Pre-analyseverktøy'!M15=0,"",'Pre-analyseverktøy'!M15)</f>
        <v/>
      </c>
      <c r="N15" s="435">
        <f>'Pre-analyseverktøy'!N15</f>
        <v>0</v>
      </c>
      <c r="O15" s="436">
        <f>'Pre-analyseverktøy'!O15</f>
        <v>0</v>
      </c>
      <c r="P15" s="431">
        <f>'Pre-analyseverktøy'!P15</f>
        <v>0</v>
      </c>
      <c r="Q15" s="430" t="str">
        <f>'Pre-analyseverktøy'!Q15</f>
        <v>N/A</v>
      </c>
      <c r="R15" s="433" t="str">
        <f>IF('Pre-analyseverktøy'!R15=0,"",'Pre-analyseverktøy'!R15)</f>
        <v/>
      </c>
      <c r="S15" s="433" t="str">
        <f>IF('Pre-analyseverktøy'!S15=0,"",'Pre-analyseverktøy'!S15)</f>
        <v/>
      </c>
      <c r="T15" s="434" t="str">
        <f>IF('Pre-analyseverktøy'!T15=0,"",'Pre-analyseverktøy'!T15)</f>
        <v/>
      </c>
      <c r="U15" s="437"/>
      <c r="V15" s="436">
        <f>'Pre-analyseverktøy'!V15</f>
        <v>0</v>
      </c>
      <c r="W15" s="431">
        <f>'Pre-analyseverktøy'!W15</f>
        <v>0</v>
      </c>
      <c r="X15" s="430" t="str">
        <f>'Pre-analyseverktøy'!X15</f>
        <v>N/A</v>
      </c>
      <c r="Y15" s="433" t="str">
        <f>IF('Pre-analyseverktøy'!Y15=0,"",'Pre-analyseverktøy'!Y15)</f>
        <v/>
      </c>
      <c r="Z15" s="433" t="str">
        <f>IF('Pre-analyseverktøy'!Z15=0,"",'Pre-analyseverktøy'!Z15)</f>
        <v/>
      </c>
      <c r="AA15" s="433" t="str">
        <f>IF('Pre-analyseverktøy'!AA15=0,"",'Pre-analyseverktøy'!AA15)</f>
        <v/>
      </c>
      <c r="AD15" s="14"/>
    </row>
    <row r="16" spans="1:42">
      <c r="A16" s="620">
        <v>7</v>
      </c>
      <c r="B16" s="911" t="s">
        <v>245</v>
      </c>
      <c r="C16" s="911"/>
      <c r="D16" s="932" t="str">
        <f>'Pre-analyseverktøy'!C16</f>
        <v>Man 01</v>
      </c>
      <c r="E16" s="932" t="str">
        <f>'Pre-analyseverktøy'!E16</f>
        <v>10-12</v>
      </c>
      <c r="F16" s="933" t="str">
        <f>'Pre-analyseverktøy'!F16</f>
        <v>BREEAM-NOR AP (steg 4)</v>
      </c>
      <c r="G16" s="430">
        <f>'Pre-analyseverktøy'!G16</f>
        <v>1</v>
      </c>
      <c r="H16" s="436">
        <f>'Pre-analyseverktøy'!H16</f>
        <v>0</v>
      </c>
      <c r="I16" s="431">
        <f>'Pre-analyseverktøy'!I16</f>
        <v>0</v>
      </c>
      <c r="J16" s="430" t="str">
        <f>'Pre-analyseverktøy'!J16</f>
        <v>N/A</v>
      </c>
      <c r="K16" s="433" t="str">
        <f>IF('Pre-analyseverktøy'!K16=0,"",'Pre-analyseverktøy'!K16)</f>
        <v/>
      </c>
      <c r="L16" s="433" t="str">
        <f>IF('Pre-analyseverktøy'!L16=0,"",'Pre-analyseverktøy'!L16)</f>
        <v/>
      </c>
      <c r="M16" s="434" t="str">
        <f>IF('Pre-analyseverktøy'!M16=0,"",'Pre-analyseverktøy'!M16)</f>
        <v/>
      </c>
      <c r="N16" s="435">
        <f>'Pre-analyseverktøy'!N16</f>
        <v>0</v>
      </c>
      <c r="O16" s="436">
        <f>'Pre-analyseverktøy'!O16</f>
        <v>0</v>
      </c>
      <c r="P16" s="431">
        <f>'Pre-analyseverktøy'!P16</f>
        <v>0</v>
      </c>
      <c r="Q16" s="430" t="str">
        <f>'Pre-analyseverktøy'!Q16</f>
        <v>N/A</v>
      </c>
      <c r="R16" s="433" t="str">
        <f>IF('Pre-analyseverktøy'!R16=0,"",'Pre-analyseverktøy'!R16)</f>
        <v/>
      </c>
      <c r="S16" s="433" t="str">
        <f>IF('Pre-analyseverktøy'!S16=0,"",'Pre-analyseverktøy'!S16)</f>
        <v/>
      </c>
      <c r="T16" s="434" t="str">
        <f>IF('Pre-analyseverktøy'!T16=0,"",'Pre-analyseverktøy'!T16)</f>
        <v/>
      </c>
      <c r="U16" s="437"/>
      <c r="V16" s="436">
        <f>'Pre-analyseverktøy'!V16</f>
        <v>0</v>
      </c>
      <c r="W16" s="431">
        <f>'Pre-analyseverktøy'!W16</f>
        <v>0</v>
      </c>
      <c r="X16" s="430" t="str">
        <f>'Pre-analyseverktøy'!X16</f>
        <v>N/A</v>
      </c>
      <c r="Y16" s="433" t="str">
        <f>IF('Pre-analyseverktøy'!Y16=0,"",'Pre-analyseverktøy'!Y16)</f>
        <v/>
      </c>
      <c r="Z16" s="433" t="str">
        <f>IF('Pre-analyseverktøy'!Z16=0,"",'Pre-analyseverktøy'!Z16)</f>
        <v/>
      </c>
      <c r="AA16" s="433" t="str">
        <f>IF('Pre-analyseverktøy'!AA16=0,"",'Pre-analyseverktøy'!AA16)</f>
        <v/>
      </c>
      <c r="AD16" s="14"/>
    </row>
    <row r="17" spans="1:30">
      <c r="A17" s="620">
        <v>8</v>
      </c>
      <c r="B17" s="911" t="s">
        <v>245</v>
      </c>
      <c r="C17" s="911"/>
      <c r="D17" s="931" t="str">
        <f>'Pre-analyseverktøy'!C17</f>
        <v>Man 02</v>
      </c>
      <c r="E17" s="932"/>
      <c r="F17" s="931" t="str">
        <f>'Pre-analyseverktøy'!F17</f>
        <v>Man 02 Livsløpskostnader og levetidsplanlegging</v>
      </c>
      <c r="G17" s="430">
        <f>'Pre-analyseverktøy'!G17</f>
        <v>3</v>
      </c>
      <c r="H17" s="436">
        <f>'Pre-analyseverktøy'!H17</f>
        <v>0</v>
      </c>
      <c r="I17" s="431" t="str">
        <f>'Pre-analyseverktøy'!I17</f>
        <v>0 c. 0 %</v>
      </c>
      <c r="J17" s="430" t="str">
        <f>'Pre-analyseverktøy'!J17</f>
        <v>N/A</v>
      </c>
      <c r="K17" s="433" t="str">
        <f>IF('Pre-analyseverktøy'!K17=0,"",'Pre-analyseverktøy'!K17)</f>
        <v/>
      </c>
      <c r="L17" s="433" t="str">
        <f>IF('Pre-analyseverktøy'!L17=0,"",'Pre-analyseverktøy'!L17)</f>
        <v/>
      </c>
      <c r="M17" s="434" t="str">
        <f>IF('Pre-analyseverktøy'!M17=0,"",'Pre-analyseverktøy'!M17)</f>
        <v/>
      </c>
      <c r="N17" s="435">
        <f>'Pre-analyseverktøy'!N17</f>
        <v>0</v>
      </c>
      <c r="O17" s="436">
        <f>'Pre-analyseverktøy'!O17</f>
        <v>0</v>
      </c>
      <c r="P17" s="431" t="str">
        <f>'Pre-analyseverktøy'!P17</f>
        <v>0 c. 0 %</v>
      </c>
      <c r="Q17" s="430" t="str">
        <f>'Pre-analyseverktøy'!Q17</f>
        <v>N/A</v>
      </c>
      <c r="R17" s="433" t="str">
        <f>IF('Pre-analyseverktøy'!R17=0,"",'Pre-analyseverktøy'!R17)</f>
        <v/>
      </c>
      <c r="S17" s="433" t="str">
        <f>IF('Pre-analyseverktøy'!S17=0,"",'Pre-analyseverktøy'!S17)</f>
        <v/>
      </c>
      <c r="T17" s="434" t="str">
        <f>IF('Pre-analyseverktøy'!T17=0,"",'Pre-analyseverktøy'!T17)</f>
        <v/>
      </c>
      <c r="U17" s="437"/>
      <c r="V17" s="436">
        <f>'Pre-analyseverktøy'!V17</f>
        <v>0</v>
      </c>
      <c r="W17" s="431" t="str">
        <f>'Pre-analyseverktøy'!W17</f>
        <v>0 c. 0 %</v>
      </c>
      <c r="X17" s="430" t="str">
        <f>'Pre-analyseverktøy'!X17</f>
        <v>N/A</v>
      </c>
      <c r="Y17" s="433" t="str">
        <f>IF('Pre-analyseverktøy'!Y17=0,"",'Pre-analyseverktøy'!Y17)</f>
        <v/>
      </c>
      <c r="Z17" s="433" t="str">
        <f>IF('Pre-analyseverktøy'!Z17=0,"",'Pre-analyseverktøy'!Z17)</f>
        <v/>
      </c>
      <c r="AA17" s="433" t="str">
        <f>IF('Pre-analyseverktøy'!AA17=0,"",'Pre-analyseverktøy'!AA17)</f>
        <v/>
      </c>
      <c r="AD17" s="14"/>
    </row>
    <row r="18" spans="1:30" ht="30">
      <c r="A18" s="620">
        <v>9</v>
      </c>
      <c r="B18" s="911" t="s">
        <v>245</v>
      </c>
      <c r="C18" s="911"/>
      <c r="D18" s="932" t="str">
        <f>'Pre-analyseverktøy'!C18</f>
        <v>Man 02</v>
      </c>
      <c r="E18" s="932" t="str">
        <f>'Pre-analyseverktøy'!E18</f>
        <v>1-4</v>
      </c>
      <c r="F18" s="933" t="str">
        <f>'Pre-analyseverktøy'!F18</f>
        <v>Vurdering av et byggs livsløpskostnader (LCC) og rapportering av investeringskostnader</v>
      </c>
      <c r="G18" s="430">
        <f>'Pre-analyseverktøy'!G18</f>
        <v>2</v>
      </c>
      <c r="H18" s="430">
        <f>'Pre-analyseverktøy'!H18</f>
        <v>0</v>
      </c>
      <c r="I18" s="902">
        <f>'Pre-analyseverktøy'!I18</f>
        <v>0</v>
      </c>
      <c r="J18" s="430" t="str">
        <f>'Pre-analyseverktøy'!J18</f>
        <v>N/A</v>
      </c>
      <c r="K18" s="433" t="str">
        <f>IF('Pre-analyseverktøy'!K18=0,"",'Pre-analyseverktøy'!K18)</f>
        <v/>
      </c>
      <c r="L18" s="433" t="str">
        <f>IF('Pre-analyseverktøy'!L18=0,"",'Pre-analyseverktøy'!L18)</f>
        <v/>
      </c>
      <c r="M18" s="433" t="str">
        <f>IF('Pre-analyseverktøy'!M18=0,"",'Pre-analyseverktøy'!M18)</f>
        <v/>
      </c>
      <c r="N18" s="433"/>
      <c r="O18" s="430">
        <f>'Pre-analyseverktøy'!O18</f>
        <v>0</v>
      </c>
      <c r="P18" s="902">
        <f>'Pre-analyseverktøy'!P18</f>
        <v>0</v>
      </c>
      <c r="Q18" s="430" t="str">
        <f>'Pre-analyseverktøy'!Q18</f>
        <v>N/A</v>
      </c>
      <c r="R18" s="433" t="str">
        <f>IF('Pre-analyseverktøy'!R18=0,"",'Pre-analyseverktøy'!R18)</f>
        <v/>
      </c>
      <c r="S18" s="433" t="str">
        <f>IF('Pre-analyseverktøy'!S18=0,"",'Pre-analyseverktøy'!S18)</f>
        <v/>
      </c>
      <c r="T18" s="433" t="str">
        <f>IF('Pre-analyseverktøy'!T18=0,"",'Pre-analyseverktøy'!T18)</f>
        <v/>
      </c>
      <c r="U18" s="437"/>
      <c r="V18" s="430">
        <f>'Pre-analyseverktøy'!V18</f>
        <v>0</v>
      </c>
      <c r="W18" s="430">
        <f>'Pre-analyseverktøy'!W18</f>
        <v>0</v>
      </c>
      <c r="X18" s="430" t="str">
        <f>'Pre-analyseverktøy'!X18</f>
        <v>N/A</v>
      </c>
      <c r="Y18" s="433" t="str">
        <f>IF('Pre-analyseverktøy'!Y18=0,"",'Pre-analyseverktøy'!Y18)</f>
        <v/>
      </c>
      <c r="Z18" s="433" t="str">
        <f>IF('Pre-analyseverktøy'!Z18=0,"",'Pre-analyseverktøy'!Z18)</f>
        <v/>
      </c>
      <c r="AA18" s="433" t="str">
        <f>IF('Pre-analyseverktøy'!AA18=0,"",'Pre-analyseverktøy'!AA18)</f>
        <v/>
      </c>
      <c r="AD18" s="14"/>
    </row>
    <row r="19" spans="1:30">
      <c r="A19" s="620">
        <v>10</v>
      </c>
      <c r="B19" s="911" t="s">
        <v>245</v>
      </c>
      <c r="C19" s="911"/>
      <c r="D19" s="932" t="str">
        <f>'Pre-analyseverktøy'!C19</f>
        <v>Man 02</v>
      </c>
      <c r="E19" s="932" t="str">
        <f>'Pre-analyseverktøy'!E19</f>
        <v>5-6</v>
      </c>
      <c r="F19" s="933" t="str">
        <f>'Pre-analyseverktøy'!F19</f>
        <v>Vurdering av bygningsdelers livssykluskostnader</v>
      </c>
      <c r="G19" s="430">
        <f>'Pre-analyseverktøy'!G19</f>
        <v>1</v>
      </c>
      <c r="H19" s="436">
        <f>'Pre-analyseverktøy'!H19</f>
        <v>0</v>
      </c>
      <c r="I19" s="431">
        <f>'Pre-analyseverktøy'!I19</f>
        <v>0</v>
      </c>
      <c r="J19" s="430" t="str">
        <f>'Pre-analyseverktøy'!J19</f>
        <v>N/A</v>
      </c>
      <c r="K19" s="433" t="str">
        <f>IF('Pre-analyseverktøy'!K19=0,"",'Pre-analyseverktøy'!K19)</f>
        <v/>
      </c>
      <c r="L19" s="433" t="str">
        <f>IF('Pre-analyseverktøy'!L19=0,"",'Pre-analyseverktøy'!L19)</f>
        <v/>
      </c>
      <c r="M19" s="434" t="str">
        <f>IF('Pre-analyseverktøy'!M19=0,"",'Pre-analyseverktøy'!M19)</f>
        <v/>
      </c>
      <c r="N19" s="435">
        <f>'Pre-analyseverktøy'!N19</f>
        <v>0</v>
      </c>
      <c r="O19" s="436">
        <f>'Pre-analyseverktøy'!O19</f>
        <v>0</v>
      </c>
      <c r="P19" s="431">
        <f>'Pre-analyseverktøy'!P19</f>
        <v>0</v>
      </c>
      <c r="Q19" s="430" t="str">
        <f>'Pre-analyseverktøy'!Q19</f>
        <v>N/A</v>
      </c>
      <c r="R19" s="433" t="str">
        <f>IF('Pre-analyseverktøy'!R19=0,"",'Pre-analyseverktøy'!R19)</f>
        <v/>
      </c>
      <c r="S19" s="433" t="str">
        <f>IF('Pre-analyseverktøy'!S19=0,"",'Pre-analyseverktøy'!S19)</f>
        <v/>
      </c>
      <c r="T19" s="434" t="str">
        <f>IF('Pre-analyseverktøy'!T19=0,"",'Pre-analyseverktøy'!T19)</f>
        <v/>
      </c>
      <c r="U19" s="437"/>
      <c r="V19" s="436">
        <f>'Pre-analyseverktøy'!V19</f>
        <v>0</v>
      </c>
      <c r="W19" s="431">
        <f>'Pre-analyseverktøy'!W19</f>
        <v>0</v>
      </c>
      <c r="X19" s="430" t="str">
        <f>'Pre-analyseverktøy'!X19</f>
        <v>N/A</v>
      </c>
      <c r="Y19" s="433" t="str">
        <f>IF('Pre-analyseverktøy'!Y19=0,"",'Pre-analyseverktøy'!Y19)</f>
        <v/>
      </c>
      <c r="Z19" s="433" t="str">
        <f>IF('Pre-analyseverktøy'!Z19=0,"",'Pre-analyseverktøy'!Z19)</f>
        <v/>
      </c>
      <c r="AA19" s="433" t="str">
        <f>IF('Pre-analyseverktøy'!AA19=0,"",'Pre-analyseverktøy'!AA19)</f>
        <v/>
      </c>
      <c r="AD19" s="14"/>
    </row>
    <row r="20" spans="1:30">
      <c r="A20" s="620">
        <v>11</v>
      </c>
      <c r="B20" s="911" t="s">
        <v>245</v>
      </c>
      <c r="C20" s="911"/>
      <c r="D20" s="931" t="str">
        <f>'Pre-analyseverktøy'!C20</f>
        <v>Man 03</v>
      </c>
      <c r="E20" s="932"/>
      <c r="F20" s="931" t="str">
        <f>'Pre-analyseverktøy'!F20</f>
        <v>Man 03 Ansvarlig byggepraksis</v>
      </c>
      <c r="G20" s="430">
        <f>'Pre-analyseverktøy'!G20</f>
        <v>7</v>
      </c>
      <c r="H20" s="436">
        <f>'Pre-analyseverktøy'!H20</f>
        <v>0</v>
      </c>
      <c r="I20" s="431" t="str">
        <f>'Pre-analyseverktøy'!I20</f>
        <v>0 c. 0 %</v>
      </c>
      <c r="J20" s="430" t="str">
        <f>'Pre-analyseverktøy'!J20</f>
        <v>N/A</v>
      </c>
      <c r="K20" s="433" t="str">
        <f>IF('Pre-analyseverktøy'!K20=0,"",'Pre-analyseverktøy'!K20)</f>
        <v/>
      </c>
      <c r="L20" s="433" t="str">
        <f>IF('Pre-analyseverktøy'!L20=0,"",'Pre-analyseverktøy'!L20)</f>
        <v/>
      </c>
      <c r="M20" s="434" t="str">
        <f>IF('Pre-analyseverktøy'!M20=0,"",'Pre-analyseverktøy'!M20)</f>
        <v/>
      </c>
      <c r="N20" s="435">
        <f>'Pre-analyseverktøy'!N20</f>
        <v>0</v>
      </c>
      <c r="O20" s="436">
        <f>'Pre-analyseverktøy'!O20</f>
        <v>0</v>
      </c>
      <c r="P20" s="431" t="str">
        <f>'Pre-analyseverktøy'!P20</f>
        <v>0 c. 0 %</v>
      </c>
      <c r="Q20" s="430" t="str">
        <f>'Pre-analyseverktøy'!Q20</f>
        <v>N/A</v>
      </c>
      <c r="R20" s="433" t="str">
        <f>IF('Pre-analyseverktøy'!R20=0,"",'Pre-analyseverktøy'!R20)</f>
        <v/>
      </c>
      <c r="S20" s="433" t="str">
        <f>IF('Pre-analyseverktøy'!S20=0,"",'Pre-analyseverktøy'!S20)</f>
        <v/>
      </c>
      <c r="T20" s="434" t="str">
        <f>IF('Pre-analyseverktøy'!T20=0,"",'Pre-analyseverktøy'!T20)</f>
        <v/>
      </c>
      <c r="U20" s="437"/>
      <c r="V20" s="436">
        <f>'Pre-analyseverktøy'!V20</f>
        <v>0</v>
      </c>
      <c r="W20" s="431" t="str">
        <f>'Pre-analyseverktøy'!W20</f>
        <v>0 c. 0 %</v>
      </c>
      <c r="X20" s="430" t="str">
        <f>'Pre-analyseverktøy'!X20</f>
        <v>N/A</v>
      </c>
      <c r="Y20" s="433" t="str">
        <f>IF('Pre-analyseverktøy'!Y20=0,"",'Pre-analyseverktøy'!Y20)</f>
        <v/>
      </c>
      <c r="Z20" s="433" t="str">
        <f>IF('Pre-analyseverktøy'!Z20=0,"",'Pre-analyseverktøy'!Z20)</f>
        <v/>
      </c>
      <c r="AA20" s="433" t="str">
        <f>IF('Pre-analyseverktøy'!AA20=0,"",'Pre-analyseverktøy'!AA20)</f>
        <v/>
      </c>
      <c r="AD20" s="14"/>
    </row>
    <row r="21" spans="1:30">
      <c r="A21" s="620">
        <v>12</v>
      </c>
      <c r="B21" s="911" t="s">
        <v>245</v>
      </c>
      <c r="C21" s="911"/>
      <c r="D21" s="932" t="str">
        <f>'Pre-analyseverktøy'!C21</f>
        <v>Man 03</v>
      </c>
      <c r="E21" s="932">
        <f>'Pre-analyseverktøy'!E21</f>
        <v>1</v>
      </c>
      <c r="F21" s="933" t="str">
        <f>'Pre-analyseverktøy'!F21</f>
        <v>Miljøledelse</v>
      </c>
      <c r="G21" s="430">
        <f>'Pre-analyseverktøy'!G21</f>
        <v>1</v>
      </c>
      <c r="H21" s="436">
        <f>'Pre-analyseverktøy'!H21</f>
        <v>0</v>
      </c>
      <c r="I21" s="431">
        <f>'Pre-analyseverktøy'!I21</f>
        <v>0</v>
      </c>
      <c r="J21" s="430" t="str">
        <f>'Pre-analyseverktøy'!J21</f>
        <v>N/A</v>
      </c>
      <c r="K21" s="433" t="str">
        <f>IF('Pre-analyseverktøy'!K21=0,"",'Pre-analyseverktøy'!K21)</f>
        <v/>
      </c>
      <c r="L21" s="433" t="str">
        <f>IF('Pre-analyseverktøy'!L21=0,"",'Pre-analyseverktøy'!L21)</f>
        <v/>
      </c>
      <c r="M21" s="434" t="str">
        <f>IF('Pre-analyseverktøy'!M21=0,"",'Pre-analyseverktøy'!M21)</f>
        <v/>
      </c>
      <c r="N21" s="435">
        <f>'Pre-analyseverktøy'!N21</f>
        <v>0</v>
      </c>
      <c r="O21" s="436">
        <f>'Pre-analyseverktøy'!O21</f>
        <v>0</v>
      </c>
      <c r="P21" s="431">
        <f>'Pre-analyseverktøy'!P21</f>
        <v>0</v>
      </c>
      <c r="Q21" s="430" t="str">
        <f>'Pre-analyseverktøy'!Q21</f>
        <v>N/A</v>
      </c>
      <c r="R21" s="433" t="str">
        <f>IF('Pre-analyseverktøy'!R21=0,"",'Pre-analyseverktøy'!R21)</f>
        <v/>
      </c>
      <c r="S21" s="433" t="str">
        <f>IF('Pre-analyseverktøy'!S21=0,"",'Pre-analyseverktøy'!S21)</f>
        <v/>
      </c>
      <c r="T21" s="434" t="str">
        <f>IF('Pre-analyseverktøy'!T21=0,"",'Pre-analyseverktøy'!T21)</f>
        <v/>
      </c>
      <c r="U21" s="437"/>
      <c r="V21" s="436">
        <f>'Pre-analyseverktøy'!V21</f>
        <v>0</v>
      </c>
      <c r="W21" s="431">
        <f>'Pre-analyseverktøy'!W21</f>
        <v>0</v>
      </c>
      <c r="X21" s="430" t="str">
        <f>'Pre-analyseverktøy'!X21</f>
        <v>N/A</v>
      </c>
      <c r="Y21" s="433" t="str">
        <f>IF('Pre-analyseverktøy'!Y21=0,"",'Pre-analyseverktøy'!Y21)</f>
        <v/>
      </c>
      <c r="Z21" s="433" t="str">
        <f>IF('Pre-analyseverktøy'!Z21=0,"",'Pre-analyseverktøy'!Z21)</f>
        <v/>
      </c>
      <c r="AA21" s="433" t="str">
        <f>IF('Pre-analyseverktøy'!AA21=0,"",'Pre-analyseverktøy'!AA21)</f>
        <v/>
      </c>
      <c r="AD21" s="14"/>
    </row>
    <row r="22" spans="1:30">
      <c r="A22" s="620">
        <v>13</v>
      </c>
      <c r="B22" s="911" t="s">
        <v>245</v>
      </c>
      <c r="C22" s="911"/>
      <c r="D22" s="932" t="str">
        <f>'Pre-analyseverktøy'!C22</f>
        <v>Man 03</v>
      </c>
      <c r="E22" s="932" t="str">
        <f>'Pre-analyseverktøy'!E22</f>
        <v>2-4</v>
      </c>
      <c r="F22" s="933" t="str">
        <f>'Pre-analyseverktøy'!F22</f>
        <v>BREEAM-NOR AP og ytelsesnivå (steg 5 og 6)</v>
      </c>
      <c r="G22" s="430">
        <f>'Pre-analyseverktøy'!G22</f>
        <v>1</v>
      </c>
      <c r="H22" s="436">
        <f>'Pre-analyseverktøy'!H22</f>
        <v>0</v>
      </c>
      <c r="I22" s="431">
        <f>'Pre-analyseverktøy'!I22</f>
        <v>0</v>
      </c>
      <c r="J22" s="430" t="str">
        <f>'Pre-analyseverktøy'!J22</f>
        <v>N/A</v>
      </c>
      <c r="K22" s="433" t="str">
        <f>IF('Pre-analyseverktøy'!K22=0,"",'Pre-analyseverktøy'!K22)</f>
        <v/>
      </c>
      <c r="L22" s="433" t="str">
        <f>IF('Pre-analyseverktøy'!L22=0,"",'Pre-analyseverktøy'!L22)</f>
        <v/>
      </c>
      <c r="M22" s="434" t="str">
        <f>IF('Pre-analyseverktøy'!M22=0,"",'Pre-analyseverktøy'!M22)</f>
        <v/>
      </c>
      <c r="N22" s="435">
        <f>'Pre-analyseverktøy'!N22</f>
        <v>0</v>
      </c>
      <c r="O22" s="436">
        <f>'Pre-analyseverktøy'!O22</f>
        <v>0</v>
      </c>
      <c r="P22" s="431">
        <f>'Pre-analyseverktøy'!P22</f>
        <v>0</v>
      </c>
      <c r="Q22" s="430" t="str">
        <f>'Pre-analyseverktøy'!Q22</f>
        <v>N/A</v>
      </c>
      <c r="R22" s="433" t="str">
        <f>IF('Pre-analyseverktøy'!R22=0,"",'Pre-analyseverktøy'!R22)</f>
        <v/>
      </c>
      <c r="S22" s="433" t="str">
        <f>IF('Pre-analyseverktøy'!S22=0,"",'Pre-analyseverktøy'!S22)</f>
        <v/>
      </c>
      <c r="T22" s="434" t="str">
        <f>IF('Pre-analyseverktøy'!T22=0,"",'Pre-analyseverktøy'!T22)</f>
        <v/>
      </c>
      <c r="U22" s="437"/>
      <c r="V22" s="436">
        <f>'Pre-analyseverktøy'!V22</f>
        <v>0</v>
      </c>
      <c r="W22" s="431">
        <f>'Pre-analyseverktøy'!W22</f>
        <v>0</v>
      </c>
      <c r="X22" s="430" t="str">
        <f>'Pre-analyseverktøy'!X22</f>
        <v>N/A</v>
      </c>
      <c r="Y22" s="433" t="str">
        <f>IF('Pre-analyseverktøy'!Y22=0,"",'Pre-analyseverktøy'!Y22)</f>
        <v/>
      </c>
      <c r="Z22" s="433" t="str">
        <f>IF('Pre-analyseverktøy'!Z22=0,"",'Pre-analyseverktøy'!Z22)</f>
        <v/>
      </c>
      <c r="AA22" s="433" t="str">
        <f>IF('Pre-analyseverktøy'!AA22=0,"",'Pre-analyseverktøy'!AA22)</f>
        <v/>
      </c>
      <c r="AD22" s="14"/>
    </row>
    <row r="23" spans="1:30" ht="30">
      <c r="A23" s="620">
        <v>14</v>
      </c>
      <c r="B23" s="911" t="s">
        <v>245</v>
      </c>
      <c r="C23" s="911"/>
      <c r="D23" s="932" t="str">
        <f>'Pre-analyseverktøy'!C23</f>
        <v>Man 03</v>
      </c>
      <c r="E23" s="932" t="str">
        <f>'Pre-analyseverktøy'!E23</f>
        <v>5-6</v>
      </c>
      <c r="F23" s="933" t="str">
        <f>'Pre-analyseverktøy'!F23</f>
        <v>Ansvarlig byggeledelse: rent tørt bygg og sjekkliste A1 (EU taksonomi: krit. 5-6)</v>
      </c>
      <c r="G23" s="430">
        <f>'Pre-analyseverktøy'!G23</f>
        <v>1</v>
      </c>
      <c r="H23" s="436">
        <f>'Pre-analyseverktøy'!H23</f>
        <v>0</v>
      </c>
      <c r="I23" s="431">
        <f>'Pre-analyseverktøy'!I23</f>
        <v>0</v>
      </c>
      <c r="J23" s="430" t="str">
        <f>'Pre-analyseverktøy'!J23</f>
        <v>Unclassified</v>
      </c>
      <c r="K23" s="433" t="str">
        <f>IF('Pre-analyseverktøy'!K23=0,"",'Pre-analyseverktøy'!K23)</f>
        <v/>
      </c>
      <c r="L23" s="433" t="str">
        <f>IF('Pre-analyseverktøy'!L23=0,"",'Pre-analyseverktøy'!L23)</f>
        <v/>
      </c>
      <c r="M23" s="434" t="str">
        <f>IF('Pre-analyseverktøy'!M23=0,"",'Pre-analyseverktøy'!M23)</f>
        <v/>
      </c>
      <c r="N23" s="435">
        <f>'Pre-analyseverktøy'!N23</f>
        <v>0</v>
      </c>
      <c r="O23" s="436">
        <f>'Pre-analyseverktøy'!O23</f>
        <v>0</v>
      </c>
      <c r="P23" s="431">
        <f>'Pre-analyseverktøy'!P23</f>
        <v>0</v>
      </c>
      <c r="Q23" s="430" t="str">
        <f>'Pre-analyseverktøy'!Q23</f>
        <v>Unclassified</v>
      </c>
      <c r="R23" s="433" t="str">
        <f>IF('Pre-analyseverktøy'!R23=0,"",'Pre-analyseverktøy'!R23)</f>
        <v/>
      </c>
      <c r="S23" s="433" t="str">
        <f>IF('Pre-analyseverktøy'!S23=0,"",'Pre-analyseverktøy'!S23)</f>
        <v/>
      </c>
      <c r="T23" s="434" t="str">
        <f>IF('Pre-analyseverktøy'!T23=0,"",'Pre-analyseverktøy'!T23)</f>
        <v/>
      </c>
      <c r="U23" s="437"/>
      <c r="V23" s="436">
        <f>'Pre-analyseverktøy'!V23</f>
        <v>0</v>
      </c>
      <c r="W23" s="431">
        <f>'Pre-analyseverktøy'!W23</f>
        <v>0</v>
      </c>
      <c r="X23" s="430" t="str">
        <f>'Pre-analyseverktøy'!X23</f>
        <v>Unclassified</v>
      </c>
      <c r="Y23" s="433" t="str">
        <f>IF('Pre-analyseverktøy'!Y23=0,"",'Pre-analyseverktøy'!Y23)</f>
        <v/>
      </c>
      <c r="Z23" s="433" t="str">
        <f>IF('Pre-analyseverktøy'!Z23=0,"",'Pre-analyseverktøy'!Z23)</f>
        <v/>
      </c>
      <c r="AA23" s="433" t="str">
        <f>IF('Pre-analyseverktøy'!AA23=0,"",'Pre-analyseverktøy'!AA23)</f>
        <v/>
      </c>
      <c r="AD23" s="14"/>
    </row>
    <row r="24" spans="1:30" ht="30">
      <c r="A24" s="620">
        <v>15</v>
      </c>
      <c r="B24" s="911" t="s">
        <v>245</v>
      </c>
      <c r="C24" s="911"/>
      <c r="D24" s="932" t="str">
        <f>'Pre-analyseverktøy'!C24</f>
        <v>Man 03</v>
      </c>
      <c r="E24" s="932" t="str">
        <f>'Pre-analyseverktøy'!E24</f>
        <v>7-9</v>
      </c>
      <c r="F24" s="933" t="str">
        <f>'Pre-analyseverktøy'!F24</f>
        <v>Ansvarlig byggeledelse: INSTA 800 og sjekkliste A1 (EU taksonomi: krit. 7-9)</v>
      </c>
      <c r="G24" s="430">
        <f>'Pre-analyseverktøy'!G24</f>
        <v>1</v>
      </c>
      <c r="H24" s="436">
        <f>'Pre-analyseverktøy'!H24</f>
        <v>0</v>
      </c>
      <c r="I24" s="431">
        <f>'Pre-analyseverktøy'!I24</f>
        <v>0</v>
      </c>
      <c r="J24" s="430" t="str">
        <f>'Pre-analyseverktøy'!J24</f>
        <v>Good</v>
      </c>
      <c r="K24" s="433" t="str">
        <f>IF('Pre-analyseverktøy'!K24=0,"",'Pre-analyseverktøy'!K24)</f>
        <v/>
      </c>
      <c r="L24" s="433" t="str">
        <f>IF('Pre-analyseverktøy'!L24=0,"",'Pre-analyseverktøy'!L24)</f>
        <v/>
      </c>
      <c r="M24" s="434" t="str">
        <f>IF('Pre-analyseverktøy'!M24=0,"",'Pre-analyseverktøy'!M24)</f>
        <v/>
      </c>
      <c r="N24" s="435">
        <f>'Pre-analyseverktøy'!N24</f>
        <v>0</v>
      </c>
      <c r="O24" s="436">
        <f>'Pre-analyseverktøy'!O24</f>
        <v>0</v>
      </c>
      <c r="P24" s="431">
        <f>'Pre-analyseverktøy'!P24</f>
        <v>0</v>
      </c>
      <c r="Q24" s="430" t="str">
        <f>'Pre-analyseverktøy'!Q24</f>
        <v>Good</v>
      </c>
      <c r="R24" s="433" t="str">
        <f>IF('Pre-analyseverktøy'!R24=0,"",'Pre-analyseverktøy'!R24)</f>
        <v/>
      </c>
      <c r="S24" s="433" t="str">
        <f>IF('Pre-analyseverktøy'!S24=0,"",'Pre-analyseverktøy'!S24)</f>
        <v/>
      </c>
      <c r="T24" s="434" t="str">
        <f>IF('Pre-analyseverktøy'!T24=0,"",'Pre-analyseverktøy'!T24)</f>
        <v/>
      </c>
      <c r="U24" s="437"/>
      <c r="V24" s="436">
        <f>'Pre-analyseverktøy'!V24</f>
        <v>0</v>
      </c>
      <c r="W24" s="431">
        <f>'Pre-analyseverktøy'!W24</f>
        <v>0</v>
      </c>
      <c r="X24" s="430" t="str">
        <f>'Pre-analyseverktøy'!X24</f>
        <v>Good</v>
      </c>
      <c r="Y24" s="433" t="str">
        <f>IF('Pre-analyseverktøy'!Y24=0,"",'Pre-analyseverktøy'!Y24)</f>
        <v/>
      </c>
      <c r="Z24" s="433" t="str">
        <f>IF('Pre-analyseverktøy'!Z24=0,"",'Pre-analyseverktøy'!Z24)</f>
        <v/>
      </c>
      <c r="AA24" s="433" t="str">
        <f>IF('Pre-analyseverktøy'!AA24=0,"",'Pre-analyseverktøy'!AA24)</f>
        <v/>
      </c>
      <c r="AD24" s="14"/>
    </row>
    <row r="25" spans="1:30" ht="30">
      <c r="A25" s="620">
        <v>16</v>
      </c>
      <c r="B25" s="911" t="s">
        <v>245</v>
      </c>
      <c r="C25" s="911"/>
      <c r="D25" s="932" t="str">
        <f>'Pre-analyseverktøy'!C25</f>
        <v>Man 03</v>
      </c>
      <c r="E25" s="932" t="str">
        <f>'Pre-analyseverktøy'!E25</f>
        <v>10-11</v>
      </c>
      <c r="F25" s="933" t="str">
        <f>'Pre-analyseverktøy'!F25</f>
        <v>Reduksjon av klimagassutslipp fra aktiviteter: energibruk fra aktiviteter på utbyggingsområdet (steg 2-4)</v>
      </c>
      <c r="G25" s="430">
        <f>'Pre-analyseverktøy'!G25</f>
        <v>1</v>
      </c>
      <c r="H25" s="436">
        <f>'Pre-analyseverktøy'!H25</f>
        <v>0</v>
      </c>
      <c r="I25" s="431">
        <f>'Pre-analyseverktøy'!I25</f>
        <v>0</v>
      </c>
      <c r="J25" s="430" t="str">
        <f>'Pre-analyseverktøy'!J25</f>
        <v>Very Good</v>
      </c>
      <c r="K25" s="433" t="str">
        <f>IF('Pre-analyseverktøy'!K25=0,"",'Pre-analyseverktøy'!K25)</f>
        <v/>
      </c>
      <c r="L25" s="433" t="str">
        <f>IF('Pre-analyseverktøy'!L25=0,"",'Pre-analyseverktøy'!L25)</f>
        <v/>
      </c>
      <c r="M25" s="434" t="str">
        <f>IF('Pre-analyseverktøy'!M25=0,"",'Pre-analyseverktøy'!M25)</f>
        <v/>
      </c>
      <c r="N25" s="435">
        <f>'Pre-analyseverktøy'!N25</f>
        <v>0</v>
      </c>
      <c r="O25" s="436">
        <f>'Pre-analyseverktøy'!O25</f>
        <v>0</v>
      </c>
      <c r="P25" s="431">
        <f>'Pre-analyseverktøy'!P25</f>
        <v>0</v>
      </c>
      <c r="Q25" s="430" t="str">
        <f>'Pre-analyseverktøy'!Q25</f>
        <v>Very Good</v>
      </c>
      <c r="R25" s="433" t="str">
        <f>IF('Pre-analyseverktøy'!R25=0,"",'Pre-analyseverktøy'!R25)</f>
        <v/>
      </c>
      <c r="S25" s="433" t="str">
        <f>IF('Pre-analyseverktøy'!S25=0,"",'Pre-analyseverktøy'!S25)</f>
        <v/>
      </c>
      <c r="T25" s="434" t="str">
        <f>IF('Pre-analyseverktøy'!T25=0,"",'Pre-analyseverktøy'!T25)</f>
        <v/>
      </c>
      <c r="U25" s="437"/>
      <c r="V25" s="436">
        <f>'Pre-analyseverktøy'!V25</f>
        <v>0</v>
      </c>
      <c r="W25" s="431">
        <f>'Pre-analyseverktøy'!W25</f>
        <v>0</v>
      </c>
      <c r="X25" s="430" t="str">
        <f>'Pre-analyseverktøy'!X25</f>
        <v>Very Good</v>
      </c>
      <c r="Y25" s="433" t="str">
        <f>IF('Pre-analyseverktøy'!Y25=0,"",'Pre-analyseverktøy'!Y25)</f>
        <v/>
      </c>
      <c r="Z25" s="433" t="str">
        <f>IF('Pre-analyseverktøy'!Z25=0,"",'Pre-analyseverktøy'!Z25)</f>
        <v/>
      </c>
      <c r="AA25" s="433" t="str">
        <f>IF('Pre-analyseverktøy'!AA25=0,"",'Pre-analyseverktøy'!AA25)</f>
        <v/>
      </c>
      <c r="AD25" s="14"/>
    </row>
    <row r="26" spans="1:30" ht="30">
      <c r="A26" s="620">
        <v>17</v>
      </c>
      <c r="B26" s="911" t="s">
        <v>245</v>
      </c>
      <c r="C26" s="911"/>
      <c r="D26" s="932" t="str">
        <f>'Pre-analyseverktøy'!C26</f>
        <v>Man 03</v>
      </c>
      <c r="E26" s="932" t="str">
        <f>'Pre-analyseverktøy'!E26</f>
        <v>12-13</v>
      </c>
      <c r="F26" s="933" t="str">
        <f>'Pre-analyseverktøy'!F26</f>
        <v>Reduksjon av klimagassutslipp fra aktiviteter: Energiforbruk fra transport av masser og avfall  (steg 2-4)</v>
      </c>
      <c r="G26" s="430">
        <f>'Pre-analyseverktøy'!G26</f>
        <v>2</v>
      </c>
      <c r="H26" s="436">
        <f>'Pre-analyseverktøy'!H26</f>
        <v>0</v>
      </c>
      <c r="I26" s="431">
        <f>'Pre-analyseverktøy'!I26</f>
        <v>0</v>
      </c>
      <c r="J26" s="430" t="str">
        <f>'Pre-analyseverktøy'!J26</f>
        <v>Very Good</v>
      </c>
      <c r="K26" s="433" t="str">
        <f>IF('Pre-analyseverktøy'!K26=0,"",'Pre-analyseverktøy'!K26)</f>
        <v/>
      </c>
      <c r="L26" s="433" t="str">
        <f>IF('Pre-analyseverktøy'!L26=0,"",'Pre-analyseverktøy'!L26)</f>
        <v/>
      </c>
      <c r="M26" s="434" t="str">
        <f>IF('Pre-analyseverktøy'!M26=0,"",'Pre-analyseverktøy'!M26)</f>
        <v/>
      </c>
      <c r="N26" s="435">
        <f>'Pre-analyseverktøy'!N26</f>
        <v>0</v>
      </c>
      <c r="O26" s="436">
        <f>'Pre-analyseverktøy'!O26</f>
        <v>0</v>
      </c>
      <c r="P26" s="431">
        <f>'Pre-analyseverktøy'!P26</f>
        <v>0</v>
      </c>
      <c r="Q26" s="430" t="str">
        <f>'Pre-analyseverktøy'!Q26</f>
        <v>Very Good</v>
      </c>
      <c r="R26" s="433" t="str">
        <f>IF('Pre-analyseverktøy'!R26=0,"",'Pre-analyseverktøy'!R26)</f>
        <v/>
      </c>
      <c r="S26" s="433" t="str">
        <f>IF('Pre-analyseverktøy'!S26=0,"",'Pre-analyseverktøy'!S26)</f>
        <v/>
      </c>
      <c r="T26" s="434" t="str">
        <f>IF('Pre-analyseverktøy'!T26=0,"",'Pre-analyseverktøy'!T26)</f>
        <v/>
      </c>
      <c r="U26" s="437"/>
      <c r="V26" s="436">
        <f>'Pre-analyseverktøy'!V26</f>
        <v>0</v>
      </c>
      <c r="W26" s="431">
        <f>'Pre-analyseverktøy'!W26</f>
        <v>0</v>
      </c>
      <c r="X26" s="430" t="str">
        <f>'Pre-analyseverktøy'!X26</f>
        <v>Very Good</v>
      </c>
      <c r="Y26" s="433" t="str">
        <f>IF('Pre-analyseverktøy'!Y26=0,"",'Pre-analyseverktøy'!Y26)</f>
        <v/>
      </c>
      <c r="Z26" s="433" t="str">
        <f>IF('Pre-analyseverktøy'!Z26=0,"",'Pre-analyseverktøy'!Z26)</f>
        <v/>
      </c>
      <c r="AA26" s="433" t="str">
        <f>IF('Pre-analyseverktøy'!AA26=0,"",'Pre-analyseverktøy'!AA26)</f>
        <v/>
      </c>
      <c r="AD26" s="14"/>
    </row>
    <row r="27" spans="1:30">
      <c r="A27" s="620">
        <v>18</v>
      </c>
      <c r="B27" s="911" t="s">
        <v>245</v>
      </c>
      <c r="C27" s="911"/>
      <c r="D27" s="931" t="str">
        <f>'Pre-analyseverktøy'!C27</f>
        <v>Man 04</v>
      </c>
      <c r="E27" s="932"/>
      <c r="F27" s="931" t="str">
        <f>'Pre-analyseverktøy'!F27</f>
        <v>Man 04  Idriftsetting og overlevering</v>
      </c>
      <c r="G27" s="430">
        <f>'Pre-analyseverktøy'!G27</f>
        <v>3</v>
      </c>
      <c r="H27" s="436">
        <f>'Pre-analyseverktøy'!H27</f>
        <v>0</v>
      </c>
      <c r="I27" s="431" t="str">
        <f>'Pre-analyseverktøy'!I27</f>
        <v>0 c. 0 %</v>
      </c>
      <c r="J27" s="430" t="str">
        <f>'Pre-analyseverktøy'!J27</f>
        <v>N/A</v>
      </c>
      <c r="K27" s="433" t="str">
        <f>IF('Pre-analyseverktøy'!K27=0,"",'Pre-analyseverktøy'!K27)</f>
        <v/>
      </c>
      <c r="L27" s="433" t="str">
        <f>IF('Pre-analyseverktøy'!L27=0,"",'Pre-analyseverktøy'!L27)</f>
        <v/>
      </c>
      <c r="M27" s="434" t="str">
        <f>IF('Pre-analyseverktøy'!M27=0,"",'Pre-analyseverktøy'!M27)</f>
        <v/>
      </c>
      <c r="N27" s="435">
        <f>'Pre-analyseverktøy'!N27</f>
        <v>0</v>
      </c>
      <c r="O27" s="436">
        <f>'Pre-analyseverktøy'!O27</f>
        <v>0</v>
      </c>
      <c r="P27" s="431" t="str">
        <f>'Pre-analyseverktøy'!P27</f>
        <v>0 c. 0 %</v>
      </c>
      <c r="Q27" s="430" t="str">
        <f>'Pre-analyseverktøy'!Q27</f>
        <v>N/A</v>
      </c>
      <c r="R27" s="433" t="str">
        <f>IF('Pre-analyseverktøy'!R27=0,"",'Pre-analyseverktøy'!R27)</f>
        <v/>
      </c>
      <c r="S27" s="433" t="str">
        <f>IF('Pre-analyseverktøy'!S27=0,"",'Pre-analyseverktøy'!S27)</f>
        <v/>
      </c>
      <c r="T27" s="434" t="str">
        <f>IF('Pre-analyseverktøy'!T27=0,"",'Pre-analyseverktøy'!T27)</f>
        <v/>
      </c>
      <c r="U27" s="437"/>
      <c r="V27" s="436">
        <f>'Pre-analyseverktøy'!V27</f>
        <v>0</v>
      </c>
      <c r="W27" s="431" t="str">
        <f>'Pre-analyseverktøy'!W27</f>
        <v>0 c. 0 %</v>
      </c>
      <c r="X27" s="430" t="str">
        <f>'Pre-analyseverktøy'!X27</f>
        <v>N/A</v>
      </c>
      <c r="Y27" s="433" t="str">
        <f>IF('Pre-analyseverktøy'!Y27=0,"",'Pre-analyseverktøy'!Y27)</f>
        <v/>
      </c>
      <c r="Z27" s="433" t="str">
        <f>IF('Pre-analyseverktøy'!Z27=0,"",'Pre-analyseverktøy'!Z27)</f>
        <v/>
      </c>
      <c r="AA27" s="433" t="str">
        <f>IF('Pre-analyseverktøy'!AA27=0,"",'Pre-analyseverktøy'!AA27)</f>
        <v/>
      </c>
      <c r="AD27" s="14"/>
    </row>
    <row r="28" spans="1:30">
      <c r="A28" s="620">
        <v>19</v>
      </c>
      <c r="B28" s="911" t="s">
        <v>245</v>
      </c>
      <c r="C28" s="911"/>
      <c r="D28" s="932" t="str">
        <f>'Pre-analyseverktøy'!C28</f>
        <v>Man 04</v>
      </c>
      <c r="E28" s="932" t="str">
        <f>'Pre-analyseverktøy'!E28</f>
        <v>1-4</v>
      </c>
      <c r="F28" s="933" t="str">
        <f>'Pre-analyseverktøy'!F28</f>
        <v>Plan for idriftsetting, testing og ansvar</v>
      </c>
      <c r="G28" s="430">
        <f>'Pre-analyseverktøy'!G28</f>
        <v>1</v>
      </c>
      <c r="H28" s="436">
        <f>'Pre-analyseverktøy'!H28</f>
        <v>0</v>
      </c>
      <c r="I28" s="431">
        <f>'Pre-analyseverktøy'!I28</f>
        <v>0</v>
      </c>
      <c r="J28" s="430" t="str">
        <f>'Pre-analyseverktøy'!J28</f>
        <v>Unclassified</v>
      </c>
      <c r="K28" s="433" t="str">
        <f>IF('Pre-analyseverktøy'!K28=0,"",'Pre-analyseverktøy'!K28)</f>
        <v/>
      </c>
      <c r="L28" s="433" t="str">
        <f>IF('Pre-analyseverktøy'!L28=0,"",'Pre-analyseverktøy'!L28)</f>
        <v/>
      </c>
      <c r="M28" s="434" t="str">
        <f>IF('Pre-analyseverktøy'!M28=0,"",'Pre-analyseverktøy'!M28)</f>
        <v/>
      </c>
      <c r="N28" s="435">
        <f>'Pre-analyseverktøy'!N28</f>
        <v>0</v>
      </c>
      <c r="O28" s="436">
        <f>'Pre-analyseverktøy'!O28</f>
        <v>0</v>
      </c>
      <c r="P28" s="431">
        <f>'Pre-analyseverktøy'!P28</f>
        <v>0</v>
      </c>
      <c r="Q28" s="430" t="str">
        <f>'Pre-analyseverktøy'!Q28</f>
        <v>Unclassified</v>
      </c>
      <c r="R28" s="433" t="str">
        <f>IF('Pre-analyseverktøy'!R28=0,"",'Pre-analyseverktøy'!R28)</f>
        <v/>
      </c>
      <c r="S28" s="433" t="str">
        <f>IF('Pre-analyseverktøy'!S28=0,"",'Pre-analyseverktøy'!S28)</f>
        <v/>
      </c>
      <c r="T28" s="434" t="str">
        <f>IF('Pre-analyseverktøy'!T28=0,"",'Pre-analyseverktøy'!T28)</f>
        <v/>
      </c>
      <c r="U28" s="437"/>
      <c r="V28" s="436">
        <f>'Pre-analyseverktøy'!V28</f>
        <v>0</v>
      </c>
      <c r="W28" s="431">
        <f>'Pre-analyseverktøy'!W28</f>
        <v>0</v>
      </c>
      <c r="X28" s="430" t="str">
        <f>'Pre-analyseverktøy'!X28</f>
        <v>Unclassified</v>
      </c>
      <c r="Y28" s="433" t="str">
        <f>IF('Pre-analyseverktøy'!Y28=0,"",'Pre-analyseverktøy'!Y28)</f>
        <v/>
      </c>
      <c r="Z28" s="433" t="str">
        <f>IF('Pre-analyseverktøy'!Z28=0,"",'Pre-analyseverktøy'!Z28)</f>
        <v/>
      </c>
      <c r="AA28" s="433" t="str">
        <f>IF('Pre-analyseverktøy'!AA28=0,"",'Pre-analyseverktøy'!AA28)</f>
        <v/>
      </c>
      <c r="AD28" s="14"/>
    </row>
    <row r="29" spans="1:30">
      <c r="A29" s="620">
        <v>20</v>
      </c>
      <c r="B29" s="911" t="s">
        <v>245</v>
      </c>
      <c r="C29" s="911"/>
      <c r="D29" s="932" t="str">
        <f>'Pre-analyseverktøy'!C29</f>
        <v>Man 04</v>
      </c>
      <c r="E29" s="932" t="str">
        <f>'Pre-analyseverktøy'!E29</f>
        <v>5-7</v>
      </c>
      <c r="F29" s="933" t="str">
        <f>'Pre-analyseverktøy'!F29</f>
        <v>Utarbeidelse, klargjøring og gjennomføring av idriftsetting</v>
      </c>
      <c r="G29" s="430">
        <f>'Pre-analyseverktøy'!G29</f>
        <v>1</v>
      </c>
      <c r="H29" s="436">
        <f>'Pre-analyseverktøy'!H29</f>
        <v>0</v>
      </c>
      <c r="I29" s="431">
        <f>'Pre-analyseverktøy'!I29</f>
        <v>0</v>
      </c>
      <c r="J29" s="430" t="str">
        <f>'Pre-analyseverktøy'!J29</f>
        <v>N/A</v>
      </c>
      <c r="K29" s="433" t="str">
        <f>IF('Pre-analyseverktøy'!K29=0,"",'Pre-analyseverktøy'!K29)</f>
        <v/>
      </c>
      <c r="L29" s="433" t="str">
        <f>IF('Pre-analyseverktøy'!L29=0,"",'Pre-analyseverktøy'!L29)</f>
        <v/>
      </c>
      <c r="M29" s="434" t="str">
        <f>IF('Pre-analyseverktøy'!M29=0,"",'Pre-analyseverktøy'!M29)</f>
        <v/>
      </c>
      <c r="N29" s="435">
        <f>'Pre-analyseverktøy'!N29</f>
        <v>0</v>
      </c>
      <c r="O29" s="436">
        <f>'Pre-analyseverktøy'!O29</f>
        <v>0</v>
      </c>
      <c r="P29" s="431">
        <f>'Pre-analyseverktøy'!P29</f>
        <v>0</v>
      </c>
      <c r="Q29" s="430" t="str">
        <f>'Pre-analyseverktøy'!Q29</f>
        <v>N/A</v>
      </c>
      <c r="R29" s="433" t="str">
        <f>IF('Pre-analyseverktøy'!R29=0,"",'Pre-analyseverktøy'!R29)</f>
        <v/>
      </c>
      <c r="S29" s="433" t="str">
        <f>IF('Pre-analyseverktøy'!S29=0,"",'Pre-analyseverktøy'!S29)</f>
        <v xml:space="preserve"> </v>
      </c>
      <c r="T29" s="434" t="str">
        <f>IF('Pre-analyseverktøy'!T29=0,"",'Pre-analyseverktøy'!T29)</f>
        <v/>
      </c>
      <c r="U29" s="437"/>
      <c r="V29" s="436">
        <f>'Pre-analyseverktøy'!V29</f>
        <v>0</v>
      </c>
      <c r="W29" s="431">
        <f>'Pre-analyseverktøy'!W29</f>
        <v>0</v>
      </c>
      <c r="X29" s="430" t="str">
        <f>'Pre-analyseverktøy'!X29</f>
        <v>N/A</v>
      </c>
      <c r="Y29" s="433" t="str">
        <f>IF('Pre-analyseverktøy'!Y29=0,"",'Pre-analyseverktøy'!Y29)</f>
        <v/>
      </c>
      <c r="Z29" s="433" t="str">
        <f>IF('Pre-analyseverktøy'!Z29=0,"",'Pre-analyseverktøy'!Z29)</f>
        <v/>
      </c>
      <c r="AA29" s="433" t="str">
        <f>IF('Pre-analyseverktøy'!AA29=0,"",'Pre-analyseverktøy'!AA29)</f>
        <v/>
      </c>
      <c r="AD29" s="14"/>
    </row>
    <row r="30" spans="1:30">
      <c r="A30" s="620">
        <v>21</v>
      </c>
      <c r="B30" s="911" t="s">
        <v>245</v>
      </c>
      <c r="C30" s="911"/>
      <c r="D30" s="932" t="str">
        <f>'Pre-analyseverktøy'!C30</f>
        <v>Man 04</v>
      </c>
      <c r="E30" s="932" t="str">
        <f>'Pre-analyseverktøy'!E30</f>
        <v>8-9</v>
      </c>
      <c r="F30" s="933" t="str">
        <f>'Pre-analyseverktøy'!F30</f>
        <v>Planlegging for god overlevering</v>
      </c>
      <c r="G30" s="430">
        <f>'Pre-analyseverktøy'!G30</f>
        <v>1</v>
      </c>
      <c r="H30" s="436">
        <f>'Pre-analyseverktøy'!H30</f>
        <v>0</v>
      </c>
      <c r="I30" s="431">
        <f>'Pre-analyseverktøy'!I30</f>
        <v>0</v>
      </c>
      <c r="J30" s="430" t="str">
        <f>'Pre-analyseverktøy'!J30</f>
        <v>Good</v>
      </c>
      <c r="K30" s="433" t="str">
        <f>IF('Pre-analyseverktøy'!K30=0,"",'Pre-analyseverktøy'!K30)</f>
        <v/>
      </c>
      <c r="L30" s="433" t="str">
        <f>IF('Pre-analyseverktøy'!L30=0,"",'Pre-analyseverktøy'!L30)</f>
        <v/>
      </c>
      <c r="M30" s="434" t="str">
        <f>IF('Pre-analyseverktøy'!M30=0,"",'Pre-analyseverktøy'!M30)</f>
        <v/>
      </c>
      <c r="N30" s="435">
        <f>'Pre-analyseverktøy'!N30</f>
        <v>0</v>
      </c>
      <c r="O30" s="436">
        <f>'Pre-analyseverktøy'!O30</f>
        <v>0</v>
      </c>
      <c r="P30" s="431">
        <f>'Pre-analyseverktøy'!P30</f>
        <v>0</v>
      </c>
      <c r="Q30" s="430" t="str">
        <f>'Pre-analyseverktøy'!Q30</f>
        <v>Good</v>
      </c>
      <c r="R30" s="433" t="str">
        <f>IF('Pre-analyseverktøy'!R30=0,"",'Pre-analyseverktøy'!R30)</f>
        <v/>
      </c>
      <c r="S30" s="433" t="str">
        <f>IF('Pre-analyseverktøy'!S30=0,"",'Pre-analyseverktøy'!S30)</f>
        <v/>
      </c>
      <c r="T30" s="434" t="str">
        <f>IF('Pre-analyseverktøy'!T30=0,"",'Pre-analyseverktøy'!T30)</f>
        <v/>
      </c>
      <c r="U30" s="437"/>
      <c r="V30" s="436">
        <f>'Pre-analyseverktøy'!V30</f>
        <v>0</v>
      </c>
      <c r="W30" s="431">
        <f>'Pre-analyseverktøy'!W30</f>
        <v>0</v>
      </c>
      <c r="X30" s="430" t="str">
        <f>'Pre-analyseverktøy'!X30</f>
        <v>Good</v>
      </c>
      <c r="Y30" s="433" t="str">
        <f>IF('Pre-analyseverktøy'!Y30=0,"",'Pre-analyseverktøy'!Y30)</f>
        <v/>
      </c>
      <c r="Z30" s="433" t="str">
        <f>IF('Pre-analyseverktøy'!Z30=0,"",'Pre-analyseverktøy'!Z30)</f>
        <v/>
      </c>
      <c r="AA30" s="433" t="str">
        <f>IF('Pre-analyseverktøy'!AA30=0,"",'Pre-analyseverktøy'!AA30)</f>
        <v/>
      </c>
      <c r="AD30" s="14"/>
    </row>
    <row r="31" spans="1:30">
      <c r="A31" s="620">
        <v>22</v>
      </c>
      <c r="B31" s="911" t="s">
        <v>245</v>
      </c>
      <c r="C31" s="911"/>
      <c r="D31" s="931" t="str">
        <f>'Pre-analyseverktøy'!C31</f>
        <v>Man 05</v>
      </c>
      <c r="E31" s="932"/>
      <c r="F31" s="931" t="str">
        <f>'Pre-analyseverktøy'!F31</f>
        <v>Man 05 Prøvedrift og oppfølging</v>
      </c>
      <c r="G31" s="430">
        <f>'Pre-analyseverktøy'!G31</f>
        <v>3</v>
      </c>
      <c r="H31" s="436">
        <f>'Pre-analyseverktøy'!H31</f>
        <v>0</v>
      </c>
      <c r="I31" s="431" t="str">
        <f>'Pre-analyseverktøy'!I31</f>
        <v>0 c. 0 %</v>
      </c>
      <c r="J31" s="430" t="str">
        <f>'Pre-analyseverktøy'!J31</f>
        <v>N/A</v>
      </c>
      <c r="K31" s="433" t="str">
        <f>IF('Pre-analyseverktøy'!K31=0,"",'Pre-analyseverktøy'!K31)</f>
        <v/>
      </c>
      <c r="L31" s="433" t="str">
        <f>IF('Pre-analyseverktøy'!L31=0,"",'Pre-analyseverktøy'!L31)</f>
        <v/>
      </c>
      <c r="M31" s="434" t="str">
        <f>IF('Pre-analyseverktøy'!M31=0,"",'Pre-analyseverktøy'!M31)</f>
        <v/>
      </c>
      <c r="N31" s="435">
        <f>'Pre-analyseverktøy'!N31</f>
        <v>0</v>
      </c>
      <c r="O31" s="436">
        <f>'Pre-analyseverktøy'!O31</f>
        <v>0</v>
      </c>
      <c r="P31" s="431" t="str">
        <f>'Pre-analyseverktøy'!P31</f>
        <v>0 c. 0 %</v>
      </c>
      <c r="Q31" s="430" t="str">
        <f>'Pre-analyseverktøy'!Q31</f>
        <v>N/A</v>
      </c>
      <c r="R31" s="433" t="str">
        <f>IF('Pre-analyseverktøy'!R31=0,"",'Pre-analyseverktøy'!R31)</f>
        <v/>
      </c>
      <c r="S31" s="433" t="str">
        <f>IF('Pre-analyseverktøy'!S31=0,"",'Pre-analyseverktøy'!S31)</f>
        <v/>
      </c>
      <c r="T31" s="434" t="str">
        <f>IF('Pre-analyseverktøy'!T31=0,"",'Pre-analyseverktøy'!T31)</f>
        <v/>
      </c>
      <c r="U31" s="437"/>
      <c r="V31" s="436">
        <f>'Pre-analyseverktøy'!V31</f>
        <v>0</v>
      </c>
      <c r="W31" s="431" t="str">
        <f>'Pre-analyseverktøy'!W31</f>
        <v>0 c. 0 %</v>
      </c>
      <c r="X31" s="430" t="str">
        <f>'Pre-analyseverktøy'!X31</f>
        <v>N/A</v>
      </c>
      <c r="Y31" s="433" t="str">
        <f>IF('Pre-analyseverktøy'!Y31=0,"",'Pre-analyseverktøy'!Y31)</f>
        <v/>
      </c>
      <c r="Z31" s="433" t="str">
        <f>IF('Pre-analyseverktøy'!Z31=0,"",'Pre-analyseverktøy'!Z31)</f>
        <v/>
      </c>
      <c r="AA31" s="433" t="str">
        <f>IF('Pre-analyseverktøy'!AA31=0,"",'Pre-analyseverktøy'!AA31)</f>
        <v/>
      </c>
      <c r="AD31" s="14"/>
    </row>
    <row r="32" spans="1:30">
      <c r="A32" s="620">
        <v>23</v>
      </c>
      <c r="B32" s="911" t="s">
        <v>245</v>
      </c>
      <c r="C32" s="911"/>
      <c r="D32" s="932" t="str">
        <f>'Pre-analyseverktøy'!C32</f>
        <v>Man 05</v>
      </c>
      <c r="E32" s="932" t="str">
        <f>'Pre-analyseverktøy'!E32</f>
        <v>1-2</v>
      </c>
      <c r="F32" s="933" t="str">
        <f>'Pre-analyseverktøy'!F32</f>
        <v>Oppfølging etter innflytting</v>
      </c>
      <c r="G32" s="430">
        <f>'Pre-analyseverktøy'!G32</f>
        <v>1</v>
      </c>
      <c r="H32" s="436">
        <f>'Pre-analyseverktøy'!H32</f>
        <v>0</v>
      </c>
      <c r="I32" s="431">
        <f>'Pre-analyseverktøy'!I32</f>
        <v>0</v>
      </c>
      <c r="J32" s="430" t="str">
        <f>'Pre-analyseverktøy'!J32</f>
        <v>N/A</v>
      </c>
      <c r="K32" s="433" t="str">
        <f>IF('Pre-analyseverktøy'!K32=0,"",'Pre-analyseverktøy'!K32)</f>
        <v/>
      </c>
      <c r="L32" s="433" t="str">
        <f>IF('Pre-analyseverktøy'!L32=0,"",'Pre-analyseverktøy'!L32)</f>
        <v/>
      </c>
      <c r="M32" s="434" t="str">
        <f>IF('Pre-analyseverktøy'!M32=0,"",'Pre-analyseverktøy'!M32)</f>
        <v/>
      </c>
      <c r="N32" s="435">
        <f>'Pre-analyseverktøy'!N32</f>
        <v>0</v>
      </c>
      <c r="O32" s="436">
        <f>'Pre-analyseverktøy'!O32</f>
        <v>0</v>
      </c>
      <c r="P32" s="431">
        <f>'Pre-analyseverktøy'!P32</f>
        <v>0</v>
      </c>
      <c r="Q32" s="430" t="str">
        <f>'Pre-analyseverktøy'!Q32</f>
        <v>N/A</v>
      </c>
      <c r="R32" s="433" t="str">
        <f>IF('Pre-analyseverktøy'!R32=0,"",'Pre-analyseverktøy'!R32)</f>
        <v/>
      </c>
      <c r="S32" s="433" t="str">
        <f>IF('Pre-analyseverktøy'!S32=0,"",'Pre-analyseverktøy'!S32)</f>
        <v/>
      </c>
      <c r="T32" s="434" t="str">
        <f>IF('Pre-analyseverktøy'!T32=0,"",'Pre-analyseverktøy'!T32)</f>
        <v/>
      </c>
      <c r="U32" s="437"/>
      <c r="V32" s="436">
        <f>'Pre-analyseverktøy'!V32</f>
        <v>0</v>
      </c>
      <c r="W32" s="431">
        <f>'Pre-analyseverktøy'!W32</f>
        <v>0</v>
      </c>
      <c r="X32" s="430" t="str">
        <f>'Pre-analyseverktøy'!X32</f>
        <v>N/A</v>
      </c>
      <c r="Y32" s="433" t="str">
        <f>IF('Pre-analyseverktøy'!Y32=0,"",'Pre-analyseverktøy'!Y32)</f>
        <v/>
      </c>
      <c r="Z32" s="433" t="str">
        <f>IF('Pre-analyseverktøy'!Z32=0,"",'Pre-analyseverktøy'!Z32)</f>
        <v/>
      </c>
      <c r="AA32" s="433" t="str">
        <f>IF('Pre-analyseverktøy'!AA32=0,"",'Pre-analyseverktøy'!AA32)</f>
        <v/>
      </c>
      <c r="AD32" s="14"/>
    </row>
    <row r="33" spans="1:34">
      <c r="A33" s="620">
        <v>24</v>
      </c>
      <c r="B33" s="911" t="s">
        <v>245</v>
      </c>
      <c r="C33" s="911"/>
      <c r="D33" s="932" t="str">
        <f>'Pre-analyseverktøy'!C33</f>
        <v>Man 05</v>
      </c>
      <c r="E33" s="932" t="str">
        <f>'Pre-analyseverktøy'!E33</f>
        <v>3 or 4</v>
      </c>
      <c r="F33" s="933" t="str">
        <f>'Pre-analyseverktøy'!F33</f>
        <v>Sesongmessig prøvedrift eller kartlegging og utbedring</v>
      </c>
      <c r="G33" s="430">
        <f>'Pre-analyseverktøy'!G33</f>
        <v>1</v>
      </c>
      <c r="H33" s="436">
        <f>'Pre-analyseverktøy'!H33</f>
        <v>0</v>
      </c>
      <c r="I33" s="431">
        <f>'Pre-analyseverktøy'!I33</f>
        <v>0</v>
      </c>
      <c r="J33" s="430" t="str">
        <f>'Pre-analyseverktøy'!J33</f>
        <v>Very Good</v>
      </c>
      <c r="K33" s="433" t="str">
        <f>IF('Pre-analyseverktøy'!K33=0,"",'Pre-analyseverktøy'!K33)</f>
        <v/>
      </c>
      <c r="L33" s="433" t="str">
        <f>IF('Pre-analyseverktøy'!L33=0,"",'Pre-analyseverktøy'!L33)</f>
        <v/>
      </c>
      <c r="M33" s="434" t="str">
        <f>IF('Pre-analyseverktøy'!M33=0,"",'Pre-analyseverktøy'!M33)</f>
        <v/>
      </c>
      <c r="N33" s="435">
        <f>'Pre-analyseverktøy'!N33</f>
        <v>0</v>
      </c>
      <c r="O33" s="436">
        <f>'Pre-analyseverktøy'!O33</f>
        <v>0</v>
      </c>
      <c r="P33" s="431">
        <f>'Pre-analyseverktøy'!P33</f>
        <v>0</v>
      </c>
      <c r="Q33" s="430" t="str">
        <f>'Pre-analyseverktøy'!Q33</f>
        <v>Very Good</v>
      </c>
      <c r="R33" s="433" t="str">
        <f>IF('Pre-analyseverktøy'!R33=0,"",'Pre-analyseverktøy'!R33)</f>
        <v/>
      </c>
      <c r="S33" s="433" t="str">
        <f>IF('Pre-analyseverktøy'!S33=0,"",'Pre-analyseverktøy'!S33)</f>
        <v/>
      </c>
      <c r="T33" s="434" t="str">
        <f>IF('Pre-analyseverktøy'!T33=0,"",'Pre-analyseverktøy'!T33)</f>
        <v/>
      </c>
      <c r="U33" s="437"/>
      <c r="V33" s="436">
        <f>'Pre-analyseverktøy'!V33</f>
        <v>0</v>
      </c>
      <c r="W33" s="431">
        <f>'Pre-analyseverktøy'!W33</f>
        <v>0</v>
      </c>
      <c r="X33" s="430" t="str">
        <f>'Pre-analyseverktøy'!X33</f>
        <v>Very Good</v>
      </c>
      <c r="Y33" s="433" t="str">
        <f>IF('Pre-analyseverktøy'!Y33=0,"",'Pre-analyseverktøy'!Y33)</f>
        <v/>
      </c>
      <c r="Z33" s="433" t="str">
        <f>IF('Pre-analyseverktøy'!Z33=0,"",'Pre-analyseverktøy'!Z33)</f>
        <v/>
      </c>
      <c r="AA33" s="433" t="str">
        <f>IF('Pre-analyseverktøy'!AA33=0,"",'Pre-analyseverktøy'!AA33)</f>
        <v/>
      </c>
      <c r="AD33" s="14"/>
    </row>
    <row r="34" spans="1:34">
      <c r="A34" s="620">
        <v>25</v>
      </c>
      <c r="B34" s="911" t="s">
        <v>245</v>
      </c>
      <c r="C34" s="911"/>
      <c r="D34" s="932" t="str">
        <f>'Pre-analyseverktøy'!C34</f>
        <v>Man 05</v>
      </c>
      <c r="E34" s="932" t="str">
        <f>'Pre-analyseverktøy'!E34</f>
        <v>5-6</v>
      </c>
      <c r="F34" s="933" t="str">
        <f>'Pre-analyseverktøy'!F34</f>
        <v>Evaluering etter at bygget er tatt i bruk</v>
      </c>
      <c r="G34" s="430">
        <f>'Pre-analyseverktøy'!G34</f>
        <v>1</v>
      </c>
      <c r="H34" s="436">
        <f>'Pre-analyseverktøy'!H34</f>
        <v>0</v>
      </c>
      <c r="I34" s="431">
        <f>'Pre-analyseverktøy'!I34</f>
        <v>0</v>
      </c>
      <c r="J34" s="430" t="str">
        <f>'Pre-analyseverktøy'!J34</f>
        <v>N/A</v>
      </c>
      <c r="K34" s="433" t="str">
        <f>IF('Pre-analyseverktøy'!K34=0,"",'Pre-analyseverktøy'!K34)</f>
        <v/>
      </c>
      <c r="L34" s="433" t="str">
        <f>IF('Pre-analyseverktøy'!L34=0,"",'Pre-analyseverktøy'!L34)</f>
        <v/>
      </c>
      <c r="M34" s="434" t="str">
        <f>IF('Pre-analyseverktøy'!M34=0,"",'Pre-analyseverktøy'!M34)</f>
        <v/>
      </c>
      <c r="N34" s="435">
        <f>'Pre-analyseverktøy'!N34</f>
        <v>0</v>
      </c>
      <c r="O34" s="436">
        <f>'Pre-analyseverktøy'!O34</f>
        <v>0</v>
      </c>
      <c r="P34" s="431">
        <f>'Pre-analyseverktøy'!P34</f>
        <v>0</v>
      </c>
      <c r="Q34" s="430" t="str">
        <f>'Pre-analyseverktøy'!Q34</f>
        <v>N/A</v>
      </c>
      <c r="R34" s="433" t="str">
        <f>IF('Pre-analyseverktøy'!R34=0,"",'Pre-analyseverktøy'!R34)</f>
        <v/>
      </c>
      <c r="S34" s="433" t="str">
        <f>IF('Pre-analyseverktøy'!S34=0,"",'Pre-analyseverktøy'!S34)</f>
        <v/>
      </c>
      <c r="T34" s="434" t="str">
        <f>IF('Pre-analyseverktøy'!T34=0,"",'Pre-analyseverktøy'!T34)</f>
        <v/>
      </c>
      <c r="U34" s="437"/>
      <c r="V34" s="436">
        <f>'Pre-analyseverktøy'!V34</f>
        <v>0</v>
      </c>
      <c r="W34" s="431">
        <f>'Pre-analyseverktøy'!W34</f>
        <v>0</v>
      </c>
      <c r="X34" s="430" t="str">
        <f>'Pre-analyseverktøy'!X34</f>
        <v>N/A</v>
      </c>
      <c r="Y34" s="433" t="str">
        <f>IF('Pre-analyseverktøy'!Y34=0,"",'Pre-analyseverktøy'!Y34)</f>
        <v/>
      </c>
      <c r="Z34" s="433" t="str">
        <f>IF('Pre-analyseverktøy'!Z34=0,"",'Pre-analyseverktøy'!Z34)</f>
        <v/>
      </c>
      <c r="AA34" s="433" t="str">
        <f>IF('Pre-analyseverktøy'!AA34=0,"",'Pre-analyseverktøy'!AA34)</f>
        <v/>
      </c>
      <c r="AD34" s="14"/>
    </row>
    <row r="35" spans="1:34" ht="30" customHeight="1" thickBot="1">
      <c r="A35" s="620">
        <v>26</v>
      </c>
      <c r="B35" s="911" t="s">
        <v>245</v>
      </c>
      <c r="C35" s="911"/>
      <c r="D35" s="934"/>
      <c r="E35" s="932"/>
      <c r="F35" s="934" t="str">
        <f>'Pre-analyseverktøy'!F35</f>
        <v>Totalsum Ledelse</v>
      </c>
      <c r="G35" s="430">
        <f>'Pre-analyseverktøy'!G35</f>
        <v>21</v>
      </c>
      <c r="H35" s="440">
        <f>'Pre-analyseverktøy'!H35</f>
        <v>0</v>
      </c>
      <c r="I35" s="439">
        <f>'Pre-analyseverktøy'!I35</f>
        <v>0</v>
      </c>
      <c r="J35" s="438" t="str">
        <f>'Pre-analyseverktøy'!J35</f>
        <v>Poeng oppnådd: 0</v>
      </c>
      <c r="K35" s="884" t="str">
        <f>IF('Pre-analyseverktøy'!K35=0,"",'Pre-analyseverktøy'!K35)</f>
        <v/>
      </c>
      <c r="L35" s="884" t="str">
        <f>IF('Pre-analyseverktøy'!L35=0,"",'Pre-analyseverktøy'!L35)</f>
        <v/>
      </c>
      <c r="M35" s="903" t="str">
        <f>IF('Pre-analyseverktøy'!M35=0,"",'Pre-analyseverktøy'!M35)</f>
        <v/>
      </c>
      <c r="N35" s="904">
        <f>'Pre-analyseverktøy'!N35</f>
        <v>0</v>
      </c>
      <c r="O35" s="440">
        <f>'Pre-analyseverktøy'!O35</f>
        <v>0</v>
      </c>
      <c r="P35" s="439">
        <f>'Pre-analyseverktøy'!P35</f>
        <v>0</v>
      </c>
      <c r="Q35" s="438" t="str">
        <f>'Pre-analyseverktøy'!Q35</f>
        <v>Poeng oppnådd: 0</v>
      </c>
      <c r="R35" s="884" t="str">
        <f>IF('Pre-analyseverktøy'!R35=0,"",'Pre-analyseverktøy'!R35)</f>
        <v/>
      </c>
      <c r="S35" s="884" t="str">
        <f>IF('Pre-analyseverktøy'!S35=0,"",'Pre-analyseverktøy'!S35)</f>
        <v/>
      </c>
      <c r="T35" s="903" t="str">
        <f>IF('Pre-analyseverktøy'!T35=0,"",'Pre-analyseverktøy'!T35)</f>
        <v/>
      </c>
      <c r="U35" s="905"/>
      <c r="V35" s="440">
        <f>'Pre-analyseverktøy'!V35</f>
        <v>0</v>
      </c>
      <c r="W35" s="439">
        <f>'Pre-analyseverktøy'!W35</f>
        <v>0</v>
      </c>
      <c r="X35" s="438" t="str">
        <f>'Pre-analyseverktøy'!X35</f>
        <v>Poeng oppnådd: 0</v>
      </c>
      <c r="Y35" s="884" t="str">
        <f>IF('Pre-analyseverktøy'!Y35=0,"",'Pre-analyseverktøy'!Y35)</f>
        <v/>
      </c>
      <c r="Z35" s="884" t="str">
        <f>IF('Pre-analyseverktøy'!Z35=0,"",'Pre-analyseverktøy'!Z35)</f>
        <v/>
      </c>
      <c r="AA35" s="884" t="str">
        <f>IF('Pre-analyseverktøy'!AA35=0,"",'Pre-analyseverktøy'!AA35)</f>
        <v/>
      </c>
      <c r="AD35" s="14"/>
    </row>
    <row r="36" spans="1:34">
      <c r="A36" s="620">
        <v>27</v>
      </c>
      <c r="B36" s="911" t="s">
        <v>245</v>
      </c>
      <c r="C36" s="911"/>
      <c r="D36" s="441"/>
      <c r="E36" s="441"/>
      <c r="F36" s="441"/>
      <c r="G36" s="442"/>
      <c r="H36" s="442"/>
      <c r="I36" s="442"/>
      <c r="J36" s="442"/>
      <c r="K36" s="441" t="str">
        <f>IF('Pre-analyseverktøy'!K36=0,"",'Pre-analyseverktøy'!K36)</f>
        <v/>
      </c>
      <c r="L36" s="442" t="str">
        <f>IF('Pre-analyseverktøy'!L36=0,"",'Pre-analyseverktøy'!L36)</f>
        <v/>
      </c>
      <c r="M36" s="441" t="str">
        <f>IF('Pre-analyseverktøy'!M36=0,"",'Pre-analyseverktøy'!M36)</f>
        <v/>
      </c>
      <c r="N36" s="435"/>
      <c r="O36" s="442"/>
      <c r="P36" s="442"/>
      <c r="Q36" s="442"/>
      <c r="R36" s="441" t="str">
        <f>IF('Pre-analyseverktøy'!R36=0,"",'Pre-analyseverktøy'!R36)</f>
        <v/>
      </c>
      <c r="S36" s="442" t="str">
        <f>IF('Pre-analyseverktøy'!S36=0,"",'Pre-analyseverktøy'!S36)</f>
        <v/>
      </c>
      <c r="T36" s="441" t="str">
        <f>IF('Pre-analyseverktøy'!T36=0,"",'Pre-analyseverktøy'!T36)</f>
        <v/>
      </c>
      <c r="U36" s="437"/>
      <c r="V36" s="442"/>
      <c r="W36" s="442"/>
      <c r="X36" s="442"/>
      <c r="Y36" s="441" t="str">
        <f>IF('Pre-analyseverktøy'!Y36=0,"",'Pre-analyseverktøy'!Y36)</f>
        <v/>
      </c>
      <c r="Z36" s="442" t="str">
        <f>IF('Pre-analyseverktøy'!Z36=0,"",'Pre-analyseverktøy'!Z36)</f>
        <v/>
      </c>
      <c r="AA36" s="441" t="str">
        <f>IF('Pre-analyseverktøy'!AA36=0,"",'Pre-analyseverktøy'!AA36)</f>
        <v/>
      </c>
      <c r="AD36" s="14"/>
      <c r="AF36" s="13"/>
      <c r="AH36" s="13"/>
    </row>
    <row r="37" spans="1:34" ht="18.75">
      <c r="A37" s="620">
        <v>28</v>
      </c>
      <c r="B37" s="911" t="s">
        <v>295</v>
      </c>
      <c r="C37" s="911"/>
      <c r="D37" s="443"/>
      <c r="E37" s="443"/>
      <c r="F37" s="443" t="s">
        <v>295</v>
      </c>
      <c r="G37" s="426"/>
      <c r="H37" s="426"/>
      <c r="I37" s="426"/>
      <c r="J37" s="426"/>
      <c r="K37" s="427" t="str">
        <f>IF('Pre-analyseverktøy'!K37=0,"",'Pre-analyseverktøy'!K37)</f>
        <v/>
      </c>
      <c r="L37" s="426" t="str">
        <f>IF('Pre-analyseverktøy'!L37=0,"",'Pre-analyseverktøy'!L37)</f>
        <v/>
      </c>
      <c r="M37" s="427" t="str">
        <f>IF('Pre-analyseverktøy'!M37=0,"",'Pre-analyseverktøy'!M37)</f>
        <v/>
      </c>
      <c r="N37" s="435"/>
      <c r="O37" s="426"/>
      <c r="P37" s="426"/>
      <c r="Q37" s="426"/>
      <c r="R37" s="427" t="str">
        <f>IF('Pre-analyseverktøy'!R37=0,"",'Pre-analyseverktøy'!R37)</f>
        <v/>
      </c>
      <c r="S37" s="426" t="str">
        <f>IF('Pre-analyseverktøy'!S37=0,"",'Pre-analyseverktøy'!S37)</f>
        <v/>
      </c>
      <c r="T37" s="427" t="str">
        <f>IF('Pre-analyseverktøy'!T37=0,"",'Pre-analyseverktøy'!T37)</f>
        <v/>
      </c>
      <c r="U37" s="437"/>
      <c r="V37" s="426"/>
      <c r="W37" s="426"/>
      <c r="X37" s="426"/>
      <c r="Y37" s="427" t="str">
        <f>IF('Pre-analyseverktøy'!Y37=0,"",'Pre-analyseverktøy'!Y37)</f>
        <v/>
      </c>
      <c r="Z37" s="426" t="str">
        <f>IF('Pre-analyseverktøy'!Z37=0,"",'Pre-analyseverktøy'!Z37)</f>
        <v/>
      </c>
      <c r="AA37" s="514" t="str">
        <f>IF('Pre-analyseverktøy'!AA37=0,"",'Pre-analyseverktøy'!AA37)</f>
        <v/>
      </c>
      <c r="AD37" s="14"/>
      <c r="AF37" s="13"/>
      <c r="AH37" s="13"/>
    </row>
    <row r="38" spans="1:34">
      <c r="A38" s="620">
        <v>29</v>
      </c>
      <c r="B38" s="911" t="s">
        <v>295</v>
      </c>
      <c r="C38" s="911"/>
      <c r="D38" s="931" t="str">
        <f>'Pre-analyseverktøy'!C38</f>
        <v>Hea 01</v>
      </c>
      <c r="E38" s="932"/>
      <c r="F38" s="931" t="str">
        <f>'Pre-analyseverktøy'!F38</f>
        <v>Hea 01 Visuell komfort</v>
      </c>
      <c r="G38" s="430">
        <f>'Pre-analyseverktøy'!G38</f>
        <v>7</v>
      </c>
      <c r="H38" s="436">
        <f>'Pre-analyseverktøy'!H38</f>
        <v>0</v>
      </c>
      <c r="I38" s="902" t="str">
        <f>'Pre-analyseverktøy'!I38</f>
        <v>0 c. 0 %</v>
      </c>
      <c r="J38" s="432" t="str">
        <f>'Pre-analyseverktøy'!J38</f>
        <v>N/A</v>
      </c>
      <c r="K38" s="433" t="str">
        <f>IF('Pre-analyseverktøy'!K38=0,"",'Pre-analyseverktøy'!K38)</f>
        <v/>
      </c>
      <c r="L38" s="433" t="str">
        <f>IF('Pre-analyseverktøy'!L38=0,"",'Pre-analyseverktøy'!L38)</f>
        <v/>
      </c>
      <c r="M38" s="434" t="str">
        <f>IF('Pre-analyseverktøy'!M38=0,"",'Pre-analyseverktøy'!M38)</f>
        <v/>
      </c>
      <c r="N38" s="435">
        <f>'Pre-analyseverktøy'!N38</f>
        <v>0</v>
      </c>
      <c r="O38" s="436">
        <f>'Pre-analyseverktøy'!O38</f>
        <v>0</v>
      </c>
      <c r="P38" s="431" t="str">
        <f>'Pre-analyseverktøy'!P38</f>
        <v>0 c. 0 %</v>
      </c>
      <c r="Q38" s="430" t="str">
        <f>'Pre-analyseverktøy'!Q38</f>
        <v>N/A</v>
      </c>
      <c r="R38" s="433" t="str">
        <f>IF('Pre-analyseverktøy'!R38=0,"",'Pre-analyseverktøy'!R38)</f>
        <v/>
      </c>
      <c r="S38" s="433" t="str">
        <f>IF('Pre-analyseverktøy'!S38=0,"",'Pre-analyseverktøy'!S38)</f>
        <v/>
      </c>
      <c r="T38" s="434" t="str">
        <f>IF('Pre-analyseverktøy'!T38=0,"",'Pre-analyseverktøy'!T38)</f>
        <v/>
      </c>
      <c r="U38" s="437"/>
      <c r="V38" s="436">
        <f>'Pre-analyseverktøy'!V38</f>
        <v>0</v>
      </c>
      <c r="W38" s="431" t="str">
        <f>'Pre-analyseverktøy'!W38</f>
        <v>0 c. 0 %</v>
      </c>
      <c r="X38" s="430" t="str">
        <f>'Pre-analyseverktøy'!X38</f>
        <v>N/A</v>
      </c>
      <c r="Y38" s="433" t="str">
        <f>IF('Pre-analyseverktøy'!Y38=0,"",'Pre-analyseverktøy'!Y38)</f>
        <v/>
      </c>
      <c r="Z38" s="433" t="str">
        <f>IF('Pre-analyseverktøy'!Z38=0,"",'Pre-analyseverktøy'!Z38)</f>
        <v/>
      </c>
      <c r="AA38" s="433" t="str">
        <f>IF('Pre-analyseverktøy'!AA38=0,"",'Pre-analyseverktøy'!AA38)</f>
        <v/>
      </c>
      <c r="AF38" s="13"/>
      <c r="AH38" s="13"/>
    </row>
    <row r="39" spans="1:34">
      <c r="A39" s="620">
        <v>30</v>
      </c>
      <c r="B39" s="911" t="s">
        <v>295</v>
      </c>
      <c r="C39" s="911"/>
      <c r="D39" s="932" t="str">
        <f>'Pre-analyseverktøy'!C39</f>
        <v>Hea 01</v>
      </c>
      <c r="E39" s="932" t="str">
        <f>'Pre-analyseverktøy'!E39</f>
        <v>1-2</v>
      </c>
      <c r="F39" s="933" t="str">
        <f>'Pre-analyseverktøy'!F39</f>
        <v>Forkrav: begrensning av flimmer</v>
      </c>
      <c r="G39" s="430" t="str">
        <f>'Pre-analyseverktøy'!G39</f>
        <v>Yes/No</v>
      </c>
      <c r="H39" s="436">
        <f>'Pre-analyseverktøy'!H39</f>
        <v>0</v>
      </c>
      <c r="I39" s="902" t="str">
        <f>'Pre-analyseverktøy'!I39</f>
        <v>-</v>
      </c>
      <c r="J39" s="432" t="str">
        <f>'Pre-analyseverktøy'!J39</f>
        <v>Unclassified</v>
      </c>
      <c r="K39" s="433" t="str">
        <f>IF('Pre-analyseverktøy'!K39=0,"",'Pre-analyseverktøy'!K39)</f>
        <v/>
      </c>
      <c r="L39" s="433" t="str">
        <f>IF('Pre-analyseverktøy'!L39=0,"",'Pre-analyseverktøy'!L39)</f>
        <v/>
      </c>
      <c r="M39" s="434" t="str">
        <f>IF('Pre-analyseverktøy'!M39=0,"",'Pre-analyseverktøy'!M39)</f>
        <v/>
      </c>
      <c r="N39" s="435">
        <f>'Pre-analyseverktøy'!N39</f>
        <v>0</v>
      </c>
      <c r="O39" s="436">
        <f>'Pre-analyseverktøy'!O39</f>
        <v>0</v>
      </c>
      <c r="P39" s="431" t="str">
        <f>'Pre-analyseverktøy'!P39</f>
        <v>-</v>
      </c>
      <c r="Q39" s="430" t="str">
        <f>'Pre-analyseverktøy'!Q39</f>
        <v>Unclassified</v>
      </c>
      <c r="R39" s="433" t="str">
        <f>IF('Pre-analyseverktøy'!R39=0,"",'Pre-analyseverktøy'!R39)</f>
        <v/>
      </c>
      <c r="S39" s="433" t="str">
        <f>IF('Pre-analyseverktøy'!S39=0,"",'Pre-analyseverktøy'!S39)</f>
        <v/>
      </c>
      <c r="T39" s="434" t="str">
        <f>IF('Pre-analyseverktøy'!T39=0,"",'Pre-analyseverktøy'!T39)</f>
        <v/>
      </c>
      <c r="U39" s="437"/>
      <c r="V39" s="436">
        <f>'Pre-analyseverktøy'!V39</f>
        <v>0</v>
      </c>
      <c r="W39" s="431" t="str">
        <f>'Pre-analyseverktøy'!W39</f>
        <v>-</v>
      </c>
      <c r="X39" s="430" t="str">
        <f>'Pre-analyseverktøy'!X39</f>
        <v>Unclassified</v>
      </c>
      <c r="Y39" s="433" t="str">
        <f>IF('Pre-analyseverktøy'!Y39=0,"",'Pre-analyseverktøy'!Y39)</f>
        <v/>
      </c>
      <c r="Z39" s="433" t="str">
        <f>IF('Pre-analyseverktøy'!Z39=0,"",'Pre-analyseverktøy'!Z39)</f>
        <v/>
      </c>
      <c r="AA39" s="433" t="str">
        <f>IF('Pre-analyseverktøy'!AA39=0,"",'Pre-analyseverktøy'!AA39)</f>
        <v/>
      </c>
      <c r="AF39" s="13"/>
      <c r="AH39" s="13"/>
    </row>
    <row r="40" spans="1:34">
      <c r="A40" s="620">
        <v>31</v>
      </c>
      <c r="B40" s="911" t="s">
        <v>295</v>
      </c>
      <c r="C40" s="911"/>
      <c r="D40" s="932" t="str">
        <f>'Pre-analyseverktøy'!C40</f>
        <v>Hea 01</v>
      </c>
      <c r="E40" s="932">
        <f>'Pre-analyseverktøy'!E40</f>
        <v>3</v>
      </c>
      <c r="F40" s="933" t="str">
        <f>'Pre-analyseverktøy'!F40</f>
        <v>Forkrav: dagslysvurdering</v>
      </c>
      <c r="G40" s="430" t="str">
        <f>'Pre-analyseverktøy'!G40</f>
        <v>Yes/No</v>
      </c>
      <c r="H40" s="436">
        <f>'Pre-analyseverktøy'!H40</f>
        <v>0</v>
      </c>
      <c r="I40" s="902" t="str">
        <f>'Pre-analyseverktøy'!I40</f>
        <v>-</v>
      </c>
      <c r="J40" s="432" t="str">
        <f>'Pre-analyseverktøy'!J40</f>
        <v>Unclassified</v>
      </c>
      <c r="K40" s="433" t="str">
        <f>IF('Pre-analyseverktøy'!K40=0,"",'Pre-analyseverktøy'!K40)</f>
        <v/>
      </c>
      <c r="L40" s="433" t="str">
        <f>IF('Pre-analyseverktøy'!L40=0,"",'Pre-analyseverktøy'!L40)</f>
        <v/>
      </c>
      <c r="M40" s="434" t="str">
        <f>IF('Pre-analyseverktøy'!M40=0,"",'Pre-analyseverktøy'!M40)</f>
        <v/>
      </c>
      <c r="N40" s="435">
        <f>'Pre-analyseverktøy'!N40</f>
        <v>0</v>
      </c>
      <c r="O40" s="436">
        <f>'Pre-analyseverktøy'!O40</f>
        <v>0</v>
      </c>
      <c r="P40" s="431" t="str">
        <f>'Pre-analyseverktøy'!P40</f>
        <v>-</v>
      </c>
      <c r="Q40" s="430" t="str">
        <f>'Pre-analyseverktøy'!Q40</f>
        <v>Unclassified</v>
      </c>
      <c r="R40" s="433" t="str">
        <f>IF('Pre-analyseverktøy'!R40=0,"",'Pre-analyseverktøy'!R40)</f>
        <v/>
      </c>
      <c r="S40" s="433" t="str">
        <f>IF('Pre-analyseverktøy'!S40=0,"",'Pre-analyseverktøy'!S40)</f>
        <v/>
      </c>
      <c r="T40" s="434" t="str">
        <f>IF('Pre-analyseverktøy'!T40=0,"",'Pre-analyseverktøy'!T40)</f>
        <v/>
      </c>
      <c r="U40" s="437"/>
      <c r="V40" s="436">
        <f>'Pre-analyseverktøy'!V40</f>
        <v>0</v>
      </c>
      <c r="W40" s="431" t="str">
        <f>'Pre-analyseverktøy'!W40</f>
        <v>-</v>
      </c>
      <c r="X40" s="430" t="str">
        <f>'Pre-analyseverktøy'!X40</f>
        <v>Unclassified</v>
      </c>
      <c r="Y40" s="433" t="str">
        <f>IF('Pre-analyseverktøy'!Y40=0,"",'Pre-analyseverktøy'!Y40)</f>
        <v/>
      </c>
      <c r="Z40" s="433" t="str">
        <f>IF('Pre-analyseverktøy'!Z40=0,"",'Pre-analyseverktøy'!Z40)</f>
        <v/>
      </c>
      <c r="AA40" s="433" t="str">
        <f>IF('Pre-analyseverktøy'!AA40=0,"",'Pre-analyseverktøy'!AA40)</f>
        <v/>
      </c>
      <c r="AF40" s="13"/>
      <c r="AH40" s="13"/>
    </row>
    <row r="41" spans="1:34">
      <c r="A41" s="620">
        <v>32</v>
      </c>
      <c r="B41" s="911" t="s">
        <v>295</v>
      </c>
      <c r="C41" s="911"/>
      <c r="D41" s="932" t="str">
        <f>'Pre-analyseverktøy'!C41</f>
        <v>Hea 01</v>
      </c>
      <c r="E41" s="932">
        <f>'Pre-analyseverktøy'!E41</f>
        <v>4</v>
      </c>
      <c r="F41" s="933" t="str">
        <f>'Pre-analyseverktøy'!F41</f>
        <v>Dagslys</v>
      </c>
      <c r="G41" s="430">
        <f>'Pre-analyseverktøy'!G41</f>
        <v>3</v>
      </c>
      <c r="H41" s="436">
        <f>'Pre-analyseverktøy'!H41</f>
        <v>0</v>
      </c>
      <c r="I41" s="902">
        <f>'Pre-analyseverktøy'!I41</f>
        <v>0</v>
      </c>
      <c r="J41" s="432" t="str">
        <f>'Pre-analyseverktøy'!J41</f>
        <v>N/A</v>
      </c>
      <c r="K41" s="433" t="str">
        <f>IF('Pre-analyseverktøy'!K41=0,"",'Pre-analyseverktøy'!K41)</f>
        <v/>
      </c>
      <c r="L41" s="433" t="str">
        <f>IF('Pre-analyseverktøy'!L41=0,"",'Pre-analyseverktøy'!L41)</f>
        <v/>
      </c>
      <c r="M41" s="434" t="str">
        <f>IF('Pre-analyseverktøy'!M41=0,"",'Pre-analyseverktøy'!M41)</f>
        <v/>
      </c>
      <c r="N41" s="435">
        <f>'Pre-analyseverktøy'!N41</f>
        <v>0</v>
      </c>
      <c r="O41" s="436">
        <f>'Pre-analyseverktøy'!O41</f>
        <v>0</v>
      </c>
      <c r="P41" s="431">
        <f>'Pre-analyseverktøy'!P41</f>
        <v>0</v>
      </c>
      <c r="Q41" s="430" t="str">
        <f>'Pre-analyseverktøy'!Q41</f>
        <v>N/A</v>
      </c>
      <c r="R41" s="433" t="str">
        <f>IF('Pre-analyseverktøy'!R41=0,"",'Pre-analyseverktøy'!R41)</f>
        <v/>
      </c>
      <c r="S41" s="433" t="str">
        <f>IF('Pre-analyseverktøy'!S41=0,"",'Pre-analyseverktøy'!S41)</f>
        <v/>
      </c>
      <c r="T41" s="434" t="str">
        <f>IF('Pre-analyseverktøy'!T41=0,"",'Pre-analyseverktøy'!T41)</f>
        <v/>
      </c>
      <c r="U41" s="437"/>
      <c r="V41" s="436">
        <f>'Pre-analyseverktøy'!V41</f>
        <v>0</v>
      </c>
      <c r="W41" s="431">
        <f>'Pre-analyseverktøy'!W41</f>
        <v>0</v>
      </c>
      <c r="X41" s="430" t="str">
        <f>'Pre-analyseverktøy'!X41</f>
        <v>N/A</v>
      </c>
      <c r="Y41" s="433" t="str">
        <f>IF('Pre-analyseverktøy'!Y41=0,"",'Pre-analyseverktøy'!Y41)</f>
        <v/>
      </c>
      <c r="Z41" s="433" t="str">
        <f>IF('Pre-analyseverktøy'!Z41=0,"",'Pre-analyseverktøy'!Z41)</f>
        <v/>
      </c>
      <c r="AA41" s="433" t="str">
        <f>IF('Pre-analyseverktøy'!AA41=0,"",'Pre-analyseverktøy'!AA41)</f>
        <v/>
      </c>
      <c r="AF41" s="13"/>
      <c r="AG41" s="13"/>
      <c r="AH41" s="13"/>
    </row>
    <row r="42" spans="1:34">
      <c r="A42" s="620">
        <v>33</v>
      </c>
      <c r="B42" s="911" t="s">
        <v>295</v>
      </c>
      <c r="C42" s="911"/>
      <c r="D42" s="932" t="str">
        <f>'Pre-analyseverktøy'!C42</f>
        <v>Hea 01</v>
      </c>
      <c r="E42" s="932" t="str">
        <f>'Pre-analyseverktøy'!E42</f>
        <v>5-7</v>
      </c>
      <c r="F42" s="933" t="str">
        <f>'Pre-analyseverktøy'!F42</f>
        <v>Kontroll av blending fra dagslys</v>
      </c>
      <c r="G42" s="430">
        <f>'Pre-analyseverktøy'!G42</f>
        <v>1</v>
      </c>
      <c r="H42" s="436">
        <f>'Pre-analyseverktøy'!H42</f>
        <v>0</v>
      </c>
      <c r="I42" s="902">
        <f>'Pre-analyseverktøy'!I42</f>
        <v>0</v>
      </c>
      <c r="J42" s="432" t="str">
        <f>'Pre-analyseverktøy'!J42</f>
        <v>N/A</v>
      </c>
      <c r="K42" s="433" t="str">
        <f>IF('Pre-analyseverktøy'!K42=0,"",'Pre-analyseverktøy'!K42)</f>
        <v/>
      </c>
      <c r="L42" s="433" t="str">
        <f>IF('Pre-analyseverktøy'!L42=0,"",'Pre-analyseverktøy'!L42)</f>
        <v/>
      </c>
      <c r="M42" s="434" t="str">
        <f>IF('Pre-analyseverktøy'!M42=0,"",'Pre-analyseverktøy'!M42)</f>
        <v/>
      </c>
      <c r="N42" s="435">
        <f>'Pre-analyseverktøy'!N42</f>
        <v>0</v>
      </c>
      <c r="O42" s="436">
        <f>'Pre-analyseverktøy'!O42</f>
        <v>0</v>
      </c>
      <c r="P42" s="431">
        <f>'Pre-analyseverktøy'!P42</f>
        <v>0</v>
      </c>
      <c r="Q42" s="430" t="str">
        <f>'Pre-analyseverktøy'!Q42</f>
        <v>N/A</v>
      </c>
      <c r="R42" s="433" t="str">
        <f>IF('Pre-analyseverktøy'!R42=0,"",'Pre-analyseverktøy'!R42)</f>
        <v/>
      </c>
      <c r="S42" s="433" t="str">
        <f>IF('Pre-analyseverktøy'!S42=0,"",'Pre-analyseverktøy'!S42)</f>
        <v/>
      </c>
      <c r="T42" s="434" t="str">
        <f>IF('Pre-analyseverktøy'!T42=0,"",'Pre-analyseverktøy'!T42)</f>
        <v/>
      </c>
      <c r="U42" s="437"/>
      <c r="V42" s="436">
        <f>'Pre-analyseverktøy'!V42</f>
        <v>0</v>
      </c>
      <c r="W42" s="431">
        <f>'Pre-analyseverktøy'!W42</f>
        <v>0</v>
      </c>
      <c r="X42" s="430" t="str">
        <f>'Pre-analyseverktøy'!X42</f>
        <v>N/A</v>
      </c>
      <c r="Y42" s="433" t="str">
        <f>IF('Pre-analyseverktøy'!Y42=0,"",'Pre-analyseverktøy'!Y42)</f>
        <v/>
      </c>
      <c r="Z42" s="433" t="str">
        <f>IF('Pre-analyseverktøy'!Z42=0,"",'Pre-analyseverktøy'!Z42)</f>
        <v/>
      </c>
      <c r="AA42" s="433" t="str">
        <f>IF('Pre-analyseverktøy'!AA42=0,"",'Pre-analyseverktøy'!AA42)</f>
        <v/>
      </c>
      <c r="AF42" s="13"/>
      <c r="AG42" s="13"/>
      <c r="AH42" s="13"/>
    </row>
    <row r="43" spans="1:34">
      <c r="A43" s="620">
        <v>34</v>
      </c>
      <c r="B43" s="911" t="s">
        <v>295</v>
      </c>
      <c r="C43" s="911"/>
      <c r="D43" s="932" t="str">
        <f>'Pre-analyseverktøy'!C43</f>
        <v>Hea 01</v>
      </c>
      <c r="E43" s="932" t="str">
        <f>'Pre-analyseverktøy'!E43</f>
        <v>8-9</v>
      </c>
      <c r="F43" s="933" t="str">
        <f>'Pre-analyseverktøy'!F43</f>
        <v>Utsyn</v>
      </c>
      <c r="G43" s="430">
        <f>'Pre-analyseverktøy'!G43</f>
        <v>1</v>
      </c>
      <c r="H43" s="436">
        <f>'Pre-analyseverktøy'!H43</f>
        <v>0</v>
      </c>
      <c r="I43" s="902">
        <f>'Pre-analyseverktøy'!I43</f>
        <v>0</v>
      </c>
      <c r="J43" s="432" t="str">
        <f>'Pre-analyseverktøy'!J43</f>
        <v>N/A</v>
      </c>
      <c r="K43" s="433" t="str">
        <f>IF('Pre-analyseverktøy'!K43=0,"",'Pre-analyseverktøy'!K43)</f>
        <v/>
      </c>
      <c r="L43" s="433" t="str">
        <f>IF('Pre-analyseverktøy'!L43=0,"",'Pre-analyseverktøy'!L43)</f>
        <v/>
      </c>
      <c r="M43" s="434" t="str">
        <f>IF('Pre-analyseverktøy'!M43=0,"",'Pre-analyseverktøy'!M43)</f>
        <v/>
      </c>
      <c r="N43" s="435">
        <f>'Pre-analyseverktøy'!N43</f>
        <v>0</v>
      </c>
      <c r="O43" s="436">
        <f>'Pre-analyseverktøy'!O43</f>
        <v>0</v>
      </c>
      <c r="P43" s="431">
        <f>'Pre-analyseverktøy'!P43</f>
        <v>0</v>
      </c>
      <c r="Q43" s="430" t="str">
        <f>'Pre-analyseverktøy'!Q43</f>
        <v>N/A</v>
      </c>
      <c r="R43" s="433" t="str">
        <f>IF('Pre-analyseverktøy'!R43=0,"",'Pre-analyseverktøy'!R43)</f>
        <v/>
      </c>
      <c r="S43" s="433" t="str">
        <f>IF('Pre-analyseverktøy'!S43=0,"",'Pre-analyseverktøy'!S43)</f>
        <v/>
      </c>
      <c r="T43" s="434" t="str">
        <f>IF('Pre-analyseverktøy'!T43=0,"",'Pre-analyseverktøy'!T43)</f>
        <v/>
      </c>
      <c r="U43" s="437"/>
      <c r="V43" s="436">
        <f>'Pre-analyseverktøy'!V43</f>
        <v>0</v>
      </c>
      <c r="W43" s="431">
        <f>'Pre-analyseverktøy'!W43</f>
        <v>0</v>
      </c>
      <c r="X43" s="430" t="str">
        <f>'Pre-analyseverktøy'!X43</f>
        <v>N/A</v>
      </c>
      <c r="Y43" s="433" t="str">
        <f>IF('Pre-analyseverktøy'!Y43=0,"",'Pre-analyseverktøy'!Y43)</f>
        <v/>
      </c>
      <c r="Z43" s="433" t="str">
        <f>IF('Pre-analyseverktøy'!Z43=0,"",'Pre-analyseverktøy'!Z43)</f>
        <v/>
      </c>
      <c r="AA43" s="433" t="str">
        <f>IF('Pre-analyseverktøy'!AA43=0,"",'Pre-analyseverktøy'!AA43)</f>
        <v/>
      </c>
      <c r="AF43" s="13"/>
      <c r="AG43" s="13"/>
      <c r="AH43" s="13"/>
    </row>
    <row r="44" spans="1:34">
      <c r="A44" s="620">
        <v>35</v>
      </c>
      <c r="B44" s="911" t="s">
        <v>295</v>
      </c>
      <c r="C44" s="911"/>
      <c r="D44" s="932" t="str">
        <f>'Pre-analyseverktøy'!C44</f>
        <v>Hea 01</v>
      </c>
      <c r="E44" s="932">
        <f>'Pre-analyseverktøy'!E44</f>
        <v>10</v>
      </c>
      <c r="F44" s="933" t="str">
        <f>'Pre-analyseverktøy'!F44</f>
        <v>Sollys</v>
      </c>
      <c r="G44" s="430">
        <f>'Pre-analyseverktøy'!G44</f>
        <v>1</v>
      </c>
      <c r="H44" s="436">
        <f>'Pre-analyseverktøy'!H44</f>
        <v>0</v>
      </c>
      <c r="I44" s="902">
        <f>'Pre-analyseverktøy'!I44</f>
        <v>0</v>
      </c>
      <c r="J44" s="432" t="str">
        <f>'Pre-analyseverktøy'!J44</f>
        <v>N/A</v>
      </c>
      <c r="K44" s="433" t="str">
        <f>IF('Pre-analyseverktøy'!K44=0,"",'Pre-analyseverktøy'!K44)</f>
        <v/>
      </c>
      <c r="L44" s="433" t="str">
        <f>IF('Pre-analyseverktøy'!L44=0,"",'Pre-analyseverktøy'!L44)</f>
        <v/>
      </c>
      <c r="M44" s="434" t="str">
        <f>IF('Pre-analyseverktøy'!M44=0,"",'Pre-analyseverktøy'!M44)</f>
        <v/>
      </c>
      <c r="N44" s="435">
        <f>'Pre-analyseverktøy'!N44</f>
        <v>0</v>
      </c>
      <c r="O44" s="436">
        <f>'Pre-analyseverktøy'!O44</f>
        <v>0</v>
      </c>
      <c r="P44" s="431">
        <f>'Pre-analyseverktøy'!P44</f>
        <v>0</v>
      </c>
      <c r="Q44" s="430" t="str">
        <f>'Pre-analyseverktøy'!Q44</f>
        <v>N/A</v>
      </c>
      <c r="R44" s="433" t="str">
        <f>IF('Pre-analyseverktøy'!R44=0,"",'Pre-analyseverktøy'!R44)</f>
        <v/>
      </c>
      <c r="S44" s="433" t="str">
        <f>IF('Pre-analyseverktøy'!S44=0,"",'Pre-analyseverktøy'!S44)</f>
        <v/>
      </c>
      <c r="T44" s="434" t="str">
        <f>IF('Pre-analyseverktøy'!T44=0,"",'Pre-analyseverktøy'!T44)</f>
        <v/>
      </c>
      <c r="U44" s="437"/>
      <c r="V44" s="436">
        <f>'Pre-analyseverktøy'!V44</f>
        <v>0</v>
      </c>
      <c r="W44" s="431">
        <f>'Pre-analyseverktøy'!W44</f>
        <v>0</v>
      </c>
      <c r="X44" s="430" t="str">
        <f>'Pre-analyseverktøy'!X44</f>
        <v>N/A</v>
      </c>
      <c r="Y44" s="433" t="str">
        <f>IF('Pre-analyseverktøy'!Y44=0,"",'Pre-analyseverktøy'!Y44)</f>
        <v/>
      </c>
      <c r="Z44" s="433" t="str">
        <f>IF('Pre-analyseverktøy'!Z44=0,"",'Pre-analyseverktøy'!Z44)</f>
        <v/>
      </c>
      <c r="AA44" s="433" t="str">
        <f>IF('Pre-analyseverktøy'!AA44=0,"",'Pre-analyseverktøy'!AA44)</f>
        <v/>
      </c>
      <c r="AF44" s="13"/>
      <c r="AG44" s="13"/>
      <c r="AH44" s="13"/>
    </row>
    <row r="45" spans="1:34">
      <c r="A45" s="620">
        <v>36</v>
      </c>
      <c r="B45" s="911" t="s">
        <v>295</v>
      </c>
      <c r="C45" s="911"/>
      <c r="D45" s="932" t="str">
        <f>'Pre-analyseverktøy'!C45</f>
        <v>Hea 01</v>
      </c>
      <c r="E45" s="932" t="str">
        <f>'Pre-analyseverktøy'!E45</f>
        <v>11-20</v>
      </c>
      <c r="F45" s="933" t="str">
        <f>'Pre-analyseverktøy'!F45</f>
        <v>Innendørs og utendørs belysningsnivåer og soneinndeling</v>
      </c>
      <c r="G45" s="430">
        <f>'Pre-analyseverktøy'!G45</f>
        <v>1</v>
      </c>
      <c r="H45" s="436">
        <f>'Pre-analyseverktøy'!H45</f>
        <v>0</v>
      </c>
      <c r="I45" s="902">
        <f>'Pre-analyseverktøy'!I45</f>
        <v>0</v>
      </c>
      <c r="J45" s="432" t="str">
        <f>'Pre-analyseverktøy'!J45</f>
        <v>N/A</v>
      </c>
      <c r="K45" s="433" t="str">
        <f>IF('Pre-analyseverktøy'!K45=0,"",'Pre-analyseverktøy'!K45)</f>
        <v/>
      </c>
      <c r="L45" s="433" t="str">
        <f>IF('Pre-analyseverktøy'!L45=0,"",'Pre-analyseverktøy'!L45)</f>
        <v/>
      </c>
      <c r="M45" s="434" t="str">
        <f>IF('Pre-analyseverktøy'!M45=0,"",'Pre-analyseverktøy'!M45)</f>
        <v/>
      </c>
      <c r="N45" s="435">
        <f>'Pre-analyseverktøy'!N45</f>
        <v>0</v>
      </c>
      <c r="O45" s="436">
        <f>'Pre-analyseverktøy'!O45</f>
        <v>0</v>
      </c>
      <c r="P45" s="431">
        <f>'Pre-analyseverktøy'!P45</f>
        <v>0</v>
      </c>
      <c r="Q45" s="430" t="str">
        <f>'Pre-analyseverktøy'!Q45</f>
        <v>N/A</v>
      </c>
      <c r="R45" s="433" t="str">
        <f>IF('Pre-analyseverktøy'!R45=0,"",'Pre-analyseverktøy'!R45)</f>
        <v/>
      </c>
      <c r="S45" s="433" t="str">
        <f>IF('Pre-analyseverktøy'!S45=0,"",'Pre-analyseverktøy'!S45)</f>
        <v/>
      </c>
      <c r="T45" s="434" t="str">
        <f>IF('Pre-analyseverktøy'!T45=0,"",'Pre-analyseverktøy'!T45)</f>
        <v/>
      </c>
      <c r="U45" s="437"/>
      <c r="V45" s="436">
        <f>'Pre-analyseverktøy'!V45</f>
        <v>0</v>
      </c>
      <c r="W45" s="431">
        <f>'Pre-analyseverktøy'!W45</f>
        <v>0</v>
      </c>
      <c r="X45" s="430" t="str">
        <f>'Pre-analyseverktøy'!X45</f>
        <v>N/A</v>
      </c>
      <c r="Y45" s="433" t="str">
        <f>IF('Pre-analyseverktøy'!Y45=0,"",'Pre-analyseverktøy'!Y45)</f>
        <v/>
      </c>
      <c r="Z45" s="433" t="str">
        <f>IF('Pre-analyseverktøy'!Z45=0,"",'Pre-analyseverktøy'!Z45)</f>
        <v/>
      </c>
      <c r="AA45" s="433" t="str">
        <f>IF('Pre-analyseverktøy'!AA45=0,"",'Pre-analyseverktøy'!AA45)</f>
        <v/>
      </c>
      <c r="AF45" s="13"/>
      <c r="AG45" s="13"/>
      <c r="AH45" s="13"/>
    </row>
    <row r="46" spans="1:34">
      <c r="A46" s="620">
        <v>37</v>
      </c>
      <c r="B46" s="911" t="s">
        <v>295</v>
      </c>
      <c r="C46" s="911"/>
      <c r="D46" s="931" t="str">
        <f>'Pre-analyseverktøy'!C46</f>
        <v>Hea 02</v>
      </c>
      <c r="E46" s="932"/>
      <c r="F46" s="931" t="str">
        <f>'Pre-analyseverktøy'!F46</f>
        <v>Hea 02 Inneluftkvalitet</v>
      </c>
      <c r="G46" s="430">
        <f>'Pre-analyseverktøy'!G46</f>
        <v>4</v>
      </c>
      <c r="H46" s="436">
        <f>'Pre-analyseverktøy'!H46</f>
        <v>0</v>
      </c>
      <c r="I46" s="902" t="str">
        <f>'Pre-analyseverktøy'!I46</f>
        <v>0 c. 0 %</v>
      </c>
      <c r="J46" s="432" t="str">
        <f>'Pre-analyseverktøy'!J46</f>
        <v>N/A</v>
      </c>
      <c r="K46" s="433" t="str">
        <f>IF('Pre-analyseverktøy'!K46=0,"",'Pre-analyseverktøy'!K46)</f>
        <v/>
      </c>
      <c r="L46" s="433" t="str">
        <f>IF('Pre-analyseverktøy'!L46=0,"",'Pre-analyseverktøy'!L46)</f>
        <v/>
      </c>
      <c r="M46" s="434" t="str">
        <f>IF('Pre-analyseverktøy'!M46=0,"",'Pre-analyseverktøy'!M46)</f>
        <v/>
      </c>
      <c r="N46" s="435">
        <f>'Pre-analyseverktøy'!N46</f>
        <v>0</v>
      </c>
      <c r="O46" s="436">
        <f>'Pre-analyseverktøy'!O46</f>
        <v>0</v>
      </c>
      <c r="P46" s="431" t="str">
        <f>'Pre-analyseverktøy'!P46</f>
        <v>0 c. 0 %</v>
      </c>
      <c r="Q46" s="430" t="str">
        <f>'Pre-analyseverktøy'!Q46</f>
        <v>N/A</v>
      </c>
      <c r="R46" s="433" t="str">
        <f>IF('Pre-analyseverktøy'!R46=0,"",'Pre-analyseverktøy'!R46)</f>
        <v/>
      </c>
      <c r="S46" s="433" t="str">
        <f>IF('Pre-analyseverktøy'!S46=0,"",'Pre-analyseverktøy'!S46)</f>
        <v/>
      </c>
      <c r="T46" s="434" t="str">
        <f>IF('Pre-analyseverktøy'!T46=0,"",'Pre-analyseverktøy'!T46)</f>
        <v/>
      </c>
      <c r="U46" s="437"/>
      <c r="V46" s="436">
        <f>'Pre-analyseverktøy'!V46</f>
        <v>0</v>
      </c>
      <c r="W46" s="431" t="str">
        <f>'Pre-analyseverktøy'!W46</f>
        <v>0 c. 0 %</v>
      </c>
      <c r="X46" s="430" t="str">
        <f>'Pre-analyseverktøy'!X46</f>
        <v>N/A</v>
      </c>
      <c r="Y46" s="433" t="str">
        <f>IF('Pre-analyseverktøy'!Y46=0,"",'Pre-analyseverktøy'!Y46)</f>
        <v/>
      </c>
      <c r="Z46" s="433" t="str">
        <f>IF('Pre-analyseverktøy'!Z46=0,"",'Pre-analyseverktøy'!Z46)</f>
        <v/>
      </c>
      <c r="AA46" s="433" t="str">
        <f>IF('Pre-analyseverktøy'!AA46=0,"",'Pre-analyseverktøy'!AA46)</f>
        <v/>
      </c>
      <c r="AF46" s="13"/>
      <c r="AG46" s="13"/>
      <c r="AH46" s="13"/>
    </row>
    <row r="47" spans="1:34">
      <c r="A47" s="620">
        <v>38</v>
      </c>
      <c r="B47" s="911" t="s">
        <v>295</v>
      </c>
      <c r="C47" s="911"/>
      <c r="D47" s="932" t="str">
        <f>'Pre-analyseverktøy'!C47</f>
        <v>Hea 02</v>
      </c>
      <c r="E47" s="932" t="str">
        <f>'Pre-analyseverktøy'!E47</f>
        <v>1-2</v>
      </c>
      <c r="F47" s="933" t="str">
        <f>'Pre-analyseverktøy'!F47</f>
        <v>Forkrav: plan for inneluftkvalitet</v>
      </c>
      <c r="G47" s="430" t="str">
        <f>'Pre-analyseverktøy'!G47</f>
        <v>Yes/No</v>
      </c>
      <c r="H47" s="436">
        <f>'Pre-analyseverktøy'!H47</f>
        <v>0</v>
      </c>
      <c r="I47" s="902" t="str">
        <f>'Pre-analyseverktøy'!I47</f>
        <v>-</v>
      </c>
      <c r="J47" s="432" t="str">
        <f>'Pre-analyseverktøy'!J47</f>
        <v>Unclassified</v>
      </c>
      <c r="K47" s="433" t="str">
        <f>IF('Pre-analyseverktøy'!K47=0,"",'Pre-analyseverktøy'!K47)</f>
        <v/>
      </c>
      <c r="L47" s="433" t="str">
        <f>IF('Pre-analyseverktøy'!L47=0,"",'Pre-analyseverktøy'!L47)</f>
        <v/>
      </c>
      <c r="M47" s="434" t="str">
        <f>IF('Pre-analyseverktøy'!M47=0,"",'Pre-analyseverktøy'!M47)</f>
        <v/>
      </c>
      <c r="N47" s="435">
        <f>'Pre-analyseverktøy'!N47</f>
        <v>0</v>
      </c>
      <c r="O47" s="436">
        <f>'Pre-analyseverktøy'!O47</f>
        <v>0</v>
      </c>
      <c r="P47" s="431" t="str">
        <f>'Pre-analyseverktøy'!P47</f>
        <v>-</v>
      </c>
      <c r="Q47" s="430" t="str">
        <f>'Pre-analyseverktøy'!Q47</f>
        <v>Unclassified</v>
      </c>
      <c r="R47" s="433" t="str">
        <f>IF('Pre-analyseverktøy'!R47=0,"",'Pre-analyseverktøy'!R47)</f>
        <v/>
      </c>
      <c r="S47" s="433" t="str">
        <f>IF('Pre-analyseverktøy'!S47=0,"",'Pre-analyseverktøy'!S47)</f>
        <v/>
      </c>
      <c r="T47" s="434" t="str">
        <f>IF('Pre-analyseverktøy'!T47=0,"",'Pre-analyseverktøy'!T47)</f>
        <v/>
      </c>
      <c r="U47" s="437"/>
      <c r="V47" s="436">
        <f>'Pre-analyseverktøy'!V47</f>
        <v>0</v>
      </c>
      <c r="W47" s="431" t="str">
        <f>'Pre-analyseverktøy'!W47</f>
        <v>-</v>
      </c>
      <c r="X47" s="430" t="str">
        <f>'Pre-analyseverktøy'!X47</f>
        <v>Unclassified</v>
      </c>
      <c r="Y47" s="433" t="str">
        <f>IF('Pre-analyseverktøy'!Y47=0,"",'Pre-analyseverktøy'!Y47)</f>
        <v/>
      </c>
      <c r="Z47" s="433" t="str">
        <f>IF('Pre-analyseverktøy'!Z47=0,"",'Pre-analyseverktøy'!Z47)</f>
        <v/>
      </c>
      <c r="AA47" s="433" t="str">
        <f>IF('Pre-analyseverktøy'!AA47=0,"",'Pre-analyseverktøy'!AA47)</f>
        <v/>
      </c>
      <c r="AF47" s="13"/>
      <c r="AG47" s="13"/>
      <c r="AH47" s="13"/>
    </row>
    <row r="48" spans="1:34">
      <c r="A48" s="620">
        <v>39</v>
      </c>
      <c r="B48" s="911" t="s">
        <v>295</v>
      </c>
      <c r="C48" s="911"/>
      <c r="D48" s="932" t="str">
        <f>'Pre-analyseverktøy'!C48</f>
        <v>Hea 02</v>
      </c>
      <c r="E48" s="932">
        <f>'Pre-analyseverktøy'!E48</f>
        <v>3</v>
      </c>
      <c r="F48" s="933" t="str">
        <f>'Pre-analyseverktøy'!F48</f>
        <v>Ventilasjon</v>
      </c>
      <c r="G48" s="430">
        <f>'Pre-analyseverktøy'!G48</f>
        <v>1</v>
      </c>
      <c r="H48" s="436">
        <f>'Pre-analyseverktøy'!H48</f>
        <v>0</v>
      </c>
      <c r="I48" s="902">
        <f>'Pre-analyseverktøy'!I48</f>
        <v>0</v>
      </c>
      <c r="J48" s="432" t="str">
        <f>'Pre-analyseverktøy'!J48</f>
        <v>N/A</v>
      </c>
      <c r="K48" s="433" t="str">
        <f>IF('Pre-analyseverktøy'!K48=0,"",'Pre-analyseverktøy'!K48)</f>
        <v/>
      </c>
      <c r="L48" s="433" t="str">
        <f>IF('Pre-analyseverktøy'!L48=0,"",'Pre-analyseverktøy'!L48)</f>
        <v/>
      </c>
      <c r="M48" s="434" t="str">
        <f>IF('Pre-analyseverktøy'!M48=0,"",'Pre-analyseverktøy'!M48)</f>
        <v/>
      </c>
      <c r="N48" s="435">
        <f>'Pre-analyseverktøy'!N48</f>
        <v>0</v>
      </c>
      <c r="O48" s="436">
        <f>'Pre-analyseverktøy'!O48</f>
        <v>0</v>
      </c>
      <c r="P48" s="431">
        <f>'Pre-analyseverktøy'!P48</f>
        <v>0</v>
      </c>
      <c r="Q48" s="430" t="str">
        <f>'Pre-analyseverktøy'!Q48</f>
        <v>N/A</v>
      </c>
      <c r="R48" s="433" t="str">
        <f>IF('Pre-analyseverktøy'!R48=0,"",'Pre-analyseverktøy'!R48)</f>
        <v/>
      </c>
      <c r="S48" s="433" t="str">
        <f>IF('Pre-analyseverktøy'!S48=0,"",'Pre-analyseverktøy'!S48)</f>
        <v/>
      </c>
      <c r="T48" s="434" t="str">
        <f>IF('Pre-analyseverktøy'!T48=0,"",'Pre-analyseverktøy'!T48)</f>
        <v/>
      </c>
      <c r="U48" s="437"/>
      <c r="V48" s="436">
        <f>'Pre-analyseverktøy'!V48</f>
        <v>0</v>
      </c>
      <c r="W48" s="431">
        <f>'Pre-analyseverktøy'!W48</f>
        <v>0</v>
      </c>
      <c r="X48" s="430" t="str">
        <f>'Pre-analyseverktøy'!X48</f>
        <v>N/A</v>
      </c>
      <c r="Y48" s="433" t="str">
        <f>IF('Pre-analyseverktøy'!Y48=0,"",'Pre-analyseverktøy'!Y48)</f>
        <v/>
      </c>
      <c r="Z48" s="433" t="str">
        <f>IF('Pre-analyseverktøy'!Z48=0,"",'Pre-analyseverktøy'!Z48)</f>
        <v/>
      </c>
      <c r="AA48" s="433" t="str">
        <f>IF('Pre-analyseverktøy'!AA48=0,"",'Pre-analyseverktøy'!AA48)</f>
        <v/>
      </c>
      <c r="AF48" s="13"/>
      <c r="AG48" s="13"/>
      <c r="AH48" s="13"/>
    </row>
    <row r="49" spans="1:34">
      <c r="A49" s="620">
        <v>40</v>
      </c>
      <c r="B49" s="911" t="s">
        <v>295</v>
      </c>
      <c r="C49" s="911"/>
      <c r="D49" s="932" t="str">
        <f>'Pre-analyseverktøy'!C49</f>
        <v>Hea 02</v>
      </c>
      <c r="E49" s="932" t="str">
        <f>'Pre-analyseverktøy'!E49</f>
        <v>4 or 5</v>
      </c>
      <c r="F49" s="933" t="str">
        <f>'Pre-analyseverktøy'!F49</f>
        <v>Emisjoner fra bygningsprodukter (EU taksonomi: krit. 5)</v>
      </c>
      <c r="G49" s="430">
        <f>'Pre-analyseverktøy'!G49</f>
        <v>2</v>
      </c>
      <c r="H49" s="436">
        <f>'Pre-analyseverktøy'!H49</f>
        <v>0</v>
      </c>
      <c r="I49" s="902">
        <f>'Pre-analyseverktøy'!I49</f>
        <v>0</v>
      </c>
      <c r="J49" s="432" t="str">
        <f>'Pre-analyseverktøy'!J49</f>
        <v>Good</v>
      </c>
      <c r="K49" s="433" t="str">
        <f>IF('Pre-analyseverktøy'!K49=0,"",'Pre-analyseverktøy'!K49)</f>
        <v/>
      </c>
      <c r="L49" s="433" t="str">
        <f>IF('Pre-analyseverktøy'!L49=0,"",'Pre-analyseverktøy'!L49)</f>
        <v/>
      </c>
      <c r="M49" s="434" t="str">
        <f>IF('Pre-analyseverktøy'!M49=0,"",'Pre-analyseverktøy'!M49)</f>
        <v/>
      </c>
      <c r="N49" s="435">
        <f>'Pre-analyseverktøy'!N49</f>
        <v>0</v>
      </c>
      <c r="O49" s="436">
        <f>'Pre-analyseverktøy'!O49</f>
        <v>0</v>
      </c>
      <c r="P49" s="431">
        <f>'Pre-analyseverktøy'!P49</f>
        <v>0</v>
      </c>
      <c r="Q49" s="430" t="str">
        <f>'Pre-analyseverktøy'!Q49</f>
        <v>Good</v>
      </c>
      <c r="R49" s="433" t="str">
        <f>IF('Pre-analyseverktøy'!R49=0,"",'Pre-analyseverktøy'!R49)</f>
        <v/>
      </c>
      <c r="S49" s="433" t="str">
        <f>IF('Pre-analyseverktøy'!S49=0,"",'Pre-analyseverktøy'!S49)</f>
        <v/>
      </c>
      <c r="T49" s="434" t="str">
        <f>IF('Pre-analyseverktøy'!T49=0,"",'Pre-analyseverktøy'!T49)</f>
        <v/>
      </c>
      <c r="U49" s="437"/>
      <c r="V49" s="436">
        <f>'Pre-analyseverktøy'!V49</f>
        <v>0</v>
      </c>
      <c r="W49" s="431">
        <f>'Pre-analyseverktøy'!W49</f>
        <v>0</v>
      </c>
      <c r="X49" s="430" t="str">
        <f>'Pre-analyseverktøy'!X49</f>
        <v>Good</v>
      </c>
      <c r="Y49" s="433" t="str">
        <f>IF('Pre-analyseverktøy'!Y49=0,"",'Pre-analyseverktøy'!Y49)</f>
        <v/>
      </c>
      <c r="Z49" s="433" t="str">
        <f>IF('Pre-analyseverktøy'!Z49=0,"",'Pre-analyseverktøy'!Z49)</f>
        <v/>
      </c>
      <c r="AA49" s="433" t="str">
        <f>IF('Pre-analyseverktøy'!AA49=0,"",'Pre-analyseverktøy'!AA49)</f>
        <v/>
      </c>
      <c r="AF49" s="13"/>
      <c r="AG49" s="13"/>
      <c r="AH49" s="13"/>
    </row>
    <row r="50" spans="1:34">
      <c r="A50" s="620">
        <v>41</v>
      </c>
      <c r="B50" s="911" t="s">
        <v>295</v>
      </c>
      <c r="C50" s="911"/>
      <c r="D50" s="932" t="str">
        <f>'Pre-analyseverktøy'!C50</f>
        <v>Hea 02</v>
      </c>
      <c r="E50" s="932" t="str">
        <f>'Pre-analyseverktøy'!E50</f>
        <v>6-11</v>
      </c>
      <c r="F50" s="933" t="str">
        <f>'Pre-analyseverktøy'!F50</f>
        <v>Måling av inneluftkvalitet</v>
      </c>
      <c r="G50" s="430">
        <f>'Pre-analyseverktøy'!G50</f>
        <v>1</v>
      </c>
      <c r="H50" s="436">
        <f>'Pre-analyseverktøy'!H50</f>
        <v>0</v>
      </c>
      <c r="I50" s="902">
        <f>'Pre-analyseverktøy'!I50</f>
        <v>0</v>
      </c>
      <c r="J50" s="432" t="str">
        <f>'Pre-analyseverktøy'!J50</f>
        <v>N/A</v>
      </c>
      <c r="K50" s="433" t="str">
        <f>IF('Pre-analyseverktøy'!K50=0,"",'Pre-analyseverktøy'!K50)</f>
        <v/>
      </c>
      <c r="L50" s="433" t="str">
        <f>IF('Pre-analyseverktøy'!L50=0,"",'Pre-analyseverktøy'!L50)</f>
        <v/>
      </c>
      <c r="M50" s="434" t="str">
        <f>IF('Pre-analyseverktøy'!M50=0,"",'Pre-analyseverktøy'!M50)</f>
        <v/>
      </c>
      <c r="N50" s="435">
        <f>'Pre-analyseverktøy'!N50</f>
        <v>0</v>
      </c>
      <c r="O50" s="436">
        <f>'Pre-analyseverktøy'!O50</f>
        <v>0</v>
      </c>
      <c r="P50" s="431">
        <f>'Pre-analyseverktøy'!P50</f>
        <v>0</v>
      </c>
      <c r="Q50" s="430" t="str">
        <f>'Pre-analyseverktøy'!Q50</f>
        <v>N/A</v>
      </c>
      <c r="R50" s="433" t="str">
        <f>IF('Pre-analyseverktøy'!R50=0,"",'Pre-analyseverktøy'!R50)</f>
        <v/>
      </c>
      <c r="S50" s="433" t="str">
        <f>IF('Pre-analyseverktøy'!S50=0,"",'Pre-analyseverktøy'!S50)</f>
        <v/>
      </c>
      <c r="T50" s="434" t="str">
        <f>IF('Pre-analyseverktøy'!T50=0,"",'Pre-analyseverktøy'!T50)</f>
        <v/>
      </c>
      <c r="U50" s="437"/>
      <c r="V50" s="436">
        <f>'Pre-analyseverktøy'!V50</f>
        <v>0</v>
      </c>
      <c r="W50" s="431">
        <f>'Pre-analyseverktøy'!W50</f>
        <v>0</v>
      </c>
      <c r="X50" s="430" t="str">
        <f>'Pre-analyseverktøy'!X50</f>
        <v>N/A</v>
      </c>
      <c r="Y50" s="433" t="str">
        <f>IF('Pre-analyseverktøy'!Y50=0,"",'Pre-analyseverktøy'!Y50)</f>
        <v/>
      </c>
      <c r="Z50" s="433" t="str">
        <f>IF('Pre-analyseverktøy'!Z50=0,"",'Pre-analyseverktøy'!Z50)</f>
        <v/>
      </c>
      <c r="AA50" s="433" t="str">
        <f>IF('Pre-analyseverktøy'!AA50=0,"",'Pre-analyseverktøy'!AA50)</f>
        <v/>
      </c>
      <c r="AF50" s="13"/>
      <c r="AG50" s="13"/>
      <c r="AH50" s="13"/>
    </row>
    <row r="51" spans="1:34">
      <c r="A51" s="620">
        <v>42</v>
      </c>
      <c r="B51" s="911" t="s">
        <v>295</v>
      </c>
      <c r="C51" s="911"/>
      <c r="D51" s="931" t="str">
        <f>'Pre-analyseverktøy'!C51</f>
        <v>Hea 03</v>
      </c>
      <c r="E51" s="932"/>
      <c r="F51" s="931" t="str">
        <f>'Pre-analyseverktøy'!F51</f>
        <v>Hea 03 Termisk komfort</v>
      </c>
      <c r="G51" s="430">
        <f>'Pre-analyseverktøy'!G51</f>
        <v>3</v>
      </c>
      <c r="H51" s="436">
        <f>'Pre-analyseverktøy'!H51</f>
        <v>0</v>
      </c>
      <c r="I51" s="902" t="str">
        <f>'Pre-analyseverktøy'!I51</f>
        <v>0 c. 0 %</v>
      </c>
      <c r="J51" s="432" t="str">
        <f>'Pre-analyseverktøy'!J51</f>
        <v>N/A</v>
      </c>
      <c r="K51" s="433" t="str">
        <f>IF('Pre-analyseverktøy'!K51=0,"",'Pre-analyseverktøy'!K51)</f>
        <v/>
      </c>
      <c r="L51" s="433" t="str">
        <f>IF('Pre-analyseverktøy'!L51=0,"",'Pre-analyseverktøy'!L51)</f>
        <v/>
      </c>
      <c r="M51" s="434" t="str">
        <f>IF('Pre-analyseverktøy'!M51=0,"",'Pre-analyseverktøy'!M51)</f>
        <v/>
      </c>
      <c r="N51" s="435">
        <f>'Pre-analyseverktøy'!N51</f>
        <v>0</v>
      </c>
      <c r="O51" s="436">
        <f>'Pre-analyseverktøy'!O51</f>
        <v>0</v>
      </c>
      <c r="P51" s="431" t="str">
        <f>'Pre-analyseverktøy'!P51</f>
        <v>0 c. 0 %</v>
      </c>
      <c r="Q51" s="430" t="str">
        <f>'Pre-analyseverktøy'!Q51</f>
        <v>N/A</v>
      </c>
      <c r="R51" s="433" t="str">
        <f>IF('Pre-analyseverktøy'!R51=0,"",'Pre-analyseverktøy'!R51)</f>
        <v/>
      </c>
      <c r="S51" s="433" t="str">
        <f>IF('Pre-analyseverktøy'!S51=0,"",'Pre-analyseverktøy'!S51)</f>
        <v/>
      </c>
      <c r="T51" s="434" t="str">
        <f>IF('Pre-analyseverktøy'!T51=0,"",'Pre-analyseverktøy'!T51)</f>
        <v/>
      </c>
      <c r="U51" s="437"/>
      <c r="V51" s="436">
        <f>'Pre-analyseverktøy'!V51</f>
        <v>0</v>
      </c>
      <c r="W51" s="431" t="str">
        <f>'Pre-analyseverktøy'!W51</f>
        <v>0 c. 0 %</v>
      </c>
      <c r="X51" s="430" t="str">
        <f>'Pre-analyseverktøy'!X51</f>
        <v>N/A</v>
      </c>
      <c r="Y51" s="433" t="str">
        <f>IF('Pre-analyseverktøy'!Y51=0,"",'Pre-analyseverktøy'!Y51)</f>
        <v/>
      </c>
      <c r="Z51" s="433" t="str">
        <f>IF('Pre-analyseverktøy'!Z51=0,"",'Pre-analyseverktøy'!Z51)</f>
        <v/>
      </c>
      <c r="AA51" s="433" t="str">
        <f>IF('Pre-analyseverktøy'!AA51=0,"",'Pre-analyseverktøy'!AA51)</f>
        <v/>
      </c>
      <c r="AF51" s="13"/>
      <c r="AG51" s="13"/>
      <c r="AH51" s="13"/>
    </row>
    <row r="52" spans="1:34">
      <c r="A52" s="620">
        <v>43</v>
      </c>
      <c r="B52" s="911" t="s">
        <v>295</v>
      </c>
      <c r="C52" s="911"/>
      <c r="D52" s="932" t="str">
        <f>'Pre-analyseverktøy'!C52</f>
        <v>Hea 03</v>
      </c>
      <c r="E52" s="932" t="str">
        <f>'Pre-analyseverktøy'!E52</f>
        <v>1-4</v>
      </c>
      <c r="F52" s="933" t="str">
        <f>'Pre-analyseverktøy'!F52</f>
        <v>Termisk modellering</v>
      </c>
      <c r="G52" s="430">
        <f>'Pre-analyseverktøy'!G52</f>
        <v>1</v>
      </c>
      <c r="H52" s="436">
        <f>'Pre-analyseverktøy'!H52</f>
        <v>0</v>
      </c>
      <c r="I52" s="902">
        <f>'Pre-analyseverktøy'!I52</f>
        <v>0</v>
      </c>
      <c r="J52" s="432" t="str">
        <f>'Pre-analyseverktøy'!J52</f>
        <v>N/A</v>
      </c>
      <c r="K52" s="433" t="str">
        <f>IF('Pre-analyseverktøy'!K52=0,"",'Pre-analyseverktøy'!K52)</f>
        <v/>
      </c>
      <c r="L52" s="433" t="str">
        <f>IF('Pre-analyseverktøy'!L52=0,"",'Pre-analyseverktøy'!L52)</f>
        <v/>
      </c>
      <c r="M52" s="434" t="str">
        <f>IF('Pre-analyseverktøy'!M52=0,"",'Pre-analyseverktøy'!M52)</f>
        <v/>
      </c>
      <c r="N52" s="435">
        <f>'Pre-analyseverktøy'!N52</f>
        <v>0</v>
      </c>
      <c r="O52" s="436">
        <f>'Pre-analyseverktøy'!O52</f>
        <v>0</v>
      </c>
      <c r="P52" s="431">
        <f>'Pre-analyseverktøy'!P52</f>
        <v>0</v>
      </c>
      <c r="Q52" s="430" t="str">
        <f>'Pre-analyseverktøy'!Q52</f>
        <v>N/A</v>
      </c>
      <c r="R52" s="433" t="str">
        <f>IF('Pre-analyseverktøy'!R52=0,"",'Pre-analyseverktøy'!R52)</f>
        <v/>
      </c>
      <c r="S52" s="433" t="str">
        <f>IF('Pre-analyseverktøy'!S52=0,"",'Pre-analyseverktøy'!S52)</f>
        <v/>
      </c>
      <c r="T52" s="434" t="str">
        <f>IF('Pre-analyseverktøy'!T52=0,"",'Pre-analyseverktøy'!T52)</f>
        <v/>
      </c>
      <c r="U52" s="437"/>
      <c r="V52" s="436">
        <f>'Pre-analyseverktøy'!V52</f>
        <v>0</v>
      </c>
      <c r="W52" s="431">
        <f>'Pre-analyseverktøy'!W52</f>
        <v>0</v>
      </c>
      <c r="X52" s="430" t="str">
        <f>'Pre-analyseverktøy'!X52</f>
        <v>N/A</v>
      </c>
      <c r="Y52" s="433" t="str">
        <f>IF('Pre-analyseverktøy'!Y52=0,"",'Pre-analyseverktøy'!Y52)</f>
        <v/>
      </c>
      <c r="Z52" s="433" t="str">
        <f>IF('Pre-analyseverktøy'!Z52=0,"",'Pre-analyseverktøy'!Z52)</f>
        <v/>
      </c>
      <c r="AA52" s="433" t="str">
        <f>IF('Pre-analyseverktøy'!AA52=0,"",'Pre-analyseverktøy'!AA52)</f>
        <v/>
      </c>
      <c r="AF52" s="13"/>
      <c r="AG52" s="13"/>
      <c r="AH52" s="13"/>
    </row>
    <row r="53" spans="1:34">
      <c r="A53" s="620">
        <v>44</v>
      </c>
      <c r="B53" s="911" t="s">
        <v>295</v>
      </c>
      <c r="C53" s="911"/>
      <c r="D53" s="932" t="str">
        <f>'Pre-analyseverktøy'!C53</f>
        <v>Hea 03</v>
      </c>
      <c r="E53" s="932" t="str">
        <f>'Pre-analyseverktøy'!E53</f>
        <v>5-8</v>
      </c>
      <c r="F53" s="933" t="str">
        <f>'Pre-analyseverktøy'!F53</f>
        <v>Prosjektering for fremtidig termisk komfort</v>
      </c>
      <c r="G53" s="430">
        <f>'Pre-analyseverktøy'!G53</f>
        <v>1</v>
      </c>
      <c r="H53" s="436">
        <f>'Pre-analyseverktøy'!H53</f>
        <v>0</v>
      </c>
      <c r="I53" s="902">
        <f>'Pre-analyseverktøy'!I53</f>
        <v>0</v>
      </c>
      <c r="J53" s="432" t="str">
        <f>'Pre-analyseverktøy'!J53</f>
        <v>N/A</v>
      </c>
      <c r="K53" s="433" t="str">
        <f>IF('Pre-analyseverktøy'!K53=0,"",'Pre-analyseverktøy'!K53)</f>
        <v/>
      </c>
      <c r="L53" s="433" t="str">
        <f>IF('Pre-analyseverktøy'!L53=0,"",'Pre-analyseverktøy'!L53)</f>
        <v/>
      </c>
      <c r="M53" s="434" t="str">
        <f>IF('Pre-analyseverktøy'!M53=0,"",'Pre-analyseverktøy'!M53)</f>
        <v/>
      </c>
      <c r="N53" s="435">
        <f>'Pre-analyseverktøy'!N53</f>
        <v>0</v>
      </c>
      <c r="O53" s="436">
        <f>'Pre-analyseverktøy'!O53</f>
        <v>0</v>
      </c>
      <c r="P53" s="431">
        <f>'Pre-analyseverktøy'!P53</f>
        <v>0</v>
      </c>
      <c r="Q53" s="430" t="str">
        <f>'Pre-analyseverktøy'!Q53</f>
        <v>N/A</v>
      </c>
      <c r="R53" s="433" t="str">
        <f>IF('Pre-analyseverktøy'!R53=0,"",'Pre-analyseverktøy'!R53)</f>
        <v/>
      </c>
      <c r="S53" s="433" t="str">
        <f>IF('Pre-analyseverktøy'!S53=0,"",'Pre-analyseverktøy'!S53)</f>
        <v/>
      </c>
      <c r="T53" s="434" t="str">
        <f>IF('Pre-analyseverktøy'!T53=0,"",'Pre-analyseverktøy'!T53)</f>
        <v/>
      </c>
      <c r="U53" s="437"/>
      <c r="V53" s="436">
        <f>'Pre-analyseverktøy'!V53</f>
        <v>0</v>
      </c>
      <c r="W53" s="431">
        <f>'Pre-analyseverktøy'!W53</f>
        <v>0</v>
      </c>
      <c r="X53" s="430" t="str">
        <f>'Pre-analyseverktøy'!X53</f>
        <v>N/A</v>
      </c>
      <c r="Y53" s="433" t="str">
        <f>IF('Pre-analyseverktøy'!Y53=0,"",'Pre-analyseverktøy'!Y53)</f>
        <v/>
      </c>
      <c r="Z53" s="433" t="str">
        <f>IF('Pre-analyseverktøy'!Z53=0,"",'Pre-analyseverktøy'!Z53)</f>
        <v/>
      </c>
      <c r="AA53" s="433" t="str">
        <f>IF('Pre-analyseverktøy'!AA53=0,"",'Pre-analyseverktøy'!AA53)</f>
        <v/>
      </c>
      <c r="AF53" s="13"/>
      <c r="AG53" s="13"/>
      <c r="AH53" s="13"/>
    </row>
    <row r="54" spans="1:34">
      <c r="A54" s="620">
        <v>45</v>
      </c>
      <c r="B54" s="911" t="s">
        <v>295</v>
      </c>
      <c r="C54" s="911"/>
      <c r="D54" s="932" t="str">
        <f>'Pre-analyseverktøy'!C54</f>
        <v>Hea 03</v>
      </c>
      <c r="E54" s="932" t="str">
        <f>'Pre-analyseverktøy'!E54</f>
        <v>9-11</v>
      </c>
      <c r="F54" s="933" t="str">
        <f>'Pre-analyseverktøy'!F54</f>
        <v>Termisk soning og reguleringsfunksjoner</v>
      </c>
      <c r="G54" s="430">
        <f>'Pre-analyseverktøy'!G54</f>
        <v>1</v>
      </c>
      <c r="H54" s="436">
        <f>'Pre-analyseverktøy'!H54</f>
        <v>0</v>
      </c>
      <c r="I54" s="902">
        <f>'Pre-analyseverktøy'!I54</f>
        <v>0</v>
      </c>
      <c r="J54" s="432" t="str">
        <f>'Pre-analyseverktøy'!J54</f>
        <v>N/A</v>
      </c>
      <c r="K54" s="433" t="str">
        <f>IF('Pre-analyseverktøy'!K54=0,"",'Pre-analyseverktøy'!K54)</f>
        <v/>
      </c>
      <c r="L54" s="433" t="str">
        <f>IF('Pre-analyseverktøy'!L54=0,"",'Pre-analyseverktøy'!L54)</f>
        <v/>
      </c>
      <c r="M54" s="434" t="str">
        <f>IF('Pre-analyseverktøy'!M54=0,"",'Pre-analyseverktøy'!M54)</f>
        <v/>
      </c>
      <c r="N54" s="435">
        <f>'Pre-analyseverktøy'!N54</f>
        <v>0</v>
      </c>
      <c r="O54" s="436">
        <f>'Pre-analyseverktøy'!O54</f>
        <v>0</v>
      </c>
      <c r="P54" s="431">
        <f>'Pre-analyseverktøy'!P54</f>
        <v>0</v>
      </c>
      <c r="Q54" s="430" t="str">
        <f>'Pre-analyseverktøy'!Q54</f>
        <v>N/A</v>
      </c>
      <c r="R54" s="433" t="str">
        <f>IF('Pre-analyseverktøy'!R54=0,"",'Pre-analyseverktøy'!R54)</f>
        <v/>
      </c>
      <c r="S54" s="433" t="str">
        <f>IF('Pre-analyseverktøy'!S54=0,"",'Pre-analyseverktøy'!S54)</f>
        <v/>
      </c>
      <c r="T54" s="434" t="str">
        <f>IF('Pre-analyseverktøy'!T54=0,"",'Pre-analyseverktøy'!T54)</f>
        <v/>
      </c>
      <c r="U54" s="437"/>
      <c r="V54" s="436">
        <f>'Pre-analyseverktøy'!V54</f>
        <v>0</v>
      </c>
      <c r="W54" s="431">
        <f>'Pre-analyseverktøy'!W54</f>
        <v>0</v>
      </c>
      <c r="X54" s="430" t="str">
        <f>'Pre-analyseverktøy'!X54</f>
        <v>N/A</v>
      </c>
      <c r="Y54" s="433" t="str">
        <f>IF('Pre-analyseverktøy'!Y54=0,"",'Pre-analyseverktøy'!Y54)</f>
        <v/>
      </c>
      <c r="Z54" s="433" t="str">
        <f>IF('Pre-analyseverktøy'!Z54=0,"",'Pre-analyseverktøy'!Z54)</f>
        <v/>
      </c>
      <c r="AA54" s="433" t="str">
        <f>IF('Pre-analyseverktøy'!AA54=0,"",'Pre-analyseverktøy'!AA54)</f>
        <v/>
      </c>
      <c r="AF54" s="13"/>
      <c r="AG54" s="13"/>
      <c r="AH54" s="13"/>
    </row>
    <row r="55" spans="1:34">
      <c r="A55" s="620">
        <v>46</v>
      </c>
      <c r="B55" s="911" t="s">
        <v>295</v>
      </c>
      <c r="C55" s="911"/>
      <c r="D55" s="931" t="str">
        <f>'Pre-analyseverktøy'!C55</f>
        <v>Hea 05</v>
      </c>
      <c r="E55" s="932"/>
      <c r="F55" s="931" t="str">
        <f>'Pre-analyseverktøy'!F55</f>
        <v>Hea 05 Lydforhold</v>
      </c>
      <c r="G55" s="430">
        <f>'Pre-analyseverktøy'!G55</f>
        <v>3</v>
      </c>
      <c r="H55" s="436">
        <f>'Pre-analyseverktøy'!H55</f>
        <v>0</v>
      </c>
      <c r="I55" s="902" t="str">
        <f>'Pre-analyseverktøy'!I55</f>
        <v>0 c. 0 %</v>
      </c>
      <c r="J55" s="432" t="str">
        <f>'Pre-analyseverktøy'!J55</f>
        <v>N/A</v>
      </c>
      <c r="K55" s="433" t="str">
        <f>IF('Pre-analyseverktøy'!K55=0,"",'Pre-analyseverktøy'!K55)</f>
        <v/>
      </c>
      <c r="L55" s="433" t="str">
        <f>IF('Pre-analyseverktøy'!L55=0,"",'Pre-analyseverktøy'!L55)</f>
        <v/>
      </c>
      <c r="M55" s="434" t="str">
        <f>IF('Pre-analyseverktøy'!M55=0,"",'Pre-analyseverktøy'!M55)</f>
        <v/>
      </c>
      <c r="N55" s="435">
        <f>'Pre-analyseverktøy'!N55</f>
        <v>0</v>
      </c>
      <c r="O55" s="436">
        <f>'Pre-analyseverktøy'!O55</f>
        <v>0</v>
      </c>
      <c r="P55" s="431" t="str">
        <f>'Pre-analyseverktøy'!P55</f>
        <v>0 c. 0 %</v>
      </c>
      <c r="Q55" s="430" t="str">
        <f>'Pre-analyseverktøy'!Q55</f>
        <v>N/A</v>
      </c>
      <c r="R55" s="433" t="str">
        <f>IF('Pre-analyseverktøy'!R55=0,"",'Pre-analyseverktøy'!R55)</f>
        <v/>
      </c>
      <c r="S55" s="433" t="str">
        <f>IF('Pre-analyseverktøy'!S55=0,"",'Pre-analyseverktøy'!S55)</f>
        <v/>
      </c>
      <c r="T55" s="434" t="str">
        <f>IF('Pre-analyseverktøy'!T55=0,"",'Pre-analyseverktøy'!T55)</f>
        <v/>
      </c>
      <c r="U55" s="437"/>
      <c r="V55" s="436">
        <f>'Pre-analyseverktøy'!V55</f>
        <v>0</v>
      </c>
      <c r="W55" s="431" t="str">
        <f>'Pre-analyseverktøy'!W55</f>
        <v>0 c. 0 %</v>
      </c>
      <c r="X55" s="430" t="str">
        <f>'Pre-analyseverktøy'!X55</f>
        <v>N/A</v>
      </c>
      <c r="Y55" s="433" t="str">
        <f>IF('Pre-analyseverktøy'!Y55=0,"",'Pre-analyseverktøy'!Y55)</f>
        <v/>
      </c>
      <c r="Z55" s="433" t="str">
        <f>IF('Pre-analyseverktøy'!Z55=0,"",'Pre-analyseverktøy'!Z55)</f>
        <v/>
      </c>
      <c r="AA55" s="433" t="str">
        <f>IF('Pre-analyseverktøy'!AA55=0,"",'Pre-analyseverktøy'!AA55)</f>
        <v/>
      </c>
      <c r="AF55" s="13"/>
      <c r="AG55" s="13"/>
      <c r="AH55" s="13"/>
    </row>
    <row r="56" spans="1:34">
      <c r="A56" s="620">
        <v>47</v>
      </c>
      <c r="B56" s="911" t="s">
        <v>295</v>
      </c>
      <c r="C56" s="911"/>
      <c r="D56" s="932" t="str">
        <f>'Pre-analyseverktøy'!C56</f>
        <v>Hea 05</v>
      </c>
      <c r="E56" s="932">
        <f>'Pre-analyseverktøy'!E56</f>
        <v>1</v>
      </c>
      <c r="F56" s="933" t="str">
        <f>'Pre-analyseverktøy'!F56</f>
        <v>Forkrav: kvalifisert akustiker</v>
      </c>
      <c r="G56" s="430" t="str">
        <f>'Pre-analyseverktøy'!G56</f>
        <v>Yes/No</v>
      </c>
      <c r="H56" s="436">
        <f>'Pre-analyseverktøy'!H56</f>
        <v>0</v>
      </c>
      <c r="I56" s="902" t="str">
        <f>'Pre-analyseverktøy'!I56</f>
        <v>-</v>
      </c>
      <c r="J56" s="432" t="str">
        <f>'Pre-analyseverktøy'!J56</f>
        <v>N/A</v>
      </c>
      <c r="K56" s="433" t="str">
        <f>IF('Pre-analyseverktøy'!K56=0,"",'Pre-analyseverktøy'!K56)</f>
        <v/>
      </c>
      <c r="L56" s="433" t="str">
        <f>IF('Pre-analyseverktøy'!L56=0,"",'Pre-analyseverktøy'!L56)</f>
        <v/>
      </c>
      <c r="M56" s="434" t="str">
        <f>IF('Pre-analyseverktøy'!M56=0,"",'Pre-analyseverktøy'!M56)</f>
        <v/>
      </c>
      <c r="N56" s="435">
        <f>'Pre-analyseverktøy'!N56</f>
        <v>0</v>
      </c>
      <c r="O56" s="436">
        <f>'Pre-analyseverktøy'!O56</f>
        <v>0</v>
      </c>
      <c r="P56" s="431" t="str">
        <f>'Pre-analyseverktøy'!P56</f>
        <v>-</v>
      </c>
      <c r="Q56" s="430" t="str">
        <f>'Pre-analyseverktøy'!Q56</f>
        <v>N/A</v>
      </c>
      <c r="R56" s="433" t="str">
        <f>IF('Pre-analyseverktøy'!R56=0,"",'Pre-analyseverktøy'!R56)</f>
        <v/>
      </c>
      <c r="S56" s="433" t="str">
        <f>IF('Pre-analyseverktøy'!S56=0,"",'Pre-analyseverktøy'!S56)</f>
        <v/>
      </c>
      <c r="T56" s="434" t="str">
        <f>IF('Pre-analyseverktøy'!T56=0,"",'Pre-analyseverktøy'!T56)</f>
        <v/>
      </c>
      <c r="U56" s="437"/>
      <c r="V56" s="436">
        <f>'Pre-analyseverktøy'!V56</f>
        <v>0</v>
      </c>
      <c r="W56" s="431" t="str">
        <f>'Pre-analyseverktøy'!W56</f>
        <v>-</v>
      </c>
      <c r="X56" s="430" t="str">
        <f>'Pre-analyseverktøy'!X56</f>
        <v>N/A</v>
      </c>
      <c r="Y56" s="433" t="str">
        <f>IF('Pre-analyseverktøy'!Y56=0,"",'Pre-analyseverktøy'!Y56)</f>
        <v/>
      </c>
      <c r="Z56" s="433" t="str">
        <f>IF('Pre-analyseverktøy'!Z56=0,"",'Pre-analyseverktøy'!Z56)</f>
        <v/>
      </c>
      <c r="AA56" s="433" t="str">
        <f>IF('Pre-analyseverktøy'!AA56=0,"",'Pre-analyseverktøy'!AA56)</f>
        <v/>
      </c>
      <c r="AF56" s="13"/>
      <c r="AG56" s="13"/>
      <c r="AH56" s="13"/>
    </row>
    <row r="57" spans="1:34">
      <c r="A57" s="620">
        <v>48</v>
      </c>
      <c r="B57" s="911" t="s">
        <v>295</v>
      </c>
      <c r="C57" s="911"/>
      <c r="D57" s="932" t="str">
        <f>'Pre-analyseverktøy'!C57</f>
        <v>Hea 05</v>
      </c>
      <c r="E57" s="932" t="str">
        <f>'Pre-analyseverktøy'!E57</f>
        <v>2-3</v>
      </c>
      <c r="F57" s="933" t="str">
        <f>'Pre-analyseverktøy'!F57</f>
        <v>Krav til lydklasse</v>
      </c>
      <c r="G57" s="430">
        <f>'Pre-analyseverktøy'!G57</f>
        <v>3</v>
      </c>
      <c r="H57" s="436">
        <f>'Pre-analyseverktøy'!H57</f>
        <v>0</v>
      </c>
      <c r="I57" s="902">
        <f>'Pre-analyseverktøy'!I57</f>
        <v>0</v>
      </c>
      <c r="J57" s="432" t="str">
        <f>'Pre-analyseverktøy'!J57</f>
        <v>N/A</v>
      </c>
      <c r="K57" s="433" t="str">
        <f>IF('Pre-analyseverktøy'!K57=0,"",'Pre-analyseverktøy'!K57)</f>
        <v/>
      </c>
      <c r="L57" s="433" t="str">
        <f>IF('Pre-analyseverktøy'!L57=0,"",'Pre-analyseverktøy'!L57)</f>
        <v/>
      </c>
      <c r="M57" s="434" t="str">
        <f>IF('Pre-analyseverktøy'!M57=0,"",'Pre-analyseverktøy'!M57)</f>
        <v/>
      </c>
      <c r="N57" s="435">
        <f>'Pre-analyseverktøy'!N57</f>
        <v>0</v>
      </c>
      <c r="O57" s="436">
        <f>'Pre-analyseverktøy'!O57</f>
        <v>0</v>
      </c>
      <c r="P57" s="431">
        <f>'Pre-analyseverktøy'!P57</f>
        <v>0</v>
      </c>
      <c r="Q57" s="430" t="str">
        <f>'Pre-analyseverktøy'!Q57</f>
        <v>N/A</v>
      </c>
      <c r="R57" s="433" t="str">
        <f>IF('Pre-analyseverktøy'!R57=0,"",'Pre-analyseverktøy'!R57)</f>
        <v/>
      </c>
      <c r="S57" s="433" t="str">
        <f>IF('Pre-analyseverktøy'!S57=0,"",'Pre-analyseverktøy'!S57)</f>
        <v/>
      </c>
      <c r="T57" s="434" t="str">
        <f>IF('Pre-analyseverktøy'!T57=0,"",'Pre-analyseverktøy'!T57)</f>
        <v/>
      </c>
      <c r="U57" s="437"/>
      <c r="V57" s="436">
        <f>'Pre-analyseverktøy'!V57</f>
        <v>0</v>
      </c>
      <c r="W57" s="431">
        <f>'Pre-analyseverktøy'!W57</f>
        <v>0</v>
      </c>
      <c r="X57" s="430" t="str">
        <f>'Pre-analyseverktøy'!X57</f>
        <v>N/A</v>
      </c>
      <c r="Y57" s="433" t="str">
        <f>IF('Pre-analyseverktøy'!Y57=0,"",'Pre-analyseverktøy'!Y57)</f>
        <v/>
      </c>
      <c r="Z57" s="433" t="str">
        <f>IF('Pre-analyseverktøy'!Z57=0,"",'Pre-analyseverktøy'!Z57)</f>
        <v/>
      </c>
      <c r="AA57" s="433" t="str">
        <f>IF('Pre-analyseverktøy'!AA57=0,"",'Pre-analyseverktøy'!AA57)</f>
        <v/>
      </c>
      <c r="AF57" s="13"/>
      <c r="AG57" s="13"/>
      <c r="AH57" s="13"/>
    </row>
    <row r="58" spans="1:34">
      <c r="A58" s="620">
        <v>49</v>
      </c>
      <c r="B58" s="911" t="s">
        <v>295</v>
      </c>
      <c r="C58" s="911"/>
      <c r="D58" s="931" t="str">
        <f>'Pre-analyseverktøy'!C58</f>
        <v>Hea 06</v>
      </c>
      <c r="E58" s="932"/>
      <c r="F58" s="931" t="str">
        <f>'Pre-analyseverktøy'!F58</f>
        <v>Hea 06 Trygge og sunne omgivelser</v>
      </c>
      <c r="G58" s="430">
        <f>'Pre-analyseverktøy'!G58</f>
        <v>2</v>
      </c>
      <c r="H58" s="436">
        <f>'Pre-analyseverktøy'!H58</f>
        <v>0</v>
      </c>
      <c r="I58" s="902" t="str">
        <f>'Pre-analyseverktøy'!I58</f>
        <v>0 c. 0 %</v>
      </c>
      <c r="J58" s="432" t="str">
        <f>'Pre-analyseverktøy'!J58</f>
        <v>N/A</v>
      </c>
      <c r="K58" s="433" t="str">
        <f>IF('Pre-analyseverktøy'!K58=0,"",'Pre-analyseverktøy'!K58)</f>
        <v/>
      </c>
      <c r="L58" s="433" t="str">
        <f>IF('Pre-analyseverktøy'!L58=0,"",'Pre-analyseverktøy'!L58)</f>
        <v/>
      </c>
      <c r="M58" s="434" t="str">
        <f>IF('Pre-analyseverktøy'!M58=0,"",'Pre-analyseverktøy'!M58)</f>
        <v/>
      </c>
      <c r="N58" s="435">
        <f>'Pre-analyseverktøy'!N58</f>
        <v>0</v>
      </c>
      <c r="O58" s="436">
        <f>'Pre-analyseverktøy'!O58</f>
        <v>0</v>
      </c>
      <c r="P58" s="431" t="str">
        <f>'Pre-analyseverktøy'!P58</f>
        <v>0 c. 0 %</v>
      </c>
      <c r="Q58" s="430" t="str">
        <f>'Pre-analyseverktøy'!Q58</f>
        <v>N/A</v>
      </c>
      <c r="R58" s="433" t="str">
        <f>IF('Pre-analyseverktøy'!R58=0,"",'Pre-analyseverktøy'!R58)</f>
        <v/>
      </c>
      <c r="S58" s="433" t="str">
        <f>IF('Pre-analyseverktøy'!S58=0,"",'Pre-analyseverktøy'!S58)</f>
        <v/>
      </c>
      <c r="T58" s="434" t="str">
        <f>IF('Pre-analyseverktøy'!T58=0,"",'Pre-analyseverktøy'!T58)</f>
        <v/>
      </c>
      <c r="U58" s="437"/>
      <c r="V58" s="436">
        <f>'Pre-analyseverktøy'!V58</f>
        <v>0</v>
      </c>
      <c r="W58" s="431" t="str">
        <f>'Pre-analyseverktøy'!W58</f>
        <v>0 c. 0 %</v>
      </c>
      <c r="X58" s="430" t="str">
        <f>'Pre-analyseverktøy'!X58</f>
        <v>N/A</v>
      </c>
      <c r="Y58" s="433" t="str">
        <f>IF('Pre-analyseverktøy'!Y58=0,"",'Pre-analyseverktøy'!Y58)</f>
        <v/>
      </c>
      <c r="Z58" s="433" t="str">
        <f>IF('Pre-analyseverktøy'!Z58=0,"",'Pre-analyseverktøy'!Z58)</f>
        <v/>
      </c>
      <c r="AA58" s="433" t="str">
        <f>IF('Pre-analyseverktøy'!AA58=0,"",'Pre-analyseverktøy'!AA58)</f>
        <v/>
      </c>
      <c r="AF58" s="13"/>
      <c r="AG58" s="13"/>
      <c r="AH58" s="13"/>
    </row>
    <row r="59" spans="1:34">
      <c r="A59" s="620">
        <v>50</v>
      </c>
      <c r="B59" s="911" t="s">
        <v>295</v>
      </c>
      <c r="C59" s="911"/>
      <c r="D59" s="932" t="str">
        <f>'Pre-analyseverktøy'!C59</f>
        <v>Hea 06</v>
      </c>
      <c r="E59" s="932" t="str">
        <f>'Pre-analyseverktøy'!E59</f>
        <v>1-5</v>
      </c>
      <c r="F59" s="933" t="str">
        <f>'Pre-analyseverktøy'!F59</f>
        <v>Inkluderende design</v>
      </c>
      <c r="G59" s="430">
        <f>'Pre-analyseverktøy'!G59</f>
        <v>1</v>
      </c>
      <c r="H59" s="436">
        <f>'Pre-analyseverktøy'!H59</f>
        <v>0</v>
      </c>
      <c r="I59" s="902">
        <f>'Pre-analyseverktøy'!I59</f>
        <v>0</v>
      </c>
      <c r="J59" s="432" t="str">
        <f>'Pre-analyseverktøy'!J59</f>
        <v>N/A</v>
      </c>
      <c r="K59" s="433" t="str">
        <f>IF('Pre-analyseverktøy'!K59=0,"",'Pre-analyseverktøy'!K59)</f>
        <v/>
      </c>
      <c r="L59" s="433" t="str">
        <f>IF('Pre-analyseverktøy'!L59=0,"",'Pre-analyseverktøy'!L59)</f>
        <v/>
      </c>
      <c r="M59" s="434" t="str">
        <f>IF('Pre-analyseverktøy'!M59=0,"",'Pre-analyseverktøy'!M59)</f>
        <v/>
      </c>
      <c r="N59" s="435">
        <f>'Pre-analyseverktøy'!N59</f>
        <v>0</v>
      </c>
      <c r="O59" s="436">
        <f>'Pre-analyseverktøy'!O59</f>
        <v>0</v>
      </c>
      <c r="P59" s="431">
        <f>'Pre-analyseverktøy'!P59</f>
        <v>0</v>
      </c>
      <c r="Q59" s="430" t="str">
        <f>'Pre-analyseverktøy'!Q59</f>
        <v>N/A</v>
      </c>
      <c r="R59" s="433" t="str">
        <f>IF('Pre-analyseverktøy'!R59=0,"",'Pre-analyseverktøy'!R59)</f>
        <v/>
      </c>
      <c r="S59" s="433" t="str">
        <f>IF('Pre-analyseverktøy'!S59=0,"",'Pre-analyseverktøy'!S59)</f>
        <v/>
      </c>
      <c r="T59" s="434" t="str">
        <f>IF('Pre-analyseverktøy'!T59=0,"",'Pre-analyseverktøy'!T59)</f>
        <v/>
      </c>
      <c r="U59" s="437"/>
      <c r="V59" s="436">
        <f>'Pre-analyseverktøy'!V59</f>
        <v>0</v>
      </c>
      <c r="W59" s="431">
        <f>'Pre-analyseverktøy'!W59</f>
        <v>0</v>
      </c>
      <c r="X59" s="430" t="str">
        <f>'Pre-analyseverktøy'!X59</f>
        <v>N/A</v>
      </c>
      <c r="Y59" s="433" t="str">
        <f>IF('Pre-analyseverktøy'!Y59=0,"",'Pre-analyseverktøy'!Y59)</f>
        <v/>
      </c>
      <c r="Z59" s="433" t="str">
        <f>IF('Pre-analyseverktøy'!Z59=0,"",'Pre-analyseverktøy'!Z59)</f>
        <v/>
      </c>
      <c r="AA59" s="433" t="str">
        <f>IF('Pre-analyseverktøy'!AA59=0,"",'Pre-analyseverktøy'!AA59)</f>
        <v/>
      </c>
      <c r="AF59" s="13"/>
      <c r="AG59" s="13"/>
      <c r="AH59" s="13"/>
    </row>
    <row r="60" spans="1:34">
      <c r="A60" s="620">
        <v>51</v>
      </c>
      <c r="B60" s="911" t="s">
        <v>295</v>
      </c>
      <c r="C60" s="911"/>
      <c r="D60" s="932" t="str">
        <f>'Pre-analyseverktøy'!C60</f>
        <v>Hea 06</v>
      </c>
      <c r="E60" s="932" t="str">
        <f>'Pre-analyseverktøy'!E60</f>
        <v>6-7</v>
      </c>
      <c r="F60" s="933" t="str">
        <f>'Pre-analyseverktøy'!F60</f>
        <v xml:space="preserve">Biofilisk design </v>
      </c>
      <c r="G60" s="430">
        <f>'Pre-analyseverktøy'!G60</f>
        <v>1</v>
      </c>
      <c r="H60" s="436">
        <f>'Pre-analyseverktøy'!H60</f>
        <v>0</v>
      </c>
      <c r="I60" s="902">
        <f>'Pre-analyseverktøy'!I60</f>
        <v>0</v>
      </c>
      <c r="J60" s="432" t="str">
        <f>'Pre-analyseverktøy'!J60</f>
        <v>N/A</v>
      </c>
      <c r="K60" s="433" t="str">
        <f>IF('Pre-analyseverktøy'!K60=0,"",'Pre-analyseverktøy'!K60)</f>
        <v/>
      </c>
      <c r="L60" s="433" t="str">
        <f>IF('Pre-analyseverktøy'!L60=0,"",'Pre-analyseverktøy'!L60)</f>
        <v/>
      </c>
      <c r="M60" s="434" t="str">
        <f>IF('Pre-analyseverktøy'!M60=0,"",'Pre-analyseverktøy'!M60)</f>
        <v/>
      </c>
      <c r="N60" s="435">
        <f>'Pre-analyseverktøy'!N60</f>
        <v>0</v>
      </c>
      <c r="O60" s="436">
        <f>'Pre-analyseverktøy'!O60</f>
        <v>0</v>
      </c>
      <c r="P60" s="431">
        <f>'Pre-analyseverktøy'!P60</f>
        <v>0</v>
      </c>
      <c r="Q60" s="430" t="str">
        <f>'Pre-analyseverktøy'!Q60</f>
        <v>N/A</v>
      </c>
      <c r="R60" s="433" t="str">
        <f>IF('Pre-analyseverktøy'!R60=0,"",'Pre-analyseverktøy'!R60)</f>
        <v/>
      </c>
      <c r="S60" s="433" t="str">
        <f>IF('Pre-analyseverktøy'!S60=0,"",'Pre-analyseverktøy'!S60)</f>
        <v/>
      </c>
      <c r="T60" s="434" t="str">
        <f>IF('Pre-analyseverktøy'!T60=0,"",'Pre-analyseverktøy'!T60)</f>
        <v/>
      </c>
      <c r="U60" s="437"/>
      <c r="V60" s="436">
        <f>'Pre-analyseverktøy'!V60</f>
        <v>0</v>
      </c>
      <c r="W60" s="431">
        <f>'Pre-analyseverktøy'!W60</f>
        <v>0</v>
      </c>
      <c r="X60" s="430" t="str">
        <f>'Pre-analyseverktøy'!X60</f>
        <v>N/A</v>
      </c>
      <c r="Y60" s="433" t="str">
        <f>IF('Pre-analyseverktøy'!Y60=0,"",'Pre-analyseverktøy'!Y60)</f>
        <v/>
      </c>
      <c r="Z60" s="433" t="str">
        <f>IF('Pre-analyseverktøy'!Z60=0,"",'Pre-analyseverktøy'!Z60)</f>
        <v/>
      </c>
      <c r="AA60" s="433" t="str">
        <f>IF('Pre-analyseverktøy'!AA60=0,"",'Pre-analyseverktøy'!AA60)</f>
        <v/>
      </c>
      <c r="AF60" s="13"/>
      <c r="AG60" s="13"/>
      <c r="AH60" s="13"/>
    </row>
    <row r="61" spans="1:34">
      <c r="A61" s="620">
        <v>52</v>
      </c>
      <c r="B61" s="911" t="s">
        <v>295</v>
      </c>
      <c r="C61" s="911"/>
      <c r="D61" s="931" t="str">
        <f>'Pre-analyseverktøy'!C61</f>
        <v>Hea 08</v>
      </c>
      <c r="E61" s="932"/>
      <c r="F61" s="931" t="str">
        <f>'Pre-analyseverktøy'!F61</f>
        <v>Hea 08 Privatområde</v>
      </c>
      <c r="G61" s="430">
        <f>'Pre-analyseverktøy'!G61</f>
        <v>0</v>
      </c>
      <c r="H61" s="436">
        <f>'Pre-analyseverktøy'!H61</f>
        <v>0</v>
      </c>
      <c r="I61" s="902">
        <f>'Pre-analyseverktøy'!I61</f>
        <v>0</v>
      </c>
      <c r="J61" s="432" t="str">
        <f>'Pre-analyseverktøy'!J61</f>
        <v>N/A</v>
      </c>
      <c r="K61" s="433" t="str">
        <f>IF('Pre-analyseverktøy'!K61=0,"",'Pre-analyseverktøy'!K61)</f>
        <v/>
      </c>
      <c r="L61" s="433" t="str">
        <f>IF('Pre-analyseverktøy'!L61=0,"",'Pre-analyseverktøy'!L61)</f>
        <v/>
      </c>
      <c r="M61" s="434" t="str">
        <f>IF('Pre-analyseverktøy'!M61=0,"",'Pre-analyseverktøy'!M61)</f>
        <v/>
      </c>
      <c r="N61" s="435">
        <f>'Pre-analyseverktøy'!N61</f>
        <v>0</v>
      </c>
      <c r="O61" s="436">
        <f>'Pre-analyseverktøy'!O61</f>
        <v>0</v>
      </c>
      <c r="P61" s="431">
        <f>'Pre-analyseverktøy'!P61</f>
        <v>0</v>
      </c>
      <c r="Q61" s="430" t="str">
        <f>'Pre-analyseverktøy'!Q61</f>
        <v>N/A</v>
      </c>
      <c r="R61" s="433" t="str">
        <f>IF('Pre-analyseverktøy'!R61=0,"",'Pre-analyseverktøy'!R61)</f>
        <v/>
      </c>
      <c r="S61" s="433" t="str">
        <f>IF('Pre-analyseverktøy'!S61=0,"",'Pre-analyseverktøy'!S61)</f>
        <v/>
      </c>
      <c r="T61" s="434" t="str">
        <f>IF('Pre-analyseverktøy'!T61=0,"",'Pre-analyseverktøy'!T61)</f>
        <v/>
      </c>
      <c r="U61" s="437"/>
      <c r="V61" s="436">
        <f>'Pre-analyseverktøy'!V61</f>
        <v>0</v>
      </c>
      <c r="W61" s="431">
        <f>'Pre-analyseverktøy'!W61</f>
        <v>0</v>
      </c>
      <c r="X61" s="430" t="str">
        <f>'Pre-analyseverktøy'!X61</f>
        <v>N/A</v>
      </c>
      <c r="Y61" s="433" t="str">
        <f>IF('Pre-analyseverktøy'!Y61=0,"",'Pre-analyseverktøy'!Y61)</f>
        <v/>
      </c>
      <c r="Z61" s="433" t="str">
        <f>IF('Pre-analyseverktøy'!Z61=0,"",'Pre-analyseverktøy'!Z61)</f>
        <v/>
      </c>
      <c r="AA61" s="433" t="str">
        <f>IF('Pre-analyseverktøy'!AA61=0,"",'Pre-analyseverktøy'!AA61)</f>
        <v/>
      </c>
      <c r="AF61" s="13"/>
      <c r="AG61" s="13"/>
      <c r="AH61" s="13"/>
    </row>
    <row r="62" spans="1:34">
      <c r="A62" s="620">
        <v>53</v>
      </c>
      <c r="B62" s="911" t="s">
        <v>295</v>
      </c>
      <c r="C62" s="911"/>
      <c r="D62" s="932" t="str">
        <f>'Pre-analyseverktøy'!C62</f>
        <v>Hea 08</v>
      </c>
      <c r="E62" s="932">
        <f>'Pre-analyseverktøy'!E62</f>
        <v>1</v>
      </c>
      <c r="F62" s="933" t="str">
        <f>'Pre-analyseverktøy'!F62</f>
        <v>Private uteoppholdsarealer</v>
      </c>
      <c r="G62" s="430">
        <f>'Pre-analyseverktøy'!G62</f>
        <v>0</v>
      </c>
      <c r="H62" s="436">
        <f>'Pre-analyseverktøy'!H62</f>
        <v>0</v>
      </c>
      <c r="I62" s="902">
        <f>'Pre-analyseverktøy'!I62</f>
        <v>0</v>
      </c>
      <c r="J62" s="432" t="str">
        <f>'Pre-analyseverktøy'!J62</f>
        <v>N/A</v>
      </c>
      <c r="K62" s="433" t="str">
        <f>IF('Pre-analyseverktøy'!K62=0,"",'Pre-analyseverktøy'!K62)</f>
        <v/>
      </c>
      <c r="L62" s="433" t="str">
        <f>IF('Pre-analyseverktøy'!L62=0,"",'Pre-analyseverktøy'!L62)</f>
        <v/>
      </c>
      <c r="M62" s="434" t="str">
        <f>IF('Pre-analyseverktøy'!M62=0,"",'Pre-analyseverktøy'!M62)</f>
        <v/>
      </c>
      <c r="N62" s="435">
        <f>'Pre-analyseverktøy'!N62</f>
        <v>0</v>
      </c>
      <c r="O62" s="436">
        <f>'Pre-analyseverktøy'!O62</f>
        <v>0</v>
      </c>
      <c r="P62" s="431">
        <f>'Pre-analyseverktøy'!P62</f>
        <v>0</v>
      </c>
      <c r="Q62" s="430" t="str">
        <f>'Pre-analyseverktøy'!Q62</f>
        <v>N/A</v>
      </c>
      <c r="R62" s="433" t="str">
        <f>IF('Pre-analyseverktøy'!R62=0,"",'Pre-analyseverktøy'!R62)</f>
        <v/>
      </c>
      <c r="S62" s="433" t="str">
        <f>IF('Pre-analyseverktøy'!S62=0,"",'Pre-analyseverktøy'!S62)</f>
        <v/>
      </c>
      <c r="T62" s="434" t="str">
        <f>IF('Pre-analyseverktøy'!T62=0,"",'Pre-analyseverktøy'!T62)</f>
        <v/>
      </c>
      <c r="U62" s="437"/>
      <c r="V62" s="436">
        <f>'Pre-analyseverktøy'!V62</f>
        <v>0</v>
      </c>
      <c r="W62" s="431">
        <f>'Pre-analyseverktøy'!W62</f>
        <v>0</v>
      </c>
      <c r="X62" s="430" t="str">
        <f>'Pre-analyseverktøy'!X62</f>
        <v>N/A</v>
      </c>
      <c r="Y62" s="433" t="str">
        <f>IF('Pre-analyseverktøy'!Y62=0,"",'Pre-analyseverktøy'!Y62)</f>
        <v/>
      </c>
      <c r="Z62" s="433" t="str">
        <f>IF('Pre-analyseverktøy'!Z62=0,"",'Pre-analyseverktøy'!Z62)</f>
        <v/>
      </c>
      <c r="AA62" s="433" t="str">
        <f>IF('Pre-analyseverktøy'!AA62=0,"",'Pre-analyseverktøy'!AA62)</f>
        <v/>
      </c>
      <c r="AF62" s="13"/>
      <c r="AG62" s="13"/>
      <c r="AH62" s="13"/>
    </row>
    <row r="63" spans="1:34" ht="30" customHeight="1" thickBot="1">
      <c r="A63" s="620">
        <v>54</v>
      </c>
      <c r="B63" s="911" t="s">
        <v>295</v>
      </c>
      <c r="C63" s="911"/>
      <c r="D63" s="934"/>
      <c r="E63" s="934"/>
      <c r="F63" s="934" t="str">
        <f>'Pre-analyseverktøy'!F63</f>
        <v>Totalsum Helse og innemiljø</v>
      </c>
      <c r="G63" s="438">
        <f>'Pre-analyseverktøy'!G63</f>
        <v>19</v>
      </c>
      <c r="H63" s="440">
        <f>'Pre-analyseverktøy'!H63</f>
        <v>0</v>
      </c>
      <c r="I63" s="439">
        <f>'Pre-analyseverktøy'!I63</f>
        <v>0</v>
      </c>
      <c r="J63" s="438" t="str">
        <f>'Pre-analyseverktøy'!J63</f>
        <v>Poeng oppnådd: 0</v>
      </c>
      <c r="K63" s="884" t="str">
        <f>IF('Pre-analyseverktøy'!K63=0,"",'Pre-analyseverktøy'!K63)</f>
        <v/>
      </c>
      <c r="L63" s="884" t="str">
        <f>IF('Pre-analyseverktøy'!L63=0,"",'Pre-analyseverktøy'!L63)</f>
        <v/>
      </c>
      <c r="M63" s="903" t="str">
        <f>IF('Pre-analyseverktøy'!M63=0,"",'Pre-analyseverktøy'!M63)</f>
        <v/>
      </c>
      <c r="N63" s="904">
        <f>'Pre-analyseverktøy'!N63</f>
        <v>0</v>
      </c>
      <c r="O63" s="440">
        <f>'Pre-analyseverktøy'!O63</f>
        <v>0</v>
      </c>
      <c r="P63" s="439">
        <f>'Pre-analyseverktøy'!P63</f>
        <v>0</v>
      </c>
      <c r="Q63" s="438" t="str">
        <f>'Pre-analyseverktøy'!Q63</f>
        <v>Poeng oppnådd: 0</v>
      </c>
      <c r="R63" s="884" t="str">
        <f>IF('Pre-analyseverktøy'!R63=0,"",'Pre-analyseverktøy'!R63)</f>
        <v/>
      </c>
      <c r="S63" s="884" t="str">
        <f>IF('Pre-analyseverktøy'!S63=0,"",'Pre-analyseverktøy'!S63)</f>
        <v/>
      </c>
      <c r="T63" s="903" t="str">
        <f>IF('Pre-analyseverktøy'!T63=0,"",'Pre-analyseverktøy'!T63)</f>
        <v/>
      </c>
      <c r="U63" s="905"/>
      <c r="V63" s="440">
        <f>'Pre-analyseverktøy'!V63</f>
        <v>0</v>
      </c>
      <c r="W63" s="439">
        <f>'Pre-analyseverktøy'!W63</f>
        <v>0</v>
      </c>
      <c r="X63" s="438" t="str">
        <f>'Pre-analyseverktøy'!X63</f>
        <v>Poeng oppnådd: 0</v>
      </c>
      <c r="Y63" s="884" t="str">
        <f>IF('Pre-analyseverktøy'!Y63=0,"",'Pre-analyseverktøy'!Y63)</f>
        <v/>
      </c>
      <c r="Z63" s="884" t="str">
        <f>IF('Pre-analyseverktøy'!Z63=0,"",'Pre-analyseverktøy'!Z63)</f>
        <v/>
      </c>
      <c r="AA63" s="884" t="str">
        <f>IF('Pre-analyseverktøy'!AA63=0,"",'Pre-analyseverktøy'!AA63)</f>
        <v/>
      </c>
    </row>
    <row r="64" spans="1:34">
      <c r="A64" s="620">
        <v>55</v>
      </c>
      <c r="B64" s="911" t="s">
        <v>295</v>
      </c>
      <c r="C64" s="911"/>
      <c r="D64" s="441"/>
      <c r="E64" s="441"/>
      <c r="F64" s="441"/>
      <c r="G64" s="442"/>
      <c r="H64" s="442"/>
      <c r="I64" s="442"/>
      <c r="J64" s="442"/>
      <c r="K64" s="441" t="str">
        <f>IF('Pre-analyseverktøy'!K64=0,"",'Pre-analyseverktøy'!K64)</f>
        <v/>
      </c>
      <c r="L64" s="442" t="str">
        <f>IF('Pre-analyseverktøy'!L64=0,"",'Pre-analyseverktøy'!L64)</f>
        <v/>
      </c>
      <c r="M64" s="441" t="str">
        <f>IF('Pre-analyseverktøy'!M64=0,"",'Pre-analyseverktøy'!M64)</f>
        <v/>
      </c>
      <c r="N64" s="435"/>
      <c r="O64" s="442"/>
      <c r="P64" s="442"/>
      <c r="Q64" s="442"/>
      <c r="R64" s="441" t="str">
        <f>IF('Pre-analyseverktøy'!R64=0,"",'Pre-analyseverktøy'!R64)</f>
        <v/>
      </c>
      <c r="S64" s="442" t="str">
        <f>IF('Pre-analyseverktøy'!S64=0,"",'Pre-analyseverktøy'!S64)</f>
        <v/>
      </c>
      <c r="T64" s="441" t="str">
        <f>IF('Pre-analyseverktøy'!T64=0,"",'Pre-analyseverktøy'!T64)</f>
        <v/>
      </c>
      <c r="U64" s="437"/>
      <c r="V64" s="442"/>
      <c r="W64" s="442"/>
      <c r="X64" s="442"/>
      <c r="Y64" s="441" t="str">
        <f>IF('Pre-analyseverktøy'!Y64=0,"",'Pre-analyseverktøy'!Y64)</f>
        <v/>
      </c>
      <c r="Z64" s="442" t="str">
        <f>IF('Pre-analyseverktøy'!Z64=0,"",'Pre-analyseverktøy'!Z64)</f>
        <v/>
      </c>
      <c r="AA64" s="441" t="str">
        <f>IF('Pre-analyseverktøy'!AA64=0,"",'Pre-analyseverktøy'!AA64)</f>
        <v/>
      </c>
    </row>
    <row r="65" spans="1:27" ht="18.75">
      <c r="A65" s="620">
        <v>56</v>
      </c>
      <c r="B65" s="911" t="s">
        <v>349</v>
      </c>
      <c r="C65" s="911"/>
      <c r="D65" s="443"/>
      <c r="E65" s="443"/>
      <c r="F65" s="443" t="s">
        <v>349</v>
      </c>
      <c r="G65" s="426"/>
      <c r="H65" s="426"/>
      <c r="I65" s="426"/>
      <c r="J65" s="426"/>
      <c r="K65" s="427" t="str">
        <f>IF('Pre-analyseverktøy'!K65=0,"",'Pre-analyseverktøy'!K65)</f>
        <v/>
      </c>
      <c r="L65" s="426" t="str">
        <f>IF('Pre-analyseverktøy'!L65=0,"",'Pre-analyseverktøy'!L65)</f>
        <v/>
      </c>
      <c r="M65" s="427" t="str">
        <f>IF('Pre-analyseverktøy'!M65=0,"",'Pre-analyseverktøy'!M65)</f>
        <v/>
      </c>
      <c r="N65" s="435"/>
      <c r="O65" s="426"/>
      <c r="P65" s="426"/>
      <c r="Q65" s="426"/>
      <c r="R65" s="427" t="str">
        <f>IF('Pre-analyseverktøy'!R65=0,"",'Pre-analyseverktøy'!R65)</f>
        <v/>
      </c>
      <c r="S65" s="426" t="str">
        <f>IF('Pre-analyseverktøy'!S65=0,"",'Pre-analyseverktøy'!S65)</f>
        <v/>
      </c>
      <c r="T65" s="427" t="str">
        <f>IF('Pre-analyseverktøy'!T65=0,"",'Pre-analyseverktøy'!T65)</f>
        <v/>
      </c>
      <c r="U65" s="437"/>
      <c r="V65" s="426"/>
      <c r="W65" s="426"/>
      <c r="X65" s="426"/>
      <c r="Y65" s="427" t="str">
        <f>IF('Pre-analyseverktøy'!Y65=0,"",'Pre-analyseverktøy'!Y65)</f>
        <v/>
      </c>
      <c r="Z65" s="426" t="str">
        <f>IF('Pre-analyseverktøy'!Z65=0,"",'Pre-analyseverktøy'!Z65)</f>
        <v/>
      </c>
      <c r="AA65" s="514" t="str">
        <f>IF('Pre-analyseverktøy'!AA65=0,"",'Pre-analyseverktøy'!AA65)</f>
        <v/>
      </c>
    </row>
    <row r="66" spans="1:27">
      <c r="A66" s="620">
        <v>57</v>
      </c>
      <c r="B66" s="911" t="s">
        <v>349</v>
      </c>
      <c r="C66" s="911"/>
      <c r="D66" s="931" t="str">
        <f>'Pre-analyseverktøy'!C66</f>
        <v>Ene 01</v>
      </c>
      <c r="E66" s="932"/>
      <c r="F66" s="931" t="str">
        <f>'Pre-analyseverktøy'!F66</f>
        <v>Ene 01 Bygningens energiytelse</v>
      </c>
      <c r="G66" s="430">
        <f>'Pre-analyseverktøy'!G66</f>
        <v>12</v>
      </c>
      <c r="H66" s="436">
        <f>'Pre-analyseverktøy'!H66</f>
        <v>0</v>
      </c>
      <c r="I66" s="902" t="str">
        <f>'Pre-analyseverktøy'!I66</f>
        <v>0 c. 0 %</v>
      </c>
      <c r="J66" s="432" t="str">
        <f>'Pre-analyseverktøy'!J66</f>
        <v>N/A</v>
      </c>
      <c r="K66" s="433" t="str">
        <f>IF('Pre-analyseverktøy'!K66=0,"",'Pre-analyseverktøy'!K66)</f>
        <v/>
      </c>
      <c r="L66" s="433" t="str">
        <f>IF('Pre-analyseverktøy'!L66=0,"",'Pre-analyseverktøy'!L66)</f>
        <v/>
      </c>
      <c r="M66" s="434" t="str">
        <f>IF('Pre-analyseverktøy'!M66=0,"",'Pre-analyseverktøy'!M66)</f>
        <v/>
      </c>
      <c r="N66" s="435">
        <f>'Pre-analyseverktøy'!N66</f>
        <v>0</v>
      </c>
      <c r="O66" s="436">
        <f>'Pre-analyseverktøy'!O66</f>
        <v>0</v>
      </c>
      <c r="P66" s="431" t="str">
        <f>'Pre-analyseverktøy'!P66</f>
        <v>0 c. 0 %</v>
      </c>
      <c r="Q66" s="430" t="str">
        <f>'Pre-analyseverktøy'!Q66</f>
        <v>N/A</v>
      </c>
      <c r="R66" s="433" t="str">
        <f>IF('Pre-analyseverktøy'!R66=0,"",'Pre-analyseverktøy'!R66)</f>
        <v/>
      </c>
      <c r="S66" s="433" t="str">
        <f>IF('Pre-analyseverktøy'!S66=0,"",'Pre-analyseverktøy'!S66)</f>
        <v/>
      </c>
      <c r="T66" s="434" t="str">
        <f>IF('Pre-analyseverktøy'!T66=0,"",'Pre-analyseverktøy'!T66)</f>
        <v/>
      </c>
      <c r="U66" s="437"/>
      <c r="V66" s="436">
        <f>'Pre-analyseverktøy'!V66</f>
        <v>0</v>
      </c>
      <c r="W66" s="431" t="str">
        <f>'Pre-analyseverktøy'!W66</f>
        <v>0 c. 0 %</v>
      </c>
      <c r="X66" s="430" t="str">
        <f>'Pre-analyseverktøy'!X66</f>
        <v>N/A</v>
      </c>
      <c r="Y66" s="433" t="str">
        <f>IF('Pre-analyseverktøy'!Y66=0,"",'Pre-analyseverktøy'!Y66)</f>
        <v/>
      </c>
      <c r="Z66" s="433" t="str">
        <f>IF('Pre-analyseverktøy'!Z66=0,"",'Pre-analyseverktøy'!Z66)</f>
        <v/>
      </c>
      <c r="AA66" s="433" t="str">
        <f>IF('Pre-analyseverktøy'!AA66=0,"",'Pre-analyseverktøy'!AA66)</f>
        <v/>
      </c>
    </row>
    <row r="67" spans="1:27">
      <c r="A67" s="620">
        <v>58</v>
      </c>
      <c r="B67" s="911" t="s">
        <v>349</v>
      </c>
      <c r="C67" s="911"/>
      <c r="D67" s="932" t="str">
        <f>'Pre-analyseverktøy'!C67</f>
        <v>Ene 01</v>
      </c>
      <c r="E67" s="932" t="str">
        <f>'Pre-analyseverktøy'!E67</f>
        <v>1-4</v>
      </c>
      <c r="F67" s="933" t="str">
        <f>'Pre-analyseverktøy'!F67</f>
        <v xml:space="preserve">Passivdesign </v>
      </c>
      <c r="G67" s="430">
        <f>'Pre-analyseverktøy'!G67</f>
        <v>2</v>
      </c>
      <c r="H67" s="436">
        <f>'Pre-analyseverktøy'!H67</f>
        <v>0</v>
      </c>
      <c r="I67" s="902">
        <f>'Pre-analyseverktøy'!I67</f>
        <v>0</v>
      </c>
      <c r="J67" s="432" t="str">
        <f>'Pre-analyseverktøy'!J67</f>
        <v>N/A</v>
      </c>
      <c r="K67" s="433" t="str">
        <f>IF('Pre-analyseverktøy'!K67=0,"",'Pre-analyseverktøy'!K67)</f>
        <v/>
      </c>
      <c r="L67" s="433" t="str">
        <f>IF('Pre-analyseverktøy'!L67=0,"",'Pre-analyseverktøy'!L67)</f>
        <v/>
      </c>
      <c r="M67" s="434" t="str">
        <f>IF('Pre-analyseverktøy'!M67=0,"",'Pre-analyseverktøy'!M67)</f>
        <v/>
      </c>
      <c r="N67" s="435">
        <f>'Pre-analyseverktøy'!N67</f>
        <v>0</v>
      </c>
      <c r="O67" s="436">
        <f>'Pre-analyseverktøy'!O67</f>
        <v>0</v>
      </c>
      <c r="P67" s="431">
        <f>'Pre-analyseverktøy'!P67</f>
        <v>0</v>
      </c>
      <c r="Q67" s="430" t="str">
        <f>'Pre-analyseverktøy'!Q67</f>
        <v>N/A</v>
      </c>
      <c r="R67" s="433" t="str">
        <f>IF('Pre-analyseverktøy'!R67=0,"",'Pre-analyseverktøy'!R67)</f>
        <v/>
      </c>
      <c r="S67" s="433" t="str">
        <f>IF('Pre-analyseverktøy'!S67=0,"",'Pre-analyseverktøy'!S67)</f>
        <v/>
      </c>
      <c r="T67" s="434" t="str">
        <f>IF('Pre-analyseverktøy'!T67=0,"",'Pre-analyseverktøy'!T67)</f>
        <v/>
      </c>
      <c r="U67" s="437"/>
      <c r="V67" s="436">
        <f>'Pre-analyseverktøy'!V67</f>
        <v>0</v>
      </c>
      <c r="W67" s="431">
        <f>'Pre-analyseverktøy'!W67</f>
        <v>0</v>
      </c>
      <c r="X67" s="430" t="str">
        <f>'Pre-analyseverktøy'!X67</f>
        <v>N/A</v>
      </c>
      <c r="Y67" s="433" t="str">
        <f>IF('Pre-analyseverktøy'!Y67=0,"",'Pre-analyseverktøy'!Y67)</f>
        <v/>
      </c>
      <c r="Z67" s="433" t="str">
        <f>IF('Pre-analyseverktøy'!Z67=0,"",'Pre-analyseverktøy'!Z67)</f>
        <v/>
      </c>
      <c r="AA67" s="433" t="str">
        <f>IF('Pre-analyseverktøy'!AA67=0,"",'Pre-analyseverktøy'!AA67)</f>
        <v/>
      </c>
    </row>
    <row r="68" spans="1:27">
      <c r="A68" s="620">
        <v>59</v>
      </c>
      <c r="B68" s="911" t="s">
        <v>349</v>
      </c>
      <c r="C68" s="911"/>
      <c r="D68" s="932" t="str">
        <f>'Pre-analyseverktøy'!C68</f>
        <v>Ene 01</v>
      </c>
      <c r="E68" s="932" t="str">
        <f>'Pre-analyseverktøy'!E68</f>
        <v>5-8</v>
      </c>
      <c r="F68" s="933" t="str">
        <f>'Pre-analyseverktøy'!F68</f>
        <v>Energiforsyning med lavt klimagassutslipp</v>
      </c>
      <c r="G68" s="430">
        <f>'Pre-analyseverktøy'!G68</f>
        <v>1</v>
      </c>
      <c r="H68" s="436">
        <f>'Pre-analyseverktøy'!H68</f>
        <v>0</v>
      </c>
      <c r="I68" s="902">
        <f>'Pre-analyseverktøy'!I68</f>
        <v>0</v>
      </c>
      <c r="J68" s="432" t="str">
        <f>'Pre-analyseverktøy'!J68</f>
        <v>N/A</v>
      </c>
      <c r="K68" s="433" t="str">
        <f>IF('Pre-analyseverktøy'!K68=0,"",'Pre-analyseverktøy'!K68)</f>
        <v/>
      </c>
      <c r="L68" s="433" t="str">
        <f>IF('Pre-analyseverktøy'!L68=0,"",'Pre-analyseverktøy'!L68)</f>
        <v/>
      </c>
      <c r="M68" s="434" t="str">
        <f>IF('Pre-analyseverktøy'!M68=0,"",'Pre-analyseverktøy'!M68)</f>
        <v/>
      </c>
      <c r="N68" s="435">
        <f>'Pre-analyseverktøy'!N68</f>
        <v>0</v>
      </c>
      <c r="O68" s="436">
        <f>'Pre-analyseverktøy'!O68</f>
        <v>0</v>
      </c>
      <c r="P68" s="431">
        <f>'Pre-analyseverktøy'!P68</f>
        <v>0</v>
      </c>
      <c r="Q68" s="430" t="str">
        <f>'Pre-analyseverktøy'!Q68</f>
        <v>N/A</v>
      </c>
      <c r="R68" s="433" t="str">
        <f>IF('Pre-analyseverktøy'!R68=0,"",'Pre-analyseverktøy'!R68)</f>
        <v/>
      </c>
      <c r="S68" s="433" t="str">
        <f>IF('Pre-analyseverktøy'!S68=0,"",'Pre-analyseverktøy'!S68)</f>
        <v/>
      </c>
      <c r="T68" s="434" t="str">
        <f>IF('Pre-analyseverktøy'!T68=0,"",'Pre-analyseverktøy'!T68)</f>
        <v/>
      </c>
      <c r="U68" s="437"/>
      <c r="V68" s="436">
        <f>'Pre-analyseverktøy'!V68</f>
        <v>0</v>
      </c>
      <c r="W68" s="431">
        <f>'Pre-analyseverktøy'!W68</f>
        <v>0</v>
      </c>
      <c r="X68" s="430" t="str">
        <f>'Pre-analyseverktøy'!X68</f>
        <v>N/A</v>
      </c>
      <c r="Y68" s="433" t="str">
        <f>IF('Pre-analyseverktøy'!Y68=0,"",'Pre-analyseverktøy'!Y68)</f>
        <v/>
      </c>
      <c r="Z68" s="433" t="str">
        <f>IF('Pre-analyseverktøy'!Z68=0,"",'Pre-analyseverktøy'!Z68)</f>
        <v/>
      </c>
      <c r="AA68" s="433" t="str">
        <f>IF('Pre-analyseverktøy'!AA68=0,"",'Pre-analyseverktøy'!AA68)</f>
        <v/>
      </c>
    </row>
    <row r="69" spans="1:27">
      <c r="A69" s="620">
        <v>60</v>
      </c>
      <c r="B69" s="911" t="s">
        <v>349</v>
      </c>
      <c r="C69" s="911"/>
      <c r="D69" s="932" t="str">
        <f>'Pre-analyseverktøy'!C69</f>
        <v>Ene 01</v>
      </c>
      <c r="E69" s="932" t="str">
        <f>'Pre-analyseverktøy'!E69</f>
        <v>9-10</v>
      </c>
      <c r="F69" s="933" t="str">
        <f>'Pre-analyseverktøy'!F69</f>
        <v>Energiytelse</v>
      </c>
      <c r="G69" s="430">
        <f>'Pre-analyseverktøy'!G69</f>
        <v>4</v>
      </c>
      <c r="H69" s="436">
        <f>'Pre-analyseverktøy'!H69</f>
        <v>0</v>
      </c>
      <c r="I69" s="902">
        <f>'Pre-analyseverktøy'!I69</f>
        <v>0</v>
      </c>
      <c r="J69" s="432" t="str">
        <f>'Pre-analyseverktøy'!J69</f>
        <v>Very Good</v>
      </c>
      <c r="K69" s="433" t="str">
        <f>IF('Pre-analyseverktøy'!K69=0,"",'Pre-analyseverktøy'!K69)</f>
        <v/>
      </c>
      <c r="L69" s="433" t="str">
        <f>IF('Pre-analyseverktøy'!L69=0,"",'Pre-analyseverktøy'!L69)</f>
        <v/>
      </c>
      <c r="M69" s="434" t="str">
        <f>IF('Pre-analyseverktøy'!M69=0,"",'Pre-analyseverktøy'!M69)</f>
        <v/>
      </c>
      <c r="N69" s="435">
        <f>'Pre-analyseverktøy'!N69</f>
        <v>0</v>
      </c>
      <c r="O69" s="436">
        <f>'Pre-analyseverktøy'!O69</f>
        <v>0</v>
      </c>
      <c r="P69" s="431">
        <f>'Pre-analyseverktøy'!P69</f>
        <v>0</v>
      </c>
      <c r="Q69" s="430" t="str">
        <f>'Pre-analyseverktøy'!Q69</f>
        <v>Very Good</v>
      </c>
      <c r="R69" s="433" t="str">
        <f>IF('Pre-analyseverktøy'!R69=0,"",'Pre-analyseverktøy'!R69)</f>
        <v/>
      </c>
      <c r="S69" s="433" t="str">
        <f>IF('Pre-analyseverktøy'!S69=0,"",'Pre-analyseverktøy'!S69)</f>
        <v/>
      </c>
      <c r="T69" s="434" t="str">
        <f>IF('Pre-analyseverktøy'!T69=0,"",'Pre-analyseverktøy'!T69)</f>
        <v/>
      </c>
      <c r="U69" s="437"/>
      <c r="V69" s="436">
        <f>'Pre-analyseverktøy'!V69</f>
        <v>0</v>
      </c>
      <c r="W69" s="431">
        <f>'Pre-analyseverktøy'!W69</f>
        <v>0</v>
      </c>
      <c r="X69" s="430" t="str">
        <f>'Pre-analyseverktøy'!X69</f>
        <v>Very Good</v>
      </c>
      <c r="Y69" s="433" t="str">
        <f>IF('Pre-analyseverktøy'!Y69=0,"",'Pre-analyseverktøy'!Y69)</f>
        <v/>
      </c>
      <c r="Z69" s="433" t="str">
        <f>IF('Pre-analyseverktøy'!Z69=0,"",'Pre-analyseverktøy'!Z69)</f>
        <v/>
      </c>
      <c r="AA69" s="433" t="str">
        <f>IF('Pre-analyseverktøy'!AA69=0,"",'Pre-analyseverktøy'!AA69)</f>
        <v/>
      </c>
    </row>
    <row r="70" spans="1:27">
      <c r="A70" s="620">
        <v>61</v>
      </c>
      <c r="B70" s="911" t="s">
        <v>349</v>
      </c>
      <c r="C70" s="911"/>
      <c r="D70" s="932" t="str">
        <f>'Pre-analyseverktøy'!C70</f>
        <v>Ene 01</v>
      </c>
      <c r="E70" s="932" t="str">
        <f>'Pre-analyseverktøy'!E70</f>
        <v>11-12</v>
      </c>
      <c r="F70" s="935" t="str">
        <f>'Pre-analyseverktøy'!F70</f>
        <v>EU taksonomi: krit. 9 og 10 - Energiytelse</v>
      </c>
      <c r="G70" s="430" t="str">
        <f>'Pre-analyseverktøy'!G70</f>
        <v>Yes/No</v>
      </c>
      <c r="H70" s="436">
        <f>'Pre-analyseverktøy'!H70</f>
        <v>0</v>
      </c>
      <c r="I70" s="902" t="str">
        <f>'Pre-analyseverktøy'!I70</f>
        <v>-</v>
      </c>
      <c r="J70" s="432" t="str">
        <f>'Pre-analyseverktøy'!J70</f>
        <v>N/A</v>
      </c>
      <c r="K70" s="433" t="str">
        <f>IF('Pre-analyseverktøy'!K70=0,"",'Pre-analyseverktøy'!K70)</f>
        <v/>
      </c>
      <c r="L70" s="433" t="str">
        <f>IF('Pre-analyseverktøy'!L70=0,"",'Pre-analyseverktøy'!L70)</f>
        <v/>
      </c>
      <c r="M70" s="434" t="str">
        <f>IF('Pre-analyseverktøy'!M70=0,"",'Pre-analyseverktøy'!M70)</f>
        <v/>
      </c>
      <c r="N70" s="435">
        <f>'Pre-analyseverktøy'!N70</f>
        <v>0</v>
      </c>
      <c r="O70" s="436">
        <f>'Pre-analyseverktøy'!O70</f>
        <v>0</v>
      </c>
      <c r="P70" s="431" t="str">
        <f>'Pre-analyseverktøy'!P70</f>
        <v>-</v>
      </c>
      <c r="Q70" s="430" t="str">
        <f>'Pre-analyseverktøy'!Q70</f>
        <v>N/A</v>
      </c>
      <c r="R70" s="433" t="str">
        <f>IF('Pre-analyseverktøy'!R70=0,"",'Pre-analyseverktøy'!R70)</f>
        <v/>
      </c>
      <c r="S70" s="433" t="str">
        <f>IF('Pre-analyseverktøy'!S70=0,"",'Pre-analyseverktøy'!S70)</f>
        <v/>
      </c>
      <c r="T70" s="434" t="str">
        <f>IF('Pre-analyseverktøy'!T70=0,"",'Pre-analyseverktøy'!T70)</f>
        <v/>
      </c>
      <c r="U70" s="437"/>
      <c r="V70" s="436">
        <f>'Pre-analyseverktøy'!V70</f>
        <v>0</v>
      </c>
      <c r="W70" s="431" t="str">
        <f>'Pre-analyseverktøy'!W70</f>
        <v>-</v>
      </c>
      <c r="X70" s="430" t="str">
        <f>'Pre-analyseverktøy'!X70</f>
        <v>N/A</v>
      </c>
      <c r="Y70" s="433" t="str">
        <f>IF('Pre-analyseverktøy'!Y70=0,"",'Pre-analyseverktøy'!Y70)</f>
        <v/>
      </c>
      <c r="Z70" s="433" t="str">
        <f>IF('Pre-analyseverktøy'!Z70=0,"",'Pre-analyseverktøy'!Z70)</f>
        <v/>
      </c>
      <c r="AA70" s="433" t="str">
        <f>IF('Pre-analyseverktøy'!AA70=0,"",'Pre-analyseverktøy'!AA70)</f>
        <v/>
      </c>
    </row>
    <row r="71" spans="1:27">
      <c r="A71" s="620">
        <v>62</v>
      </c>
      <c r="B71" s="911" t="s">
        <v>349</v>
      </c>
      <c r="C71" s="911"/>
      <c r="D71" s="932" t="str">
        <f>'Pre-analyseverktøy'!C71</f>
        <v>Ene 01</v>
      </c>
      <c r="E71" s="932" t="str">
        <f>'Pre-analyseverktøy'!E71</f>
        <v>11-12</v>
      </c>
      <c r="F71" s="933" t="str">
        <f>'Pre-analyseverktøy'!F71</f>
        <v>Tilpasning til EUs taksonomi (EU taksonomi: krit. 12)</v>
      </c>
      <c r="G71" s="430">
        <f>'Pre-analyseverktøy'!G71</f>
        <v>1</v>
      </c>
      <c r="H71" s="436">
        <f>'Pre-analyseverktøy'!H71</f>
        <v>0</v>
      </c>
      <c r="I71" s="902">
        <f>'Pre-analyseverktøy'!I71</f>
        <v>0</v>
      </c>
      <c r="J71" s="432" t="str">
        <f>'Pre-analyseverktøy'!J71</f>
        <v>Very Good</v>
      </c>
      <c r="K71" s="433" t="str">
        <f>IF('Pre-analyseverktøy'!K71=0,"",'Pre-analyseverktøy'!K71)</f>
        <v/>
      </c>
      <c r="L71" s="433" t="str">
        <f>IF('Pre-analyseverktøy'!L71=0,"",'Pre-analyseverktøy'!L71)</f>
        <v/>
      </c>
      <c r="M71" s="434" t="str">
        <f>IF('Pre-analyseverktøy'!M71=0,"",'Pre-analyseverktøy'!M71)</f>
        <v/>
      </c>
      <c r="N71" s="435">
        <f>'Pre-analyseverktøy'!N71</f>
        <v>0</v>
      </c>
      <c r="O71" s="436">
        <f>'Pre-analyseverktøy'!O71</f>
        <v>0</v>
      </c>
      <c r="P71" s="431">
        <f>'Pre-analyseverktøy'!P71</f>
        <v>0</v>
      </c>
      <c r="Q71" s="430" t="str">
        <f>'Pre-analyseverktøy'!Q71</f>
        <v>Very Good</v>
      </c>
      <c r="R71" s="433" t="str">
        <f>IF('Pre-analyseverktøy'!R71=0,"",'Pre-analyseverktøy'!R71)</f>
        <v/>
      </c>
      <c r="S71" s="433" t="str">
        <f>IF('Pre-analyseverktøy'!S71=0,"",'Pre-analyseverktøy'!S71)</f>
        <v/>
      </c>
      <c r="T71" s="434" t="str">
        <f>IF('Pre-analyseverktøy'!T71=0,"",'Pre-analyseverktøy'!T71)</f>
        <v/>
      </c>
      <c r="U71" s="437"/>
      <c r="V71" s="436">
        <f>'Pre-analyseverktøy'!V71</f>
        <v>0</v>
      </c>
      <c r="W71" s="431">
        <f>'Pre-analyseverktøy'!W71</f>
        <v>0</v>
      </c>
      <c r="X71" s="430" t="str">
        <f>'Pre-analyseverktøy'!X71</f>
        <v>Very Good</v>
      </c>
      <c r="Y71" s="433" t="str">
        <f>IF('Pre-analyseverktøy'!Y71=0,"",'Pre-analyseverktøy'!Y71)</f>
        <v/>
      </c>
      <c r="Z71" s="433" t="str">
        <f>IF('Pre-analyseverktøy'!Z71=0,"",'Pre-analyseverktøy'!Z71)</f>
        <v/>
      </c>
      <c r="AA71" s="433" t="str">
        <f>IF('Pre-analyseverktøy'!AA71=0,"",'Pre-analyseverktøy'!AA71)</f>
        <v/>
      </c>
    </row>
    <row r="72" spans="1:27">
      <c r="A72" s="620">
        <v>63</v>
      </c>
      <c r="B72" s="911" t="s">
        <v>349</v>
      </c>
      <c r="C72" s="911"/>
      <c r="D72" s="932" t="str">
        <f>'Pre-analyseverktøy'!C72</f>
        <v>Ene 01</v>
      </c>
      <c r="E72" s="932" t="str">
        <f>'Pre-analyseverktøy'!E72</f>
        <v>13-16</v>
      </c>
      <c r="F72" s="933" t="str">
        <f>'Pre-analyseverktøy'!F72</f>
        <v>Forespeiling av reelt energibudsjett</v>
      </c>
      <c r="G72" s="430">
        <f>'Pre-analyseverktøy'!G72</f>
        <v>4</v>
      </c>
      <c r="H72" s="436">
        <f>'Pre-analyseverktøy'!H72</f>
        <v>0</v>
      </c>
      <c r="I72" s="902">
        <f>'Pre-analyseverktøy'!I72</f>
        <v>0</v>
      </c>
      <c r="J72" s="432" t="str">
        <f>'Pre-analyseverktøy'!J72</f>
        <v>N/A</v>
      </c>
      <c r="K72" s="433" t="str">
        <f>IF('Pre-analyseverktøy'!K72=0,"",'Pre-analyseverktøy'!K72)</f>
        <v/>
      </c>
      <c r="L72" s="433" t="str">
        <f>IF('Pre-analyseverktøy'!L72=0,"",'Pre-analyseverktøy'!L72)</f>
        <v/>
      </c>
      <c r="M72" s="434" t="str">
        <f>IF('Pre-analyseverktøy'!M72=0,"",'Pre-analyseverktøy'!M72)</f>
        <v/>
      </c>
      <c r="N72" s="435">
        <f>'Pre-analyseverktøy'!N72</f>
        <v>0</v>
      </c>
      <c r="O72" s="436">
        <f>'Pre-analyseverktøy'!O72</f>
        <v>0</v>
      </c>
      <c r="P72" s="431">
        <f>'Pre-analyseverktøy'!P72</f>
        <v>0</v>
      </c>
      <c r="Q72" s="430" t="str">
        <f>'Pre-analyseverktøy'!Q72</f>
        <v>N/A</v>
      </c>
      <c r="R72" s="433" t="str">
        <f>IF('Pre-analyseverktøy'!R72=0,"",'Pre-analyseverktøy'!R72)</f>
        <v/>
      </c>
      <c r="S72" s="433" t="str">
        <f>IF('Pre-analyseverktøy'!S72=0,"",'Pre-analyseverktøy'!S72)</f>
        <v/>
      </c>
      <c r="T72" s="434" t="str">
        <f>IF('Pre-analyseverktøy'!T72=0,"",'Pre-analyseverktøy'!T72)</f>
        <v/>
      </c>
      <c r="U72" s="437"/>
      <c r="V72" s="436">
        <f>'Pre-analyseverktøy'!V72</f>
        <v>0</v>
      </c>
      <c r="W72" s="431">
        <f>'Pre-analyseverktøy'!W72</f>
        <v>0</v>
      </c>
      <c r="X72" s="430" t="str">
        <f>'Pre-analyseverktøy'!X72</f>
        <v>N/A</v>
      </c>
      <c r="Y72" s="433" t="str">
        <f>IF('Pre-analyseverktøy'!Y72=0,"",'Pre-analyseverktøy'!Y72)</f>
        <v/>
      </c>
      <c r="Z72" s="433" t="str">
        <f>IF('Pre-analyseverktøy'!Z72=0,"",'Pre-analyseverktøy'!Z72)</f>
        <v/>
      </c>
      <c r="AA72" s="433" t="str">
        <f>IF('Pre-analyseverktøy'!AA72=0,"",'Pre-analyseverktøy'!AA72)</f>
        <v/>
      </c>
    </row>
    <row r="73" spans="1:27">
      <c r="A73" s="620">
        <v>64</v>
      </c>
      <c r="B73" s="911" t="s">
        <v>349</v>
      </c>
      <c r="C73" s="911"/>
      <c r="D73" s="931" t="str">
        <f>'Pre-analyseverktøy'!C73</f>
        <v>Ene 02</v>
      </c>
      <c r="E73" s="932"/>
      <c r="F73" s="931" t="str">
        <f>'Pre-analyseverktøy'!F73</f>
        <v>Ene 02 Energimåling</v>
      </c>
      <c r="G73" s="430">
        <f>'Pre-analyseverktøy'!G73</f>
        <v>2</v>
      </c>
      <c r="H73" s="436">
        <f>'Pre-analyseverktøy'!H73</f>
        <v>0</v>
      </c>
      <c r="I73" s="902" t="str">
        <f>'Pre-analyseverktøy'!I73</f>
        <v>0 c. 0 %</v>
      </c>
      <c r="J73" s="432" t="str">
        <f>'Pre-analyseverktøy'!J73</f>
        <v>N/A</v>
      </c>
      <c r="K73" s="433" t="str">
        <f>IF('Pre-analyseverktøy'!K73=0,"",'Pre-analyseverktøy'!K73)</f>
        <v/>
      </c>
      <c r="L73" s="433" t="str">
        <f>IF('Pre-analyseverktøy'!L73=0,"",'Pre-analyseverktøy'!L73)</f>
        <v/>
      </c>
      <c r="M73" s="434" t="str">
        <f>IF('Pre-analyseverktøy'!M73=0,"",'Pre-analyseverktøy'!M73)</f>
        <v/>
      </c>
      <c r="N73" s="435">
        <f>'Pre-analyseverktøy'!N73</f>
        <v>0</v>
      </c>
      <c r="O73" s="436">
        <f>'Pre-analyseverktøy'!O73</f>
        <v>0</v>
      </c>
      <c r="P73" s="431" t="str">
        <f>'Pre-analyseverktøy'!P73</f>
        <v>0 c. 0 %</v>
      </c>
      <c r="Q73" s="430" t="str">
        <f>'Pre-analyseverktøy'!Q73</f>
        <v>N/A</v>
      </c>
      <c r="R73" s="433" t="str">
        <f>IF('Pre-analyseverktøy'!R73=0,"",'Pre-analyseverktøy'!R73)</f>
        <v/>
      </c>
      <c r="S73" s="433" t="str">
        <f>IF('Pre-analyseverktøy'!S73=0,"",'Pre-analyseverktøy'!S73)</f>
        <v/>
      </c>
      <c r="T73" s="434" t="str">
        <f>IF('Pre-analyseverktøy'!T73=0,"",'Pre-analyseverktøy'!T73)</f>
        <v/>
      </c>
      <c r="U73" s="437"/>
      <c r="V73" s="436">
        <f>'Pre-analyseverktøy'!V73</f>
        <v>0</v>
      </c>
      <c r="W73" s="431" t="str">
        <f>'Pre-analyseverktøy'!W73</f>
        <v>0 c. 0 %</v>
      </c>
      <c r="X73" s="430" t="str">
        <f>'Pre-analyseverktøy'!X73</f>
        <v>N/A</v>
      </c>
      <c r="Y73" s="433" t="str">
        <f>IF('Pre-analyseverktøy'!Y73=0,"",'Pre-analyseverktøy'!Y73)</f>
        <v/>
      </c>
      <c r="Z73" s="433" t="str">
        <f>IF('Pre-analyseverktøy'!Z73=0,"",'Pre-analyseverktøy'!Z73)</f>
        <v/>
      </c>
      <c r="AA73" s="433" t="str">
        <f>IF('Pre-analyseverktøy'!AA73=0,"",'Pre-analyseverktøy'!AA73)</f>
        <v/>
      </c>
    </row>
    <row r="74" spans="1:27">
      <c r="A74" s="620">
        <v>65</v>
      </c>
      <c r="B74" s="911" t="s">
        <v>349</v>
      </c>
      <c r="C74" s="911"/>
      <c r="D74" s="932" t="str">
        <f>'Pre-analyseverktøy'!C74</f>
        <v>Ene 02</v>
      </c>
      <c r="E74" s="932" t="str">
        <f>'Pre-analyseverktøy'!E74</f>
        <v>1-4</v>
      </c>
      <c r="F74" s="933" t="str">
        <f>'Pre-analyseverktøy'!F74</f>
        <v>Formålsdeling</v>
      </c>
      <c r="G74" s="430">
        <f>'Pre-analyseverktøy'!G74</f>
        <v>1</v>
      </c>
      <c r="H74" s="436">
        <f>'Pre-analyseverktøy'!H74</f>
        <v>0</v>
      </c>
      <c r="I74" s="902">
        <f>'Pre-analyseverktøy'!I74</f>
        <v>0</v>
      </c>
      <c r="J74" s="432" t="str">
        <f>'Pre-analyseverktøy'!J74</f>
        <v>N/A</v>
      </c>
      <c r="K74" s="433" t="str">
        <f>IF('Pre-analyseverktøy'!K74=0,"",'Pre-analyseverktøy'!K74)</f>
        <v/>
      </c>
      <c r="L74" s="433" t="str">
        <f>IF('Pre-analyseverktøy'!L74=0,"",'Pre-analyseverktøy'!L74)</f>
        <v/>
      </c>
      <c r="M74" s="434" t="str">
        <f>IF('Pre-analyseverktøy'!M74=0,"",'Pre-analyseverktøy'!M74)</f>
        <v/>
      </c>
      <c r="N74" s="435">
        <f>'Pre-analyseverktøy'!N74</f>
        <v>0</v>
      </c>
      <c r="O74" s="436">
        <f>'Pre-analyseverktøy'!O74</f>
        <v>0</v>
      </c>
      <c r="P74" s="431">
        <f>'Pre-analyseverktøy'!P74</f>
        <v>0</v>
      </c>
      <c r="Q74" s="430" t="str">
        <f>'Pre-analyseverktøy'!Q74</f>
        <v>N/A</v>
      </c>
      <c r="R74" s="433" t="str">
        <f>IF('Pre-analyseverktøy'!R74=0,"",'Pre-analyseverktøy'!R74)</f>
        <v/>
      </c>
      <c r="S74" s="433" t="str">
        <f>IF('Pre-analyseverktøy'!S74=0,"",'Pre-analyseverktøy'!S74)</f>
        <v/>
      </c>
      <c r="T74" s="434" t="str">
        <f>IF('Pre-analyseverktøy'!T74=0,"",'Pre-analyseverktøy'!T74)</f>
        <v/>
      </c>
      <c r="U74" s="437"/>
      <c r="V74" s="436">
        <f>'Pre-analyseverktøy'!V74</f>
        <v>0</v>
      </c>
      <c r="W74" s="431">
        <f>'Pre-analyseverktøy'!W74</f>
        <v>0</v>
      </c>
      <c r="X74" s="430" t="str">
        <f>'Pre-analyseverktøy'!X74</f>
        <v>N/A</v>
      </c>
      <c r="Y74" s="433" t="str">
        <f>IF('Pre-analyseverktøy'!Y74=0,"",'Pre-analyseverktøy'!Y74)</f>
        <v/>
      </c>
      <c r="Z74" s="433" t="str">
        <f>IF('Pre-analyseverktøy'!Z74=0,"",'Pre-analyseverktøy'!Z74)</f>
        <v/>
      </c>
      <c r="AA74" s="433" t="str">
        <f>IF('Pre-analyseverktøy'!AA74=0,"",'Pre-analyseverktøy'!AA74)</f>
        <v/>
      </c>
    </row>
    <row r="75" spans="1:27">
      <c r="A75" s="620">
        <v>66</v>
      </c>
      <c r="B75" s="911" t="s">
        <v>349</v>
      </c>
      <c r="C75" s="911"/>
      <c r="D75" s="932" t="str">
        <f>'Pre-analyseverktøy'!C75</f>
        <v>Ene 02</v>
      </c>
      <c r="E75" s="932" t="str">
        <f>'Pre-analyseverktøy'!E75</f>
        <v>5-6</v>
      </c>
      <c r="F75" s="933" t="str">
        <f>'Pre-analyseverktøy'!F75</f>
        <v>Delmåling av store energiposter og leietakerareal</v>
      </c>
      <c r="G75" s="430">
        <f>'Pre-analyseverktøy'!G75</f>
        <v>1</v>
      </c>
      <c r="H75" s="436">
        <f>'Pre-analyseverktøy'!H75</f>
        <v>0</v>
      </c>
      <c r="I75" s="902">
        <f>'Pre-analyseverktøy'!I75</f>
        <v>0</v>
      </c>
      <c r="J75" s="432" t="str">
        <f>'Pre-analyseverktøy'!J75</f>
        <v>N/A</v>
      </c>
      <c r="K75" s="433" t="str">
        <f>IF('Pre-analyseverktøy'!K75=0,"",'Pre-analyseverktøy'!K75)</f>
        <v/>
      </c>
      <c r="L75" s="433" t="str">
        <f>IF('Pre-analyseverktøy'!L75=0,"",'Pre-analyseverktøy'!L75)</f>
        <v/>
      </c>
      <c r="M75" s="434" t="str">
        <f>IF('Pre-analyseverktøy'!M75=0,"",'Pre-analyseverktøy'!M75)</f>
        <v/>
      </c>
      <c r="N75" s="435">
        <f>'Pre-analyseverktøy'!N75</f>
        <v>0</v>
      </c>
      <c r="O75" s="436">
        <f>'Pre-analyseverktøy'!O75</f>
        <v>0</v>
      </c>
      <c r="P75" s="431">
        <f>'Pre-analyseverktøy'!P75</f>
        <v>0</v>
      </c>
      <c r="Q75" s="430" t="str">
        <f>'Pre-analyseverktøy'!Q75</f>
        <v>N/A</v>
      </c>
      <c r="R75" s="433" t="str">
        <f>IF('Pre-analyseverktøy'!R75=0,"",'Pre-analyseverktøy'!R75)</f>
        <v/>
      </c>
      <c r="S75" s="433" t="str">
        <f>IF('Pre-analyseverktøy'!S75=0,"",'Pre-analyseverktøy'!S75)</f>
        <v/>
      </c>
      <c r="T75" s="434" t="str">
        <f>IF('Pre-analyseverktøy'!T75=0,"",'Pre-analyseverktøy'!T75)</f>
        <v/>
      </c>
      <c r="U75" s="437"/>
      <c r="V75" s="436">
        <f>'Pre-analyseverktøy'!V75</f>
        <v>0</v>
      </c>
      <c r="W75" s="431">
        <f>'Pre-analyseverktøy'!W75</f>
        <v>0</v>
      </c>
      <c r="X75" s="430" t="str">
        <f>'Pre-analyseverktøy'!X75</f>
        <v>N/A</v>
      </c>
      <c r="Y75" s="433" t="str">
        <f>IF('Pre-analyseverktøy'!Y75=0,"",'Pre-analyseverktøy'!Y75)</f>
        <v/>
      </c>
      <c r="Z75" s="433" t="str">
        <f>IF('Pre-analyseverktøy'!Z75=0,"",'Pre-analyseverktøy'!Z75)</f>
        <v/>
      </c>
      <c r="AA75" s="433" t="str">
        <f>IF('Pre-analyseverktøy'!AA75=0,"",'Pre-analyseverktøy'!AA75)</f>
        <v/>
      </c>
    </row>
    <row r="76" spans="1:27">
      <c r="A76" s="620">
        <v>67</v>
      </c>
      <c r="B76" s="911" t="s">
        <v>349</v>
      </c>
      <c r="C76" s="911"/>
      <c r="D76" s="932" t="str">
        <f>'Pre-analyseverktøy'!C76</f>
        <v>Ene 02</v>
      </c>
      <c r="E76" s="932">
        <f>'Pre-analyseverktøy'!E76</f>
        <v>7</v>
      </c>
      <c r="F76" s="933" t="str">
        <f>'Pre-analyseverktøy'!F76</f>
        <v>Delmåling av energi i boliger</v>
      </c>
      <c r="G76" s="430">
        <f>'Pre-analyseverktøy'!G76</f>
        <v>0</v>
      </c>
      <c r="H76" s="436">
        <f>'Pre-analyseverktøy'!H76</f>
        <v>0</v>
      </c>
      <c r="I76" s="902">
        <f>'Pre-analyseverktøy'!I76</f>
        <v>0</v>
      </c>
      <c r="J76" s="432" t="str">
        <f>'Pre-analyseverktøy'!J76</f>
        <v>N/A</v>
      </c>
      <c r="K76" s="433" t="str">
        <f>IF('Pre-analyseverktøy'!K76=0,"",'Pre-analyseverktøy'!K76)</f>
        <v/>
      </c>
      <c r="L76" s="433" t="str">
        <f>IF('Pre-analyseverktøy'!L76=0,"",'Pre-analyseverktøy'!L76)</f>
        <v/>
      </c>
      <c r="M76" s="434" t="str">
        <f>IF('Pre-analyseverktøy'!M76=0,"",'Pre-analyseverktøy'!M76)</f>
        <v/>
      </c>
      <c r="N76" s="435">
        <f>'Pre-analyseverktøy'!N76</f>
        <v>0</v>
      </c>
      <c r="O76" s="436">
        <f>'Pre-analyseverktøy'!O76</f>
        <v>0</v>
      </c>
      <c r="P76" s="431">
        <f>'Pre-analyseverktøy'!P76</f>
        <v>0</v>
      </c>
      <c r="Q76" s="430" t="str">
        <f>'Pre-analyseverktøy'!Q76</f>
        <v>N/A</v>
      </c>
      <c r="R76" s="433" t="str">
        <f>IF('Pre-analyseverktøy'!R76=0,"",'Pre-analyseverktøy'!R76)</f>
        <v/>
      </c>
      <c r="S76" s="433" t="str">
        <f>IF('Pre-analyseverktøy'!S76=0,"",'Pre-analyseverktøy'!S76)</f>
        <v/>
      </c>
      <c r="T76" s="434" t="str">
        <f>IF('Pre-analyseverktøy'!T76=0,"",'Pre-analyseverktøy'!T76)</f>
        <v/>
      </c>
      <c r="U76" s="437"/>
      <c r="V76" s="436">
        <f>'Pre-analyseverktøy'!V76</f>
        <v>0</v>
      </c>
      <c r="W76" s="431">
        <f>'Pre-analyseverktøy'!W76</f>
        <v>0</v>
      </c>
      <c r="X76" s="430" t="str">
        <f>'Pre-analyseverktøy'!X76</f>
        <v>N/A</v>
      </c>
      <c r="Y76" s="433" t="str">
        <f>IF('Pre-analyseverktøy'!Y76=0,"",'Pre-analyseverktøy'!Y76)</f>
        <v/>
      </c>
      <c r="Z76" s="433" t="str">
        <f>IF('Pre-analyseverktøy'!Z76=0,"",'Pre-analyseverktøy'!Z76)</f>
        <v/>
      </c>
      <c r="AA76" s="433" t="str">
        <f>IF('Pre-analyseverktøy'!AA76=0,"",'Pre-analyseverktøy'!AA76)</f>
        <v/>
      </c>
    </row>
    <row r="77" spans="1:27">
      <c r="A77" s="620">
        <v>68</v>
      </c>
      <c r="B77" s="911" t="s">
        <v>349</v>
      </c>
      <c r="C77" s="911"/>
      <c r="D77" s="931" t="str">
        <f>'Pre-analyseverktøy'!C77</f>
        <v>Ene 03</v>
      </c>
      <c r="E77" s="932"/>
      <c r="F77" s="931" t="str">
        <f>'Pre-analyseverktøy'!F77</f>
        <v>Ene 03 Utebelysning</v>
      </c>
      <c r="G77" s="430">
        <f>'Pre-analyseverktøy'!G77</f>
        <v>1</v>
      </c>
      <c r="H77" s="436">
        <f>'Pre-analyseverktøy'!H77</f>
        <v>0</v>
      </c>
      <c r="I77" s="902" t="str">
        <f>'Pre-analyseverktøy'!I77</f>
        <v>0 c. 0 %</v>
      </c>
      <c r="J77" s="432" t="str">
        <f>'Pre-analyseverktøy'!J77</f>
        <v>N/A</v>
      </c>
      <c r="K77" s="433" t="str">
        <f>IF('Pre-analyseverktøy'!K77=0,"",'Pre-analyseverktøy'!K77)</f>
        <v/>
      </c>
      <c r="L77" s="433" t="str">
        <f>IF('Pre-analyseverktøy'!L77=0,"",'Pre-analyseverktøy'!L77)</f>
        <v/>
      </c>
      <c r="M77" s="434" t="str">
        <f>IF('Pre-analyseverktøy'!M77=0,"",'Pre-analyseverktøy'!M77)</f>
        <v/>
      </c>
      <c r="N77" s="435">
        <f>'Pre-analyseverktøy'!N77</f>
        <v>0</v>
      </c>
      <c r="O77" s="436">
        <f>'Pre-analyseverktøy'!O77</f>
        <v>0</v>
      </c>
      <c r="P77" s="431" t="str">
        <f>'Pre-analyseverktøy'!P77</f>
        <v>0 c. 0 %</v>
      </c>
      <c r="Q77" s="430" t="str">
        <f>'Pre-analyseverktøy'!Q77</f>
        <v>N/A</v>
      </c>
      <c r="R77" s="433" t="str">
        <f>IF('Pre-analyseverktøy'!R77=0,"",'Pre-analyseverktøy'!R77)</f>
        <v/>
      </c>
      <c r="S77" s="433" t="str">
        <f>IF('Pre-analyseverktøy'!S77=0,"",'Pre-analyseverktøy'!S77)</f>
        <v/>
      </c>
      <c r="T77" s="434" t="str">
        <f>IF('Pre-analyseverktøy'!T77=0,"",'Pre-analyseverktøy'!T77)</f>
        <v/>
      </c>
      <c r="U77" s="437"/>
      <c r="V77" s="436">
        <f>'Pre-analyseverktøy'!V77</f>
        <v>0</v>
      </c>
      <c r="W77" s="431" t="str">
        <f>'Pre-analyseverktøy'!W77</f>
        <v>0 c. 0 %</v>
      </c>
      <c r="X77" s="430" t="str">
        <f>'Pre-analyseverktøy'!X77</f>
        <v>N/A</v>
      </c>
      <c r="Y77" s="433" t="str">
        <f>IF('Pre-analyseverktøy'!Y77=0,"",'Pre-analyseverktøy'!Y77)</f>
        <v/>
      </c>
      <c r="Z77" s="433" t="str">
        <f>IF('Pre-analyseverktøy'!Z77=0,"",'Pre-analyseverktøy'!Z77)</f>
        <v/>
      </c>
      <c r="AA77" s="433" t="str">
        <f>IF('Pre-analyseverktøy'!AA77=0,"",'Pre-analyseverktøy'!AA77)</f>
        <v/>
      </c>
    </row>
    <row r="78" spans="1:27">
      <c r="A78" s="620">
        <v>69</v>
      </c>
      <c r="B78" s="911" t="s">
        <v>349</v>
      </c>
      <c r="C78" s="911"/>
      <c r="D78" s="932" t="str">
        <f>'Pre-analyseverktøy'!C78</f>
        <v>Ene 03</v>
      </c>
      <c r="E78" s="932">
        <f>'Pre-analyseverktøy'!E78</f>
        <v>1</v>
      </c>
      <c r="F78" s="933" t="str">
        <f>'Pre-analyseverktøy'!F78</f>
        <v>Ingen utendørs belysning</v>
      </c>
      <c r="G78" s="430">
        <f>'Pre-analyseverktøy'!G78</f>
        <v>0</v>
      </c>
      <c r="H78" s="436">
        <f>'Pre-analyseverktøy'!H78</f>
        <v>0</v>
      </c>
      <c r="I78" s="902">
        <f>'Pre-analyseverktøy'!I78</f>
        <v>0</v>
      </c>
      <c r="J78" s="432" t="str">
        <f>'Pre-analyseverktøy'!J78</f>
        <v>N/A</v>
      </c>
      <c r="K78" s="433" t="str">
        <f>IF('Pre-analyseverktøy'!K78=0,"",'Pre-analyseverktøy'!K78)</f>
        <v/>
      </c>
      <c r="L78" s="433" t="str">
        <f>IF('Pre-analyseverktøy'!L78=0,"",'Pre-analyseverktøy'!L78)</f>
        <v/>
      </c>
      <c r="M78" s="434" t="str">
        <f>IF('Pre-analyseverktøy'!M78=0,"",'Pre-analyseverktøy'!M78)</f>
        <v/>
      </c>
      <c r="N78" s="435">
        <f>'Pre-analyseverktøy'!N78</f>
        <v>0</v>
      </c>
      <c r="O78" s="436">
        <f>'Pre-analyseverktøy'!O78</f>
        <v>0</v>
      </c>
      <c r="P78" s="431">
        <f>'Pre-analyseverktøy'!P78</f>
        <v>0</v>
      </c>
      <c r="Q78" s="430" t="str">
        <f>'Pre-analyseverktøy'!Q78</f>
        <v>N/A</v>
      </c>
      <c r="R78" s="433" t="str">
        <f>IF('Pre-analyseverktøy'!R78=0,"",'Pre-analyseverktøy'!R78)</f>
        <v/>
      </c>
      <c r="S78" s="433" t="str">
        <f>IF('Pre-analyseverktøy'!S78=0,"",'Pre-analyseverktøy'!S78)</f>
        <v/>
      </c>
      <c r="T78" s="434" t="str">
        <f>IF('Pre-analyseverktøy'!T78=0,"",'Pre-analyseverktøy'!T78)</f>
        <v/>
      </c>
      <c r="U78" s="437"/>
      <c r="V78" s="436">
        <f>'Pre-analyseverktøy'!V78</f>
        <v>0</v>
      </c>
      <c r="W78" s="431">
        <f>'Pre-analyseverktøy'!W78</f>
        <v>0</v>
      </c>
      <c r="X78" s="430" t="str">
        <f>'Pre-analyseverktøy'!X78</f>
        <v>N/A</v>
      </c>
      <c r="Y78" s="433" t="str">
        <f>IF('Pre-analyseverktøy'!Y78=0,"",'Pre-analyseverktøy'!Y78)</f>
        <v/>
      </c>
      <c r="Z78" s="433" t="str">
        <f>IF('Pre-analyseverktøy'!Z78=0,"",'Pre-analyseverktøy'!Z78)</f>
        <v/>
      </c>
      <c r="AA78" s="433" t="str">
        <f>IF('Pre-analyseverktøy'!AA78=0,"",'Pre-analyseverktøy'!AA78)</f>
        <v/>
      </c>
    </row>
    <row r="79" spans="1:27">
      <c r="A79" s="620">
        <v>70</v>
      </c>
      <c r="B79" s="911" t="s">
        <v>349</v>
      </c>
      <c r="C79" s="911"/>
      <c r="D79" s="932" t="str">
        <f>'Pre-analyseverktøy'!C79</f>
        <v>Ene 03</v>
      </c>
      <c r="E79" s="932">
        <f>'Pre-analyseverktøy'!E79</f>
        <v>2</v>
      </c>
      <c r="F79" s="933" t="str">
        <f>'Pre-analyseverktøy'!F79</f>
        <v>Utendørs belysning</v>
      </c>
      <c r="G79" s="430">
        <f>'Pre-analyseverktøy'!G79</f>
        <v>1</v>
      </c>
      <c r="H79" s="436">
        <f>'Pre-analyseverktøy'!H79</f>
        <v>0</v>
      </c>
      <c r="I79" s="902">
        <f>'Pre-analyseverktøy'!I79</f>
        <v>0</v>
      </c>
      <c r="J79" s="432" t="str">
        <f>'Pre-analyseverktøy'!J79</f>
        <v>N/A</v>
      </c>
      <c r="K79" s="433" t="str">
        <f>IF('Pre-analyseverktøy'!K79=0,"",'Pre-analyseverktøy'!K79)</f>
        <v/>
      </c>
      <c r="L79" s="433" t="str">
        <f>IF('Pre-analyseverktøy'!L79=0,"",'Pre-analyseverktøy'!L79)</f>
        <v/>
      </c>
      <c r="M79" s="434" t="str">
        <f>IF('Pre-analyseverktøy'!M79=0,"",'Pre-analyseverktøy'!M79)</f>
        <v/>
      </c>
      <c r="N79" s="435">
        <f>'Pre-analyseverktøy'!N79</f>
        <v>0</v>
      </c>
      <c r="O79" s="436">
        <f>'Pre-analyseverktøy'!O79</f>
        <v>0</v>
      </c>
      <c r="P79" s="431">
        <f>'Pre-analyseverktøy'!P79</f>
        <v>0</v>
      </c>
      <c r="Q79" s="430" t="str">
        <f>'Pre-analyseverktøy'!Q79</f>
        <v>N/A</v>
      </c>
      <c r="R79" s="433" t="str">
        <f>IF('Pre-analyseverktøy'!R79=0,"",'Pre-analyseverktøy'!R79)</f>
        <v/>
      </c>
      <c r="S79" s="433" t="str">
        <f>IF('Pre-analyseverktøy'!S79=0,"",'Pre-analyseverktøy'!S79)</f>
        <v/>
      </c>
      <c r="T79" s="434" t="str">
        <f>IF('Pre-analyseverktøy'!T79=0,"",'Pre-analyseverktøy'!T79)</f>
        <v/>
      </c>
      <c r="U79" s="437"/>
      <c r="V79" s="436">
        <f>'Pre-analyseverktøy'!V79</f>
        <v>0</v>
      </c>
      <c r="W79" s="431">
        <f>'Pre-analyseverktøy'!W79</f>
        <v>0</v>
      </c>
      <c r="X79" s="430" t="str">
        <f>'Pre-analyseverktøy'!X79</f>
        <v>N/A</v>
      </c>
      <c r="Y79" s="433" t="str">
        <f>IF('Pre-analyseverktøy'!Y79=0,"",'Pre-analyseverktøy'!Y79)</f>
        <v/>
      </c>
      <c r="Z79" s="433" t="str">
        <f>IF('Pre-analyseverktøy'!Z79=0,"",'Pre-analyseverktøy'!Z79)</f>
        <v/>
      </c>
      <c r="AA79" s="433" t="str">
        <f>IF('Pre-analyseverktøy'!AA79=0,"",'Pre-analyseverktøy'!AA79)</f>
        <v/>
      </c>
    </row>
    <row r="80" spans="1:27">
      <c r="A80" s="620">
        <v>71</v>
      </c>
      <c r="B80" s="911" t="s">
        <v>349</v>
      </c>
      <c r="C80" s="911"/>
      <c r="D80" s="931" t="str">
        <f>'Pre-analyseverktøy'!C80</f>
        <v>Ene 05</v>
      </c>
      <c r="E80" s="932"/>
      <c r="F80" s="931" t="str">
        <f>'Pre-analyseverktøy'!F80</f>
        <v>Ene 05 Energieffektive kjøle- og fryserom</v>
      </c>
      <c r="G80" s="430">
        <f>'Pre-analyseverktøy'!G80</f>
        <v>2</v>
      </c>
      <c r="H80" s="436">
        <f>'Pre-analyseverktøy'!H80</f>
        <v>0</v>
      </c>
      <c r="I80" s="902" t="str">
        <f>'Pre-analyseverktøy'!I80</f>
        <v>0 c. 0 %</v>
      </c>
      <c r="J80" s="432" t="str">
        <f>'Pre-analyseverktøy'!J80</f>
        <v>N/A</v>
      </c>
      <c r="K80" s="433" t="str">
        <f>IF('Pre-analyseverktøy'!K80=0,"",'Pre-analyseverktøy'!K80)</f>
        <v/>
      </c>
      <c r="L80" s="433" t="str">
        <f>IF('Pre-analyseverktøy'!L80=0,"",'Pre-analyseverktøy'!L80)</f>
        <v/>
      </c>
      <c r="M80" s="434" t="str">
        <f>IF('Pre-analyseverktøy'!M80=0,"",'Pre-analyseverktøy'!M80)</f>
        <v/>
      </c>
      <c r="N80" s="435">
        <f>'Pre-analyseverktøy'!N80</f>
        <v>0</v>
      </c>
      <c r="O80" s="436">
        <f>'Pre-analyseverktøy'!O80</f>
        <v>0</v>
      </c>
      <c r="P80" s="431" t="str">
        <f>'Pre-analyseverktøy'!P80</f>
        <v>0 c. 0 %</v>
      </c>
      <c r="Q80" s="430" t="str">
        <f>'Pre-analyseverktøy'!Q80</f>
        <v>N/A</v>
      </c>
      <c r="R80" s="433" t="str">
        <f>IF('Pre-analyseverktøy'!R80=0,"",'Pre-analyseverktøy'!R80)</f>
        <v/>
      </c>
      <c r="S80" s="433" t="str">
        <f>IF('Pre-analyseverktøy'!S80=0,"",'Pre-analyseverktøy'!S80)</f>
        <v/>
      </c>
      <c r="T80" s="434" t="str">
        <f>IF('Pre-analyseverktøy'!T80=0,"",'Pre-analyseverktøy'!T80)</f>
        <v/>
      </c>
      <c r="U80" s="437"/>
      <c r="V80" s="436">
        <f>'Pre-analyseverktøy'!V80</f>
        <v>0</v>
      </c>
      <c r="W80" s="431" t="str">
        <f>'Pre-analyseverktøy'!W80</f>
        <v>0 c. 0 %</v>
      </c>
      <c r="X80" s="430" t="str">
        <f>'Pre-analyseverktøy'!X80</f>
        <v>N/A</v>
      </c>
      <c r="Y80" s="433" t="str">
        <f>IF('Pre-analyseverktøy'!Y80=0,"",'Pre-analyseverktøy'!Y80)</f>
        <v/>
      </c>
      <c r="Z80" s="433" t="str">
        <f>IF('Pre-analyseverktøy'!Z80=0,"",'Pre-analyseverktøy'!Z80)</f>
        <v/>
      </c>
      <c r="AA80" s="433" t="str">
        <f>IF('Pre-analyseverktøy'!AA80=0,"",'Pre-analyseverktøy'!AA80)</f>
        <v/>
      </c>
    </row>
    <row r="81" spans="1:27">
      <c r="A81" s="620">
        <v>72</v>
      </c>
      <c r="B81" s="911" t="s">
        <v>349</v>
      </c>
      <c r="C81" s="911"/>
      <c r="D81" s="932" t="str">
        <f>'Pre-analyseverktøy'!C81</f>
        <v>Ene 05</v>
      </c>
      <c r="E81" s="932" t="str">
        <f>'Pre-analyseverktøy'!E81</f>
        <v>1-2</v>
      </c>
      <c r="F81" s="933" t="str">
        <f>'Pre-analyseverktøy'!F81</f>
        <v>Utforming av energieffektivt kjøle- og fryserom</v>
      </c>
      <c r="G81" s="430">
        <f>'Pre-analyseverktøy'!G81</f>
        <v>1</v>
      </c>
      <c r="H81" s="436">
        <f>'Pre-analyseverktøy'!H81</f>
        <v>0</v>
      </c>
      <c r="I81" s="902">
        <f>'Pre-analyseverktøy'!I81</f>
        <v>0</v>
      </c>
      <c r="J81" s="432" t="str">
        <f>'Pre-analyseverktøy'!J81</f>
        <v>N/A</v>
      </c>
      <c r="K81" s="433" t="str">
        <f>IF('Pre-analyseverktøy'!K81=0,"",'Pre-analyseverktøy'!K81)</f>
        <v/>
      </c>
      <c r="L81" s="433" t="str">
        <f>IF('Pre-analyseverktøy'!L81=0,"",'Pre-analyseverktøy'!L81)</f>
        <v/>
      </c>
      <c r="M81" s="434" t="str">
        <f>IF('Pre-analyseverktøy'!M81=0,"",'Pre-analyseverktøy'!M81)</f>
        <v/>
      </c>
      <c r="N81" s="435">
        <f>'Pre-analyseverktøy'!N81</f>
        <v>0</v>
      </c>
      <c r="O81" s="436">
        <f>'Pre-analyseverktøy'!O81</f>
        <v>0</v>
      </c>
      <c r="P81" s="431">
        <f>'Pre-analyseverktøy'!P81</f>
        <v>0</v>
      </c>
      <c r="Q81" s="430" t="str">
        <f>'Pre-analyseverktøy'!Q81</f>
        <v>N/A</v>
      </c>
      <c r="R81" s="433" t="str">
        <f>IF('Pre-analyseverktøy'!R81=0,"",'Pre-analyseverktøy'!R81)</f>
        <v/>
      </c>
      <c r="S81" s="433" t="str">
        <f>IF('Pre-analyseverktøy'!S81=0,"",'Pre-analyseverktøy'!S81)</f>
        <v/>
      </c>
      <c r="T81" s="434" t="str">
        <f>IF('Pre-analyseverktøy'!T81=0,"",'Pre-analyseverktøy'!T81)</f>
        <v/>
      </c>
      <c r="U81" s="437"/>
      <c r="V81" s="436">
        <f>'Pre-analyseverktøy'!V81</f>
        <v>0</v>
      </c>
      <c r="W81" s="431">
        <f>'Pre-analyseverktøy'!W81</f>
        <v>0</v>
      </c>
      <c r="X81" s="430" t="str">
        <f>'Pre-analyseverktøy'!X81</f>
        <v>N/A</v>
      </c>
      <c r="Y81" s="433" t="str">
        <f>IF('Pre-analyseverktøy'!Y81=0,"",'Pre-analyseverktøy'!Y81)</f>
        <v/>
      </c>
      <c r="Z81" s="433" t="str">
        <f>IF('Pre-analyseverktøy'!Z81=0,"",'Pre-analyseverktøy'!Z81)</f>
        <v/>
      </c>
      <c r="AA81" s="433" t="str">
        <f>IF('Pre-analyseverktøy'!AA81=0,"",'Pre-analyseverktøy'!AA81)</f>
        <v/>
      </c>
    </row>
    <row r="82" spans="1:27">
      <c r="A82" s="620">
        <v>73</v>
      </c>
      <c r="B82" s="911" t="s">
        <v>349</v>
      </c>
      <c r="C82" s="911"/>
      <c r="D82" s="932" t="str">
        <f>'Pre-analyseverktøy'!C82</f>
        <v>Ene 05</v>
      </c>
      <c r="E82" s="932" t="str">
        <f>'Pre-analyseverktøy'!E82</f>
        <v>3-4</v>
      </c>
      <c r="F82" s="933" t="str">
        <f>'Pre-analyseverktøy'!F82</f>
        <v>Indirekte klimagassutslipp</v>
      </c>
      <c r="G82" s="430">
        <f>'Pre-analyseverktøy'!G82</f>
        <v>1</v>
      </c>
      <c r="H82" s="436">
        <f>'Pre-analyseverktøy'!H82</f>
        <v>0</v>
      </c>
      <c r="I82" s="902">
        <f>'Pre-analyseverktøy'!I82</f>
        <v>0</v>
      </c>
      <c r="J82" s="432" t="str">
        <f>'Pre-analyseverktøy'!J82</f>
        <v>N/A</v>
      </c>
      <c r="K82" s="433" t="str">
        <f>IF('Pre-analyseverktøy'!K82=0,"",'Pre-analyseverktøy'!K82)</f>
        <v/>
      </c>
      <c r="L82" s="433" t="str">
        <f>IF('Pre-analyseverktøy'!L82=0,"",'Pre-analyseverktøy'!L82)</f>
        <v/>
      </c>
      <c r="M82" s="434" t="str">
        <f>IF('Pre-analyseverktøy'!M82=0,"",'Pre-analyseverktøy'!M82)</f>
        <v/>
      </c>
      <c r="N82" s="435">
        <f>'Pre-analyseverktøy'!N82</f>
        <v>0</v>
      </c>
      <c r="O82" s="436">
        <f>'Pre-analyseverktøy'!O82</f>
        <v>0</v>
      </c>
      <c r="P82" s="431">
        <f>'Pre-analyseverktøy'!P82</f>
        <v>0</v>
      </c>
      <c r="Q82" s="430" t="str">
        <f>'Pre-analyseverktøy'!Q82</f>
        <v>N/A</v>
      </c>
      <c r="R82" s="433" t="str">
        <f>IF('Pre-analyseverktøy'!R82=0,"",'Pre-analyseverktøy'!R82)</f>
        <v/>
      </c>
      <c r="S82" s="433" t="str">
        <f>IF('Pre-analyseverktøy'!S82=0,"",'Pre-analyseverktøy'!S82)</f>
        <v/>
      </c>
      <c r="T82" s="434" t="str">
        <f>IF('Pre-analyseverktøy'!T82=0,"",'Pre-analyseverktøy'!T82)</f>
        <v/>
      </c>
      <c r="U82" s="437"/>
      <c r="V82" s="436">
        <f>'Pre-analyseverktøy'!V82</f>
        <v>0</v>
      </c>
      <c r="W82" s="431">
        <f>'Pre-analyseverktøy'!W82</f>
        <v>0</v>
      </c>
      <c r="X82" s="430" t="str">
        <f>'Pre-analyseverktøy'!X82</f>
        <v>N/A</v>
      </c>
      <c r="Y82" s="433" t="str">
        <f>IF('Pre-analyseverktøy'!Y82=0,"",'Pre-analyseverktøy'!Y82)</f>
        <v/>
      </c>
      <c r="Z82" s="433" t="str">
        <f>IF('Pre-analyseverktøy'!Z82=0,"",'Pre-analyseverktøy'!Z82)</f>
        <v/>
      </c>
      <c r="AA82" s="433" t="str">
        <f>IF('Pre-analyseverktøy'!AA82=0,"",'Pre-analyseverktøy'!AA82)</f>
        <v/>
      </c>
    </row>
    <row r="83" spans="1:27">
      <c r="A83" s="620">
        <v>74</v>
      </c>
      <c r="B83" s="911" t="s">
        <v>349</v>
      </c>
      <c r="C83" s="911"/>
      <c r="D83" s="931" t="str">
        <f>'Pre-analyseverktøy'!C83</f>
        <v>Ene 06</v>
      </c>
      <c r="E83" s="932"/>
      <c r="F83" s="931" t="str">
        <f>'Pre-analyseverktøy'!F83</f>
        <v>Ene 06 Energieffektive transportsystemer</v>
      </c>
      <c r="G83" s="430">
        <f>'Pre-analyseverktøy'!G83</f>
        <v>3</v>
      </c>
      <c r="H83" s="436">
        <f>'Pre-analyseverktøy'!H83</f>
        <v>0</v>
      </c>
      <c r="I83" s="902" t="str">
        <f>'Pre-analyseverktøy'!I83</f>
        <v>0 c. 0 %</v>
      </c>
      <c r="J83" s="432" t="str">
        <f>'Pre-analyseverktøy'!J83</f>
        <v>N/A</v>
      </c>
      <c r="K83" s="433" t="str">
        <f>IF('Pre-analyseverktøy'!K83=0,"",'Pre-analyseverktøy'!K83)</f>
        <v/>
      </c>
      <c r="L83" s="433" t="str">
        <f>IF('Pre-analyseverktøy'!L83=0,"",'Pre-analyseverktøy'!L83)</f>
        <v/>
      </c>
      <c r="M83" s="434" t="str">
        <f>IF('Pre-analyseverktøy'!M83=0,"",'Pre-analyseverktøy'!M83)</f>
        <v/>
      </c>
      <c r="N83" s="435">
        <f>'Pre-analyseverktøy'!N83</f>
        <v>0</v>
      </c>
      <c r="O83" s="436">
        <f>'Pre-analyseverktøy'!O83</f>
        <v>0</v>
      </c>
      <c r="P83" s="431" t="str">
        <f>'Pre-analyseverktøy'!P83</f>
        <v>0 c. 0 %</v>
      </c>
      <c r="Q83" s="430" t="str">
        <f>'Pre-analyseverktøy'!Q83</f>
        <v>N/A</v>
      </c>
      <c r="R83" s="433" t="str">
        <f>IF('Pre-analyseverktøy'!R83=0,"",'Pre-analyseverktøy'!R83)</f>
        <v/>
      </c>
      <c r="S83" s="433" t="str">
        <f>IF('Pre-analyseverktøy'!S83=0,"",'Pre-analyseverktøy'!S83)</f>
        <v/>
      </c>
      <c r="T83" s="434" t="str">
        <f>IF('Pre-analyseverktøy'!T83=0,"",'Pre-analyseverktøy'!T83)</f>
        <v/>
      </c>
      <c r="U83" s="437"/>
      <c r="V83" s="436">
        <f>'Pre-analyseverktøy'!V83</f>
        <v>0</v>
      </c>
      <c r="W83" s="431" t="str">
        <f>'Pre-analyseverktøy'!W83</f>
        <v>0 c. 0 %</v>
      </c>
      <c r="X83" s="430" t="str">
        <f>'Pre-analyseverktøy'!X83</f>
        <v>N/A</v>
      </c>
      <c r="Y83" s="433" t="str">
        <f>IF('Pre-analyseverktøy'!Y83=0,"",'Pre-analyseverktøy'!Y83)</f>
        <v/>
      </c>
      <c r="Z83" s="433" t="str">
        <f>IF('Pre-analyseverktøy'!Z83=0,"",'Pre-analyseverktøy'!Z83)</f>
        <v/>
      </c>
      <c r="AA83" s="433" t="str">
        <f>IF('Pre-analyseverktøy'!AA83=0,"",'Pre-analyseverktøy'!AA83)</f>
        <v/>
      </c>
    </row>
    <row r="84" spans="1:27">
      <c r="A84" s="620">
        <v>75</v>
      </c>
      <c r="B84" s="911" t="s">
        <v>349</v>
      </c>
      <c r="C84" s="911"/>
      <c r="D84" s="932" t="str">
        <f>'Pre-analyseverktøy'!C84</f>
        <v>Ene 06</v>
      </c>
      <c r="E84" s="932">
        <f>'Pre-analyseverktøy'!E84</f>
        <v>1</v>
      </c>
      <c r="F84" s="933" t="str">
        <f>'Pre-analyseverktøy'!F84</f>
        <v>Energiforbruk</v>
      </c>
      <c r="G84" s="430">
        <f>'Pre-analyseverktøy'!G84</f>
        <v>1</v>
      </c>
      <c r="H84" s="436">
        <f>'Pre-analyseverktøy'!H84</f>
        <v>0</v>
      </c>
      <c r="I84" s="902">
        <f>'Pre-analyseverktøy'!I84</f>
        <v>0</v>
      </c>
      <c r="J84" s="432" t="str">
        <f>'Pre-analyseverktøy'!J84</f>
        <v>N/A</v>
      </c>
      <c r="K84" s="433" t="str">
        <f>IF('Pre-analyseverktøy'!K84=0,"",'Pre-analyseverktøy'!K84)</f>
        <v/>
      </c>
      <c r="L84" s="433" t="str">
        <f>IF('Pre-analyseverktøy'!L84=0,"",'Pre-analyseverktøy'!L84)</f>
        <v/>
      </c>
      <c r="M84" s="434" t="str">
        <f>IF('Pre-analyseverktøy'!M84=0,"",'Pre-analyseverktøy'!M84)</f>
        <v/>
      </c>
      <c r="N84" s="435">
        <f>'Pre-analyseverktøy'!N84</f>
        <v>0</v>
      </c>
      <c r="O84" s="436">
        <f>'Pre-analyseverktøy'!O84</f>
        <v>0</v>
      </c>
      <c r="P84" s="431">
        <f>'Pre-analyseverktøy'!P84</f>
        <v>0</v>
      </c>
      <c r="Q84" s="430" t="str">
        <f>'Pre-analyseverktøy'!Q84</f>
        <v>N/A</v>
      </c>
      <c r="R84" s="433" t="str">
        <f>IF('Pre-analyseverktøy'!R84=0,"",'Pre-analyseverktøy'!R84)</f>
        <v/>
      </c>
      <c r="S84" s="433" t="str">
        <f>IF('Pre-analyseverktøy'!S84=0,"",'Pre-analyseverktøy'!S84)</f>
        <v/>
      </c>
      <c r="T84" s="434" t="str">
        <f>IF('Pre-analyseverktøy'!T84=0,"",'Pre-analyseverktøy'!T84)</f>
        <v/>
      </c>
      <c r="U84" s="437"/>
      <c r="V84" s="436">
        <f>'Pre-analyseverktøy'!V84</f>
        <v>0</v>
      </c>
      <c r="W84" s="431">
        <f>'Pre-analyseverktøy'!W84</f>
        <v>0</v>
      </c>
      <c r="X84" s="430" t="str">
        <f>'Pre-analyseverktøy'!X84</f>
        <v>N/A</v>
      </c>
      <c r="Y84" s="433" t="str">
        <f>IF('Pre-analyseverktøy'!Y84=0,"",'Pre-analyseverktøy'!Y84)</f>
        <v/>
      </c>
      <c r="Z84" s="433" t="str">
        <f>IF('Pre-analyseverktøy'!Z84=0,"",'Pre-analyseverktøy'!Z84)</f>
        <v/>
      </c>
      <c r="AA84" s="433" t="str">
        <f>IF('Pre-analyseverktøy'!AA84=0,"",'Pre-analyseverktøy'!AA84)</f>
        <v/>
      </c>
    </row>
    <row r="85" spans="1:27">
      <c r="A85" s="620">
        <v>76</v>
      </c>
      <c r="B85" s="911" t="s">
        <v>349</v>
      </c>
      <c r="C85" s="911"/>
      <c r="D85" s="932" t="str">
        <f>'Pre-analyseverktøy'!C85</f>
        <v>Ene 06</v>
      </c>
      <c r="E85" s="932" t="str">
        <f>'Pre-analyseverktøy'!E85</f>
        <v>2-5</v>
      </c>
      <c r="F85" s="933" t="str">
        <f>'Pre-analyseverktøy'!F85</f>
        <v>Energieffektive funksjoner: heiser</v>
      </c>
      <c r="G85" s="430">
        <f>'Pre-analyseverktøy'!G85</f>
        <v>1</v>
      </c>
      <c r="H85" s="436">
        <f>'Pre-analyseverktøy'!H85</f>
        <v>0</v>
      </c>
      <c r="I85" s="902">
        <f>'Pre-analyseverktøy'!I85</f>
        <v>0</v>
      </c>
      <c r="J85" s="432" t="str">
        <f>'Pre-analyseverktøy'!J85</f>
        <v>N/A</v>
      </c>
      <c r="K85" s="433" t="str">
        <f>IF('Pre-analyseverktøy'!K85=0,"",'Pre-analyseverktøy'!K85)</f>
        <v/>
      </c>
      <c r="L85" s="433" t="str">
        <f>IF('Pre-analyseverktøy'!L85=0,"",'Pre-analyseverktøy'!L85)</f>
        <v/>
      </c>
      <c r="M85" s="434" t="str">
        <f>IF('Pre-analyseverktøy'!M85=0,"",'Pre-analyseverktøy'!M85)</f>
        <v/>
      </c>
      <c r="N85" s="435">
        <f>'Pre-analyseverktøy'!N85</f>
        <v>0</v>
      </c>
      <c r="O85" s="436">
        <f>'Pre-analyseverktøy'!O85</f>
        <v>0</v>
      </c>
      <c r="P85" s="431">
        <f>'Pre-analyseverktøy'!P85</f>
        <v>0</v>
      </c>
      <c r="Q85" s="430" t="str">
        <f>'Pre-analyseverktøy'!Q85</f>
        <v>N/A</v>
      </c>
      <c r="R85" s="433" t="str">
        <f>IF('Pre-analyseverktøy'!R85=0,"",'Pre-analyseverktøy'!R85)</f>
        <v/>
      </c>
      <c r="S85" s="433" t="str">
        <f>IF('Pre-analyseverktøy'!S85=0,"",'Pre-analyseverktøy'!S85)</f>
        <v/>
      </c>
      <c r="T85" s="434" t="str">
        <f>IF('Pre-analyseverktøy'!T85=0,"",'Pre-analyseverktøy'!T85)</f>
        <v/>
      </c>
      <c r="U85" s="437"/>
      <c r="V85" s="436">
        <f>'Pre-analyseverktøy'!V85</f>
        <v>0</v>
      </c>
      <c r="W85" s="431">
        <f>'Pre-analyseverktøy'!W85</f>
        <v>0</v>
      </c>
      <c r="X85" s="430" t="str">
        <f>'Pre-analyseverktøy'!X85</f>
        <v>N/A</v>
      </c>
      <c r="Y85" s="433" t="str">
        <f>IF('Pre-analyseverktøy'!Y85=0,"",'Pre-analyseverktøy'!Y85)</f>
        <v/>
      </c>
      <c r="Z85" s="433" t="str">
        <f>IF('Pre-analyseverktøy'!Z85=0,"",'Pre-analyseverktøy'!Z85)</f>
        <v/>
      </c>
      <c r="AA85" s="433" t="str">
        <f>IF('Pre-analyseverktøy'!AA85=0,"",'Pre-analyseverktøy'!AA85)</f>
        <v/>
      </c>
    </row>
    <row r="86" spans="1:27">
      <c r="A86" s="620">
        <v>77</v>
      </c>
      <c r="B86" s="911" t="s">
        <v>349</v>
      </c>
      <c r="C86" s="911"/>
      <c r="D86" s="932" t="str">
        <f>'Pre-analyseverktøy'!C86</f>
        <v>Ene 06</v>
      </c>
      <c r="E86" s="932" t="str">
        <f>'Pre-analyseverktøy'!E86</f>
        <v>6 or 7</v>
      </c>
      <c r="F86" s="933" t="str">
        <f>'Pre-analyseverktøy'!F86</f>
        <v>Energieffektive funksjoner: rulletrapper eller rullefortau</v>
      </c>
      <c r="G86" s="430">
        <f>'Pre-analyseverktøy'!G86</f>
        <v>1</v>
      </c>
      <c r="H86" s="436">
        <f>'Pre-analyseverktøy'!H86</f>
        <v>0</v>
      </c>
      <c r="I86" s="902">
        <f>'Pre-analyseverktøy'!I86</f>
        <v>0</v>
      </c>
      <c r="J86" s="432" t="str">
        <f>'Pre-analyseverktøy'!J86</f>
        <v>N/A</v>
      </c>
      <c r="K86" s="433" t="str">
        <f>IF('Pre-analyseverktøy'!K86=0,"",'Pre-analyseverktøy'!K86)</f>
        <v/>
      </c>
      <c r="L86" s="433" t="str">
        <f>IF('Pre-analyseverktøy'!L86=0,"",'Pre-analyseverktøy'!L86)</f>
        <v/>
      </c>
      <c r="M86" s="434" t="str">
        <f>IF('Pre-analyseverktøy'!M86=0,"",'Pre-analyseverktøy'!M86)</f>
        <v/>
      </c>
      <c r="N86" s="435">
        <f>'Pre-analyseverktøy'!N86</f>
        <v>0</v>
      </c>
      <c r="O86" s="436">
        <f>'Pre-analyseverktøy'!O86</f>
        <v>0</v>
      </c>
      <c r="P86" s="431">
        <f>'Pre-analyseverktøy'!P86</f>
        <v>0</v>
      </c>
      <c r="Q86" s="430" t="str">
        <f>'Pre-analyseverktøy'!Q86</f>
        <v>N/A</v>
      </c>
      <c r="R86" s="433" t="str">
        <f>IF('Pre-analyseverktøy'!R86=0,"",'Pre-analyseverktøy'!R86)</f>
        <v/>
      </c>
      <c r="S86" s="433" t="str">
        <f>IF('Pre-analyseverktøy'!S86=0,"",'Pre-analyseverktøy'!S86)</f>
        <v/>
      </c>
      <c r="T86" s="434" t="str">
        <f>IF('Pre-analyseverktøy'!T86=0,"",'Pre-analyseverktøy'!T86)</f>
        <v/>
      </c>
      <c r="U86" s="437"/>
      <c r="V86" s="436">
        <f>'Pre-analyseverktøy'!V86</f>
        <v>0</v>
      </c>
      <c r="W86" s="431">
        <f>'Pre-analyseverktøy'!W86</f>
        <v>0</v>
      </c>
      <c r="X86" s="430" t="str">
        <f>'Pre-analyseverktøy'!X86</f>
        <v>N/A</v>
      </c>
      <c r="Y86" s="433" t="str">
        <f>IF('Pre-analyseverktøy'!Y86=0,"",'Pre-analyseverktøy'!Y86)</f>
        <v/>
      </c>
      <c r="Z86" s="433" t="str">
        <f>IF('Pre-analyseverktøy'!Z86=0,"",'Pre-analyseverktøy'!Z86)</f>
        <v/>
      </c>
      <c r="AA86" s="433" t="str">
        <f>IF('Pre-analyseverktøy'!AA86=0,"",'Pre-analyseverktøy'!AA86)</f>
        <v/>
      </c>
    </row>
    <row r="87" spans="1:27">
      <c r="A87" s="620">
        <v>78</v>
      </c>
      <c r="B87" s="911" t="s">
        <v>349</v>
      </c>
      <c r="C87" s="911"/>
      <c r="D87" s="931" t="str">
        <f>'Pre-analyseverktøy'!C87</f>
        <v>Ene 07</v>
      </c>
      <c r="E87" s="932"/>
      <c r="F87" s="931" t="str">
        <f>'Pre-analyseverktøy'!F87</f>
        <v>Ene 07 Energieffektive laboratoriesystemer</v>
      </c>
      <c r="G87" s="430">
        <f>'Pre-analyseverktøy'!G87</f>
        <v>0</v>
      </c>
      <c r="H87" s="436">
        <f>'Pre-analyseverktøy'!H87</f>
        <v>0</v>
      </c>
      <c r="I87" s="902" t="str">
        <f>'Pre-analyseverktøy'!I87</f>
        <v>0 c. 0 %</v>
      </c>
      <c r="J87" s="432" t="str">
        <f>'Pre-analyseverktøy'!J87</f>
        <v>N/A</v>
      </c>
      <c r="K87" s="433" t="str">
        <f>IF('Pre-analyseverktøy'!K87=0,"",'Pre-analyseverktøy'!K87)</f>
        <v/>
      </c>
      <c r="L87" s="433" t="str">
        <f>IF('Pre-analyseverktøy'!L87=0,"",'Pre-analyseverktøy'!L87)</f>
        <v/>
      </c>
      <c r="M87" s="434" t="str">
        <f>IF('Pre-analyseverktøy'!M87=0,"",'Pre-analyseverktøy'!M87)</f>
        <v/>
      </c>
      <c r="N87" s="435">
        <f>'Pre-analyseverktøy'!N87</f>
        <v>0</v>
      </c>
      <c r="O87" s="436">
        <f>'Pre-analyseverktøy'!O87</f>
        <v>0</v>
      </c>
      <c r="P87" s="431" t="str">
        <f>'Pre-analyseverktøy'!P87</f>
        <v>0 c. 0 %</v>
      </c>
      <c r="Q87" s="430" t="str">
        <f>'Pre-analyseverktøy'!Q87</f>
        <v>N/A</v>
      </c>
      <c r="R87" s="433" t="str">
        <f>IF('Pre-analyseverktøy'!R87=0,"",'Pre-analyseverktøy'!R87)</f>
        <v/>
      </c>
      <c r="S87" s="433" t="str">
        <f>IF('Pre-analyseverktøy'!S87=0,"",'Pre-analyseverktøy'!S87)</f>
        <v/>
      </c>
      <c r="T87" s="434" t="str">
        <f>IF('Pre-analyseverktøy'!T87=0,"",'Pre-analyseverktøy'!T87)</f>
        <v/>
      </c>
      <c r="U87" s="437"/>
      <c r="V87" s="436">
        <f>'Pre-analyseverktøy'!V87</f>
        <v>0</v>
      </c>
      <c r="W87" s="431" t="str">
        <f>'Pre-analyseverktøy'!W87</f>
        <v>0 c. 0 %</v>
      </c>
      <c r="X87" s="430" t="str">
        <f>'Pre-analyseverktøy'!X87</f>
        <v>N/A</v>
      </c>
      <c r="Y87" s="433" t="str">
        <f>IF('Pre-analyseverktøy'!Y87=0,"",'Pre-analyseverktøy'!Y87)</f>
        <v/>
      </c>
      <c r="Z87" s="433" t="str">
        <f>IF('Pre-analyseverktøy'!Z87=0,"",'Pre-analyseverktøy'!Z87)</f>
        <v/>
      </c>
      <c r="AA87" s="433" t="str">
        <f>IF('Pre-analyseverktøy'!AA87=0,"",'Pre-analyseverktøy'!AA87)</f>
        <v/>
      </c>
    </row>
    <row r="88" spans="1:27">
      <c r="A88" s="620">
        <v>79</v>
      </c>
      <c r="B88" s="911" t="s">
        <v>349</v>
      </c>
      <c r="C88" s="911"/>
      <c r="D88" s="932" t="str">
        <f>'Pre-analyseverktøy'!C88</f>
        <v>Ene 07</v>
      </c>
      <c r="E88" s="932" t="str">
        <f>'Pre-analyseverktøy'!E88</f>
        <v>1-4</v>
      </c>
      <c r="F88" s="933" t="str">
        <f>'Pre-analyseverktøy'!F88</f>
        <v>Prosjekteringsspesifikasjoner</v>
      </c>
      <c r="G88" s="430">
        <f>'Pre-analyseverktøy'!G88</f>
        <v>0</v>
      </c>
      <c r="H88" s="436">
        <f>'Pre-analyseverktøy'!H88</f>
        <v>0</v>
      </c>
      <c r="I88" s="902">
        <f>'Pre-analyseverktøy'!I88</f>
        <v>0</v>
      </c>
      <c r="J88" s="432" t="str">
        <f>'Pre-analyseverktøy'!J88</f>
        <v>N/A</v>
      </c>
      <c r="K88" s="433" t="str">
        <f>IF('Pre-analyseverktøy'!K88=0,"",'Pre-analyseverktøy'!K88)</f>
        <v/>
      </c>
      <c r="L88" s="433" t="str">
        <f>IF('Pre-analyseverktøy'!L88=0,"",'Pre-analyseverktøy'!L88)</f>
        <v/>
      </c>
      <c r="M88" s="434" t="str">
        <f>IF('Pre-analyseverktøy'!M88=0,"",'Pre-analyseverktøy'!M88)</f>
        <v/>
      </c>
      <c r="N88" s="435">
        <f>'Pre-analyseverktøy'!N88</f>
        <v>0</v>
      </c>
      <c r="O88" s="436">
        <f>'Pre-analyseverktøy'!O88</f>
        <v>0</v>
      </c>
      <c r="P88" s="431">
        <f>'Pre-analyseverktøy'!P88</f>
        <v>0</v>
      </c>
      <c r="Q88" s="430" t="str">
        <f>'Pre-analyseverktøy'!Q88</f>
        <v>N/A</v>
      </c>
      <c r="R88" s="433" t="str">
        <f>IF('Pre-analyseverktøy'!R88=0,"",'Pre-analyseverktøy'!R88)</f>
        <v/>
      </c>
      <c r="S88" s="433" t="str">
        <f>IF('Pre-analyseverktøy'!S88=0,"",'Pre-analyseverktøy'!S88)</f>
        <v/>
      </c>
      <c r="T88" s="434" t="str">
        <f>IF('Pre-analyseverktøy'!T88=0,"",'Pre-analyseverktøy'!T88)</f>
        <v/>
      </c>
      <c r="U88" s="437"/>
      <c r="V88" s="436">
        <f>'Pre-analyseverktøy'!V88</f>
        <v>0</v>
      </c>
      <c r="W88" s="431">
        <f>'Pre-analyseverktøy'!W88</f>
        <v>0</v>
      </c>
      <c r="X88" s="430" t="str">
        <f>'Pre-analyseverktøy'!X88</f>
        <v>N/A</v>
      </c>
      <c r="Y88" s="433" t="str">
        <f>IF('Pre-analyseverktøy'!Y88=0,"",'Pre-analyseverktøy'!Y88)</f>
        <v/>
      </c>
      <c r="Z88" s="433" t="str">
        <f>IF('Pre-analyseverktøy'!Z88=0,"",'Pre-analyseverktøy'!Z88)</f>
        <v/>
      </c>
      <c r="AA88" s="433" t="str">
        <f>IF('Pre-analyseverktøy'!AA88=0,"",'Pre-analyseverktøy'!AA88)</f>
        <v/>
      </c>
    </row>
    <row r="89" spans="1:27">
      <c r="A89" s="620">
        <v>80</v>
      </c>
      <c r="B89" s="911" t="s">
        <v>349</v>
      </c>
      <c r="C89" s="911"/>
      <c r="D89" s="932" t="str">
        <f>'Pre-analyseverktøy'!C89</f>
        <v>Ene 07</v>
      </c>
      <c r="E89" s="932" t="str">
        <f>'Pre-analyseverktøy'!E89</f>
        <v>5-8</v>
      </c>
      <c r="F89" s="933" t="str">
        <f>'Pre-analyseverktøy'!F89</f>
        <v>Beste praksis for energieffektiviseringstiltak</v>
      </c>
      <c r="G89" s="430">
        <f>'Pre-analyseverktøy'!G89</f>
        <v>0</v>
      </c>
      <c r="H89" s="436">
        <f>'Pre-analyseverktøy'!H89</f>
        <v>0</v>
      </c>
      <c r="I89" s="902">
        <f>'Pre-analyseverktøy'!I89</f>
        <v>0</v>
      </c>
      <c r="J89" s="432" t="str">
        <f>'Pre-analyseverktøy'!J89</f>
        <v>N/A</v>
      </c>
      <c r="K89" s="433" t="str">
        <f>IF('Pre-analyseverktøy'!K89=0,"",'Pre-analyseverktøy'!K89)</f>
        <v/>
      </c>
      <c r="L89" s="433" t="str">
        <f>IF('Pre-analyseverktøy'!L89=0,"",'Pre-analyseverktøy'!L89)</f>
        <v/>
      </c>
      <c r="M89" s="434" t="str">
        <f>IF('Pre-analyseverktøy'!M89=0,"",'Pre-analyseverktøy'!M89)</f>
        <v/>
      </c>
      <c r="N89" s="435">
        <f>'Pre-analyseverktøy'!N89</f>
        <v>0</v>
      </c>
      <c r="O89" s="436">
        <f>'Pre-analyseverktøy'!O89</f>
        <v>0</v>
      </c>
      <c r="P89" s="431">
        <f>'Pre-analyseverktøy'!P89</f>
        <v>0</v>
      </c>
      <c r="Q89" s="430" t="str">
        <f>'Pre-analyseverktøy'!Q89</f>
        <v>N/A</v>
      </c>
      <c r="R89" s="433" t="str">
        <f>IF('Pre-analyseverktøy'!R89=0,"",'Pre-analyseverktøy'!R89)</f>
        <v/>
      </c>
      <c r="S89" s="433" t="str">
        <f>IF('Pre-analyseverktøy'!S89=0,"",'Pre-analyseverktøy'!S89)</f>
        <v/>
      </c>
      <c r="T89" s="434" t="str">
        <f>IF('Pre-analyseverktøy'!T89=0,"",'Pre-analyseverktøy'!T89)</f>
        <v/>
      </c>
      <c r="U89" s="437"/>
      <c r="V89" s="436">
        <f>'Pre-analyseverktøy'!V89</f>
        <v>0</v>
      </c>
      <c r="W89" s="431">
        <f>'Pre-analyseverktøy'!W89</f>
        <v>0</v>
      </c>
      <c r="X89" s="430" t="str">
        <f>'Pre-analyseverktøy'!X89</f>
        <v>N/A</v>
      </c>
      <c r="Y89" s="433" t="str">
        <f>IF('Pre-analyseverktøy'!Y89=0,"",'Pre-analyseverktøy'!Y89)</f>
        <v/>
      </c>
      <c r="Z89" s="433" t="str">
        <f>IF('Pre-analyseverktøy'!Z89=0,"",'Pre-analyseverktøy'!Z89)</f>
        <v/>
      </c>
      <c r="AA89" s="433" t="str">
        <f>IF('Pre-analyseverktøy'!AA89=0,"",'Pre-analyseverktøy'!AA89)</f>
        <v/>
      </c>
    </row>
    <row r="90" spans="1:27">
      <c r="A90" s="620">
        <v>81</v>
      </c>
      <c r="B90" s="911" t="s">
        <v>349</v>
      </c>
      <c r="C90" s="911"/>
      <c r="D90" s="931" t="str">
        <f>'Pre-analyseverktøy'!C90</f>
        <v>Ene 08</v>
      </c>
      <c r="E90" s="932"/>
      <c r="F90" s="931" t="str">
        <f>'Pre-analyseverktøy'!F90</f>
        <v>Ene 08 Energieffektivt utstyr</v>
      </c>
      <c r="G90" s="430">
        <f>'Pre-analyseverktøy'!G90</f>
        <v>2</v>
      </c>
      <c r="H90" s="436">
        <f>'Pre-analyseverktøy'!H90</f>
        <v>0</v>
      </c>
      <c r="I90" s="902" t="str">
        <f>'Pre-analyseverktøy'!I90</f>
        <v>0 c. 0 %</v>
      </c>
      <c r="J90" s="432" t="str">
        <f>'Pre-analyseverktøy'!J90</f>
        <v>N/A</v>
      </c>
      <c r="K90" s="433" t="str">
        <f>IF('Pre-analyseverktøy'!K90=0,"",'Pre-analyseverktøy'!K90)</f>
        <v/>
      </c>
      <c r="L90" s="433" t="str">
        <f>IF('Pre-analyseverktøy'!L90=0,"",'Pre-analyseverktøy'!L90)</f>
        <v/>
      </c>
      <c r="M90" s="434" t="str">
        <f>IF('Pre-analyseverktøy'!M90=0,"",'Pre-analyseverktøy'!M90)</f>
        <v/>
      </c>
      <c r="N90" s="435">
        <f>'Pre-analyseverktøy'!N90</f>
        <v>0</v>
      </c>
      <c r="O90" s="436">
        <f>'Pre-analyseverktøy'!O90</f>
        <v>0</v>
      </c>
      <c r="P90" s="431" t="str">
        <f>'Pre-analyseverktøy'!P90</f>
        <v>0 c. 0 %</v>
      </c>
      <c r="Q90" s="430" t="str">
        <f>'Pre-analyseverktøy'!Q90</f>
        <v>N/A</v>
      </c>
      <c r="R90" s="433" t="str">
        <f>IF('Pre-analyseverktøy'!R90=0,"",'Pre-analyseverktøy'!R90)</f>
        <v/>
      </c>
      <c r="S90" s="433" t="str">
        <f>IF('Pre-analyseverktøy'!S90=0,"",'Pre-analyseverktøy'!S90)</f>
        <v/>
      </c>
      <c r="T90" s="434" t="str">
        <f>IF('Pre-analyseverktøy'!T90=0,"",'Pre-analyseverktøy'!T90)</f>
        <v/>
      </c>
      <c r="U90" s="437"/>
      <c r="V90" s="436">
        <f>'Pre-analyseverktøy'!V90</f>
        <v>0</v>
      </c>
      <c r="W90" s="431" t="str">
        <f>'Pre-analyseverktøy'!W90</f>
        <v>0 c. 0 %</v>
      </c>
      <c r="X90" s="430" t="str">
        <f>'Pre-analyseverktøy'!X90</f>
        <v>N/A</v>
      </c>
      <c r="Y90" s="433" t="str">
        <f>IF('Pre-analyseverktøy'!Y90=0,"",'Pre-analyseverktøy'!Y90)</f>
        <v/>
      </c>
      <c r="Z90" s="433" t="str">
        <f>IF('Pre-analyseverktøy'!Z90=0,"",'Pre-analyseverktøy'!Z90)</f>
        <v/>
      </c>
      <c r="AA90" s="433" t="str">
        <f>IF('Pre-analyseverktøy'!AA90=0,"",'Pre-analyseverktøy'!AA90)</f>
        <v/>
      </c>
    </row>
    <row r="91" spans="1:27">
      <c r="A91" s="620">
        <v>82</v>
      </c>
      <c r="B91" s="911" t="s">
        <v>349</v>
      </c>
      <c r="C91" s="911"/>
      <c r="D91" s="932" t="str">
        <f>'Pre-analyseverktøy'!C91</f>
        <v>Ene 08</v>
      </c>
      <c r="E91" s="932" t="str">
        <f>'Pre-analyseverktøy'!E91</f>
        <v>1-3</v>
      </c>
      <c r="F91" s="933" t="str">
        <f>'Pre-analyseverktøy'!F91</f>
        <v>Reduksjon av byggets betydelige uregulerte energiforbruk</v>
      </c>
      <c r="G91" s="430">
        <f>'Pre-analyseverktøy'!G91</f>
        <v>2</v>
      </c>
      <c r="H91" s="436">
        <f>'Pre-analyseverktøy'!H91</f>
        <v>0</v>
      </c>
      <c r="I91" s="902">
        <f>'Pre-analyseverktøy'!I91</f>
        <v>0</v>
      </c>
      <c r="J91" s="432" t="str">
        <f>'Pre-analyseverktøy'!J91</f>
        <v>N/A</v>
      </c>
      <c r="K91" s="433" t="str">
        <f>IF('Pre-analyseverktøy'!K91=0,"",'Pre-analyseverktøy'!K91)</f>
        <v/>
      </c>
      <c r="L91" s="433" t="str">
        <f>IF('Pre-analyseverktøy'!L91=0,"",'Pre-analyseverktøy'!L91)</f>
        <v/>
      </c>
      <c r="M91" s="434" t="str">
        <f>IF('Pre-analyseverktøy'!M91=0,"",'Pre-analyseverktøy'!M91)</f>
        <v/>
      </c>
      <c r="N91" s="435">
        <f>'Pre-analyseverktøy'!N91</f>
        <v>0</v>
      </c>
      <c r="O91" s="436">
        <f>'Pre-analyseverktøy'!O91</f>
        <v>0</v>
      </c>
      <c r="P91" s="431">
        <f>'Pre-analyseverktøy'!P91</f>
        <v>0</v>
      </c>
      <c r="Q91" s="430" t="str">
        <f>'Pre-analyseverktøy'!Q91</f>
        <v>N/A</v>
      </c>
      <c r="R91" s="433" t="str">
        <f>IF('Pre-analyseverktøy'!R91=0,"",'Pre-analyseverktøy'!R91)</f>
        <v/>
      </c>
      <c r="S91" s="433" t="str">
        <f>IF('Pre-analyseverktøy'!S91=0,"",'Pre-analyseverktøy'!S91)</f>
        <v/>
      </c>
      <c r="T91" s="434" t="str">
        <f>IF('Pre-analyseverktøy'!T91=0,"",'Pre-analyseverktøy'!T91)</f>
        <v/>
      </c>
      <c r="U91" s="437"/>
      <c r="V91" s="436">
        <f>'Pre-analyseverktøy'!V91</f>
        <v>0</v>
      </c>
      <c r="W91" s="431">
        <f>'Pre-analyseverktøy'!W91</f>
        <v>0</v>
      </c>
      <c r="X91" s="430" t="str">
        <f>'Pre-analyseverktøy'!X91</f>
        <v>N/A</v>
      </c>
      <c r="Y91" s="433" t="str">
        <f>IF('Pre-analyseverktøy'!Y91=0,"",'Pre-analyseverktøy'!Y91)</f>
        <v/>
      </c>
      <c r="Z91" s="433" t="str">
        <f>IF('Pre-analyseverktøy'!Z91=0,"",'Pre-analyseverktøy'!Z91)</f>
        <v/>
      </c>
      <c r="AA91" s="433" t="str">
        <f>IF('Pre-analyseverktøy'!AA91=0,"",'Pre-analyseverktøy'!AA91)</f>
        <v/>
      </c>
    </row>
    <row r="92" spans="1:27" ht="30" customHeight="1" thickBot="1">
      <c r="A92" s="620">
        <v>83</v>
      </c>
      <c r="B92" s="911" t="s">
        <v>349</v>
      </c>
      <c r="C92" s="911"/>
      <c r="D92" s="934"/>
      <c r="E92" s="932"/>
      <c r="F92" s="934" t="str">
        <f>'Pre-analyseverktøy'!F92</f>
        <v>Totalsum energi</v>
      </c>
      <c r="G92" s="438">
        <f>'Pre-analyseverktøy'!G92</f>
        <v>22</v>
      </c>
      <c r="H92" s="440">
        <f>'Pre-analyseverktøy'!H92</f>
        <v>0</v>
      </c>
      <c r="I92" s="439">
        <f>'Pre-analyseverktøy'!I92</f>
        <v>0</v>
      </c>
      <c r="J92" s="438" t="str">
        <f>'Pre-analyseverktøy'!J92</f>
        <v>Poeng oppnådd: 0</v>
      </c>
      <c r="K92" s="884" t="str">
        <f>IF('Pre-analyseverktøy'!K92=0,"",'Pre-analyseverktøy'!K92)</f>
        <v/>
      </c>
      <c r="L92" s="884" t="str">
        <f>IF('Pre-analyseverktøy'!L92=0,"",'Pre-analyseverktøy'!L92)</f>
        <v/>
      </c>
      <c r="M92" s="903" t="str">
        <f>IF('Pre-analyseverktøy'!M92=0,"",'Pre-analyseverktøy'!M92)</f>
        <v/>
      </c>
      <c r="N92" s="904">
        <f>'Pre-analyseverktøy'!N92</f>
        <v>0</v>
      </c>
      <c r="O92" s="440">
        <f>'Pre-analyseverktøy'!O92</f>
        <v>0</v>
      </c>
      <c r="P92" s="439">
        <f>'Pre-analyseverktøy'!P92</f>
        <v>0</v>
      </c>
      <c r="Q92" s="438" t="str">
        <f>'Pre-analyseverktøy'!Q92</f>
        <v>Poeng oppnådd: 0</v>
      </c>
      <c r="R92" s="884" t="str">
        <f>IF('Pre-analyseverktøy'!R92=0,"",'Pre-analyseverktøy'!R92)</f>
        <v/>
      </c>
      <c r="S92" s="884" t="str">
        <f>IF('Pre-analyseverktøy'!S92=0,"",'Pre-analyseverktøy'!S92)</f>
        <v/>
      </c>
      <c r="T92" s="903" t="str">
        <f>IF('Pre-analyseverktøy'!T92=0,"",'Pre-analyseverktøy'!T92)</f>
        <v/>
      </c>
      <c r="U92" s="905"/>
      <c r="V92" s="440">
        <f>'Pre-analyseverktøy'!V92</f>
        <v>0</v>
      </c>
      <c r="W92" s="439">
        <f>'Pre-analyseverktøy'!W92</f>
        <v>0</v>
      </c>
      <c r="X92" s="438" t="str">
        <f>'Pre-analyseverktøy'!X92</f>
        <v>Poeng oppnådd: 0</v>
      </c>
      <c r="Y92" s="884" t="str">
        <f>IF('Pre-analyseverktøy'!Y92=0,"",'Pre-analyseverktøy'!Y92)</f>
        <v/>
      </c>
      <c r="Z92" s="884" t="str">
        <f>IF('Pre-analyseverktøy'!Z92=0,"",'Pre-analyseverktøy'!Z92)</f>
        <v/>
      </c>
      <c r="AA92" s="884" t="str">
        <f>IF('Pre-analyseverktøy'!AA92=0,"",'Pre-analyseverktøy'!AA92)</f>
        <v/>
      </c>
    </row>
    <row r="93" spans="1:27">
      <c r="A93" s="620">
        <v>84</v>
      </c>
      <c r="B93" s="911" t="s">
        <v>349</v>
      </c>
      <c r="C93" s="911"/>
      <c r="D93" s="441"/>
      <c r="E93" s="441"/>
      <c r="F93" s="441"/>
      <c r="G93" s="442"/>
      <c r="H93" s="442"/>
      <c r="I93" s="442"/>
      <c r="J93" s="442"/>
      <c r="K93" s="441" t="str">
        <f>IF('Pre-analyseverktøy'!K93=0,"",'Pre-analyseverktøy'!K93)</f>
        <v/>
      </c>
      <c r="L93" s="442" t="str">
        <f>IF('Pre-analyseverktøy'!L93=0,"",'Pre-analyseverktøy'!L93)</f>
        <v/>
      </c>
      <c r="M93" s="441" t="str">
        <f>IF('Pre-analyseverktøy'!M93=0,"",'Pre-analyseverktøy'!M93)</f>
        <v/>
      </c>
      <c r="N93" s="435"/>
      <c r="O93" s="442"/>
      <c r="P93" s="442"/>
      <c r="Q93" s="442"/>
      <c r="R93" s="441" t="str">
        <f>IF('Pre-analyseverktøy'!R93=0,"",'Pre-analyseverktøy'!R93)</f>
        <v/>
      </c>
      <c r="S93" s="442" t="str">
        <f>IF('Pre-analyseverktøy'!S93=0,"",'Pre-analyseverktøy'!S93)</f>
        <v/>
      </c>
      <c r="T93" s="441" t="str">
        <f>IF('Pre-analyseverktøy'!T93=0,"",'Pre-analyseverktøy'!T93)</f>
        <v/>
      </c>
      <c r="U93" s="437"/>
      <c r="V93" s="442"/>
      <c r="W93" s="442"/>
      <c r="X93" s="442"/>
      <c r="Y93" s="441" t="str">
        <f>IF('Pre-analyseverktøy'!Y93=0,"",'Pre-analyseverktøy'!Y93)</f>
        <v/>
      </c>
      <c r="Z93" s="442" t="str">
        <f>IF('Pre-analyseverktøy'!Z93=0,"",'Pre-analyseverktøy'!Z93)</f>
        <v/>
      </c>
      <c r="AA93" s="441" t="str">
        <f>IF('Pre-analyseverktøy'!AA93=0,"",'Pre-analyseverktøy'!AA93)</f>
        <v/>
      </c>
    </row>
    <row r="94" spans="1:27" ht="18.75">
      <c r="A94" s="620">
        <v>85</v>
      </c>
      <c r="B94" s="911" t="s">
        <v>398</v>
      </c>
      <c r="C94" s="911"/>
      <c r="D94" s="443"/>
      <c r="E94" s="443"/>
      <c r="F94" s="443" t="s">
        <v>398</v>
      </c>
      <c r="G94" s="426"/>
      <c r="H94" s="426"/>
      <c r="I94" s="426"/>
      <c r="J94" s="426"/>
      <c r="K94" s="427" t="str">
        <f>IF('Pre-analyseverktøy'!K94=0,"",'Pre-analyseverktøy'!K94)</f>
        <v/>
      </c>
      <c r="L94" s="426" t="str">
        <f>IF('Pre-analyseverktøy'!L94=0,"",'Pre-analyseverktøy'!L94)</f>
        <v/>
      </c>
      <c r="M94" s="427" t="str">
        <f>IF('Pre-analyseverktøy'!M94=0,"",'Pre-analyseverktøy'!M94)</f>
        <v/>
      </c>
      <c r="N94" s="435"/>
      <c r="O94" s="426"/>
      <c r="P94" s="426"/>
      <c r="Q94" s="426"/>
      <c r="R94" s="427" t="str">
        <f>IF('Pre-analyseverktøy'!R94=0,"",'Pre-analyseverktøy'!R94)</f>
        <v/>
      </c>
      <c r="S94" s="426" t="str">
        <f>IF('Pre-analyseverktøy'!S94=0,"",'Pre-analyseverktøy'!S94)</f>
        <v/>
      </c>
      <c r="T94" s="427" t="str">
        <f>IF('Pre-analyseverktøy'!T94=0,"",'Pre-analyseverktøy'!T94)</f>
        <v/>
      </c>
      <c r="U94" s="437"/>
      <c r="V94" s="426"/>
      <c r="W94" s="426"/>
      <c r="X94" s="426"/>
      <c r="Y94" s="427" t="str">
        <f>IF('Pre-analyseverktøy'!Y94=0,"",'Pre-analyseverktøy'!Y94)</f>
        <v/>
      </c>
      <c r="Z94" s="426" t="str">
        <f>IF('Pre-analyseverktøy'!Z94=0,"",'Pre-analyseverktøy'!Z94)</f>
        <v/>
      </c>
      <c r="AA94" s="514" t="str">
        <f>IF('Pre-analyseverktøy'!AA94=0,"",'Pre-analyseverktøy'!AA94)</f>
        <v/>
      </c>
    </row>
    <row r="95" spans="1:27">
      <c r="A95" s="620">
        <v>86</v>
      </c>
      <c r="B95" s="911" t="s">
        <v>398</v>
      </c>
      <c r="C95" s="911"/>
      <c r="D95" s="931" t="str">
        <f>'Pre-analyseverktøy'!C95</f>
        <v>Tra 01</v>
      </c>
      <c r="E95" s="932"/>
      <c r="F95" s="931" t="str">
        <f>'Pre-analyseverktøy'!F95</f>
        <v>Transportkartlegging og mobilitetsplan</v>
      </c>
      <c r="G95" s="430">
        <f>'Pre-analyseverktøy'!G95</f>
        <v>3</v>
      </c>
      <c r="H95" s="436">
        <f>'Pre-analyseverktøy'!H95</f>
        <v>0</v>
      </c>
      <c r="I95" s="902" t="str">
        <f>'Pre-analyseverktøy'!I95</f>
        <v>0 c. 0 %</v>
      </c>
      <c r="J95" s="432" t="str">
        <f>'Pre-analyseverktøy'!J95</f>
        <v>N/A</v>
      </c>
      <c r="K95" s="433" t="str">
        <f>IF('Pre-analyseverktøy'!K95=0,"",'Pre-analyseverktøy'!K95)</f>
        <v/>
      </c>
      <c r="L95" s="433" t="str">
        <f>IF('Pre-analyseverktøy'!L95=0,"",'Pre-analyseverktøy'!L95)</f>
        <v/>
      </c>
      <c r="M95" s="434" t="str">
        <f>IF('Pre-analyseverktøy'!M95=0,"",'Pre-analyseverktøy'!M95)</f>
        <v/>
      </c>
      <c r="N95" s="435">
        <f>'Pre-analyseverktøy'!N95</f>
        <v>0</v>
      </c>
      <c r="O95" s="436">
        <f>'Pre-analyseverktøy'!O95</f>
        <v>0</v>
      </c>
      <c r="P95" s="431" t="str">
        <f>'Pre-analyseverktøy'!P95</f>
        <v>0 c. 0 %</v>
      </c>
      <c r="Q95" s="430" t="str">
        <f>'Pre-analyseverktøy'!Q95</f>
        <v>N/A</v>
      </c>
      <c r="R95" s="433" t="str">
        <f>IF('Pre-analyseverktøy'!R95=0,"",'Pre-analyseverktøy'!R95)</f>
        <v/>
      </c>
      <c r="S95" s="433" t="str">
        <f>IF('Pre-analyseverktøy'!S95=0,"",'Pre-analyseverktøy'!S95)</f>
        <v/>
      </c>
      <c r="T95" s="434" t="str">
        <f>IF('Pre-analyseverktøy'!T95=0,"",'Pre-analyseverktøy'!T95)</f>
        <v/>
      </c>
      <c r="U95" s="437"/>
      <c r="V95" s="436">
        <f>'Pre-analyseverktøy'!V95</f>
        <v>0</v>
      </c>
      <c r="W95" s="431" t="str">
        <f>'Pre-analyseverktøy'!W95</f>
        <v>0 c. 0 %</v>
      </c>
      <c r="X95" s="430" t="str">
        <f>'Pre-analyseverktøy'!X95</f>
        <v>N/A</v>
      </c>
      <c r="Y95" s="433" t="str">
        <f>IF('Pre-analyseverktøy'!Y95=0,"",'Pre-analyseverktøy'!Y95)</f>
        <v/>
      </c>
      <c r="Z95" s="433" t="str">
        <f>IF('Pre-analyseverktøy'!Z95=0,"",'Pre-analyseverktøy'!Z95)</f>
        <v/>
      </c>
      <c r="AA95" s="433" t="str">
        <f>IF('Pre-analyseverktøy'!AA95=0,"",'Pre-analyseverktøy'!AA95)</f>
        <v/>
      </c>
    </row>
    <row r="96" spans="1:27">
      <c r="A96" s="620">
        <v>87</v>
      </c>
      <c r="B96" s="911" t="s">
        <v>398</v>
      </c>
      <c r="C96" s="911"/>
      <c r="D96" s="932" t="str">
        <f>'Pre-analyseverktøy'!C96</f>
        <v>Tra 01</v>
      </c>
      <c r="E96" s="932" t="str">
        <f>'Pre-analyseverktøy'!E96</f>
        <v>1-5</v>
      </c>
      <c r="F96" s="933" t="str">
        <f>'Pre-analyseverktøy'!F96</f>
        <v>Transportkartlegging og mobilitetsplan</v>
      </c>
      <c r="G96" s="430">
        <f>'Pre-analyseverktøy'!G96</f>
        <v>2</v>
      </c>
      <c r="H96" s="436">
        <f>'Pre-analyseverktøy'!H96</f>
        <v>0</v>
      </c>
      <c r="I96" s="902">
        <f>'Pre-analyseverktøy'!I96</f>
        <v>0</v>
      </c>
      <c r="J96" s="432" t="str">
        <f>'Pre-analyseverktøy'!J96</f>
        <v>Very Good</v>
      </c>
      <c r="K96" s="433" t="str">
        <f>IF('Pre-analyseverktøy'!K96=0,"",'Pre-analyseverktøy'!K96)</f>
        <v/>
      </c>
      <c r="L96" s="433" t="str">
        <f>IF('Pre-analyseverktøy'!L96=0,"",'Pre-analyseverktøy'!L96)</f>
        <v/>
      </c>
      <c r="M96" s="434" t="str">
        <f>IF('Pre-analyseverktøy'!M96=0,"",'Pre-analyseverktøy'!M96)</f>
        <v/>
      </c>
      <c r="N96" s="435">
        <f>'Pre-analyseverktøy'!N96</f>
        <v>0</v>
      </c>
      <c r="O96" s="436">
        <f>'Pre-analyseverktøy'!O96</f>
        <v>0</v>
      </c>
      <c r="P96" s="431">
        <f>'Pre-analyseverktøy'!P96</f>
        <v>0</v>
      </c>
      <c r="Q96" s="430" t="str">
        <f>'Pre-analyseverktøy'!Q96</f>
        <v>Very Good</v>
      </c>
      <c r="R96" s="433" t="str">
        <f>IF('Pre-analyseverktøy'!R96=0,"",'Pre-analyseverktøy'!R96)</f>
        <v/>
      </c>
      <c r="S96" s="433" t="str">
        <f>IF('Pre-analyseverktøy'!S96=0,"",'Pre-analyseverktøy'!S96)</f>
        <v/>
      </c>
      <c r="T96" s="434" t="str">
        <f>IF('Pre-analyseverktøy'!T96=0,"",'Pre-analyseverktøy'!T96)</f>
        <v/>
      </c>
      <c r="U96" s="437"/>
      <c r="V96" s="436">
        <f>'Pre-analyseverktøy'!V96</f>
        <v>0</v>
      </c>
      <c r="W96" s="431">
        <f>'Pre-analyseverktøy'!W96</f>
        <v>0</v>
      </c>
      <c r="X96" s="430" t="str">
        <f>'Pre-analyseverktøy'!X96</f>
        <v>Very Good</v>
      </c>
      <c r="Y96" s="433" t="str">
        <f>IF('Pre-analyseverktøy'!Y96=0,"",'Pre-analyseverktøy'!Y96)</f>
        <v/>
      </c>
      <c r="Z96" s="433" t="str">
        <f>IF('Pre-analyseverktøy'!Z96=0,"",'Pre-analyseverktøy'!Z96)</f>
        <v/>
      </c>
      <c r="AA96" s="433" t="str">
        <f>IF('Pre-analyseverktøy'!AA96=0,"",'Pre-analyseverktøy'!AA96)</f>
        <v/>
      </c>
    </row>
    <row r="97" spans="1:27">
      <c r="A97" s="620">
        <v>88</v>
      </c>
      <c r="B97" s="911" t="s">
        <v>398</v>
      </c>
      <c r="C97" s="911"/>
      <c r="D97" s="932" t="str">
        <f>'Pre-analyseverktøy'!C97</f>
        <v>Tra 01</v>
      </c>
      <c r="E97" s="932">
        <f>'Pre-analyseverktøy'!E97</f>
        <v>6</v>
      </c>
      <c r="F97" s="933" t="str">
        <f>'Pre-analyseverktøy'!F97</f>
        <v>Mobilitetsplan med klimagassutslipp</v>
      </c>
      <c r="G97" s="430">
        <f>'Pre-analyseverktøy'!G97</f>
        <v>1</v>
      </c>
      <c r="H97" s="436">
        <f>'Pre-analyseverktøy'!H97</f>
        <v>0</v>
      </c>
      <c r="I97" s="902">
        <f>'Pre-analyseverktøy'!I97</f>
        <v>0</v>
      </c>
      <c r="J97" s="432" t="str">
        <f>'Pre-analyseverktøy'!J97</f>
        <v>Very Good</v>
      </c>
      <c r="K97" s="433" t="str">
        <f>IF('Pre-analyseverktøy'!K97=0,"",'Pre-analyseverktøy'!K97)</f>
        <v/>
      </c>
      <c r="L97" s="433" t="str">
        <f>IF('Pre-analyseverktøy'!L97=0,"",'Pre-analyseverktøy'!L97)</f>
        <v/>
      </c>
      <c r="M97" s="434" t="str">
        <f>IF('Pre-analyseverktøy'!M97=0,"",'Pre-analyseverktøy'!M97)</f>
        <v/>
      </c>
      <c r="N97" s="435">
        <f>'Pre-analyseverktøy'!N97</f>
        <v>0</v>
      </c>
      <c r="O97" s="436">
        <f>'Pre-analyseverktøy'!O97</f>
        <v>0</v>
      </c>
      <c r="P97" s="431">
        <f>'Pre-analyseverktøy'!P97</f>
        <v>0</v>
      </c>
      <c r="Q97" s="430" t="str">
        <f>'Pre-analyseverktøy'!Q97</f>
        <v>Very Good</v>
      </c>
      <c r="R97" s="433" t="str">
        <f>IF('Pre-analyseverktøy'!R97=0,"",'Pre-analyseverktøy'!R97)</f>
        <v/>
      </c>
      <c r="S97" s="433" t="str">
        <f>IF('Pre-analyseverktøy'!S97=0,"",'Pre-analyseverktøy'!S97)</f>
        <v/>
      </c>
      <c r="T97" s="434" t="str">
        <f>IF('Pre-analyseverktøy'!T97=0,"",'Pre-analyseverktøy'!T97)</f>
        <v/>
      </c>
      <c r="U97" s="437"/>
      <c r="V97" s="436">
        <f>'Pre-analyseverktøy'!V97</f>
        <v>0</v>
      </c>
      <c r="W97" s="431">
        <f>'Pre-analyseverktøy'!W97</f>
        <v>0</v>
      </c>
      <c r="X97" s="430" t="str">
        <f>'Pre-analyseverktøy'!X97</f>
        <v>Very Good</v>
      </c>
      <c r="Y97" s="433" t="str">
        <f>IF('Pre-analyseverktøy'!Y97=0,"",'Pre-analyseverktøy'!Y97)</f>
        <v/>
      </c>
      <c r="Z97" s="433" t="str">
        <f>IF('Pre-analyseverktøy'!Z97=0,"",'Pre-analyseverktøy'!Z97)</f>
        <v/>
      </c>
      <c r="AA97" s="433" t="str">
        <f>IF('Pre-analyseverktøy'!AA97=0,"",'Pre-analyseverktøy'!AA97)</f>
        <v/>
      </c>
    </row>
    <row r="98" spans="1:27">
      <c r="A98" s="620">
        <v>89</v>
      </c>
      <c r="B98" s="911" t="s">
        <v>398</v>
      </c>
      <c r="C98" s="911"/>
      <c r="D98" s="931" t="str">
        <f>'Pre-analyseverktøy'!C98</f>
        <v>Tra 02</v>
      </c>
      <c r="E98" s="932"/>
      <c r="F98" s="931" t="str">
        <f>'Pre-analyseverktøy'!F98</f>
        <v>Tra 02 Bærekraftige transporttiltak</v>
      </c>
      <c r="G98" s="430">
        <f>'Pre-analyseverktøy'!G98</f>
        <v>10</v>
      </c>
      <c r="H98" s="436">
        <f>'Pre-analyseverktøy'!H98</f>
        <v>0</v>
      </c>
      <c r="I98" s="902" t="str">
        <f>'Pre-analyseverktøy'!I98</f>
        <v>0 c. 0 %</v>
      </c>
      <c r="J98" s="432" t="str">
        <f>'Pre-analyseverktøy'!J98</f>
        <v>N/A</v>
      </c>
      <c r="K98" s="433" t="str">
        <f>IF('Pre-analyseverktøy'!K98=0,"",'Pre-analyseverktøy'!K98)</f>
        <v/>
      </c>
      <c r="L98" s="433" t="str">
        <f>IF('Pre-analyseverktøy'!L98=0,"",'Pre-analyseverktøy'!L98)</f>
        <v/>
      </c>
      <c r="M98" s="434" t="str">
        <f>IF('Pre-analyseverktøy'!M98=0,"",'Pre-analyseverktøy'!M98)</f>
        <v/>
      </c>
      <c r="N98" s="435">
        <f>'Pre-analyseverktøy'!N98</f>
        <v>0</v>
      </c>
      <c r="O98" s="436">
        <f>'Pre-analyseverktøy'!O98</f>
        <v>0</v>
      </c>
      <c r="P98" s="431" t="str">
        <f>'Pre-analyseverktøy'!P98</f>
        <v>0 c. 0 %</v>
      </c>
      <c r="Q98" s="430" t="str">
        <f>'Pre-analyseverktøy'!Q98</f>
        <v>N/A</v>
      </c>
      <c r="R98" s="433" t="str">
        <f>IF('Pre-analyseverktøy'!R98=0,"",'Pre-analyseverktøy'!R98)</f>
        <v/>
      </c>
      <c r="S98" s="433" t="str">
        <f>IF('Pre-analyseverktøy'!S98=0,"",'Pre-analyseverktøy'!S98)</f>
        <v/>
      </c>
      <c r="T98" s="434" t="str">
        <f>IF('Pre-analyseverktøy'!T98=0,"",'Pre-analyseverktøy'!T98)</f>
        <v/>
      </c>
      <c r="U98" s="437"/>
      <c r="V98" s="436">
        <f>'Pre-analyseverktøy'!V98</f>
        <v>0</v>
      </c>
      <c r="W98" s="431" t="str">
        <f>'Pre-analyseverktøy'!W98</f>
        <v>0 c. 0 %</v>
      </c>
      <c r="X98" s="430" t="str">
        <f>'Pre-analyseverktøy'!X98</f>
        <v>N/A</v>
      </c>
      <c r="Y98" s="433" t="str">
        <f>IF('Pre-analyseverktøy'!Y98=0,"",'Pre-analyseverktøy'!Y98)</f>
        <v/>
      </c>
      <c r="Z98" s="433" t="str">
        <f>IF('Pre-analyseverktøy'!Z98=0,"",'Pre-analyseverktøy'!Z98)</f>
        <v/>
      </c>
      <c r="AA98" s="433" t="str">
        <f>IF('Pre-analyseverktøy'!AA98=0,"",'Pre-analyseverktøy'!AA98)</f>
        <v/>
      </c>
    </row>
    <row r="99" spans="1:27">
      <c r="A99" s="620">
        <v>90</v>
      </c>
      <c r="B99" s="911" t="s">
        <v>398</v>
      </c>
      <c r="C99" s="911"/>
      <c r="D99" s="932" t="str">
        <f>'Pre-analyseverktøy'!C99</f>
        <v>Tra 02</v>
      </c>
      <c r="E99" s="932">
        <f>'Pre-analyseverktøy'!E99</f>
        <v>1</v>
      </c>
      <c r="F99" s="933" t="str">
        <f>'Pre-analyseverktøy'!F99</f>
        <v>Forkrav: Transportkartlegging og mobilitetsplan</v>
      </c>
      <c r="G99" s="430" t="str">
        <f>'Pre-analyseverktøy'!G99</f>
        <v>Yes/No</v>
      </c>
      <c r="H99" s="436">
        <f>'Pre-analyseverktøy'!H99</f>
        <v>0</v>
      </c>
      <c r="I99" s="902" t="str">
        <f>'Pre-analyseverktøy'!I99</f>
        <v>-</v>
      </c>
      <c r="J99" s="432" t="str">
        <f>'Pre-analyseverktøy'!J99</f>
        <v>N/A</v>
      </c>
      <c r="K99" s="433" t="str">
        <f>IF('Pre-analyseverktøy'!K99=0,"",'Pre-analyseverktøy'!K99)</f>
        <v/>
      </c>
      <c r="L99" s="433" t="str">
        <f>IF('Pre-analyseverktøy'!L99=0,"",'Pre-analyseverktøy'!L99)</f>
        <v/>
      </c>
      <c r="M99" s="434" t="str">
        <f>IF('Pre-analyseverktøy'!M99=0,"",'Pre-analyseverktøy'!M99)</f>
        <v/>
      </c>
      <c r="N99" s="435">
        <f>'Pre-analyseverktøy'!N99</f>
        <v>0</v>
      </c>
      <c r="O99" s="436">
        <f>'Pre-analyseverktøy'!O99</f>
        <v>0</v>
      </c>
      <c r="P99" s="431" t="str">
        <f>'Pre-analyseverktøy'!P99</f>
        <v>-</v>
      </c>
      <c r="Q99" s="430" t="str">
        <f>'Pre-analyseverktøy'!Q99</f>
        <v>N/A</v>
      </c>
      <c r="R99" s="433" t="str">
        <f>IF('Pre-analyseverktøy'!R99=0,"",'Pre-analyseverktøy'!R99)</f>
        <v/>
      </c>
      <c r="S99" s="433" t="str">
        <f>IF('Pre-analyseverktøy'!S99=0,"",'Pre-analyseverktøy'!S99)</f>
        <v/>
      </c>
      <c r="T99" s="434" t="str">
        <f>IF('Pre-analyseverktøy'!T99=0,"",'Pre-analyseverktøy'!T99)</f>
        <v/>
      </c>
      <c r="U99" s="437"/>
      <c r="V99" s="436">
        <f>'Pre-analyseverktøy'!V99</f>
        <v>0</v>
      </c>
      <c r="W99" s="431" t="str">
        <f>'Pre-analyseverktøy'!W99</f>
        <v>-</v>
      </c>
      <c r="X99" s="430" t="str">
        <f>'Pre-analyseverktøy'!X99</f>
        <v>N/A</v>
      </c>
      <c r="Y99" s="433" t="str">
        <f>IF('Pre-analyseverktøy'!Y99=0,"",'Pre-analyseverktøy'!Y99)</f>
        <v/>
      </c>
      <c r="Z99" s="433" t="str">
        <f>IF('Pre-analyseverktøy'!Z99=0,"",'Pre-analyseverktøy'!Z99)</f>
        <v/>
      </c>
      <c r="AA99" s="433" t="str">
        <f>IF('Pre-analyseverktøy'!AA99=0,"",'Pre-analyseverktøy'!AA99)</f>
        <v/>
      </c>
    </row>
    <row r="100" spans="1:27">
      <c r="A100" s="620">
        <v>91</v>
      </c>
      <c r="B100" s="911" t="s">
        <v>398</v>
      </c>
      <c r="C100" s="911"/>
      <c r="D100" s="932" t="str">
        <f>'Pre-analyseverktøy'!C100</f>
        <v>Tra 02</v>
      </c>
      <c r="E100" s="932" t="str">
        <f>'Pre-analyseverktøy'!E100</f>
        <v>2-3</v>
      </c>
      <c r="F100" s="933" t="str">
        <f>'Pre-analyseverktøy'!F100</f>
        <v>Implementering av transporttiltak</v>
      </c>
      <c r="G100" s="430">
        <f>'Pre-analyseverktøy'!G100</f>
        <v>10</v>
      </c>
      <c r="H100" s="436">
        <f>'Pre-analyseverktøy'!H100</f>
        <v>0</v>
      </c>
      <c r="I100" s="902">
        <f>'Pre-analyseverktøy'!I100</f>
        <v>0</v>
      </c>
      <c r="J100" s="432" t="str">
        <f>'Pre-analyseverktøy'!J100</f>
        <v>N/A</v>
      </c>
      <c r="K100" s="433" t="str">
        <f>IF('Pre-analyseverktøy'!K100=0,"",'Pre-analyseverktøy'!K100)</f>
        <v/>
      </c>
      <c r="L100" s="433" t="str">
        <f>IF('Pre-analyseverktøy'!L100=0,"",'Pre-analyseverktøy'!L100)</f>
        <v/>
      </c>
      <c r="M100" s="434" t="str">
        <f>IF('Pre-analyseverktøy'!M100=0,"",'Pre-analyseverktøy'!M100)</f>
        <v/>
      </c>
      <c r="N100" s="435">
        <f>'Pre-analyseverktøy'!N100</f>
        <v>0</v>
      </c>
      <c r="O100" s="436">
        <f>'Pre-analyseverktøy'!O100</f>
        <v>0</v>
      </c>
      <c r="P100" s="431">
        <f>'Pre-analyseverktøy'!P100</f>
        <v>0</v>
      </c>
      <c r="Q100" s="430" t="str">
        <f>'Pre-analyseverktøy'!Q100</f>
        <v>N/A</v>
      </c>
      <c r="R100" s="433" t="str">
        <f>IF('Pre-analyseverktøy'!R100=0,"",'Pre-analyseverktøy'!R100)</f>
        <v/>
      </c>
      <c r="S100" s="433" t="str">
        <f>IF('Pre-analyseverktøy'!S100=0,"",'Pre-analyseverktøy'!S100)</f>
        <v/>
      </c>
      <c r="T100" s="434" t="str">
        <f>IF('Pre-analyseverktøy'!T100=0,"",'Pre-analyseverktøy'!T100)</f>
        <v/>
      </c>
      <c r="U100" s="437"/>
      <c r="V100" s="436">
        <f>'Pre-analyseverktøy'!V100</f>
        <v>0</v>
      </c>
      <c r="W100" s="431">
        <f>'Pre-analyseverktøy'!W100</f>
        <v>0</v>
      </c>
      <c r="X100" s="430" t="str">
        <f>'Pre-analyseverktøy'!X100</f>
        <v>N/A</v>
      </c>
      <c r="Y100" s="433" t="str">
        <f>IF('Pre-analyseverktøy'!Y100=0,"",'Pre-analyseverktøy'!Y100)</f>
        <v/>
      </c>
      <c r="Z100" s="433" t="str">
        <f>IF('Pre-analyseverktøy'!Z100=0,"",'Pre-analyseverktøy'!Z100)</f>
        <v/>
      </c>
      <c r="AA100" s="433" t="str">
        <f>IF('Pre-analyseverktøy'!AA100=0,"",'Pre-analyseverktøy'!AA100)</f>
        <v/>
      </c>
    </row>
    <row r="101" spans="1:27" ht="30" customHeight="1" thickBot="1">
      <c r="A101" s="620">
        <v>92</v>
      </c>
      <c r="B101" s="911" t="s">
        <v>398</v>
      </c>
      <c r="C101" s="911"/>
      <c r="D101" s="934"/>
      <c r="E101" s="932"/>
      <c r="F101" s="934" t="str">
        <f>'Pre-analyseverktøy'!F101</f>
        <v>Totalsum transport</v>
      </c>
      <c r="G101" s="438">
        <f>'Pre-analyseverktøy'!G101</f>
        <v>13</v>
      </c>
      <c r="H101" s="440">
        <f>'Pre-analyseverktøy'!H101</f>
        <v>0</v>
      </c>
      <c r="I101" s="439">
        <f>'Pre-analyseverktøy'!I101</f>
        <v>0</v>
      </c>
      <c r="J101" s="438" t="str">
        <f>'Pre-analyseverktøy'!J101</f>
        <v>Poeng oppnådd: 0</v>
      </c>
      <c r="K101" s="884" t="str">
        <f>IF('Pre-analyseverktøy'!K101=0,"",'Pre-analyseverktøy'!K101)</f>
        <v/>
      </c>
      <c r="L101" s="884" t="str">
        <f>IF('Pre-analyseverktøy'!L101=0,"",'Pre-analyseverktøy'!L101)</f>
        <v/>
      </c>
      <c r="M101" s="903" t="str">
        <f>IF('Pre-analyseverktøy'!M101=0,"",'Pre-analyseverktøy'!M101)</f>
        <v/>
      </c>
      <c r="N101" s="904">
        <f>'Pre-analyseverktøy'!N101</f>
        <v>0</v>
      </c>
      <c r="O101" s="440">
        <f>'Pre-analyseverktøy'!O101</f>
        <v>0</v>
      </c>
      <c r="P101" s="439">
        <f>'Pre-analyseverktøy'!P101</f>
        <v>0</v>
      </c>
      <c r="Q101" s="438" t="str">
        <f>'Pre-analyseverktøy'!Q101</f>
        <v>Poeng oppnådd: 0</v>
      </c>
      <c r="R101" s="884" t="str">
        <f>IF('Pre-analyseverktøy'!R101=0,"",'Pre-analyseverktøy'!R101)</f>
        <v/>
      </c>
      <c r="S101" s="884" t="str">
        <f>IF('Pre-analyseverktøy'!S101=0,"",'Pre-analyseverktøy'!S101)</f>
        <v/>
      </c>
      <c r="T101" s="903" t="str">
        <f>IF('Pre-analyseverktøy'!T101=0,"",'Pre-analyseverktøy'!T101)</f>
        <v/>
      </c>
      <c r="U101" s="905"/>
      <c r="V101" s="440">
        <f>'Pre-analyseverktøy'!V101</f>
        <v>0</v>
      </c>
      <c r="W101" s="439">
        <f>'Pre-analyseverktøy'!W101</f>
        <v>0</v>
      </c>
      <c r="X101" s="438" t="str">
        <f>'Pre-analyseverktøy'!X101</f>
        <v>Poeng oppnådd: 0</v>
      </c>
      <c r="Y101" s="884" t="str">
        <f>IF('Pre-analyseverktøy'!Y101=0,"",'Pre-analyseverktøy'!Y101)</f>
        <v/>
      </c>
      <c r="Z101" s="884" t="str">
        <f>IF('Pre-analyseverktøy'!Z101=0,"",'Pre-analyseverktøy'!Z101)</f>
        <v/>
      </c>
      <c r="AA101" s="884" t="str">
        <f>IF('Pre-analyseverktøy'!AA101=0,"",'Pre-analyseverktøy'!AA101)</f>
        <v/>
      </c>
    </row>
    <row r="102" spans="1:27">
      <c r="A102" s="620">
        <v>93</v>
      </c>
      <c r="B102" s="911" t="s">
        <v>398</v>
      </c>
      <c r="C102" s="911"/>
      <c r="D102" s="441"/>
      <c r="E102" s="441"/>
      <c r="F102" s="441"/>
      <c r="G102" s="442"/>
      <c r="H102" s="442"/>
      <c r="I102" s="442"/>
      <c r="J102" s="442"/>
      <c r="K102" s="441" t="str">
        <f>IF('Pre-analyseverktøy'!K102=0,"",'Pre-analyseverktøy'!K102)</f>
        <v/>
      </c>
      <c r="L102" s="442" t="str">
        <f>IF('Pre-analyseverktøy'!L102=0,"",'Pre-analyseverktøy'!L102)</f>
        <v/>
      </c>
      <c r="M102" s="441" t="str">
        <f>IF('Pre-analyseverktøy'!M102=0,"",'Pre-analyseverktøy'!M102)</f>
        <v/>
      </c>
      <c r="N102" s="435"/>
      <c r="O102" s="442"/>
      <c r="P102" s="442"/>
      <c r="Q102" s="442"/>
      <c r="R102" s="441" t="str">
        <f>IF('Pre-analyseverktøy'!R102=0,"",'Pre-analyseverktøy'!R102)</f>
        <v/>
      </c>
      <c r="S102" s="442" t="str">
        <f>IF('Pre-analyseverktøy'!S102=0,"",'Pre-analyseverktøy'!S102)</f>
        <v/>
      </c>
      <c r="T102" s="441" t="str">
        <f>IF('Pre-analyseverktøy'!T102=0,"",'Pre-analyseverktøy'!T102)</f>
        <v/>
      </c>
      <c r="U102" s="437"/>
      <c r="V102" s="442"/>
      <c r="W102" s="442"/>
      <c r="X102" s="442"/>
      <c r="Y102" s="441" t="str">
        <f>IF('Pre-analyseverktøy'!Y102=0,"",'Pre-analyseverktøy'!Y102)</f>
        <v/>
      </c>
      <c r="Z102" s="442" t="str">
        <f>IF('Pre-analyseverktøy'!Z102=0,"",'Pre-analyseverktøy'!Z102)</f>
        <v/>
      </c>
      <c r="AA102" s="441" t="str">
        <f>IF('Pre-analyseverktøy'!AA102=0,"",'Pre-analyseverktøy'!AA102)</f>
        <v/>
      </c>
    </row>
    <row r="103" spans="1:27" ht="18.75">
      <c r="A103" s="620">
        <v>94</v>
      </c>
      <c r="B103" s="620" t="s">
        <v>411</v>
      </c>
      <c r="C103" s="620"/>
      <c r="D103" s="443"/>
      <c r="E103" s="443"/>
      <c r="F103" s="443" t="s">
        <v>411</v>
      </c>
      <c r="G103" s="426"/>
      <c r="H103" s="426"/>
      <c r="I103" s="426"/>
      <c r="J103" s="426"/>
      <c r="K103" s="427" t="str">
        <f>IF('Pre-analyseverktøy'!K103=0,"",'Pre-analyseverktøy'!K103)</f>
        <v/>
      </c>
      <c r="L103" s="426" t="str">
        <f>IF('Pre-analyseverktøy'!L103=0,"",'Pre-analyseverktøy'!L103)</f>
        <v/>
      </c>
      <c r="M103" s="427" t="str">
        <f>IF('Pre-analyseverktøy'!M103=0,"",'Pre-analyseverktøy'!M103)</f>
        <v/>
      </c>
      <c r="N103" s="435"/>
      <c r="O103" s="426"/>
      <c r="P103" s="426"/>
      <c r="Q103" s="426"/>
      <c r="R103" s="427" t="str">
        <f>IF('Pre-analyseverktøy'!R103=0,"",'Pre-analyseverktøy'!R103)</f>
        <v/>
      </c>
      <c r="S103" s="426" t="str">
        <f>IF('Pre-analyseverktøy'!S103=0,"",'Pre-analyseverktøy'!S103)</f>
        <v/>
      </c>
      <c r="T103" s="427" t="str">
        <f>IF('Pre-analyseverktøy'!T103=0,"",'Pre-analyseverktøy'!T103)</f>
        <v/>
      </c>
      <c r="U103" s="437"/>
      <c r="V103" s="426"/>
      <c r="W103" s="426"/>
      <c r="X103" s="426"/>
      <c r="Y103" s="427" t="str">
        <f>IF('Pre-analyseverktøy'!Y103=0,"",'Pre-analyseverktøy'!Y103)</f>
        <v/>
      </c>
      <c r="Z103" s="426" t="str">
        <f>IF('Pre-analyseverktøy'!Z103=0,"",'Pre-analyseverktøy'!Z103)</f>
        <v/>
      </c>
      <c r="AA103" s="514" t="str">
        <f>IF('Pre-analyseverktøy'!AA103=0,"",'Pre-analyseverktøy'!AA103)</f>
        <v/>
      </c>
    </row>
    <row r="104" spans="1:27">
      <c r="A104" s="620">
        <v>95</v>
      </c>
      <c r="B104" s="911" t="s">
        <v>411</v>
      </c>
      <c r="C104" s="911"/>
      <c r="D104" s="931" t="str">
        <f>'Pre-analyseverktøy'!C104</f>
        <v>Wat 01</v>
      </c>
      <c r="E104" s="932"/>
      <c r="F104" s="931" t="str">
        <f>'Pre-analyseverktøy'!F104</f>
        <v>Wat 01 Vannforbruk</v>
      </c>
      <c r="G104" s="430">
        <f>'Pre-analyseverktøy'!G104</f>
        <v>5</v>
      </c>
      <c r="H104" s="436">
        <f>'Pre-analyseverktøy'!H104</f>
        <v>0</v>
      </c>
      <c r="I104" s="902" t="str">
        <f>'Pre-analyseverktøy'!I104</f>
        <v>0 c. 0 %</v>
      </c>
      <c r="J104" s="432" t="str">
        <f>'Pre-analyseverktøy'!J104</f>
        <v>N/A</v>
      </c>
      <c r="K104" s="433" t="str">
        <f>IF('Pre-analyseverktøy'!K104=0,"",'Pre-analyseverktøy'!K104)</f>
        <v/>
      </c>
      <c r="L104" s="433" t="str">
        <f>IF('Pre-analyseverktøy'!L104=0,"",'Pre-analyseverktøy'!L104)</f>
        <v/>
      </c>
      <c r="M104" s="434" t="str">
        <f>IF('Pre-analyseverktøy'!M104=0,"",'Pre-analyseverktøy'!M104)</f>
        <v/>
      </c>
      <c r="N104" s="435">
        <f>'Pre-analyseverktøy'!N104</f>
        <v>0</v>
      </c>
      <c r="O104" s="436">
        <f>'Pre-analyseverktøy'!O104</f>
        <v>0</v>
      </c>
      <c r="P104" s="431" t="str">
        <f>'Pre-analyseverktøy'!P104</f>
        <v>0 c. 0 %</v>
      </c>
      <c r="Q104" s="430" t="str">
        <f>'Pre-analyseverktøy'!Q104</f>
        <v>N/A</v>
      </c>
      <c r="R104" s="433" t="str">
        <f>IF('Pre-analyseverktøy'!R104=0,"",'Pre-analyseverktøy'!R104)</f>
        <v/>
      </c>
      <c r="S104" s="433" t="str">
        <f>IF('Pre-analyseverktøy'!S104=0,"",'Pre-analyseverktøy'!S104)</f>
        <v/>
      </c>
      <c r="T104" s="434" t="str">
        <f>IF('Pre-analyseverktøy'!T104=0,"",'Pre-analyseverktøy'!T104)</f>
        <v/>
      </c>
      <c r="U104" s="437"/>
      <c r="V104" s="436">
        <f>'Pre-analyseverktøy'!V104</f>
        <v>0</v>
      </c>
      <c r="W104" s="431" t="str">
        <f>'Pre-analyseverktøy'!W104</f>
        <v>0 c. 0 %</v>
      </c>
      <c r="X104" s="430" t="str">
        <f>'Pre-analyseverktøy'!X104</f>
        <v>N/A</v>
      </c>
      <c r="Y104" s="433" t="str">
        <f>IF('Pre-analyseverktøy'!Y104=0,"",'Pre-analyseverktøy'!Y104)</f>
        <v/>
      </c>
      <c r="Z104" s="433" t="str">
        <f>IF('Pre-analyseverktøy'!Z104=0,"",'Pre-analyseverktøy'!Z104)</f>
        <v/>
      </c>
      <c r="AA104" s="433" t="str">
        <f>IF('Pre-analyseverktøy'!AA104=0,"",'Pre-analyseverktøy'!AA104)</f>
        <v/>
      </c>
    </row>
    <row r="105" spans="1:27">
      <c r="A105" s="620">
        <v>96</v>
      </c>
      <c r="B105" s="911" t="s">
        <v>411</v>
      </c>
      <c r="C105" s="911"/>
      <c r="D105" s="932" t="str">
        <f>'Pre-analyseverktøy'!C105</f>
        <v>Wat 01</v>
      </c>
      <c r="E105" s="932" t="str">
        <f>'Pre-analyseverktøy'!E105</f>
        <v>1-7</v>
      </c>
      <c r="F105" s="933" t="str">
        <f>'Pre-analyseverktøy'!F105</f>
        <v>Vanneffektivt sanitærutstyr</v>
      </c>
      <c r="G105" s="430">
        <f>'Pre-analyseverktøy'!G105</f>
        <v>5</v>
      </c>
      <c r="H105" s="436">
        <f>'Pre-analyseverktøy'!H105</f>
        <v>0</v>
      </c>
      <c r="I105" s="902">
        <f>'Pre-analyseverktøy'!I105</f>
        <v>0</v>
      </c>
      <c r="J105" s="432" t="str">
        <f>'Pre-analyseverktøy'!J105</f>
        <v>Very Good</v>
      </c>
      <c r="K105" s="433" t="str">
        <f>IF('Pre-analyseverktøy'!K105=0,"",'Pre-analyseverktøy'!K105)</f>
        <v/>
      </c>
      <c r="L105" s="433" t="str">
        <f>IF('Pre-analyseverktøy'!L105=0,"",'Pre-analyseverktøy'!L105)</f>
        <v/>
      </c>
      <c r="M105" s="434" t="str">
        <f>IF('Pre-analyseverktøy'!M105=0,"",'Pre-analyseverktøy'!M105)</f>
        <v/>
      </c>
      <c r="N105" s="435">
        <f>'Pre-analyseverktøy'!N105</f>
        <v>0</v>
      </c>
      <c r="O105" s="436">
        <f>'Pre-analyseverktøy'!O105</f>
        <v>0</v>
      </c>
      <c r="P105" s="431">
        <f>'Pre-analyseverktøy'!P105</f>
        <v>0</v>
      </c>
      <c r="Q105" s="430" t="str">
        <f>'Pre-analyseverktøy'!Q105</f>
        <v>Very Good</v>
      </c>
      <c r="R105" s="433" t="str">
        <f>IF('Pre-analyseverktøy'!R105=0,"",'Pre-analyseverktøy'!R105)</f>
        <v/>
      </c>
      <c r="S105" s="433" t="str">
        <f>IF('Pre-analyseverktøy'!S105=0,"",'Pre-analyseverktøy'!S105)</f>
        <v/>
      </c>
      <c r="T105" s="434" t="str">
        <f>IF('Pre-analyseverktøy'!T105=0,"",'Pre-analyseverktøy'!T105)</f>
        <v/>
      </c>
      <c r="U105" s="437"/>
      <c r="V105" s="436">
        <f>'Pre-analyseverktøy'!V105</f>
        <v>0</v>
      </c>
      <c r="W105" s="431">
        <f>'Pre-analyseverktøy'!W105</f>
        <v>0</v>
      </c>
      <c r="X105" s="430" t="str">
        <f>'Pre-analyseverktøy'!X105</f>
        <v>Very Good</v>
      </c>
      <c r="Y105" s="433" t="str">
        <f>IF('Pre-analyseverktøy'!Y105=0,"",'Pre-analyseverktøy'!Y105)</f>
        <v/>
      </c>
      <c r="Z105" s="433" t="str">
        <f>IF('Pre-analyseverktøy'!Z105=0,"",'Pre-analyseverktøy'!Z105)</f>
        <v/>
      </c>
      <c r="AA105" s="433" t="str">
        <f>IF('Pre-analyseverktøy'!AA105=0,"",'Pre-analyseverktøy'!AA105)</f>
        <v/>
      </c>
    </row>
    <row r="106" spans="1:27">
      <c r="A106" s="620">
        <v>97</v>
      </c>
      <c r="B106" s="911" t="s">
        <v>411</v>
      </c>
      <c r="C106" s="911"/>
      <c r="D106" s="932" t="str">
        <f>'Pre-analyseverktøy'!C106</f>
        <v>Wat 01</v>
      </c>
      <c r="E106" s="932">
        <f>'Pre-analyseverktøy'!E106</f>
        <v>2</v>
      </c>
      <c r="F106" s="935" t="str">
        <f>'Pre-analyseverktøy'!F106</f>
        <v>EU taksonomi: krit. 2</v>
      </c>
      <c r="G106" s="430" t="str">
        <f>'Pre-analyseverktøy'!G106</f>
        <v>Yes/No</v>
      </c>
      <c r="H106" s="436">
        <f>'Pre-analyseverktøy'!H106</f>
        <v>0</v>
      </c>
      <c r="I106" s="902" t="str">
        <f>'Pre-analyseverktøy'!I106</f>
        <v>-</v>
      </c>
      <c r="J106" s="432" t="str">
        <f>'Pre-analyseverktøy'!J106</f>
        <v>N/A</v>
      </c>
      <c r="K106" s="433" t="str">
        <f>IF('Pre-analyseverktøy'!K106=0,"",'Pre-analyseverktøy'!K106)</f>
        <v/>
      </c>
      <c r="L106" s="433" t="str">
        <f>IF('Pre-analyseverktøy'!L106=0,"",'Pre-analyseverktøy'!L106)</f>
        <v/>
      </c>
      <c r="M106" s="434" t="str">
        <f>IF('Pre-analyseverktøy'!M106=0,"",'Pre-analyseverktøy'!M106)</f>
        <v/>
      </c>
      <c r="N106" s="435">
        <f>'Pre-analyseverktøy'!N106</f>
        <v>0</v>
      </c>
      <c r="O106" s="436">
        <f>'Pre-analyseverktøy'!O106</f>
        <v>0</v>
      </c>
      <c r="P106" s="431" t="str">
        <f>'Pre-analyseverktøy'!P106</f>
        <v>-</v>
      </c>
      <c r="Q106" s="430" t="str">
        <f>'Pre-analyseverktøy'!Q106</f>
        <v>N/A</v>
      </c>
      <c r="R106" s="433" t="str">
        <f>IF('Pre-analyseverktøy'!R106=0,"",'Pre-analyseverktøy'!R106)</f>
        <v/>
      </c>
      <c r="S106" s="433" t="str">
        <f>IF('Pre-analyseverktøy'!S106=0,"",'Pre-analyseverktøy'!S106)</f>
        <v/>
      </c>
      <c r="T106" s="434" t="str">
        <f>IF('Pre-analyseverktøy'!T106=0,"",'Pre-analyseverktøy'!T106)</f>
        <v/>
      </c>
      <c r="U106" s="437"/>
      <c r="V106" s="436">
        <f>'Pre-analyseverktøy'!V106</f>
        <v>0</v>
      </c>
      <c r="W106" s="431" t="str">
        <f>'Pre-analyseverktøy'!W106</f>
        <v>-</v>
      </c>
      <c r="X106" s="430" t="str">
        <f>'Pre-analyseverktøy'!X106</f>
        <v>N/A</v>
      </c>
      <c r="Y106" s="433" t="str">
        <f>IF('Pre-analyseverktøy'!Y106=0,"",'Pre-analyseverktøy'!Y106)</f>
        <v/>
      </c>
      <c r="Z106" s="433" t="str">
        <f>IF('Pre-analyseverktøy'!Z106=0,"",'Pre-analyseverktøy'!Z106)</f>
        <v/>
      </c>
      <c r="AA106" s="433" t="str">
        <f>IF('Pre-analyseverktøy'!AA106=0,"",'Pre-analyseverktøy'!AA106)</f>
        <v/>
      </c>
    </row>
    <row r="107" spans="1:27">
      <c r="A107" s="620">
        <v>98</v>
      </c>
      <c r="B107" s="911" t="s">
        <v>411</v>
      </c>
      <c r="C107" s="911"/>
      <c r="D107" s="932" t="str">
        <f>'Pre-analyseverktøy'!C107</f>
        <v>Wat 02</v>
      </c>
      <c r="E107" s="932"/>
      <c r="F107" s="933" t="str">
        <f>'Pre-analyseverktøy'!F107</f>
        <v>Wat 02 Vannmåling</v>
      </c>
      <c r="G107" s="430">
        <f>'Pre-analyseverktøy'!G107</f>
        <v>1</v>
      </c>
      <c r="H107" s="436">
        <f>'Pre-analyseverktøy'!H107</f>
        <v>0</v>
      </c>
      <c r="I107" s="902" t="str">
        <f>'Pre-analyseverktøy'!I107</f>
        <v>0 c. 0 %</v>
      </c>
      <c r="J107" s="432" t="str">
        <f>'Pre-analyseverktøy'!J107</f>
        <v>N/A</v>
      </c>
      <c r="K107" s="433" t="str">
        <f>IF('Pre-analyseverktøy'!K107=0,"",'Pre-analyseverktøy'!K107)</f>
        <v/>
      </c>
      <c r="L107" s="433" t="str">
        <f>IF('Pre-analyseverktøy'!L107=0,"",'Pre-analyseverktøy'!L107)</f>
        <v/>
      </c>
      <c r="M107" s="434" t="str">
        <f>IF('Pre-analyseverktøy'!M107=0,"",'Pre-analyseverktøy'!M107)</f>
        <v/>
      </c>
      <c r="N107" s="435">
        <f>'Pre-analyseverktøy'!N107</f>
        <v>0</v>
      </c>
      <c r="O107" s="436">
        <f>'Pre-analyseverktøy'!O107</f>
        <v>0</v>
      </c>
      <c r="P107" s="431" t="str">
        <f>'Pre-analyseverktøy'!P107</f>
        <v>0 c. 0 %</v>
      </c>
      <c r="Q107" s="430" t="str">
        <f>'Pre-analyseverktøy'!Q107</f>
        <v>N/A</v>
      </c>
      <c r="R107" s="433" t="str">
        <f>IF('Pre-analyseverktøy'!R107=0,"",'Pre-analyseverktøy'!R107)</f>
        <v/>
      </c>
      <c r="S107" s="433" t="str">
        <f>IF('Pre-analyseverktøy'!S107=0,"",'Pre-analyseverktøy'!S107)</f>
        <v/>
      </c>
      <c r="T107" s="434" t="str">
        <f>IF('Pre-analyseverktøy'!T107=0,"",'Pre-analyseverktøy'!T107)</f>
        <v/>
      </c>
      <c r="U107" s="437"/>
      <c r="V107" s="436">
        <f>'Pre-analyseverktøy'!V107</f>
        <v>0</v>
      </c>
      <c r="W107" s="431" t="str">
        <f>'Pre-analyseverktøy'!W107</f>
        <v>0 c. 0 %</v>
      </c>
      <c r="X107" s="430" t="str">
        <f>'Pre-analyseverktøy'!X107</f>
        <v>N/A</v>
      </c>
      <c r="Y107" s="433" t="str">
        <f>IF('Pre-analyseverktøy'!Y107=0,"",'Pre-analyseverktøy'!Y107)</f>
        <v/>
      </c>
      <c r="Z107" s="433" t="str">
        <f>IF('Pre-analyseverktøy'!Z107=0,"",'Pre-analyseverktøy'!Z107)</f>
        <v/>
      </c>
      <c r="AA107" s="433" t="str">
        <f>IF('Pre-analyseverktøy'!AA107=0,"",'Pre-analyseverktøy'!AA107)</f>
        <v/>
      </c>
    </row>
    <row r="108" spans="1:27">
      <c r="A108" s="620">
        <v>99</v>
      </c>
      <c r="B108" s="911" t="s">
        <v>411</v>
      </c>
      <c r="C108" s="911"/>
      <c r="D108" s="932" t="str">
        <f>'Pre-analyseverktøy'!C108</f>
        <v>Wat 02</v>
      </c>
      <c r="E108" s="932" t="str">
        <f>'Pre-analyseverktøy'!E108</f>
        <v>1-4</v>
      </c>
      <c r="F108" s="933" t="str">
        <f>'Pre-analyseverktøy'!F108</f>
        <v>Vannmåler og delmåler</v>
      </c>
      <c r="G108" s="430">
        <f>'Pre-analyseverktøy'!G108</f>
        <v>1</v>
      </c>
      <c r="H108" s="436">
        <f>'Pre-analyseverktøy'!H108</f>
        <v>0</v>
      </c>
      <c r="I108" s="902">
        <f>'Pre-analyseverktøy'!I108</f>
        <v>0</v>
      </c>
      <c r="J108" s="432" t="str">
        <f>'Pre-analyseverktøy'!J108</f>
        <v>N/A</v>
      </c>
      <c r="K108" s="433" t="str">
        <f>IF('Pre-analyseverktøy'!K108=0,"",'Pre-analyseverktøy'!K108)</f>
        <v/>
      </c>
      <c r="L108" s="433" t="str">
        <f>IF('Pre-analyseverktøy'!L108=0,"",'Pre-analyseverktøy'!L108)</f>
        <v/>
      </c>
      <c r="M108" s="434" t="str">
        <f>IF('Pre-analyseverktøy'!M108=0,"",'Pre-analyseverktøy'!M108)</f>
        <v/>
      </c>
      <c r="N108" s="435">
        <f>'Pre-analyseverktøy'!N108</f>
        <v>0</v>
      </c>
      <c r="O108" s="436">
        <f>'Pre-analyseverktøy'!O108</f>
        <v>0</v>
      </c>
      <c r="P108" s="431">
        <f>'Pre-analyseverktøy'!P108</f>
        <v>0</v>
      </c>
      <c r="Q108" s="430" t="str">
        <f>'Pre-analyseverktøy'!Q108</f>
        <v>N/A</v>
      </c>
      <c r="R108" s="433" t="str">
        <f>IF('Pre-analyseverktøy'!R108=0,"",'Pre-analyseverktøy'!R108)</f>
        <v/>
      </c>
      <c r="S108" s="433" t="str">
        <f>IF('Pre-analyseverktøy'!S108=0,"",'Pre-analyseverktøy'!S108)</f>
        <v/>
      </c>
      <c r="T108" s="434" t="str">
        <f>IF('Pre-analyseverktøy'!T108=0,"",'Pre-analyseverktøy'!T108)</f>
        <v/>
      </c>
      <c r="U108" s="437"/>
      <c r="V108" s="436">
        <f>'Pre-analyseverktøy'!V108</f>
        <v>0</v>
      </c>
      <c r="W108" s="431">
        <f>'Pre-analyseverktøy'!W108</f>
        <v>0</v>
      </c>
      <c r="X108" s="430" t="str">
        <f>'Pre-analyseverktøy'!X108</f>
        <v>N/A</v>
      </c>
      <c r="Y108" s="433" t="str">
        <f>IF('Pre-analyseverktøy'!Y108=0,"",'Pre-analyseverktøy'!Y108)</f>
        <v/>
      </c>
      <c r="Z108" s="433" t="str">
        <f>IF('Pre-analyseverktøy'!Z108=0,"",'Pre-analyseverktøy'!Z108)</f>
        <v/>
      </c>
      <c r="AA108" s="433" t="str">
        <f>IF('Pre-analyseverktøy'!AA108=0,"",'Pre-analyseverktøy'!AA108)</f>
        <v/>
      </c>
    </row>
    <row r="109" spans="1:27">
      <c r="A109" s="620">
        <v>100</v>
      </c>
      <c r="B109" s="911" t="s">
        <v>411</v>
      </c>
      <c r="C109" s="911"/>
      <c r="D109" s="931" t="str">
        <f>'Pre-analyseverktøy'!C109</f>
        <v>Wat 03</v>
      </c>
      <c r="E109" s="932"/>
      <c r="F109" s="931" t="str">
        <f>'Pre-analyseverktøy'!F109</f>
        <v>Wat 03 Detektering og forebygging av vannlekkasjer</v>
      </c>
      <c r="G109" s="430">
        <f>'Pre-analyseverktøy'!G109</f>
        <v>2</v>
      </c>
      <c r="H109" s="436">
        <f>'Pre-analyseverktøy'!H109</f>
        <v>0</v>
      </c>
      <c r="I109" s="902" t="str">
        <f>'Pre-analyseverktøy'!I109</f>
        <v>0 c. 0 %</v>
      </c>
      <c r="J109" s="432" t="str">
        <f>'Pre-analyseverktøy'!J109</f>
        <v>N/A</v>
      </c>
      <c r="K109" s="433" t="str">
        <f>IF('Pre-analyseverktøy'!K109=0,"",'Pre-analyseverktøy'!K109)</f>
        <v/>
      </c>
      <c r="L109" s="433" t="str">
        <f>IF('Pre-analyseverktøy'!L109=0,"",'Pre-analyseverktøy'!L109)</f>
        <v/>
      </c>
      <c r="M109" s="434" t="str">
        <f>IF('Pre-analyseverktøy'!M109=0,"",'Pre-analyseverktøy'!M109)</f>
        <v/>
      </c>
      <c r="N109" s="435">
        <f>'Pre-analyseverktøy'!N109</f>
        <v>0</v>
      </c>
      <c r="O109" s="436">
        <f>'Pre-analyseverktøy'!O109</f>
        <v>0</v>
      </c>
      <c r="P109" s="431" t="str">
        <f>'Pre-analyseverktøy'!P109</f>
        <v>0 c. 0 %</v>
      </c>
      <c r="Q109" s="430" t="str">
        <f>'Pre-analyseverktøy'!Q109</f>
        <v>N/A</v>
      </c>
      <c r="R109" s="433" t="str">
        <f>IF('Pre-analyseverktøy'!R109=0,"",'Pre-analyseverktøy'!R109)</f>
        <v/>
      </c>
      <c r="S109" s="433" t="str">
        <f>IF('Pre-analyseverktøy'!S109=0,"",'Pre-analyseverktøy'!S109)</f>
        <v/>
      </c>
      <c r="T109" s="434" t="str">
        <f>IF('Pre-analyseverktøy'!T109=0,"",'Pre-analyseverktøy'!T109)</f>
        <v/>
      </c>
      <c r="U109" s="437"/>
      <c r="V109" s="436">
        <f>'Pre-analyseverktøy'!V109</f>
        <v>0</v>
      </c>
      <c r="W109" s="431" t="str">
        <f>'Pre-analyseverktøy'!W109</f>
        <v>0 c. 0 %</v>
      </c>
      <c r="X109" s="430" t="str">
        <f>'Pre-analyseverktøy'!X109</f>
        <v>N/A</v>
      </c>
      <c r="Y109" s="433" t="str">
        <f>IF('Pre-analyseverktøy'!Y109=0,"",'Pre-analyseverktøy'!Y109)</f>
        <v/>
      </c>
      <c r="Z109" s="433" t="str">
        <f>IF('Pre-analyseverktøy'!Z109=0,"",'Pre-analyseverktøy'!Z109)</f>
        <v/>
      </c>
      <c r="AA109" s="433" t="str">
        <f>IF('Pre-analyseverktøy'!AA109=0,"",'Pre-analyseverktøy'!AA109)</f>
        <v/>
      </c>
    </row>
    <row r="110" spans="1:27">
      <c r="A110" s="620">
        <v>101</v>
      </c>
      <c r="B110" s="911" t="s">
        <v>411</v>
      </c>
      <c r="C110" s="911"/>
      <c r="D110" s="932" t="str">
        <f>'Pre-analyseverktøy'!C110</f>
        <v>Wat 03</v>
      </c>
      <c r="E110" s="932">
        <f>'Pre-analyseverktøy'!E110</f>
        <v>1</v>
      </c>
      <c r="F110" s="933" t="str">
        <f>'Pre-analyseverktøy'!F110</f>
        <v>Lekkasjedetekteringssystem</v>
      </c>
      <c r="G110" s="430">
        <f>'Pre-analyseverktøy'!G110</f>
        <v>1</v>
      </c>
      <c r="H110" s="436">
        <f>'Pre-analyseverktøy'!H110</f>
        <v>0</v>
      </c>
      <c r="I110" s="902">
        <f>'Pre-analyseverktøy'!I110</f>
        <v>0</v>
      </c>
      <c r="J110" s="432" t="str">
        <f>'Pre-analyseverktøy'!J110</f>
        <v>N/A</v>
      </c>
      <c r="K110" s="433" t="str">
        <f>IF('Pre-analyseverktøy'!K110=0,"",'Pre-analyseverktøy'!K110)</f>
        <v/>
      </c>
      <c r="L110" s="433" t="str">
        <f>IF('Pre-analyseverktøy'!L110=0,"",'Pre-analyseverktøy'!L110)</f>
        <v/>
      </c>
      <c r="M110" s="434" t="str">
        <f>IF('Pre-analyseverktøy'!M110=0,"",'Pre-analyseverktøy'!M110)</f>
        <v/>
      </c>
      <c r="N110" s="435">
        <f>'Pre-analyseverktøy'!N110</f>
        <v>0</v>
      </c>
      <c r="O110" s="436">
        <f>'Pre-analyseverktøy'!O110</f>
        <v>0</v>
      </c>
      <c r="P110" s="431">
        <f>'Pre-analyseverktøy'!P110</f>
        <v>0</v>
      </c>
      <c r="Q110" s="430" t="str">
        <f>'Pre-analyseverktøy'!Q110</f>
        <v>N/A</v>
      </c>
      <c r="R110" s="433" t="str">
        <f>IF('Pre-analyseverktøy'!R110=0,"",'Pre-analyseverktøy'!R110)</f>
        <v/>
      </c>
      <c r="S110" s="433" t="str">
        <f>IF('Pre-analyseverktøy'!S110=0,"",'Pre-analyseverktøy'!S110)</f>
        <v/>
      </c>
      <c r="T110" s="434" t="str">
        <f>IF('Pre-analyseverktøy'!T110=0,"",'Pre-analyseverktøy'!T110)</f>
        <v/>
      </c>
      <c r="U110" s="437"/>
      <c r="V110" s="436">
        <f>'Pre-analyseverktøy'!V110</f>
        <v>0</v>
      </c>
      <c r="W110" s="431">
        <f>'Pre-analyseverktøy'!W110</f>
        <v>0</v>
      </c>
      <c r="X110" s="430" t="str">
        <f>'Pre-analyseverktøy'!X110</f>
        <v>N/A</v>
      </c>
      <c r="Y110" s="433" t="str">
        <f>IF('Pre-analyseverktøy'!Y110=0,"",'Pre-analyseverktøy'!Y110)</f>
        <v/>
      </c>
      <c r="Z110" s="433" t="str">
        <f>IF('Pre-analyseverktøy'!Z110=0,"",'Pre-analyseverktøy'!Z110)</f>
        <v/>
      </c>
      <c r="AA110" s="433" t="str">
        <f>IF('Pre-analyseverktøy'!AA110=0,"",'Pre-analyseverktøy'!AA110)</f>
        <v/>
      </c>
    </row>
    <row r="111" spans="1:27">
      <c r="A111" s="620">
        <v>102</v>
      </c>
      <c r="B111" s="911" t="s">
        <v>411</v>
      </c>
      <c r="C111" s="911"/>
      <c r="D111" s="932" t="str">
        <f>'Pre-analyseverktøy'!C111</f>
        <v>Wat 03</v>
      </c>
      <c r="E111" s="932">
        <f>'Pre-analyseverktøy'!E111</f>
        <v>2</v>
      </c>
      <c r="F111" s="933" t="str">
        <f>'Pre-analyseverktøy'!F111</f>
        <v>Vannmengderegulator i toalettkjerne</v>
      </c>
      <c r="G111" s="430">
        <f>'Pre-analyseverktøy'!G111</f>
        <v>1</v>
      </c>
      <c r="H111" s="436">
        <f>'Pre-analyseverktøy'!H111</f>
        <v>0</v>
      </c>
      <c r="I111" s="902">
        <f>'Pre-analyseverktøy'!I111</f>
        <v>0</v>
      </c>
      <c r="J111" s="432" t="str">
        <f>'Pre-analyseverktøy'!J111</f>
        <v>N/A</v>
      </c>
      <c r="K111" s="433" t="str">
        <f>IF('Pre-analyseverktøy'!K111=0,"",'Pre-analyseverktøy'!K111)</f>
        <v/>
      </c>
      <c r="L111" s="433" t="str">
        <f>IF('Pre-analyseverktøy'!L111=0,"",'Pre-analyseverktøy'!L111)</f>
        <v/>
      </c>
      <c r="M111" s="434" t="str">
        <f>IF('Pre-analyseverktøy'!M111=0,"",'Pre-analyseverktøy'!M111)</f>
        <v/>
      </c>
      <c r="N111" s="435">
        <f>'Pre-analyseverktøy'!N111</f>
        <v>0</v>
      </c>
      <c r="O111" s="436">
        <f>'Pre-analyseverktøy'!O111</f>
        <v>0</v>
      </c>
      <c r="P111" s="431">
        <f>'Pre-analyseverktøy'!P111</f>
        <v>0</v>
      </c>
      <c r="Q111" s="430" t="str">
        <f>'Pre-analyseverktøy'!Q111</f>
        <v>N/A</v>
      </c>
      <c r="R111" s="433" t="str">
        <f>IF('Pre-analyseverktøy'!R111=0,"",'Pre-analyseverktøy'!R111)</f>
        <v/>
      </c>
      <c r="S111" s="433" t="str">
        <f>IF('Pre-analyseverktøy'!S111=0,"",'Pre-analyseverktøy'!S111)</f>
        <v/>
      </c>
      <c r="T111" s="434" t="str">
        <f>IF('Pre-analyseverktøy'!T111=0,"",'Pre-analyseverktøy'!T111)</f>
        <v/>
      </c>
      <c r="U111" s="437"/>
      <c r="V111" s="436">
        <f>'Pre-analyseverktøy'!V111</f>
        <v>0</v>
      </c>
      <c r="W111" s="431">
        <f>'Pre-analyseverktøy'!W111</f>
        <v>0</v>
      </c>
      <c r="X111" s="430" t="str">
        <f>'Pre-analyseverktøy'!X111</f>
        <v>N/A</v>
      </c>
      <c r="Y111" s="433" t="str">
        <f>IF('Pre-analyseverktøy'!Y111=0,"",'Pre-analyseverktøy'!Y111)</f>
        <v/>
      </c>
      <c r="Z111" s="433" t="str">
        <f>IF('Pre-analyseverktøy'!Z111=0,"",'Pre-analyseverktøy'!Z111)</f>
        <v/>
      </c>
      <c r="AA111" s="433" t="str">
        <f>IF('Pre-analyseverktøy'!AA111=0,"",'Pre-analyseverktøy'!AA111)</f>
        <v/>
      </c>
    </row>
    <row r="112" spans="1:27">
      <c r="A112" s="620">
        <v>103</v>
      </c>
      <c r="B112" s="911" t="s">
        <v>411</v>
      </c>
      <c r="C112" s="911"/>
      <c r="D112" s="932" t="str">
        <f>'Pre-analyseverktøy'!C112</f>
        <v>Wat 03</v>
      </c>
      <c r="E112" s="932">
        <f>'Pre-analyseverktøy'!E112</f>
        <v>3</v>
      </c>
      <c r="F112" s="933" t="str">
        <f>'Pre-analyseverktøy'!F112</f>
        <v>Lekkasjeisolering</v>
      </c>
      <c r="G112" s="430">
        <f>'Pre-analyseverktøy'!G112</f>
        <v>0</v>
      </c>
      <c r="H112" s="436">
        <f>'Pre-analyseverktøy'!H112</f>
        <v>0</v>
      </c>
      <c r="I112" s="902">
        <f>'Pre-analyseverktøy'!I112</f>
        <v>0</v>
      </c>
      <c r="J112" s="432" t="str">
        <f>'Pre-analyseverktøy'!J112</f>
        <v>N/A</v>
      </c>
      <c r="K112" s="433" t="str">
        <f>IF('Pre-analyseverktøy'!K112=0,"",'Pre-analyseverktøy'!K112)</f>
        <v/>
      </c>
      <c r="L112" s="433" t="str">
        <f>IF('Pre-analyseverktøy'!L112=0,"",'Pre-analyseverktøy'!L112)</f>
        <v/>
      </c>
      <c r="M112" s="434" t="str">
        <f>IF('Pre-analyseverktøy'!M112=0,"",'Pre-analyseverktøy'!M112)</f>
        <v/>
      </c>
      <c r="N112" s="435">
        <f>'Pre-analyseverktøy'!N112</f>
        <v>0</v>
      </c>
      <c r="O112" s="436">
        <f>'Pre-analyseverktøy'!O112</f>
        <v>0</v>
      </c>
      <c r="P112" s="431">
        <f>'Pre-analyseverktøy'!P112</f>
        <v>0</v>
      </c>
      <c r="Q112" s="430" t="str">
        <f>'Pre-analyseverktøy'!Q112</f>
        <v>N/A</v>
      </c>
      <c r="R112" s="433" t="str">
        <f>IF('Pre-analyseverktøy'!R112=0,"",'Pre-analyseverktøy'!R112)</f>
        <v/>
      </c>
      <c r="S112" s="433" t="str">
        <f>IF('Pre-analyseverktøy'!S112=0,"",'Pre-analyseverktøy'!S112)</f>
        <v/>
      </c>
      <c r="T112" s="434" t="str">
        <f>IF('Pre-analyseverktøy'!T112=0,"",'Pre-analyseverktøy'!T112)</f>
        <v/>
      </c>
      <c r="U112" s="437"/>
      <c r="V112" s="436">
        <f>'Pre-analyseverktøy'!V112</f>
        <v>0</v>
      </c>
      <c r="W112" s="431">
        <f>'Pre-analyseverktøy'!W112</f>
        <v>0</v>
      </c>
      <c r="X112" s="430" t="str">
        <f>'Pre-analyseverktøy'!X112</f>
        <v>N/A</v>
      </c>
      <c r="Y112" s="433" t="str">
        <f>IF('Pre-analyseverktøy'!Y112=0,"",'Pre-analyseverktøy'!Y112)</f>
        <v/>
      </c>
      <c r="Z112" s="433" t="str">
        <f>IF('Pre-analyseverktøy'!Z112=0,"",'Pre-analyseverktøy'!Z112)</f>
        <v/>
      </c>
      <c r="AA112" s="433" t="str">
        <f>IF('Pre-analyseverktøy'!AA112=0,"",'Pre-analyseverktøy'!AA112)</f>
        <v/>
      </c>
    </row>
    <row r="113" spans="1:27">
      <c r="A113" s="620">
        <v>104</v>
      </c>
      <c r="B113" s="911" t="s">
        <v>411</v>
      </c>
      <c r="C113" s="911"/>
      <c r="D113" s="931" t="str">
        <f>'Pre-analyseverktøy'!C113</f>
        <v>Wat 04</v>
      </c>
      <c r="E113" s="932"/>
      <c r="F113" s="931" t="str">
        <f>'Pre-analyseverktøy'!F113</f>
        <v>Wat 04 Vannbesparende utstyr</v>
      </c>
      <c r="G113" s="430">
        <f>'Pre-analyseverktøy'!G113</f>
        <v>1</v>
      </c>
      <c r="H113" s="436">
        <f>'Pre-analyseverktøy'!H113</f>
        <v>0</v>
      </c>
      <c r="I113" s="902" t="str">
        <f>'Pre-analyseverktøy'!I113</f>
        <v>0 c. 0 %</v>
      </c>
      <c r="J113" s="432" t="str">
        <f>'Pre-analyseverktøy'!J113</f>
        <v>N/A</v>
      </c>
      <c r="K113" s="433" t="str">
        <f>IF('Pre-analyseverktøy'!K113=0,"",'Pre-analyseverktøy'!K113)</f>
        <v/>
      </c>
      <c r="L113" s="433" t="str">
        <f>IF('Pre-analyseverktøy'!L113=0,"",'Pre-analyseverktøy'!L113)</f>
        <v/>
      </c>
      <c r="M113" s="434" t="str">
        <f>IF('Pre-analyseverktøy'!M113=0,"",'Pre-analyseverktøy'!M113)</f>
        <v/>
      </c>
      <c r="N113" s="435">
        <f>'Pre-analyseverktøy'!N113</f>
        <v>0</v>
      </c>
      <c r="O113" s="436">
        <f>'Pre-analyseverktøy'!O113</f>
        <v>0</v>
      </c>
      <c r="P113" s="431" t="str">
        <f>'Pre-analyseverktøy'!P113</f>
        <v>0 c. 0 %</v>
      </c>
      <c r="Q113" s="430" t="str">
        <f>'Pre-analyseverktøy'!Q113</f>
        <v>N/A</v>
      </c>
      <c r="R113" s="433" t="str">
        <f>IF('Pre-analyseverktøy'!R113=0,"",'Pre-analyseverktøy'!R113)</f>
        <v/>
      </c>
      <c r="S113" s="433" t="str">
        <f>IF('Pre-analyseverktøy'!S113=0,"",'Pre-analyseverktøy'!S113)</f>
        <v/>
      </c>
      <c r="T113" s="434" t="str">
        <f>IF('Pre-analyseverktøy'!T113=0,"",'Pre-analyseverktøy'!T113)</f>
        <v/>
      </c>
      <c r="U113" s="437"/>
      <c r="V113" s="436">
        <f>'Pre-analyseverktøy'!V113</f>
        <v>0</v>
      </c>
      <c r="W113" s="431" t="str">
        <f>'Pre-analyseverktøy'!W113</f>
        <v>0 c. 0 %</v>
      </c>
      <c r="X113" s="430" t="str">
        <f>'Pre-analyseverktøy'!X113</f>
        <v>N/A</v>
      </c>
      <c r="Y113" s="433" t="str">
        <f>IF('Pre-analyseverktøy'!Y113=0,"",'Pre-analyseverktøy'!Y113)</f>
        <v/>
      </c>
      <c r="Z113" s="433" t="str">
        <f>IF('Pre-analyseverktøy'!Z113=0,"",'Pre-analyseverktøy'!Z113)</f>
        <v/>
      </c>
      <c r="AA113" s="433" t="str">
        <f>IF('Pre-analyseverktøy'!AA113=0,"",'Pre-analyseverktøy'!AA113)</f>
        <v/>
      </c>
    </row>
    <row r="114" spans="1:27">
      <c r="A114" s="620">
        <v>105</v>
      </c>
      <c r="B114" s="911" t="s">
        <v>411</v>
      </c>
      <c r="C114" s="911"/>
      <c r="D114" s="932" t="str">
        <f>'Pre-analyseverktøy'!C114</f>
        <v>Wat 04</v>
      </c>
      <c r="E114" s="932" t="str">
        <f>'Pre-analyseverktøy'!E114</f>
        <v>1-2</v>
      </c>
      <c r="F114" s="933" t="str">
        <f>'Pre-analyseverktøy'!F114</f>
        <v>Reduksjon av vannforbruk</v>
      </c>
      <c r="G114" s="430">
        <f>'Pre-analyseverktøy'!G114</f>
        <v>1</v>
      </c>
      <c r="H114" s="436">
        <f>'Pre-analyseverktøy'!H114</f>
        <v>0</v>
      </c>
      <c r="I114" s="902">
        <f>'Pre-analyseverktøy'!I114</f>
        <v>0</v>
      </c>
      <c r="J114" s="432" t="str">
        <f>'Pre-analyseverktøy'!J114</f>
        <v>N/A</v>
      </c>
      <c r="K114" s="433" t="str">
        <f>IF('Pre-analyseverktøy'!K114=0,"",'Pre-analyseverktøy'!K114)</f>
        <v/>
      </c>
      <c r="L114" s="433" t="str">
        <f>IF('Pre-analyseverktøy'!L114=0,"",'Pre-analyseverktøy'!L114)</f>
        <v/>
      </c>
      <c r="M114" s="434" t="str">
        <f>IF('Pre-analyseverktøy'!M114=0,"",'Pre-analyseverktøy'!M114)</f>
        <v/>
      </c>
      <c r="N114" s="435">
        <f>'Pre-analyseverktøy'!N114</f>
        <v>0</v>
      </c>
      <c r="O114" s="436">
        <f>'Pre-analyseverktøy'!O114</f>
        <v>0</v>
      </c>
      <c r="P114" s="431">
        <f>'Pre-analyseverktøy'!P114</f>
        <v>0</v>
      </c>
      <c r="Q114" s="430" t="str">
        <f>'Pre-analyseverktøy'!Q114</f>
        <v>N/A</v>
      </c>
      <c r="R114" s="433" t="str">
        <f>IF('Pre-analyseverktøy'!R114=0,"",'Pre-analyseverktøy'!R114)</f>
        <v/>
      </c>
      <c r="S114" s="433" t="str">
        <f>IF('Pre-analyseverktøy'!S114=0,"",'Pre-analyseverktøy'!S114)</f>
        <v/>
      </c>
      <c r="T114" s="434" t="str">
        <f>IF('Pre-analyseverktøy'!T114=0,"",'Pre-analyseverktøy'!T114)</f>
        <v/>
      </c>
      <c r="U114" s="437"/>
      <c r="V114" s="436">
        <f>'Pre-analyseverktøy'!V114</f>
        <v>0</v>
      </c>
      <c r="W114" s="431">
        <f>'Pre-analyseverktøy'!W114</f>
        <v>0</v>
      </c>
      <c r="X114" s="430" t="str">
        <f>'Pre-analyseverktøy'!X114</f>
        <v>N/A</v>
      </c>
      <c r="Y114" s="433" t="str">
        <f>IF('Pre-analyseverktøy'!Y114=0,"",'Pre-analyseverktøy'!Y114)</f>
        <v/>
      </c>
      <c r="Z114" s="433" t="str">
        <f>IF('Pre-analyseverktøy'!Z114=0,"",'Pre-analyseverktøy'!Z114)</f>
        <v/>
      </c>
      <c r="AA114" s="433" t="str">
        <f>IF('Pre-analyseverktøy'!AA114=0,"",'Pre-analyseverktøy'!AA114)</f>
        <v/>
      </c>
    </row>
    <row r="115" spans="1:27" ht="30" customHeight="1" thickBot="1">
      <c r="A115" s="620">
        <v>106</v>
      </c>
      <c r="B115" s="911" t="s">
        <v>411</v>
      </c>
      <c r="C115" s="911"/>
      <c r="D115" s="934"/>
      <c r="E115" s="934"/>
      <c r="F115" s="934" t="str">
        <f>'Pre-analyseverktøy'!F115</f>
        <v>Totalsum vann</v>
      </c>
      <c r="G115" s="438">
        <f>'Pre-analyseverktøy'!G115</f>
        <v>9</v>
      </c>
      <c r="H115" s="440">
        <f>'Pre-analyseverktøy'!H115</f>
        <v>0</v>
      </c>
      <c r="I115" s="439">
        <f>'Pre-analyseverktøy'!I115</f>
        <v>0</v>
      </c>
      <c r="J115" s="438" t="str">
        <f>'Pre-analyseverktøy'!J115</f>
        <v>Poeng oppnådd: 0</v>
      </c>
      <c r="K115" s="884" t="str">
        <f>IF('Pre-analyseverktøy'!K115=0,"",'Pre-analyseverktøy'!K115)</f>
        <v/>
      </c>
      <c r="L115" s="884" t="str">
        <f>IF('Pre-analyseverktøy'!L115=0,"",'Pre-analyseverktøy'!L115)</f>
        <v/>
      </c>
      <c r="M115" s="903" t="str">
        <f>IF('Pre-analyseverktøy'!M115=0,"",'Pre-analyseverktøy'!M115)</f>
        <v/>
      </c>
      <c r="N115" s="904">
        <f>'Pre-analyseverktøy'!N115</f>
        <v>0</v>
      </c>
      <c r="O115" s="440">
        <f>'Pre-analyseverktøy'!O115</f>
        <v>0</v>
      </c>
      <c r="P115" s="439">
        <f>'Pre-analyseverktøy'!P115</f>
        <v>0</v>
      </c>
      <c r="Q115" s="438" t="str">
        <f>'Pre-analyseverktøy'!Q115</f>
        <v>Poeng oppnådd: 0</v>
      </c>
      <c r="R115" s="884" t="str">
        <f>IF('Pre-analyseverktøy'!R115=0,"",'Pre-analyseverktøy'!R115)</f>
        <v/>
      </c>
      <c r="S115" s="884" t="str">
        <f>IF('Pre-analyseverktøy'!S115=0,"",'Pre-analyseverktøy'!S115)</f>
        <v/>
      </c>
      <c r="T115" s="903" t="str">
        <f>IF('Pre-analyseverktøy'!T115=0,"",'Pre-analyseverktøy'!T115)</f>
        <v/>
      </c>
      <c r="U115" s="905"/>
      <c r="V115" s="440">
        <f>'Pre-analyseverktøy'!V115</f>
        <v>0</v>
      </c>
      <c r="W115" s="439">
        <f>'Pre-analyseverktøy'!W115</f>
        <v>0</v>
      </c>
      <c r="X115" s="438" t="str">
        <f>'Pre-analyseverktøy'!X115</f>
        <v>Poeng oppnådd: 0</v>
      </c>
      <c r="Y115" s="884" t="str">
        <f>IF('Pre-analyseverktøy'!Y115=0,"",'Pre-analyseverktøy'!Y115)</f>
        <v/>
      </c>
      <c r="Z115" s="884" t="str">
        <f>IF('Pre-analyseverktøy'!Z115=0,"",'Pre-analyseverktøy'!Z115)</f>
        <v/>
      </c>
      <c r="AA115" s="884" t="str">
        <f>IF('Pre-analyseverktøy'!AA115=0,"",'Pre-analyseverktøy'!AA115)</f>
        <v/>
      </c>
    </row>
    <row r="116" spans="1:27">
      <c r="A116" s="620">
        <v>107</v>
      </c>
      <c r="B116" s="911" t="s">
        <v>437</v>
      </c>
      <c r="C116" s="911"/>
      <c r="D116" s="441"/>
      <c r="E116" s="441"/>
      <c r="F116" s="441"/>
      <c r="G116" s="442"/>
      <c r="H116" s="442"/>
      <c r="I116" s="442"/>
      <c r="J116" s="442"/>
      <c r="K116" s="441" t="str">
        <f>IF('Pre-analyseverktøy'!K116=0,"",'Pre-analyseverktøy'!K116)</f>
        <v/>
      </c>
      <c r="L116" s="442" t="str">
        <f>IF('Pre-analyseverktøy'!L116=0,"",'Pre-analyseverktøy'!L116)</f>
        <v/>
      </c>
      <c r="M116" s="441" t="str">
        <f>IF('Pre-analyseverktøy'!M116=0,"",'Pre-analyseverktøy'!M116)</f>
        <v/>
      </c>
      <c r="N116" s="435"/>
      <c r="O116" s="442"/>
      <c r="P116" s="442"/>
      <c r="Q116" s="442"/>
      <c r="R116" s="441" t="str">
        <f>IF('Pre-analyseverktøy'!R116=0,"",'Pre-analyseverktøy'!R116)</f>
        <v/>
      </c>
      <c r="S116" s="442" t="str">
        <f>IF('Pre-analyseverktøy'!S116=0,"",'Pre-analyseverktøy'!S116)</f>
        <v/>
      </c>
      <c r="T116" s="441" t="str">
        <f>IF('Pre-analyseverktøy'!T116=0,"",'Pre-analyseverktøy'!T116)</f>
        <v/>
      </c>
      <c r="U116" s="437"/>
      <c r="V116" s="442"/>
      <c r="W116" s="442"/>
      <c r="X116" s="442"/>
      <c r="Y116" s="441" t="str">
        <f>IF('Pre-analyseverktøy'!Y116=0,"",'Pre-analyseverktøy'!Y116)</f>
        <v/>
      </c>
      <c r="Z116" s="442" t="str">
        <f>IF('Pre-analyseverktøy'!Z116=0,"",'Pre-analyseverktøy'!Z116)</f>
        <v/>
      </c>
      <c r="AA116" s="441" t="str">
        <f>IF('Pre-analyseverktøy'!AA116=0,"",'Pre-analyseverktøy'!AA116)</f>
        <v/>
      </c>
    </row>
    <row r="117" spans="1:27" ht="18.75">
      <c r="A117" s="620">
        <v>108</v>
      </c>
      <c r="B117" s="911" t="s">
        <v>437</v>
      </c>
      <c r="C117" s="911"/>
      <c r="D117" s="443"/>
      <c r="E117" s="443"/>
      <c r="F117" s="443" t="s">
        <v>437</v>
      </c>
      <c r="G117" s="426"/>
      <c r="H117" s="426"/>
      <c r="I117" s="426"/>
      <c r="J117" s="426"/>
      <c r="K117" s="427" t="str">
        <f>IF('Pre-analyseverktøy'!K117=0,"",'Pre-analyseverktøy'!K117)</f>
        <v/>
      </c>
      <c r="L117" s="426" t="str">
        <f>IF('Pre-analyseverktøy'!L117=0,"",'Pre-analyseverktøy'!L117)</f>
        <v/>
      </c>
      <c r="M117" s="427" t="str">
        <f>IF('Pre-analyseverktøy'!M117=0,"",'Pre-analyseverktøy'!M117)</f>
        <v/>
      </c>
      <c r="N117" s="435"/>
      <c r="O117" s="426"/>
      <c r="P117" s="426"/>
      <c r="Q117" s="426"/>
      <c r="R117" s="427" t="str">
        <f>IF('Pre-analyseverktøy'!R117=0,"",'Pre-analyseverktøy'!R117)</f>
        <v/>
      </c>
      <c r="S117" s="426" t="str">
        <f>IF('Pre-analyseverktøy'!S117=0,"",'Pre-analyseverktøy'!S117)</f>
        <v/>
      </c>
      <c r="T117" s="427" t="str">
        <f>IF('Pre-analyseverktøy'!T117=0,"",'Pre-analyseverktøy'!T117)</f>
        <v/>
      </c>
      <c r="U117" s="437"/>
      <c r="V117" s="426"/>
      <c r="W117" s="426"/>
      <c r="X117" s="426"/>
      <c r="Y117" s="427" t="str">
        <f>IF('Pre-analyseverktøy'!Y117=0,"",'Pre-analyseverktøy'!Y117)</f>
        <v/>
      </c>
      <c r="Z117" s="426" t="str">
        <f>IF('Pre-analyseverktøy'!Z117=0,"",'Pre-analyseverktøy'!Z117)</f>
        <v/>
      </c>
      <c r="AA117" s="514" t="str">
        <f>IF('Pre-analyseverktøy'!AA117=0,"",'Pre-analyseverktøy'!AA117)</f>
        <v/>
      </c>
    </row>
    <row r="118" spans="1:27">
      <c r="A118" s="620">
        <v>109</v>
      </c>
      <c r="B118" s="911" t="s">
        <v>437</v>
      </c>
      <c r="C118" s="911"/>
      <c r="D118" s="931" t="str">
        <f>'Pre-analyseverktøy'!C118</f>
        <v>Mat 01</v>
      </c>
      <c r="E118" s="932"/>
      <c r="F118" s="931" t="str">
        <f>'Pre-analyseverktøy'!F118</f>
        <v>Mat 01 Bærekraftige materialvalg LCA og klimagassberegninger</v>
      </c>
      <c r="G118" s="430">
        <f>'Pre-analyseverktøy'!G118</f>
        <v>5</v>
      </c>
      <c r="H118" s="436">
        <f>'Pre-analyseverktøy'!H118</f>
        <v>0</v>
      </c>
      <c r="I118" s="902" t="str">
        <f>'Pre-analyseverktøy'!I118</f>
        <v>0 c. 0 %</v>
      </c>
      <c r="J118" s="432" t="str">
        <f>'Pre-analyseverktøy'!J118</f>
        <v>N/A</v>
      </c>
      <c r="K118" s="433" t="str">
        <f>IF('Pre-analyseverktøy'!K118=0,"",'Pre-analyseverktøy'!K118)</f>
        <v/>
      </c>
      <c r="L118" s="433" t="str">
        <f>IF('Pre-analyseverktøy'!L118=0,"",'Pre-analyseverktøy'!L118)</f>
        <v/>
      </c>
      <c r="M118" s="434" t="str">
        <f>IF('Pre-analyseverktøy'!M118=0,"",'Pre-analyseverktøy'!M118)</f>
        <v/>
      </c>
      <c r="N118" s="435">
        <f>'Pre-analyseverktøy'!N118</f>
        <v>0</v>
      </c>
      <c r="O118" s="436">
        <f>'Pre-analyseverktøy'!O118</f>
        <v>0</v>
      </c>
      <c r="P118" s="431" t="str">
        <f>'Pre-analyseverktøy'!P118</f>
        <v>0 c. 0 %</v>
      </c>
      <c r="Q118" s="430" t="str">
        <f>'Pre-analyseverktøy'!Q118</f>
        <v>N/A</v>
      </c>
      <c r="R118" s="433" t="str">
        <f>IF('Pre-analyseverktøy'!R118=0,"",'Pre-analyseverktøy'!R118)</f>
        <v/>
      </c>
      <c r="S118" s="433" t="str">
        <f>IF('Pre-analyseverktøy'!S118=0,"",'Pre-analyseverktøy'!S118)</f>
        <v/>
      </c>
      <c r="T118" s="434" t="str">
        <f>IF('Pre-analyseverktøy'!T118=0,"",'Pre-analyseverktøy'!T118)</f>
        <v/>
      </c>
      <c r="U118" s="437"/>
      <c r="V118" s="436">
        <f>'Pre-analyseverktøy'!V118</f>
        <v>0</v>
      </c>
      <c r="W118" s="431" t="str">
        <f>'Pre-analyseverktøy'!W118</f>
        <v>0 c. 0 %</v>
      </c>
      <c r="X118" s="430" t="str">
        <f>'Pre-analyseverktøy'!X118</f>
        <v>N/A</v>
      </c>
      <c r="Y118" s="433" t="str">
        <f>IF('Pre-analyseverktøy'!Y118=0,"",'Pre-analyseverktøy'!Y118)</f>
        <v/>
      </c>
      <c r="Z118" s="433" t="str">
        <f>IF('Pre-analyseverktøy'!Z118=0,"",'Pre-analyseverktøy'!Z118)</f>
        <v/>
      </c>
      <c r="AA118" s="433" t="str">
        <f>IF('Pre-analyseverktøy'!AA118=0,"",'Pre-analyseverktøy'!AA118)</f>
        <v/>
      </c>
    </row>
    <row r="119" spans="1:27">
      <c r="A119" s="620">
        <v>110</v>
      </c>
      <c r="B119" s="911" t="s">
        <v>437</v>
      </c>
      <c r="C119" s="911"/>
      <c r="D119" s="932" t="str">
        <f>'Pre-analyseverktøy'!C119</f>
        <v>Mat 01</v>
      </c>
      <c r="E119" s="932" t="str">
        <f>'Pre-analyseverktøy'!E119</f>
        <v>1-2</v>
      </c>
      <c r="F119" s="933" t="str">
        <f>'Pre-analyseverktøy'!F119</f>
        <v>Forkrav: Tidligfase klimagassberegninger</v>
      </c>
      <c r="G119" s="430" t="str">
        <f>'Pre-analyseverktøy'!G119</f>
        <v>Yes/No</v>
      </c>
      <c r="H119" s="436">
        <f>'Pre-analyseverktøy'!H119</f>
        <v>0</v>
      </c>
      <c r="I119" s="902" t="str">
        <f>'Pre-analyseverktøy'!I119</f>
        <v>-</v>
      </c>
      <c r="J119" s="432" t="str">
        <f>'Pre-analyseverktøy'!J119</f>
        <v>Unclassified</v>
      </c>
      <c r="K119" s="433" t="str">
        <f>IF('Pre-analyseverktøy'!K119=0,"",'Pre-analyseverktøy'!K119)</f>
        <v/>
      </c>
      <c r="L119" s="433" t="str">
        <f>IF('Pre-analyseverktøy'!L119=0,"",'Pre-analyseverktøy'!L119)</f>
        <v/>
      </c>
      <c r="M119" s="434" t="str">
        <f>IF('Pre-analyseverktøy'!M119=0,"",'Pre-analyseverktøy'!M119)</f>
        <v/>
      </c>
      <c r="N119" s="435">
        <f>'Pre-analyseverktøy'!N119</f>
        <v>0</v>
      </c>
      <c r="O119" s="436">
        <f>'Pre-analyseverktøy'!O119</f>
        <v>0</v>
      </c>
      <c r="P119" s="431" t="str">
        <f>'Pre-analyseverktøy'!P119</f>
        <v>-</v>
      </c>
      <c r="Q119" s="430" t="str">
        <f>'Pre-analyseverktøy'!Q119</f>
        <v>Unclassified</v>
      </c>
      <c r="R119" s="433" t="str">
        <f>IF('Pre-analyseverktøy'!R119=0,"",'Pre-analyseverktøy'!R119)</f>
        <v/>
      </c>
      <c r="S119" s="433" t="str">
        <f>IF('Pre-analyseverktøy'!S119=0,"",'Pre-analyseverktøy'!S119)</f>
        <v/>
      </c>
      <c r="T119" s="434" t="str">
        <f>IF('Pre-analyseverktøy'!T119=0,"",'Pre-analyseverktøy'!T119)</f>
        <v/>
      </c>
      <c r="U119" s="437"/>
      <c r="V119" s="436">
        <f>'Pre-analyseverktøy'!V119</f>
        <v>0</v>
      </c>
      <c r="W119" s="431" t="str">
        <f>'Pre-analyseverktøy'!W119</f>
        <v>-</v>
      </c>
      <c r="X119" s="430" t="str">
        <f>'Pre-analyseverktøy'!X119</f>
        <v>Unclassified</v>
      </c>
      <c r="Y119" s="433" t="str">
        <f>IF('Pre-analyseverktøy'!Y119=0,"",'Pre-analyseverktøy'!Y119)</f>
        <v/>
      </c>
      <c r="Z119" s="433" t="str">
        <f>IF('Pre-analyseverktøy'!Z119=0,"",'Pre-analyseverktøy'!Z119)</f>
        <v/>
      </c>
      <c r="AA119" s="433" t="str">
        <f>IF('Pre-analyseverktøy'!AA119=0,"",'Pre-analyseverktøy'!AA119)</f>
        <v/>
      </c>
    </row>
    <row r="120" spans="1:27">
      <c r="A120" s="620">
        <v>111</v>
      </c>
      <c r="B120" s="911" t="s">
        <v>437</v>
      </c>
      <c r="C120" s="911"/>
      <c r="D120" s="932" t="str">
        <f>'Pre-analyseverktøy'!C120</f>
        <v>Mat 01</v>
      </c>
      <c r="E120" s="932">
        <f>'Pre-analyseverktøy'!E120</f>
        <v>3</v>
      </c>
      <c r="F120" s="933" t="str">
        <f>'Pre-analyseverktøy'!F120</f>
        <v>Reduksjon av klimagassutslipp</v>
      </c>
      <c r="G120" s="430">
        <f>'Pre-analyseverktøy'!G120</f>
        <v>3</v>
      </c>
      <c r="H120" s="436">
        <f>'Pre-analyseverktøy'!H120</f>
        <v>0</v>
      </c>
      <c r="I120" s="902">
        <f>'Pre-analyseverktøy'!I120</f>
        <v>0</v>
      </c>
      <c r="J120" s="432" t="str">
        <f>'Pre-analyseverktøy'!J120</f>
        <v>Good</v>
      </c>
      <c r="K120" s="433" t="str">
        <f>IF('Pre-analyseverktøy'!K120=0,"",'Pre-analyseverktøy'!K120)</f>
        <v/>
      </c>
      <c r="L120" s="433" t="str">
        <f>IF('Pre-analyseverktøy'!L120=0,"",'Pre-analyseverktøy'!L120)</f>
        <v/>
      </c>
      <c r="M120" s="434" t="str">
        <f>IF('Pre-analyseverktøy'!M120=0,"",'Pre-analyseverktøy'!M120)</f>
        <v/>
      </c>
      <c r="N120" s="435">
        <f>'Pre-analyseverktøy'!N120</f>
        <v>0</v>
      </c>
      <c r="O120" s="436">
        <f>'Pre-analyseverktøy'!O120</f>
        <v>0</v>
      </c>
      <c r="P120" s="431">
        <f>'Pre-analyseverktøy'!P120</f>
        <v>0</v>
      </c>
      <c r="Q120" s="430" t="str">
        <f>'Pre-analyseverktøy'!Q120</f>
        <v>Good</v>
      </c>
      <c r="R120" s="433" t="str">
        <f>IF('Pre-analyseverktøy'!R120=0,"",'Pre-analyseverktøy'!R120)</f>
        <v/>
      </c>
      <c r="S120" s="433" t="str">
        <f>IF('Pre-analyseverktøy'!S120=0,"",'Pre-analyseverktøy'!S120)</f>
        <v/>
      </c>
      <c r="T120" s="434" t="str">
        <f>IF('Pre-analyseverktøy'!T120=0,"",'Pre-analyseverktøy'!T120)</f>
        <v/>
      </c>
      <c r="U120" s="437"/>
      <c r="V120" s="436">
        <f>'Pre-analyseverktøy'!V120</f>
        <v>0</v>
      </c>
      <c r="W120" s="431">
        <f>'Pre-analyseverktøy'!W120</f>
        <v>0</v>
      </c>
      <c r="X120" s="430" t="str">
        <f>'Pre-analyseverktøy'!X120</f>
        <v>Good</v>
      </c>
      <c r="Y120" s="433" t="str">
        <f>IF('Pre-analyseverktøy'!Y120=0,"",'Pre-analyseverktøy'!Y120)</f>
        <v/>
      </c>
      <c r="Z120" s="433" t="str">
        <f>IF('Pre-analyseverktøy'!Z120=0,"",'Pre-analyseverktøy'!Z120)</f>
        <v/>
      </c>
      <c r="AA120" s="433" t="str">
        <f>IF('Pre-analyseverktøy'!AA120=0,"",'Pre-analyseverktøy'!AA120)</f>
        <v/>
      </c>
    </row>
    <row r="121" spans="1:27">
      <c r="A121" s="620">
        <v>112</v>
      </c>
      <c r="B121" s="911" t="s">
        <v>437</v>
      </c>
      <c r="C121" s="911"/>
      <c r="D121" s="932" t="str">
        <f>'Pre-analyseverktøy'!C121</f>
        <v>Mat 01</v>
      </c>
      <c r="E121" s="932" t="str">
        <f>'Pre-analyseverktøy'!E121</f>
        <v>5-8</v>
      </c>
      <c r="F121" s="933" t="str">
        <f>'Pre-analyseverktøy'!F121</f>
        <v>Livsløpsvurderinger av bygget</v>
      </c>
      <c r="G121" s="430">
        <f>'Pre-analyseverktøy'!G121</f>
        <v>2</v>
      </c>
      <c r="H121" s="436">
        <f>'Pre-analyseverktøy'!H121</f>
        <v>0</v>
      </c>
      <c r="I121" s="902">
        <f>'Pre-analyseverktøy'!I121</f>
        <v>0</v>
      </c>
      <c r="J121" s="432" t="str">
        <f>'Pre-analyseverktøy'!J121</f>
        <v>N/A</v>
      </c>
      <c r="K121" s="433" t="str">
        <f>IF('Pre-analyseverktøy'!K121=0,"",'Pre-analyseverktøy'!K121)</f>
        <v/>
      </c>
      <c r="L121" s="433" t="str">
        <f>IF('Pre-analyseverktøy'!L121=0,"",'Pre-analyseverktøy'!L121)</f>
        <v/>
      </c>
      <c r="M121" s="434" t="str">
        <f>IF('Pre-analyseverktøy'!M121=0,"",'Pre-analyseverktøy'!M121)</f>
        <v/>
      </c>
      <c r="N121" s="435">
        <f>'Pre-analyseverktøy'!N121</f>
        <v>0</v>
      </c>
      <c r="O121" s="436">
        <f>'Pre-analyseverktøy'!O121</f>
        <v>0</v>
      </c>
      <c r="P121" s="431">
        <f>'Pre-analyseverktøy'!P121</f>
        <v>0</v>
      </c>
      <c r="Q121" s="430" t="str">
        <f>'Pre-analyseverktøy'!Q121</f>
        <v>N/A</v>
      </c>
      <c r="R121" s="433" t="str">
        <f>IF('Pre-analyseverktøy'!R121=0,"",'Pre-analyseverktøy'!R121)</f>
        <v/>
      </c>
      <c r="S121" s="433" t="str">
        <f>IF('Pre-analyseverktøy'!S121=0,"",'Pre-analyseverktøy'!S121)</f>
        <v/>
      </c>
      <c r="T121" s="434" t="str">
        <f>IF('Pre-analyseverktøy'!T121=0,"",'Pre-analyseverktøy'!T121)</f>
        <v/>
      </c>
      <c r="U121" s="437"/>
      <c r="V121" s="436">
        <f>'Pre-analyseverktøy'!V121</f>
        <v>0</v>
      </c>
      <c r="W121" s="431">
        <f>'Pre-analyseverktøy'!W121</f>
        <v>0</v>
      </c>
      <c r="X121" s="430" t="str">
        <f>'Pre-analyseverktøy'!X121</f>
        <v>N/A</v>
      </c>
      <c r="Y121" s="433" t="str">
        <f>IF('Pre-analyseverktøy'!Y121=0,"",'Pre-analyseverktøy'!Y121)</f>
        <v/>
      </c>
      <c r="Z121" s="433" t="str">
        <f>IF('Pre-analyseverktøy'!Z121=0,"",'Pre-analyseverktøy'!Z121)</f>
        <v/>
      </c>
      <c r="AA121" s="433" t="str">
        <f>IF('Pre-analyseverktøy'!AA121=0,"",'Pre-analyseverktøy'!AA121)</f>
        <v/>
      </c>
    </row>
    <row r="122" spans="1:27">
      <c r="A122" s="620">
        <v>113</v>
      </c>
      <c r="B122" s="911" t="s">
        <v>437</v>
      </c>
      <c r="C122" s="911"/>
      <c r="D122" s="931" t="str">
        <f>'Pre-analyseverktøy'!C122</f>
        <v>Mat 02</v>
      </c>
      <c r="E122" s="932"/>
      <c r="F122" s="931" t="str">
        <f>'Pre-analyseverktøy'!F122</f>
        <v>Mat 02 Bærekraftige materialvalg - produktkrav</v>
      </c>
      <c r="G122" s="430">
        <f>'Pre-analyseverktøy'!G122</f>
        <v>3</v>
      </c>
      <c r="H122" s="436">
        <f>'Pre-analyseverktøy'!H122</f>
        <v>0</v>
      </c>
      <c r="I122" s="902" t="str">
        <f>'Pre-analyseverktøy'!I122</f>
        <v>0 c. 0 %</v>
      </c>
      <c r="J122" s="432" t="str">
        <f>'Pre-analyseverktøy'!J122</f>
        <v>N/A</v>
      </c>
      <c r="K122" s="433" t="str">
        <f>IF('Pre-analyseverktøy'!K122=0,"",'Pre-analyseverktøy'!K122)</f>
        <v/>
      </c>
      <c r="L122" s="433" t="str">
        <f>IF('Pre-analyseverktøy'!L122=0,"",'Pre-analyseverktøy'!L122)</f>
        <v/>
      </c>
      <c r="M122" s="434" t="str">
        <f>IF('Pre-analyseverktøy'!M122=0,"",'Pre-analyseverktøy'!M122)</f>
        <v/>
      </c>
      <c r="N122" s="435">
        <f>'Pre-analyseverktøy'!N122</f>
        <v>0</v>
      </c>
      <c r="O122" s="436">
        <f>'Pre-analyseverktøy'!O122</f>
        <v>0</v>
      </c>
      <c r="P122" s="431" t="str">
        <f>'Pre-analyseverktøy'!P122</f>
        <v>0 c. 0 %</v>
      </c>
      <c r="Q122" s="430" t="str">
        <f>'Pre-analyseverktøy'!Q122</f>
        <v>N/A</v>
      </c>
      <c r="R122" s="433" t="str">
        <f>IF('Pre-analyseverktøy'!R122=0,"",'Pre-analyseverktøy'!R122)</f>
        <v/>
      </c>
      <c r="S122" s="433" t="str">
        <f>IF('Pre-analyseverktøy'!S122=0,"",'Pre-analyseverktøy'!S122)</f>
        <v/>
      </c>
      <c r="T122" s="434" t="str">
        <f>IF('Pre-analyseverktøy'!T122=0,"",'Pre-analyseverktøy'!T122)</f>
        <v/>
      </c>
      <c r="U122" s="437"/>
      <c r="V122" s="436">
        <f>'Pre-analyseverktøy'!V122</f>
        <v>0</v>
      </c>
      <c r="W122" s="431" t="str">
        <f>'Pre-analyseverktøy'!W122</f>
        <v>0 c. 0 %</v>
      </c>
      <c r="X122" s="430" t="str">
        <f>'Pre-analyseverktøy'!X122</f>
        <v>N/A</v>
      </c>
      <c r="Y122" s="433" t="str">
        <f>IF('Pre-analyseverktøy'!Y122=0,"",'Pre-analyseverktøy'!Y122)</f>
        <v/>
      </c>
      <c r="Z122" s="433" t="str">
        <f>IF('Pre-analyseverktøy'!Z122=0,"",'Pre-analyseverktøy'!Z122)</f>
        <v/>
      </c>
      <c r="AA122" s="433" t="str">
        <f>IF('Pre-analyseverktøy'!AA122=0,"",'Pre-analyseverktøy'!AA122)</f>
        <v/>
      </c>
    </row>
    <row r="123" spans="1:27">
      <c r="A123" s="620">
        <v>114</v>
      </c>
      <c r="B123" s="911" t="s">
        <v>437</v>
      </c>
      <c r="C123" s="911"/>
      <c r="D123" s="932" t="str">
        <f>'Pre-analyseverktøy'!C123</f>
        <v>Mat 02</v>
      </c>
      <c r="E123" s="932">
        <f>'Pre-analyseverktøy'!E123</f>
        <v>1</v>
      </c>
      <c r="F123" s="933" t="str">
        <f>'Pre-analyseverktøy'!F123</f>
        <v>Minstekrav: Fravær av miljøgifter (EU taksonomi: krit. 1)</v>
      </c>
      <c r="G123" s="430" t="str">
        <f>'Pre-analyseverktøy'!G123</f>
        <v>Yes/No</v>
      </c>
      <c r="H123" s="436">
        <f>'Pre-analyseverktøy'!H123</f>
        <v>0</v>
      </c>
      <c r="I123" s="902" t="str">
        <f>'Pre-analyseverktøy'!I123</f>
        <v>-</v>
      </c>
      <c r="J123" s="432" t="str">
        <f>'Pre-analyseverktøy'!J123</f>
        <v>Unclassified</v>
      </c>
      <c r="K123" s="433" t="str">
        <f>IF('Pre-analyseverktøy'!K123=0,"",'Pre-analyseverktøy'!K123)</f>
        <v/>
      </c>
      <c r="L123" s="433" t="str">
        <f>IF('Pre-analyseverktøy'!L123=0,"",'Pre-analyseverktøy'!L123)</f>
        <v/>
      </c>
      <c r="M123" s="434" t="str">
        <f>IF('Pre-analyseverktøy'!M123=0,"",'Pre-analyseverktøy'!M123)</f>
        <v/>
      </c>
      <c r="N123" s="435">
        <f>'Pre-analyseverktøy'!N123</f>
        <v>0</v>
      </c>
      <c r="O123" s="436">
        <f>'Pre-analyseverktøy'!O123</f>
        <v>0</v>
      </c>
      <c r="P123" s="431" t="str">
        <f>'Pre-analyseverktøy'!P123</f>
        <v>-</v>
      </c>
      <c r="Q123" s="430" t="str">
        <f>'Pre-analyseverktøy'!Q123</f>
        <v>Unclassified</v>
      </c>
      <c r="R123" s="433" t="str">
        <f>IF('Pre-analyseverktøy'!R123=0,"",'Pre-analyseverktøy'!R123)</f>
        <v/>
      </c>
      <c r="S123" s="433" t="str">
        <f>IF('Pre-analyseverktøy'!S123=0,"",'Pre-analyseverktøy'!S123)</f>
        <v/>
      </c>
      <c r="T123" s="434" t="str">
        <f>IF('Pre-analyseverktøy'!T123=0,"",'Pre-analyseverktøy'!T123)</f>
        <v/>
      </c>
      <c r="U123" s="437"/>
      <c r="V123" s="436">
        <f>'Pre-analyseverktøy'!V123</f>
        <v>0</v>
      </c>
      <c r="W123" s="431" t="str">
        <f>'Pre-analyseverktøy'!W123</f>
        <v>-</v>
      </c>
      <c r="X123" s="430" t="str">
        <f>'Pre-analyseverktøy'!X123</f>
        <v>Unclassified</v>
      </c>
      <c r="Y123" s="433" t="str">
        <f>IF('Pre-analyseverktøy'!Y123=0,"",'Pre-analyseverktøy'!Y123)</f>
        <v/>
      </c>
      <c r="Z123" s="433" t="str">
        <f>IF('Pre-analyseverktøy'!Z123=0,"",'Pre-analyseverktøy'!Z123)</f>
        <v/>
      </c>
      <c r="AA123" s="433" t="str">
        <f>IF('Pre-analyseverktøy'!AA123=0,"",'Pre-analyseverktøy'!AA123)</f>
        <v/>
      </c>
    </row>
    <row r="124" spans="1:27">
      <c r="A124" s="620">
        <v>115</v>
      </c>
      <c r="B124" s="911" t="s">
        <v>437</v>
      </c>
      <c r="C124" s="911"/>
      <c r="D124" s="932" t="str">
        <f>'Pre-analyseverktøy'!C124</f>
        <v>Mat 02</v>
      </c>
      <c r="E124" s="932">
        <f>'Pre-analyseverktøy'!E124</f>
        <v>2</v>
      </c>
      <c r="F124" s="933" t="str">
        <f>'Pre-analyseverktøy'!F124</f>
        <v>EPD for bygningsprodukter</v>
      </c>
      <c r="G124" s="430">
        <f>'Pre-analyseverktøy'!G124</f>
        <v>1</v>
      </c>
      <c r="H124" s="436">
        <f>'Pre-analyseverktøy'!H124</f>
        <v>0</v>
      </c>
      <c r="I124" s="902">
        <f>'Pre-analyseverktøy'!I124</f>
        <v>0</v>
      </c>
      <c r="J124" s="432" t="str">
        <f>'Pre-analyseverktøy'!J124</f>
        <v>N/A</v>
      </c>
      <c r="K124" s="433" t="str">
        <f>IF('Pre-analyseverktøy'!K124=0,"",'Pre-analyseverktøy'!K124)</f>
        <v/>
      </c>
      <c r="L124" s="433" t="str">
        <f>IF('Pre-analyseverktøy'!L124=0,"",'Pre-analyseverktøy'!L124)</f>
        <v/>
      </c>
      <c r="M124" s="434" t="str">
        <f>IF('Pre-analyseverktøy'!M124=0,"",'Pre-analyseverktøy'!M124)</f>
        <v/>
      </c>
      <c r="N124" s="435">
        <f>'Pre-analyseverktøy'!N124</f>
        <v>0</v>
      </c>
      <c r="O124" s="436">
        <f>'Pre-analyseverktøy'!O124</f>
        <v>0</v>
      </c>
      <c r="P124" s="431">
        <f>'Pre-analyseverktøy'!P124</f>
        <v>0</v>
      </c>
      <c r="Q124" s="430" t="str">
        <f>'Pre-analyseverktøy'!Q124</f>
        <v>N/A</v>
      </c>
      <c r="R124" s="433" t="str">
        <f>IF('Pre-analyseverktøy'!R124=0,"",'Pre-analyseverktøy'!R124)</f>
        <v/>
      </c>
      <c r="S124" s="433" t="str">
        <f>IF('Pre-analyseverktøy'!S124=0,"",'Pre-analyseverktøy'!S124)</f>
        <v/>
      </c>
      <c r="T124" s="434" t="str">
        <f>IF('Pre-analyseverktøy'!T124=0,"",'Pre-analyseverktøy'!T124)</f>
        <v/>
      </c>
      <c r="U124" s="437"/>
      <c r="V124" s="436">
        <f>'Pre-analyseverktøy'!V124</f>
        <v>0</v>
      </c>
      <c r="W124" s="431">
        <f>'Pre-analyseverktøy'!W124</f>
        <v>0</v>
      </c>
      <c r="X124" s="430" t="str">
        <f>'Pre-analyseverktøy'!X124</f>
        <v>N/A</v>
      </c>
      <c r="Y124" s="433" t="str">
        <f>IF('Pre-analyseverktøy'!Y124=0,"",'Pre-analyseverktøy'!Y124)</f>
        <v/>
      </c>
      <c r="Z124" s="433" t="str">
        <f>IF('Pre-analyseverktøy'!Z124=0,"",'Pre-analyseverktøy'!Z124)</f>
        <v/>
      </c>
      <c r="AA124" s="433" t="str">
        <f>IF('Pre-analyseverktøy'!AA124=0,"",'Pre-analyseverktøy'!AA124)</f>
        <v/>
      </c>
    </row>
    <row r="125" spans="1:27">
      <c r="A125" s="620">
        <v>116</v>
      </c>
      <c r="B125" s="911" t="s">
        <v>437</v>
      </c>
      <c r="C125" s="911"/>
      <c r="D125" s="932" t="str">
        <f>'Pre-analyseverktøy'!C125</f>
        <v>Mat 02</v>
      </c>
      <c r="E125" s="932" t="str">
        <f>'Pre-analyseverktøy'!E125</f>
        <v>3 or 4</v>
      </c>
      <c r="F125" s="933" t="str">
        <f>'Pre-analyseverktøy'!F125</f>
        <v>Ytelseskrav til bygningsprodukter</v>
      </c>
      <c r="G125" s="430">
        <f>'Pre-analyseverktøy'!G125</f>
        <v>2</v>
      </c>
      <c r="H125" s="436">
        <f>'Pre-analyseverktøy'!H125</f>
        <v>0</v>
      </c>
      <c r="I125" s="902">
        <f>'Pre-analyseverktøy'!I125</f>
        <v>0</v>
      </c>
      <c r="J125" s="432" t="str">
        <f>'Pre-analyseverktøy'!J125</f>
        <v>N/A</v>
      </c>
      <c r="K125" s="433" t="str">
        <f>IF('Pre-analyseverktøy'!K125=0,"",'Pre-analyseverktøy'!K125)</f>
        <v/>
      </c>
      <c r="L125" s="433" t="str">
        <f>IF('Pre-analyseverktøy'!L125=0,"",'Pre-analyseverktøy'!L125)</f>
        <v/>
      </c>
      <c r="M125" s="434" t="str">
        <f>IF('Pre-analyseverktøy'!M125=0,"",'Pre-analyseverktøy'!M125)</f>
        <v/>
      </c>
      <c r="N125" s="435">
        <f>'Pre-analyseverktøy'!N125</f>
        <v>0</v>
      </c>
      <c r="O125" s="436">
        <f>'Pre-analyseverktøy'!O125</f>
        <v>0</v>
      </c>
      <c r="P125" s="431">
        <f>'Pre-analyseverktøy'!P125</f>
        <v>0</v>
      </c>
      <c r="Q125" s="430" t="str">
        <f>'Pre-analyseverktøy'!Q125</f>
        <v>N/A</v>
      </c>
      <c r="R125" s="433" t="str">
        <f>IF('Pre-analyseverktøy'!R125=0,"",'Pre-analyseverktøy'!R125)</f>
        <v/>
      </c>
      <c r="S125" s="433" t="str">
        <f>IF('Pre-analyseverktøy'!S125=0,"",'Pre-analyseverktøy'!S125)</f>
        <v/>
      </c>
      <c r="T125" s="434" t="str">
        <f>IF('Pre-analyseverktøy'!T125=0,"",'Pre-analyseverktøy'!T125)</f>
        <v/>
      </c>
      <c r="U125" s="437"/>
      <c r="V125" s="436">
        <f>'Pre-analyseverktøy'!V125</f>
        <v>0</v>
      </c>
      <c r="W125" s="431">
        <f>'Pre-analyseverktøy'!W125</f>
        <v>0</v>
      </c>
      <c r="X125" s="430" t="str">
        <f>'Pre-analyseverktøy'!X125</f>
        <v>N/A</v>
      </c>
      <c r="Y125" s="433" t="str">
        <f>IF('Pre-analyseverktøy'!Y125=0,"",'Pre-analyseverktøy'!Y125)</f>
        <v/>
      </c>
      <c r="Z125" s="433" t="str">
        <f>IF('Pre-analyseverktøy'!Z125=0,"",'Pre-analyseverktøy'!Z125)</f>
        <v/>
      </c>
      <c r="AA125" s="433" t="str">
        <f>IF('Pre-analyseverktøy'!AA125=0,"",'Pre-analyseverktøy'!AA125)</f>
        <v/>
      </c>
    </row>
    <row r="126" spans="1:27">
      <c r="A126" s="620">
        <v>117</v>
      </c>
      <c r="B126" s="911" t="s">
        <v>437</v>
      </c>
      <c r="C126" s="911"/>
      <c r="D126" s="931" t="str">
        <f>'Pre-analyseverktøy'!C126</f>
        <v>Mat 03</v>
      </c>
      <c r="E126" s="932"/>
      <c r="F126" s="931" t="str">
        <f>'Pre-analyseverktøy'!F126</f>
        <v>Mat 03 Ansvarlig innkjøp av materialer</v>
      </c>
      <c r="G126" s="430">
        <f>'Pre-analyseverktøy'!G126</f>
        <v>3</v>
      </c>
      <c r="H126" s="436">
        <f>'Pre-analyseverktøy'!H126</f>
        <v>0</v>
      </c>
      <c r="I126" s="902" t="str">
        <f>'Pre-analyseverktøy'!I126</f>
        <v>0 c. 0 %</v>
      </c>
      <c r="J126" s="432" t="str">
        <f>'Pre-analyseverktøy'!J126</f>
        <v>N/A</v>
      </c>
      <c r="K126" s="433" t="str">
        <f>IF('Pre-analyseverktøy'!K126=0,"",'Pre-analyseverktøy'!K126)</f>
        <v/>
      </c>
      <c r="L126" s="433" t="str">
        <f>IF('Pre-analyseverktøy'!L126=0,"",'Pre-analyseverktøy'!L126)</f>
        <v/>
      </c>
      <c r="M126" s="434" t="str">
        <f>IF('Pre-analyseverktøy'!M126=0,"",'Pre-analyseverktøy'!M126)</f>
        <v/>
      </c>
      <c r="N126" s="435">
        <f>'Pre-analyseverktøy'!N126</f>
        <v>0</v>
      </c>
      <c r="O126" s="436">
        <f>'Pre-analyseverktøy'!O126</f>
        <v>0</v>
      </c>
      <c r="P126" s="431" t="str">
        <f>'Pre-analyseverktøy'!P126</f>
        <v>0 c. 0 %</v>
      </c>
      <c r="Q126" s="430" t="str">
        <f>'Pre-analyseverktøy'!Q126</f>
        <v>N/A</v>
      </c>
      <c r="R126" s="433" t="str">
        <f>IF('Pre-analyseverktøy'!R126=0,"",'Pre-analyseverktøy'!R126)</f>
        <v/>
      </c>
      <c r="S126" s="433" t="str">
        <f>IF('Pre-analyseverktøy'!S126=0,"",'Pre-analyseverktøy'!S126)</f>
        <v/>
      </c>
      <c r="T126" s="434" t="str">
        <f>IF('Pre-analyseverktøy'!T126=0,"",'Pre-analyseverktøy'!T126)</f>
        <v/>
      </c>
      <c r="U126" s="437"/>
      <c r="V126" s="436">
        <f>'Pre-analyseverktøy'!V126</f>
        <v>0</v>
      </c>
      <c r="W126" s="431" t="str">
        <f>'Pre-analyseverktøy'!W126</f>
        <v>0 c. 0 %</v>
      </c>
      <c r="X126" s="430" t="str">
        <f>'Pre-analyseverktøy'!X126</f>
        <v>N/A</v>
      </c>
      <c r="Y126" s="433" t="str">
        <f>IF('Pre-analyseverktøy'!Y126=0,"",'Pre-analyseverktøy'!Y126)</f>
        <v/>
      </c>
      <c r="Z126" s="433" t="str">
        <f>IF('Pre-analyseverktøy'!Z126=0,"",'Pre-analyseverktøy'!Z126)</f>
        <v/>
      </c>
      <c r="AA126" s="433" t="str">
        <f>IF('Pre-analyseverktøy'!AA126=0,"",'Pre-analyseverktøy'!AA126)</f>
        <v/>
      </c>
    </row>
    <row r="127" spans="1:27">
      <c r="A127" s="620">
        <v>118</v>
      </c>
      <c r="B127" s="911" t="s">
        <v>437</v>
      </c>
      <c r="C127" s="911"/>
      <c r="D127" s="932" t="str">
        <f>'Pre-analyseverktøy'!C127</f>
        <v>Mat 03</v>
      </c>
      <c r="E127" s="932">
        <f>'Pre-analyseverktøy'!E127</f>
        <v>1</v>
      </c>
      <c r="F127" s="933" t="str">
        <f>'Pre-analyseverktøy'!F127</f>
        <v>Minstekrav: Lovlig hugget og bærekraftig tre</v>
      </c>
      <c r="G127" s="430" t="str">
        <f>'Pre-analyseverktøy'!G127</f>
        <v>Yes/No</v>
      </c>
      <c r="H127" s="436">
        <f>'Pre-analyseverktøy'!H127</f>
        <v>0</v>
      </c>
      <c r="I127" s="902" t="str">
        <f>'Pre-analyseverktøy'!I127</f>
        <v>-</v>
      </c>
      <c r="J127" s="432" t="str">
        <f>'Pre-analyseverktøy'!J127</f>
        <v>Unclassified</v>
      </c>
      <c r="K127" s="433" t="str">
        <f>IF('Pre-analyseverktøy'!K127=0,"",'Pre-analyseverktøy'!K127)</f>
        <v/>
      </c>
      <c r="L127" s="433" t="str">
        <f>IF('Pre-analyseverktøy'!L127=0,"",'Pre-analyseverktøy'!L127)</f>
        <v/>
      </c>
      <c r="M127" s="434" t="str">
        <f>IF('Pre-analyseverktøy'!M127=0,"",'Pre-analyseverktøy'!M127)</f>
        <v/>
      </c>
      <c r="N127" s="435">
        <f>'Pre-analyseverktøy'!N127</f>
        <v>0</v>
      </c>
      <c r="O127" s="436">
        <f>'Pre-analyseverktøy'!O127</f>
        <v>0</v>
      </c>
      <c r="P127" s="431" t="str">
        <f>'Pre-analyseverktøy'!P127</f>
        <v>-</v>
      </c>
      <c r="Q127" s="430" t="str">
        <f>'Pre-analyseverktøy'!Q127</f>
        <v>Unclassified</v>
      </c>
      <c r="R127" s="433" t="str">
        <f>IF('Pre-analyseverktøy'!R127=0,"",'Pre-analyseverktøy'!R127)</f>
        <v/>
      </c>
      <c r="S127" s="433" t="str">
        <f>IF('Pre-analyseverktøy'!S127=0,"",'Pre-analyseverktøy'!S127)</f>
        <v/>
      </c>
      <c r="T127" s="434" t="str">
        <f>IF('Pre-analyseverktøy'!T127=0,"",'Pre-analyseverktøy'!T127)</f>
        <v/>
      </c>
      <c r="U127" s="437"/>
      <c r="V127" s="436">
        <f>'Pre-analyseverktøy'!V127</f>
        <v>0</v>
      </c>
      <c r="W127" s="431" t="str">
        <f>'Pre-analyseverktøy'!W127</f>
        <v>-</v>
      </c>
      <c r="X127" s="430" t="str">
        <f>'Pre-analyseverktøy'!X127</f>
        <v>Unclassified</v>
      </c>
      <c r="Y127" s="433" t="str">
        <f>IF('Pre-analyseverktøy'!Y127=0,"",'Pre-analyseverktøy'!Y127)</f>
        <v/>
      </c>
      <c r="Z127" s="433" t="str">
        <f>IF('Pre-analyseverktøy'!Z127=0,"",'Pre-analyseverktøy'!Z127)</f>
        <v/>
      </c>
      <c r="AA127" s="433" t="str">
        <f>IF('Pre-analyseverktøy'!AA127=0,"",'Pre-analyseverktøy'!AA127)</f>
        <v/>
      </c>
    </row>
    <row r="128" spans="1:27" ht="30">
      <c r="A128" s="620">
        <v>119</v>
      </c>
      <c r="B128" s="911" t="s">
        <v>437</v>
      </c>
      <c r="C128" s="911"/>
      <c r="D128" s="932" t="str">
        <f>'Pre-analyseverktøy'!C128</f>
        <v>Mat 03</v>
      </c>
      <c r="E128" s="932">
        <f>'Pre-analyseverktøy'!E128</f>
        <v>2</v>
      </c>
      <c r="F128" s="933" t="str">
        <f>'Pre-analyseverktøy'!F128</f>
        <v xml:space="preserve">	
Tilrettelegge for bærekraftig innkjøp</v>
      </c>
      <c r="G128" s="430">
        <f>'Pre-analyseverktøy'!G128</f>
        <v>1</v>
      </c>
      <c r="H128" s="436">
        <f>'Pre-analyseverktøy'!H128</f>
        <v>0</v>
      </c>
      <c r="I128" s="902">
        <f>'Pre-analyseverktøy'!I128</f>
        <v>0</v>
      </c>
      <c r="J128" s="432" t="str">
        <f>'Pre-analyseverktøy'!J128</f>
        <v>N/A</v>
      </c>
      <c r="K128" s="433" t="str">
        <f>IF('Pre-analyseverktøy'!K128=0,"",'Pre-analyseverktøy'!K128)</f>
        <v/>
      </c>
      <c r="L128" s="433" t="str">
        <f>IF('Pre-analyseverktøy'!L128=0,"",'Pre-analyseverktøy'!L128)</f>
        <v/>
      </c>
      <c r="M128" s="434" t="str">
        <f>IF('Pre-analyseverktøy'!M128=0,"",'Pre-analyseverktøy'!M128)</f>
        <v/>
      </c>
      <c r="N128" s="435">
        <f>'Pre-analyseverktøy'!N128</f>
        <v>0</v>
      </c>
      <c r="O128" s="436">
        <f>'Pre-analyseverktøy'!O128</f>
        <v>0</v>
      </c>
      <c r="P128" s="431">
        <f>'Pre-analyseverktøy'!P128</f>
        <v>0</v>
      </c>
      <c r="Q128" s="430" t="str">
        <f>'Pre-analyseverktøy'!Q128</f>
        <v>N/A</v>
      </c>
      <c r="R128" s="433" t="str">
        <f>IF('Pre-analyseverktøy'!R128=0,"",'Pre-analyseverktøy'!R128)</f>
        <v/>
      </c>
      <c r="S128" s="433" t="str">
        <f>IF('Pre-analyseverktøy'!S128=0,"",'Pre-analyseverktøy'!S128)</f>
        <v/>
      </c>
      <c r="T128" s="434" t="str">
        <f>IF('Pre-analyseverktøy'!T128=0,"",'Pre-analyseverktøy'!T128)</f>
        <v/>
      </c>
      <c r="U128" s="437"/>
      <c r="V128" s="436">
        <f>'Pre-analyseverktøy'!V128</f>
        <v>0</v>
      </c>
      <c r="W128" s="431">
        <f>'Pre-analyseverktøy'!W128</f>
        <v>0</v>
      </c>
      <c r="X128" s="430" t="str">
        <f>'Pre-analyseverktøy'!X128</f>
        <v>N/A</v>
      </c>
      <c r="Y128" s="433" t="str">
        <f>IF('Pre-analyseverktøy'!Y128=0,"",'Pre-analyseverktøy'!Y128)</f>
        <v/>
      </c>
      <c r="Z128" s="433" t="str">
        <f>IF('Pre-analyseverktøy'!Z128=0,"",'Pre-analyseverktøy'!Z128)</f>
        <v/>
      </c>
      <c r="AA128" s="433" t="str">
        <f>IF('Pre-analyseverktøy'!AA128=0,"",'Pre-analyseverktøy'!AA128)</f>
        <v/>
      </c>
    </row>
    <row r="129" spans="1:27">
      <c r="A129" s="620">
        <v>120</v>
      </c>
      <c r="B129" s="911" t="s">
        <v>437</v>
      </c>
      <c r="C129" s="911"/>
      <c r="D129" s="932" t="str">
        <f>'Pre-analyseverktøy'!C129</f>
        <v>Mat 03</v>
      </c>
      <c r="E129" s="932">
        <f>'Pre-analyseverktøy'!E129</f>
        <v>3</v>
      </c>
      <c r="F129" s="933" t="str">
        <f>'Pre-analyseverktøy'!F129</f>
        <v>Ansvarlig innkjøp av relevante materialer</v>
      </c>
      <c r="G129" s="430">
        <f>'Pre-analyseverktøy'!G129</f>
        <v>2</v>
      </c>
      <c r="H129" s="436">
        <f>'Pre-analyseverktøy'!H129</f>
        <v>0</v>
      </c>
      <c r="I129" s="902">
        <f>'Pre-analyseverktøy'!I129</f>
        <v>0</v>
      </c>
      <c r="J129" s="432" t="str">
        <f>'Pre-analyseverktøy'!J129</f>
        <v>N/A</v>
      </c>
      <c r="K129" s="433" t="str">
        <f>IF('Pre-analyseverktøy'!K129=0,"",'Pre-analyseverktøy'!K129)</f>
        <v/>
      </c>
      <c r="L129" s="433" t="str">
        <f>IF('Pre-analyseverktøy'!L129=0,"",'Pre-analyseverktøy'!L129)</f>
        <v/>
      </c>
      <c r="M129" s="434" t="str">
        <f>IF('Pre-analyseverktøy'!M129=0,"",'Pre-analyseverktøy'!M129)</f>
        <v/>
      </c>
      <c r="N129" s="435">
        <f>'Pre-analyseverktøy'!N129</f>
        <v>0</v>
      </c>
      <c r="O129" s="436">
        <f>'Pre-analyseverktøy'!O129</f>
        <v>0</v>
      </c>
      <c r="P129" s="431">
        <f>'Pre-analyseverktøy'!P129</f>
        <v>0</v>
      </c>
      <c r="Q129" s="430" t="str">
        <f>'Pre-analyseverktøy'!Q129</f>
        <v>N/A</v>
      </c>
      <c r="R129" s="433" t="str">
        <f>IF('Pre-analyseverktøy'!R129=0,"",'Pre-analyseverktøy'!R129)</f>
        <v/>
      </c>
      <c r="S129" s="433" t="str">
        <f>IF('Pre-analyseverktøy'!S129=0,"",'Pre-analyseverktøy'!S129)</f>
        <v/>
      </c>
      <c r="T129" s="434" t="str">
        <f>IF('Pre-analyseverktøy'!T129=0,"",'Pre-analyseverktøy'!T129)</f>
        <v/>
      </c>
      <c r="U129" s="437"/>
      <c r="V129" s="436">
        <f>'Pre-analyseverktøy'!V129</f>
        <v>0</v>
      </c>
      <c r="W129" s="431">
        <f>'Pre-analyseverktøy'!W129</f>
        <v>0</v>
      </c>
      <c r="X129" s="430" t="str">
        <f>'Pre-analyseverktøy'!X129</f>
        <v>N/A</v>
      </c>
      <c r="Y129" s="433" t="str">
        <f>IF('Pre-analyseverktøy'!Y129=0,"",'Pre-analyseverktøy'!Y129)</f>
        <v/>
      </c>
      <c r="Z129" s="433" t="str">
        <f>IF('Pre-analyseverktøy'!Z129=0,"",'Pre-analyseverktøy'!Z129)</f>
        <v/>
      </c>
      <c r="AA129" s="433" t="str">
        <f>IF('Pre-analyseverktøy'!AA129=0,"",'Pre-analyseverktøy'!AA129)</f>
        <v/>
      </c>
    </row>
    <row r="130" spans="1:27">
      <c r="A130" s="620">
        <v>121</v>
      </c>
      <c r="B130" s="911" t="s">
        <v>437</v>
      </c>
      <c r="C130" s="911"/>
      <c r="D130" s="931" t="str">
        <f>'Pre-analyseverktøy'!C130</f>
        <v>Mat 05</v>
      </c>
      <c r="E130" s="932"/>
      <c r="F130" s="931" t="str">
        <f>'Pre-analyseverktøy'!F130</f>
        <v>Mat 05 Materialeffektivitet og ombruk</v>
      </c>
      <c r="G130" s="430">
        <f>'Pre-analyseverktøy'!G130</f>
        <v>4</v>
      </c>
      <c r="H130" s="436">
        <f>'Pre-analyseverktøy'!H130</f>
        <v>0</v>
      </c>
      <c r="I130" s="902" t="str">
        <f>'Pre-analyseverktøy'!I130</f>
        <v>0 c. 0 %</v>
      </c>
      <c r="J130" s="432" t="str">
        <f>'Pre-analyseverktøy'!J130</f>
        <v>N/A</v>
      </c>
      <c r="K130" s="433" t="str">
        <f>IF('Pre-analyseverktøy'!K130=0,"",'Pre-analyseverktøy'!K130)</f>
        <v/>
      </c>
      <c r="L130" s="433" t="str">
        <f>IF('Pre-analyseverktøy'!L130=0,"",'Pre-analyseverktøy'!L130)</f>
        <v/>
      </c>
      <c r="M130" s="434" t="str">
        <f>IF('Pre-analyseverktøy'!M130=0,"",'Pre-analyseverktøy'!M130)</f>
        <v/>
      </c>
      <c r="N130" s="435">
        <f>'Pre-analyseverktøy'!N130</f>
        <v>0</v>
      </c>
      <c r="O130" s="436">
        <f>'Pre-analyseverktøy'!O130</f>
        <v>0</v>
      </c>
      <c r="P130" s="431" t="str">
        <f>'Pre-analyseverktøy'!P130</f>
        <v>0 c. 0 %</v>
      </c>
      <c r="Q130" s="430" t="str">
        <f>'Pre-analyseverktøy'!Q130</f>
        <v>N/A</v>
      </c>
      <c r="R130" s="433" t="str">
        <f>IF('Pre-analyseverktøy'!R130=0,"",'Pre-analyseverktøy'!R130)</f>
        <v/>
      </c>
      <c r="S130" s="433" t="str">
        <f>IF('Pre-analyseverktøy'!S130=0,"",'Pre-analyseverktøy'!S130)</f>
        <v/>
      </c>
      <c r="T130" s="434" t="str">
        <f>IF('Pre-analyseverktøy'!T130=0,"",'Pre-analyseverktøy'!T130)</f>
        <v/>
      </c>
      <c r="U130" s="437"/>
      <c r="V130" s="436">
        <f>'Pre-analyseverktøy'!V130</f>
        <v>0</v>
      </c>
      <c r="W130" s="431" t="str">
        <f>'Pre-analyseverktøy'!W130</f>
        <v>0 c. 0 %</v>
      </c>
      <c r="X130" s="430" t="str">
        <f>'Pre-analyseverktøy'!X130</f>
        <v>N/A</v>
      </c>
      <c r="Y130" s="433" t="str">
        <f>IF('Pre-analyseverktøy'!Y130=0,"",'Pre-analyseverktøy'!Y130)</f>
        <v/>
      </c>
      <c r="Z130" s="433" t="str">
        <f>IF('Pre-analyseverktøy'!Z130=0,"",'Pre-analyseverktøy'!Z130)</f>
        <v/>
      </c>
      <c r="AA130" s="433" t="str">
        <f>IF('Pre-analyseverktøy'!AA130=0,"",'Pre-analyseverktøy'!AA130)</f>
        <v/>
      </c>
    </row>
    <row r="131" spans="1:27">
      <c r="A131" s="620">
        <v>122</v>
      </c>
      <c r="B131" s="911" t="s">
        <v>437</v>
      </c>
      <c r="C131" s="911"/>
      <c r="D131" s="932" t="str">
        <f>'Pre-analyseverktøy'!C131</f>
        <v>Mat 05</v>
      </c>
      <c r="E131" s="932">
        <f>'Pre-analyseverktøy'!E131</f>
        <v>1</v>
      </c>
      <c r="F131" s="933" t="str">
        <f>'Pre-analyseverktøy'!F131</f>
        <v>Forkrav: Risikoanalyse</v>
      </c>
      <c r="G131" s="430" t="str">
        <f>'Pre-analyseverktøy'!G131</f>
        <v>Yes/No</v>
      </c>
      <c r="H131" s="436">
        <f>'Pre-analyseverktøy'!H131</f>
        <v>0</v>
      </c>
      <c r="I131" s="902" t="str">
        <f>'Pre-analyseverktøy'!I131</f>
        <v>-</v>
      </c>
      <c r="J131" s="432" t="str">
        <f>'Pre-analyseverktøy'!J131</f>
        <v>N/A</v>
      </c>
      <c r="K131" s="433" t="str">
        <f>IF('Pre-analyseverktøy'!K131=0,"",'Pre-analyseverktøy'!K131)</f>
        <v/>
      </c>
      <c r="L131" s="433" t="str">
        <f>IF('Pre-analyseverktøy'!L131=0,"",'Pre-analyseverktøy'!L131)</f>
        <v/>
      </c>
      <c r="M131" s="434" t="str">
        <f>IF('Pre-analyseverktøy'!M131=0,"",'Pre-analyseverktøy'!M131)</f>
        <v/>
      </c>
      <c r="N131" s="435">
        <f>'Pre-analyseverktøy'!N131</f>
        <v>0</v>
      </c>
      <c r="O131" s="436">
        <f>'Pre-analyseverktøy'!O131</f>
        <v>0</v>
      </c>
      <c r="P131" s="431" t="str">
        <f>'Pre-analyseverktøy'!P131</f>
        <v>-</v>
      </c>
      <c r="Q131" s="430" t="str">
        <f>'Pre-analyseverktøy'!Q131</f>
        <v>N/A</v>
      </c>
      <c r="R131" s="433" t="str">
        <f>IF('Pre-analyseverktøy'!R131=0,"",'Pre-analyseverktøy'!R131)</f>
        <v/>
      </c>
      <c r="S131" s="433" t="str">
        <f>IF('Pre-analyseverktøy'!S131=0,"",'Pre-analyseverktøy'!S131)</f>
        <v/>
      </c>
      <c r="T131" s="434" t="str">
        <f>IF('Pre-analyseverktøy'!T131=0,"",'Pre-analyseverktøy'!T131)</f>
        <v/>
      </c>
      <c r="U131" s="437"/>
      <c r="V131" s="436">
        <f>'Pre-analyseverktøy'!V131</f>
        <v>0</v>
      </c>
      <c r="W131" s="431" t="str">
        <f>'Pre-analyseverktøy'!W131</f>
        <v>-</v>
      </c>
      <c r="X131" s="430" t="str">
        <f>'Pre-analyseverktøy'!X131</f>
        <v>N/A</v>
      </c>
      <c r="Y131" s="433" t="str">
        <f>IF('Pre-analyseverktøy'!Y131=0,"",'Pre-analyseverktøy'!Y131)</f>
        <v/>
      </c>
      <c r="Z131" s="433" t="str">
        <f>IF('Pre-analyseverktøy'!Z131=0,"",'Pre-analyseverktøy'!Z131)</f>
        <v/>
      </c>
      <c r="AA131" s="433" t="str">
        <f>IF('Pre-analyseverktøy'!AA131=0,"",'Pre-analyseverktøy'!AA131)</f>
        <v/>
      </c>
    </row>
    <row r="132" spans="1:27">
      <c r="A132" s="620">
        <v>123</v>
      </c>
      <c r="B132" s="911" t="s">
        <v>437</v>
      </c>
      <c r="C132" s="911"/>
      <c r="D132" s="932" t="str">
        <f>'Pre-analyseverktøy'!C132</f>
        <v>Mat 05</v>
      </c>
      <c r="E132" s="932">
        <f>'Pre-analyseverktøy'!E132</f>
        <v>2</v>
      </c>
      <c r="F132" s="933" t="str">
        <f>'Pre-analyseverktøy'!F132</f>
        <v>Beskytte utsatte deler av bygget mot skade</v>
      </c>
      <c r="G132" s="430">
        <f>'Pre-analyseverktøy'!G132</f>
        <v>1</v>
      </c>
      <c r="H132" s="436">
        <f>'Pre-analyseverktøy'!H132</f>
        <v>0</v>
      </c>
      <c r="I132" s="902">
        <f>'Pre-analyseverktøy'!I132</f>
        <v>0</v>
      </c>
      <c r="J132" s="432" t="str">
        <f>'Pre-analyseverktøy'!J132</f>
        <v>N/A</v>
      </c>
      <c r="K132" s="433" t="str">
        <f>IF('Pre-analyseverktøy'!K132=0,"",'Pre-analyseverktøy'!K132)</f>
        <v/>
      </c>
      <c r="L132" s="433" t="str">
        <f>IF('Pre-analyseverktøy'!L132=0,"",'Pre-analyseverktøy'!L132)</f>
        <v/>
      </c>
      <c r="M132" s="434" t="str">
        <f>IF('Pre-analyseverktøy'!M132=0,"",'Pre-analyseverktøy'!M132)</f>
        <v/>
      </c>
      <c r="N132" s="435">
        <f>'Pre-analyseverktøy'!N132</f>
        <v>0</v>
      </c>
      <c r="O132" s="436">
        <f>'Pre-analyseverktøy'!O132</f>
        <v>0</v>
      </c>
      <c r="P132" s="431">
        <f>'Pre-analyseverktøy'!P132</f>
        <v>0</v>
      </c>
      <c r="Q132" s="430" t="str">
        <f>'Pre-analyseverktøy'!Q132</f>
        <v>N/A</v>
      </c>
      <c r="R132" s="433" t="str">
        <f>IF('Pre-analyseverktøy'!R132=0,"",'Pre-analyseverktøy'!R132)</f>
        <v/>
      </c>
      <c r="S132" s="433" t="str">
        <f>IF('Pre-analyseverktøy'!S132=0,"",'Pre-analyseverktøy'!S132)</f>
        <v/>
      </c>
      <c r="T132" s="434" t="str">
        <f>IF('Pre-analyseverktøy'!T132=0,"",'Pre-analyseverktøy'!T132)</f>
        <v/>
      </c>
      <c r="U132" s="437"/>
      <c r="V132" s="436">
        <f>'Pre-analyseverktøy'!V132</f>
        <v>0</v>
      </c>
      <c r="W132" s="431">
        <f>'Pre-analyseverktøy'!W132</f>
        <v>0</v>
      </c>
      <c r="X132" s="430" t="str">
        <f>'Pre-analyseverktøy'!X132</f>
        <v>N/A</v>
      </c>
      <c r="Y132" s="433" t="str">
        <f>IF('Pre-analyseverktøy'!Y132=0,"",'Pre-analyseverktøy'!Y132)</f>
        <v/>
      </c>
      <c r="Z132" s="433" t="str">
        <f>IF('Pre-analyseverktøy'!Z132=0,"",'Pre-analyseverktøy'!Z132)</f>
        <v/>
      </c>
      <c r="AA132" s="433" t="str">
        <f>IF('Pre-analyseverktøy'!AA132=0,"",'Pre-analyseverktøy'!AA132)</f>
        <v/>
      </c>
    </row>
    <row r="133" spans="1:27">
      <c r="A133" s="620">
        <v>124</v>
      </c>
      <c r="B133" s="911" t="s">
        <v>437</v>
      </c>
      <c r="C133" s="911"/>
      <c r="D133" s="932" t="str">
        <f>'Pre-analyseverktøy'!C133</f>
        <v>Mat 05</v>
      </c>
      <c r="E133" s="932" t="str">
        <f>'Pre-analyseverktøy'!E133</f>
        <v>3-5</v>
      </c>
      <c r="F133" s="933" t="str">
        <f>'Pre-analyseverktøy'!F133</f>
        <v>Beskytte utsatte deler av bygget mot materialnedbrytelse</v>
      </c>
      <c r="G133" s="430">
        <f>'Pre-analyseverktøy'!G133</f>
        <v>1</v>
      </c>
      <c r="H133" s="436">
        <f>'Pre-analyseverktøy'!H133</f>
        <v>0</v>
      </c>
      <c r="I133" s="902">
        <f>'Pre-analyseverktøy'!I133</f>
        <v>0</v>
      </c>
      <c r="J133" s="432" t="str">
        <f>'Pre-analyseverktøy'!J133</f>
        <v>N/A</v>
      </c>
      <c r="K133" s="433" t="str">
        <f>IF('Pre-analyseverktøy'!K133=0,"",'Pre-analyseverktøy'!K133)</f>
        <v/>
      </c>
      <c r="L133" s="433" t="str">
        <f>IF('Pre-analyseverktøy'!L133=0,"",'Pre-analyseverktøy'!L133)</f>
        <v/>
      </c>
      <c r="M133" s="434" t="str">
        <f>IF('Pre-analyseverktøy'!M133=0,"",'Pre-analyseverktøy'!M133)</f>
        <v/>
      </c>
      <c r="N133" s="435">
        <f>'Pre-analyseverktøy'!N133</f>
        <v>0</v>
      </c>
      <c r="O133" s="436">
        <f>'Pre-analyseverktøy'!O133</f>
        <v>0</v>
      </c>
      <c r="P133" s="431">
        <f>'Pre-analyseverktøy'!P133</f>
        <v>0</v>
      </c>
      <c r="Q133" s="430" t="str">
        <f>'Pre-analyseverktøy'!Q133</f>
        <v>N/A</v>
      </c>
      <c r="R133" s="433" t="str">
        <f>IF('Pre-analyseverktøy'!R133=0,"",'Pre-analyseverktøy'!R133)</f>
        <v/>
      </c>
      <c r="S133" s="433" t="str">
        <f>IF('Pre-analyseverktøy'!S133=0,"",'Pre-analyseverktøy'!S133)</f>
        <v/>
      </c>
      <c r="T133" s="434" t="str">
        <f>IF('Pre-analyseverktøy'!T133=0,"",'Pre-analyseverktøy'!T133)</f>
        <v/>
      </c>
      <c r="U133" s="437"/>
      <c r="V133" s="436">
        <f>'Pre-analyseverktøy'!V133</f>
        <v>0</v>
      </c>
      <c r="W133" s="431">
        <f>'Pre-analyseverktøy'!W133</f>
        <v>0</v>
      </c>
      <c r="X133" s="430" t="str">
        <f>'Pre-analyseverktøy'!X133</f>
        <v>N/A</v>
      </c>
      <c r="Y133" s="433" t="str">
        <f>IF('Pre-analyseverktøy'!Y133=0,"",'Pre-analyseverktøy'!Y133)</f>
        <v/>
      </c>
      <c r="Z133" s="433" t="str">
        <f>IF('Pre-analyseverktøy'!Z133=0,"",'Pre-analyseverktøy'!Z133)</f>
        <v/>
      </c>
      <c r="AA133" s="433" t="str">
        <f>IF('Pre-analyseverktøy'!AA133=0,"",'Pre-analyseverktøy'!AA133)</f>
        <v/>
      </c>
    </row>
    <row r="134" spans="1:27">
      <c r="A134" s="620">
        <v>125</v>
      </c>
      <c r="B134" s="911" t="s">
        <v>437</v>
      </c>
      <c r="C134" s="911"/>
      <c r="D134" s="932" t="str">
        <f>'Pre-analyseverktøy'!C134</f>
        <v>Mat 05</v>
      </c>
      <c r="E134" s="932" t="str">
        <f>'Pre-analyseverktøy'!E134</f>
        <v>6-8</v>
      </c>
      <c r="F134" s="933" t="str">
        <f>'Pre-analyseverktøy'!F134</f>
        <v>Fuktsikkerhet i byggeperioden: kontrollplan og fuktmåling</v>
      </c>
      <c r="G134" s="430">
        <f>'Pre-analyseverktøy'!G134</f>
        <v>1</v>
      </c>
      <c r="H134" s="436">
        <f>'Pre-analyseverktøy'!H134</f>
        <v>0</v>
      </c>
      <c r="I134" s="902">
        <f>'Pre-analyseverktøy'!I134</f>
        <v>0</v>
      </c>
      <c r="J134" s="432" t="str">
        <f>'Pre-analyseverktøy'!J134</f>
        <v>Very Good</v>
      </c>
      <c r="K134" s="433" t="str">
        <f>IF('Pre-analyseverktøy'!K134=0,"",'Pre-analyseverktøy'!K134)</f>
        <v/>
      </c>
      <c r="L134" s="433" t="str">
        <f>IF('Pre-analyseverktøy'!L134=0,"",'Pre-analyseverktøy'!L134)</f>
        <v/>
      </c>
      <c r="M134" s="434" t="str">
        <f>IF('Pre-analyseverktøy'!M134=0,"",'Pre-analyseverktøy'!M134)</f>
        <v/>
      </c>
      <c r="N134" s="435">
        <f>'Pre-analyseverktøy'!N134</f>
        <v>0</v>
      </c>
      <c r="O134" s="436">
        <f>'Pre-analyseverktøy'!O134</f>
        <v>0</v>
      </c>
      <c r="P134" s="431">
        <f>'Pre-analyseverktøy'!P134</f>
        <v>0</v>
      </c>
      <c r="Q134" s="430" t="str">
        <f>'Pre-analyseverktøy'!Q134</f>
        <v>Very Good</v>
      </c>
      <c r="R134" s="433" t="str">
        <f>IF('Pre-analyseverktøy'!R134=0,"",'Pre-analyseverktøy'!R134)</f>
        <v/>
      </c>
      <c r="S134" s="433" t="str">
        <f>IF('Pre-analyseverktøy'!S134=0,"",'Pre-analyseverktøy'!S134)</f>
        <v/>
      </c>
      <c r="T134" s="434" t="str">
        <f>IF('Pre-analyseverktøy'!T134=0,"",'Pre-analyseverktøy'!T134)</f>
        <v/>
      </c>
      <c r="U134" s="437"/>
      <c r="V134" s="436">
        <f>'Pre-analyseverktøy'!V134</f>
        <v>0</v>
      </c>
      <c r="W134" s="431">
        <f>'Pre-analyseverktøy'!W134</f>
        <v>0</v>
      </c>
      <c r="X134" s="430" t="str">
        <f>'Pre-analyseverktøy'!X134</f>
        <v>Very Good</v>
      </c>
      <c r="Y134" s="433" t="str">
        <f>IF('Pre-analyseverktøy'!Y134=0,"",'Pre-analyseverktøy'!Y134)</f>
        <v/>
      </c>
      <c r="Z134" s="433" t="str">
        <f>IF('Pre-analyseverktøy'!Z134=0,"",'Pre-analyseverktøy'!Z134)</f>
        <v/>
      </c>
      <c r="AA134" s="433" t="str">
        <f>IF('Pre-analyseverktøy'!AA134=0,"",'Pre-analyseverktøy'!AA134)</f>
        <v/>
      </c>
    </row>
    <row r="135" spans="1:27">
      <c r="A135" s="620">
        <v>126</v>
      </c>
      <c r="B135" s="911" t="s">
        <v>437</v>
      </c>
      <c r="C135" s="911"/>
      <c r="D135" s="932" t="str">
        <f>'Pre-analyseverktøy'!C135</f>
        <v>Mat 05</v>
      </c>
      <c r="E135" s="932">
        <f>'Pre-analyseverktøy'!E135</f>
        <v>9</v>
      </c>
      <c r="F135" s="933" t="str">
        <f>'Pre-analyseverktøy'!F135</f>
        <v>Fuktsikkerhet i byggeperioden: bygge under tak</v>
      </c>
      <c r="G135" s="430">
        <f>'Pre-analyseverktøy'!G135</f>
        <v>1</v>
      </c>
      <c r="H135" s="436">
        <f>'Pre-analyseverktøy'!H135</f>
        <v>0</v>
      </c>
      <c r="I135" s="902">
        <f>'Pre-analyseverktøy'!I135</f>
        <v>0</v>
      </c>
      <c r="J135" s="432" t="str">
        <f>'Pre-analyseverktøy'!J135</f>
        <v>N/A</v>
      </c>
      <c r="K135" s="433" t="str">
        <f>IF('Pre-analyseverktøy'!K135=0,"",'Pre-analyseverktøy'!K135)</f>
        <v/>
      </c>
      <c r="L135" s="433" t="str">
        <f>IF('Pre-analyseverktøy'!L135=0,"",'Pre-analyseverktøy'!L135)</f>
        <v/>
      </c>
      <c r="M135" s="434" t="str">
        <f>IF('Pre-analyseverktøy'!M135=0,"",'Pre-analyseverktøy'!M135)</f>
        <v/>
      </c>
      <c r="N135" s="435">
        <f>'Pre-analyseverktøy'!N135</f>
        <v>0</v>
      </c>
      <c r="O135" s="436">
        <f>'Pre-analyseverktøy'!O135</f>
        <v>0</v>
      </c>
      <c r="P135" s="431">
        <f>'Pre-analyseverktøy'!P135</f>
        <v>0</v>
      </c>
      <c r="Q135" s="430" t="str">
        <f>'Pre-analyseverktøy'!Q135</f>
        <v>N/A</v>
      </c>
      <c r="R135" s="433" t="str">
        <f>IF('Pre-analyseverktøy'!R135=0,"",'Pre-analyseverktøy'!R135)</f>
        <v/>
      </c>
      <c r="S135" s="433" t="str">
        <f>IF('Pre-analyseverktøy'!S135=0,"",'Pre-analyseverktøy'!S135)</f>
        <v/>
      </c>
      <c r="T135" s="434" t="str">
        <f>IF('Pre-analyseverktøy'!T135=0,"",'Pre-analyseverktøy'!T135)</f>
        <v/>
      </c>
      <c r="U135" s="437"/>
      <c r="V135" s="436">
        <f>'Pre-analyseverktøy'!V135</f>
        <v>0</v>
      </c>
      <c r="W135" s="431">
        <f>'Pre-analyseverktøy'!W135</f>
        <v>0</v>
      </c>
      <c r="X135" s="430" t="str">
        <f>'Pre-analyseverktøy'!X135</f>
        <v>N/A</v>
      </c>
      <c r="Y135" s="433" t="str">
        <f>IF('Pre-analyseverktøy'!Y135=0,"",'Pre-analyseverktøy'!Y135)</f>
        <v/>
      </c>
      <c r="Z135" s="433" t="str">
        <f>IF('Pre-analyseverktøy'!Z135=0,"",'Pre-analyseverktøy'!Z135)</f>
        <v/>
      </c>
      <c r="AA135" s="433" t="str">
        <f>IF('Pre-analyseverktøy'!AA135=0,"",'Pre-analyseverktøy'!AA135)</f>
        <v/>
      </c>
    </row>
    <row r="136" spans="1:27">
      <c r="A136" s="620">
        <v>127</v>
      </c>
      <c r="B136" s="911" t="s">
        <v>437</v>
      </c>
      <c r="C136" s="911"/>
      <c r="D136" s="931" t="str">
        <f>'Pre-analyseverktøy'!C136</f>
        <v>Mat 06</v>
      </c>
      <c r="E136" s="932"/>
      <c r="F136" s="931" t="str">
        <f>'Pre-analyseverktøy'!F136</f>
        <v>Mat 06 Materialeffektivitet og ombruk</v>
      </c>
      <c r="G136" s="430">
        <f>'Pre-analyseverktøy'!G136</f>
        <v>3</v>
      </c>
      <c r="H136" s="436">
        <f>'Pre-analyseverktøy'!H136</f>
        <v>0</v>
      </c>
      <c r="I136" s="902" t="str">
        <f>'Pre-analyseverktøy'!I136</f>
        <v>0 c. 0 %</v>
      </c>
      <c r="J136" s="432" t="str">
        <f>'Pre-analyseverktøy'!J136</f>
        <v>N/A</v>
      </c>
      <c r="K136" s="433" t="str">
        <f>IF('Pre-analyseverktøy'!K136=0,"",'Pre-analyseverktøy'!K136)</f>
        <v/>
      </c>
      <c r="L136" s="433" t="str">
        <f>IF('Pre-analyseverktøy'!L136=0,"",'Pre-analyseverktøy'!L136)</f>
        <v/>
      </c>
      <c r="M136" s="434" t="str">
        <f>IF('Pre-analyseverktøy'!M136=0,"",'Pre-analyseverktøy'!M136)</f>
        <v/>
      </c>
      <c r="N136" s="435">
        <f>'Pre-analyseverktøy'!N136</f>
        <v>0</v>
      </c>
      <c r="O136" s="436">
        <f>'Pre-analyseverktøy'!O136</f>
        <v>0</v>
      </c>
      <c r="P136" s="431" t="str">
        <f>'Pre-analyseverktøy'!P136</f>
        <v>0 c. 0 %</v>
      </c>
      <c r="Q136" s="430" t="str">
        <f>'Pre-analyseverktøy'!Q136</f>
        <v>N/A</v>
      </c>
      <c r="R136" s="433" t="str">
        <f>IF('Pre-analyseverktøy'!R136=0,"",'Pre-analyseverktøy'!R136)</f>
        <v/>
      </c>
      <c r="S136" s="433" t="str">
        <f>IF('Pre-analyseverktøy'!S136=0,"",'Pre-analyseverktøy'!S136)</f>
        <v/>
      </c>
      <c r="T136" s="434" t="str">
        <f>IF('Pre-analyseverktøy'!T136=0,"",'Pre-analyseverktøy'!T136)</f>
        <v/>
      </c>
      <c r="U136" s="437"/>
      <c r="V136" s="436">
        <f>'Pre-analyseverktøy'!V136</f>
        <v>0</v>
      </c>
      <c r="W136" s="431" t="str">
        <f>'Pre-analyseverktøy'!W136</f>
        <v>0 c. 0 %</v>
      </c>
      <c r="X136" s="430" t="str">
        <f>'Pre-analyseverktøy'!X136</f>
        <v>N/A</v>
      </c>
      <c r="Y136" s="433" t="str">
        <f>IF('Pre-analyseverktøy'!Y136=0,"",'Pre-analyseverktøy'!Y136)</f>
        <v/>
      </c>
      <c r="Z136" s="433" t="str">
        <f>IF('Pre-analyseverktøy'!Z136=0,"",'Pre-analyseverktøy'!Z136)</f>
        <v/>
      </c>
      <c r="AA136" s="433" t="str">
        <f>IF('Pre-analyseverktøy'!AA136=0,"",'Pre-analyseverktøy'!AA136)</f>
        <v/>
      </c>
    </row>
    <row r="137" spans="1:27">
      <c r="A137" s="620">
        <v>128</v>
      </c>
      <c r="B137" s="911" t="s">
        <v>437</v>
      </c>
      <c r="C137" s="911"/>
      <c r="D137" s="932" t="str">
        <f>'Pre-analyseverktøy'!C137</f>
        <v>Mat 06</v>
      </c>
      <c r="E137" s="932">
        <f>'Pre-analyseverktøy'!E137</f>
        <v>1</v>
      </c>
      <c r="F137" s="933" t="str">
        <f>'Pre-analyseverktøy'!F137</f>
        <v>Minstekrav: ombrukskartlegging (EU taksonomi: krit. 1)</v>
      </c>
      <c r="G137" s="430" t="str">
        <f>'Pre-analyseverktøy'!G137</f>
        <v>Yes/No</v>
      </c>
      <c r="H137" s="436">
        <f>'Pre-analyseverktøy'!H137</f>
        <v>0</v>
      </c>
      <c r="I137" s="902" t="str">
        <f>'Pre-analyseverktøy'!I137</f>
        <v>-</v>
      </c>
      <c r="J137" s="432" t="str">
        <f>'Pre-analyseverktøy'!J137</f>
        <v>Unclassified</v>
      </c>
      <c r="K137" s="433" t="str">
        <f>IF('Pre-analyseverktøy'!K137=0,"",'Pre-analyseverktøy'!K137)</f>
        <v/>
      </c>
      <c r="L137" s="433" t="str">
        <f>IF('Pre-analyseverktøy'!L137=0,"",'Pre-analyseverktøy'!L137)</f>
        <v/>
      </c>
      <c r="M137" s="434" t="str">
        <f>IF('Pre-analyseverktøy'!M137=0,"",'Pre-analyseverktøy'!M137)</f>
        <v/>
      </c>
      <c r="N137" s="435">
        <f>'Pre-analyseverktøy'!N137</f>
        <v>0</v>
      </c>
      <c r="O137" s="436">
        <f>'Pre-analyseverktøy'!O137</f>
        <v>0</v>
      </c>
      <c r="P137" s="431" t="str">
        <f>'Pre-analyseverktøy'!P137</f>
        <v>-</v>
      </c>
      <c r="Q137" s="430" t="str">
        <f>'Pre-analyseverktøy'!Q137</f>
        <v>Unclassified</v>
      </c>
      <c r="R137" s="433" t="str">
        <f>IF('Pre-analyseverktøy'!R137=0,"",'Pre-analyseverktøy'!R137)</f>
        <v/>
      </c>
      <c r="S137" s="433" t="str">
        <f>IF('Pre-analyseverktøy'!S137=0,"",'Pre-analyseverktøy'!S137)</f>
        <v/>
      </c>
      <c r="T137" s="434" t="str">
        <f>IF('Pre-analyseverktøy'!T137=0,"",'Pre-analyseverktøy'!T137)</f>
        <v/>
      </c>
      <c r="U137" s="437"/>
      <c r="V137" s="436">
        <f>'Pre-analyseverktøy'!V137</f>
        <v>0</v>
      </c>
      <c r="W137" s="431" t="str">
        <f>'Pre-analyseverktøy'!W137</f>
        <v>-</v>
      </c>
      <c r="X137" s="430" t="str">
        <f>'Pre-analyseverktøy'!X137</f>
        <v>Unclassified</v>
      </c>
      <c r="Y137" s="433" t="str">
        <f>IF('Pre-analyseverktøy'!Y137=0,"",'Pre-analyseverktøy'!Y137)</f>
        <v/>
      </c>
      <c r="Z137" s="433" t="str">
        <f>IF('Pre-analyseverktøy'!Z137=0,"",'Pre-analyseverktøy'!Z137)</f>
        <v/>
      </c>
      <c r="AA137" s="433" t="str">
        <f>IF('Pre-analyseverktøy'!AA137=0,"",'Pre-analyseverktøy'!AA137)</f>
        <v/>
      </c>
    </row>
    <row r="138" spans="1:27">
      <c r="A138" s="620">
        <v>129</v>
      </c>
      <c r="B138" s="911" t="s">
        <v>437</v>
      </c>
      <c r="C138" s="911"/>
      <c r="D138" s="932" t="str">
        <f>'Pre-analyseverktøy'!C138</f>
        <v>Mat 06</v>
      </c>
      <c r="E138" s="932" t="str">
        <f>'Pre-analyseverktøy'!E138</f>
        <v>1-3</v>
      </c>
      <c r="F138" s="956" t="str">
        <f>'Pre-analyseverktøy'!F138</f>
        <v>Minstekrav: ombrukskartlegging og ombruk</v>
      </c>
      <c r="G138" s="430">
        <f>'Pre-analyseverktøy'!G138</f>
        <v>1</v>
      </c>
      <c r="H138" s="436">
        <f>'Pre-analyseverktøy'!H138</f>
        <v>0</v>
      </c>
      <c r="I138" s="902">
        <f>'Pre-analyseverktøy'!I138</f>
        <v>0</v>
      </c>
      <c r="J138" s="432" t="str">
        <f>'Pre-analyseverktøy'!J138</f>
        <v>Unclassified</v>
      </c>
      <c r="K138" s="433" t="str">
        <f>IF('Pre-analyseverktøy'!K138=0,"",'Pre-analyseverktøy'!K138)</f>
        <v/>
      </c>
      <c r="L138" s="433" t="str">
        <f>IF('Pre-analyseverktøy'!L138=0,"",'Pre-analyseverktøy'!L138)</f>
        <v/>
      </c>
      <c r="M138" s="434" t="str">
        <f>IF('Pre-analyseverktøy'!M138=0,"",'Pre-analyseverktøy'!M138)</f>
        <v/>
      </c>
      <c r="N138" s="435">
        <f>'Pre-analyseverktøy'!N138</f>
        <v>0</v>
      </c>
      <c r="O138" s="436">
        <f>'Pre-analyseverktøy'!O138</f>
        <v>0</v>
      </c>
      <c r="P138" s="431">
        <f>'Pre-analyseverktøy'!P138</f>
        <v>0</v>
      </c>
      <c r="Q138" s="430" t="str">
        <f>'Pre-analyseverktøy'!Q138</f>
        <v>Unclassified</v>
      </c>
      <c r="R138" s="433" t="str">
        <f>IF('Pre-analyseverktøy'!R138=0,"",'Pre-analyseverktøy'!R138)</f>
        <v/>
      </c>
      <c r="S138" s="433" t="str">
        <f>IF('Pre-analyseverktøy'!S138=0,"",'Pre-analyseverktøy'!S138)</f>
        <v/>
      </c>
      <c r="T138" s="434" t="str">
        <f>IF('Pre-analyseverktøy'!T138=0,"",'Pre-analyseverktøy'!T138)</f>
        <v/>
      </c>
      <c r="U138" s="437"/>
      <c r="V138" s="436">
        <f>'Pre-analyseverktøy'!V138</f>
        <v>0</v>
      </c>
      <c r="W138" s="431">
        <f>'Pre-analyseverktøy'!W138</f>
        <v>0</v>
      </c>
      <c r="X138" s="430" t="str">
        <f>'Pre-analyseverktøy'!X138</f>
        <v>Unclassified</v>
      </c>
      <c r="Y138" s="433" t="str">
        <f>IF('Pre-analyseverktøy'!Y138=0,"",'Pre-analyseverktøy'!Y138)</f>
        <v/>
      </c>
      <c r="Z138" s="433" t="str">
        <f>IF('Pre-analyseverktøy'!Z138=0,"",'Pre-analyseverktøy'!Z138)</f>
        <v/>
      </c>
      <c r="AA138" s="433" t="str">
        <f>IF('Pre-analyseverktøy'!AA138=0,"",'Pre-analyseverktøy'!AA138)</f>
        <v/>
      </c>
    </row>
    <row r="139" spans="1:27">
      <c r="A139" s="620">
        <v>130</v>
      </c>
      <c r="B139" s="911" t="s">
        <v>437</v>
      </c>
      <c r="C139" s="911"/>
      <c r="D139" s="932" t="str">
        <f>'Pre-analyseverktøy'!C139</f>
        <v>Mat 06</v>
      </c>
      <c r="E139" s="932">
        <f>'Pre-analyseverktøy'!E139</f>
        <v>4</v>
      </c>
      <c r="F139" s="933" t="str">
        <f>'Pre-analyseverktøy'!F139</f>
        <v>Materialeffektivitet</v>
      </c>
      <c r="G139" s="430">
        <f>'Pre-analyseverktøy'!G139</f>
        <v>1</v>
      </c>
      <c r="H139" s="436">
        <f>'Pre-analyseverktøy'!H139</f>
        <v>0</v>
      </c>
      <c r="I139" s="902">
        <f>'Pre-analyseverktøy'!I139</f>
        <v>0</v>
      </c>
      <c r="J139" s="432" t="str">
        <f>'Pre-analyseverktøy'!J139</f>
        <v>N/A</v>
      </c>
      <c r="K139" s="433" t="str">
        <f>IF('Pre-analyseverktøy'!K139=0,"",'Pre-analyseverktøy'!K139)</f>
        <v/>
      </c>
      <c r="L139" s="433" t="str">
        <f>IF('Pre-analyseverktøy'!L139=0,"",'Pre-analyseverktøy'!L139)</f>
        <v/>
      </c>
      <c r="M139" s="434" t="str">
        <f>IF('Pre-analyseverktøy'!M139=0,"",'Pre-analyseverktøy'!M139)</f>
        <v/>
      </c>
      <c r="N139" s="435">
        <f>'Pre-analyseverktøy'!N139</f>
        <v>0</v>
      </c>
      <c r="O139" s="436">
        <f>'Pre-analyseverktøy'!O139</f>
        <v>0</v>
      </c>
      <c r="P139" s="431">
        <f>'Pre-analyseverktøy'!P139</f>
        <v>0</v>
      </c>
      <c r="Q139" s="430" t="str">
        <f>'Pre-analyseverktøy'!Q139</f>
        <v>N/A</v>
      </c>
      <c r="R139" s="433" t="str">
        <f>IF('Pre-analyseverktøy'!R139=0,"",'Pre-analyseverktøy'!R139)</f>
        <v/>
      </c>
      <c r="S139" s="433" t="str">
        <f>IF('Pre-analyseverktøy'!S139=0,"",'Pre-analyseverktøy'!S139)</f>
        <v/>
      </c>
      <c r="T139" s="434" t="str">
        <f>IF('Pre-analyseverktøy'!T139=0,"",'Pre-analyseverktøy'!T139)</f>
        <v/>
      </c>
      <c r="U139" s="437"/>
      <c r="V139" s="436">
        <f>'Pre-analyseverktøy'!V139</f>
        <v>0</v>
      </c>
      <c r="W139" s="431">
        <f>'Pre-analyseverktøy'!W139</f>
        <v>0</v>
      </c>
      <c r="X139" s="430" t="str">
        <f>'Pre-analyseverktøy'!X139</f>
        <v>N/A</v>
      </c>
      <c r="Y139" s="433" t="str">
        <f>IF('Pre-analyseverktøy'!Y139=0,"",'Pre-analyseverktøy'!Y139)</f>
        <v/>
      </c>
      <c r="Z139" s="433" t="str">
        <f>IF('Pre-analyseverktøy'!Z139=0,"",'Pre-analyseverktøy'!Z139)</f>
        <v/>
      </c>
      <c r="AA139" s="433" t="str">
        <f>IF('Pre-analyseverktøy'!AA139=0,"",'Pre-analyseverktøy'!AA139)</f>
        <v/>
      </c>
    </row>
    <row r="140" spans="1:27">
      <c r="A140" s="620">
        <v>131</v>
      </c>
      <c r="B140" s="911" t="s">
        <v>437</v>
      </c>
      <c r="C140" s="911"/>
      <c r="D140" s="932" t="str">
        <f>'Pre-analyseverktøy'!C140</f>
        <v>Mat 06</v>
      </c>
      <c r="E140" s="932">
        <f>'Pre-analyseverktøy'!E140</f>
        <v>5</v>
      </c>
      <c r="F140" s="933" t="str">
        <f>'Pre-analyseverktøy'!F140</f>
        <v>Ombruk av eksterne bygningskomponenter</v>
      </c>
      <c r="G140" s="430">
        <f>'Pre-analyseverktøy'!G140</f>
        <v>1</v>
      </c>
      <c r="H140" s="436">
        <f>'Pre-analyseverktøy'!H140</f>
        <v>0</v>
      </c>
      <c r="I140" s="902">
        <f>'Pre-analyseverktøy'!I140</f>
        <v>0</v>
      </c>
      <c r="J140" s="432" t="str">
        <f>'Pre-analyseverktøy'!J140</f>
        <v>N/A</v>
      </c>
      <c r="K140" s="433" t="str">
        <f>IF('Pre-analyseverktøy'!K140=0,"",'Pre-analyseverktøy'!K140)</f>
        <v/>
      </c>
      <c r="L140" s="433" t="str">
        <f>IF('Pre-analyseverktøy'!L140=0,"",'Pre-analyseverktøy'!L140)</f>
        <v/>
      </c>
      <c r="M140" s="434" t="str">
        <f>IF('Pre-analyseverktøy'!M140=0,"",'Pre-analyseverktøy'!M140)</f>
        <v/>
      </c>
      <c r="N140" s="435">
        <f>'Pre-analyseverktøy'!N140</f>
        <v>0</v>
      </c>
      <c r="O140" s="436">
        <f>'Pre-analyseverktøy'!O140</f>
        <v>0</v>
      </c>
      <c r="P140" s="431">
        <f>'Pre-analyseverktøy'!P140</f>
        <v>0</v>
      </c>
      <c r="Q140" s="430" t="str">
        <f>'Pre-analyseverktøy'!Q140</f>
        <v>N/A</v>
      </c>
      <c r="R140" s="433" t="str">
        <f>IF('Pre-analyseverktøy'!R140=0,"",'Pre-analyseverktøy'!R140)</f>
        <v/>
      </c>
      <c r="S140" s="433" t="str">
        <f>IF('Pre-analyseverktøy'!S140=0,"",'Pre-analyseverktøy'!S140)</f>
        <v/>
      </c>
      <c r="T140" s="434" t="str">
        <f>IF('Pre-analyseverktøy'!T140=0,"",'Pre-analyseverktøy'!T140)</f>
        <v/>
      </c>
      <c r="U140" s="437"/>
      <c r="V140" s="436">
        <f>'Pre-analyseverktøy'!V140</f>
        <v>0</v>
      </c>
      <c r="W140" s="431">
        <f>'Pre-analyseverktøy'!W140</f>
        <v>0</v>
      </c>
      <c r="X140" s="430" t="str">
        <f>'Pre-analyseverktøy'!X140</f>
        <v>N/A</v>
      </c>
      <c r="Y140" s="433" t="str">
        <f>IF('Pre-analyseverktøy'!Y140=0,"",'Pre-analyseverktøy'!Y140)</f>
        <v/>
      </c>
      <c r="Z140" s="433" t="str">
        <f>IF('Pre-analyseverktøy'!Z140=0,"",'Pre-analyseverktøy'!Z140)</f>
        <v/>
      </c>
      <c r="AA140" s="433" t="str">
        <f>IF('Pre-analyseverktøy'!AA140=0,"",'Pre-analyseverktøy'!AA140)</f>
        <v/>
      </c>
    </row>
    <row r="141" spans="1:27">
      <c r="A141" s="620">
        <v>132</v>
      </c>
      <c r="B141" s="911" t="s">
        <v>437</v>
      </c>
      <c r="C141" s="911"/>
      <c r="D141" s="931" t="str">
        <f>'Pre-analyseverktøy'!C141</f>
        <v>Mat 07</v>
      </c>
      <c r="E141" s="932"/>
      <c r="F141" s="931" t="str">
        <f>'Pre-analyseverktøy'!F141</f>
        <v>Mat 07 Endringsdyktighet og ombrukbarhet</v>
      </c>
      <c r="G141" s="430">
        <f>'Pre-analyseverktøy'!G141</f>
        <v>3</v>
      </c>
      <c r="H141" s="436">
        <f>'Pre-analyseverktøy'!H141</f>
        <v>0</v>
      </c>
      <c r="I141" s="902" t="str">
        <f>'Pre-analyseverktøy'!I141</f>
        <v>0 c. 0 %</v>
      </c>
      <c r="J141" s="432" t="str">
        <f>'Pre-analyseverktøy'!J141</f>
        <v>N/A</v>
      </c>
      <c r="K141" s="433" t="str">
        <f>IF('Pre-analyseverktøy'!K141=0,"",'Pre-analyseverktøy'!K141)</f>
        <v/>
      </c>
      <c r="L141" s="433" t="str">
        <f>IF('Pre-analyseverktøy'!L141=0,"",'Pre-analyseverktøy'!L141)</f>
        <v/>
      </c>
      <c r="M141" s="434" t="str">
        <f>IF('Pre-analyseverktøy'!M141=0,"",'Pre-analyseverktøy'!M141)</f>
        <v/>
      </c>
      <c r="N141" s="435">
        <f>'Pre-analyseverktøy'!N141</f>
        <v>0</v>
      </c>
      <c r="O141" s="436">
        <f>'Pre-analyseverktøy'!O141</f>
        <v>0</v>
      </c>
      <c r="P141" s="431" t="str">
        <f>'Pre-analyseverktøy'!P141</f>
        <v>0 c. 0 %</v>
      </c>
      <c r="Q141" s="430" t="str">
        <f>'Pre-analyseverktøy'!Q141</f>
        <v>N/A</v>
      </c>
      <c r="R141" s="433" t="str">
        <f>IF('Pre-analyseverktøy'!R141=0,"",'Pre-analyseverktøy'!R141)</f>
        <v/>
      </c>
      <c r="S141" s="433" t="str">
        <f>IF('Pre-analyseverktøy'!S141=0,"",'Pre-analyseverktøy'!S141)</f>
        <v/>
      </c>
      <c r="T141" s="434" t="str">
        <f>IF('Pre-analyseverktøy'!T141=0,"",'Pre-analyseverktøy'!T141)</f>
        <v/>
      </c>
      <c r="U141" s="437"/>
      <c r="V141" s="436">
        <f>'Pre-analyseverktøy'!V141</f>
        <v>0</v>
      </c>
      <c r="W141" s="431" t="str">
        <f>'Pre-analyseverktøy'!W141</f>
        <v>0 c. 0 %</v>
      </c>
      <c r="X141" s="430" t="str">
        <f>'Pre-analyseverktøy'!X141</f>
        <v>N/A</v>
      </c>
      <c r="Y141" s="433" t="str">
        <f>IF('Pre-analyseverktøy'!Y141=0,"",'Pre-analyseverktøy'!Y141)</f>
        <v/>
      </c>
      <c r="Z141" s="433" t="str">
        <f>IF('Pre-analyseverktøy'!Z141=0,"",'Pre-analyseverktøy'!Z141)</f>
        <v/>
      </c>
      <c r="AA141" s="433" t="str">
        <f>IF('Pre-analyseverktøy'!AA141=0,"",'Pre-analyseverktøy'!AA141)</f>
        <v/>
      </c>
    </row>
    <row r="142" spans="1:27">
      <c r="A142" s="620">
        <v>133</v>
      </c>
      <c r="B142" s="911" t="s">
        <v>437</v>
      </c>
      <c r="C142" s="911"/>
      <c r="D142" s="932" t="str">
        <f>'Pre-analyseverktøy'!C142</f>
        <v>Mat 07</v>
      </c>
      <c r="E142" s="932">
        <f>'Pre-analyseverktøy'!E142</f>
        <v>1</v>
      </c>
      <c r="F142" s="933" t="str">
        <f>'Pre-analyseverktøy'!F142</f>
        <v>Ressursoversikt</v>
      </c>
      <c r="G142" s="430">
        <f>'Pre-analyseverktøy'!G142</f>
        <v>1</v>
      </c>
      <c r="H142" s="436">
        <f>'Pre-analyseverktøy'!H142</f>
        <v>0</v>
      </c>
      <c r="I142" s="902">
        <f>'Pre-analyseverktøy'!I142</f>
        <v>0</v>
      </c>
      <c r="J142" s="432" t="str">
        <f>'Pre-analyseverktøy'!J142</f>
        <v>N/A</v>
      </c>
      <c r="K142" s="433" t="str">
        <f>IF('Pre-analyseverktøy'!K142=0,"",'Pre-analyseverktøy'!K142)</f>
        <v/>
      </c>
      <c r="L142" s="433" t="str">
        <f>IF('Pre-analyseverktøy'!L142=0,"",'Pre-analyseverktøy'!L142)</f>
        <v/>
      </c>
      <c r="M142" s="434" t="str">
        <f>IF('Pre-analyseverktøy'!M142=0,"",'Pre-analyseverktøy'!M142)</f>
        <v/>
      </c>
      <c r="N142" s="435">
        <f>'Pre-analyseverktøy'!N142</f>
        <v>0</v>
      </c>
      <c r="O142" s="436">
        <f>'Pre-analyseverktøy'!O142</f>
        <v>0</v>
      </c>
      <c r="P142" s="431">
        <f>'Pre-analyseverktøy'!P142</f>
        <v>0</v>
      </c>
      <c r="Q142" s="430" t="str">
        <f>'Pre-analyseverktøy'!Q142</f>
        <v>N/A</v>
      </c>
      <c r="R142" s="433" t="str">
        <f>IF('Pre-analyseverktøy'!R142=0,"",'Pre-analyseverktøy'!R142)</f>
        <v/>
      </c>
      <c r="S142" s="433" t="str">
        <f>IF('Pre-analyseverktøy'!S142=0,"",'Pre-analyseverktøy'!S142)</f>
        <v/>
      </c>
      <c r="T142" s="434" t="str">
        <f>IF('Pre-analyseverktøy'!T142=0,"",'Pre-analyseverktøy'!T142)</f>
        <v/>
      </c>
      <c r="U142" s="437"/>
      <c r="V142" s="436">
        <f>'Pre-analyseverktøy'!V142</f>
        <v>0</v>
      </c>
      <c r="W142" s="431">
        <f>'Pre-analyseverktøy'!W142</f>
        <v>0</v>
      </c>
      <c r="X142" s="430" t="str">
        <f>'Pre-analyseverktøy'!X142</f>
        <v>N/A</v>
      </c>
      <c r="Y142" s="433" t="str">
        <f>IF('Pre-analyseverktøy'!Y142=0,"",'Pre-analyseverktøy'!Y142)</f>
        <v/>
      </c>
      <c r="Z142" s="433" t="str">
        <f>IF('Pre-analyseverktøy'!Z142=0,"",'Pre-analyseverktøy'!Z142)</f>
        <v/>
      </c>
      <c r="AA142" s="433" t="str">
        <f>IF('Pre-analyseverktøy'!AA142=0,"",'Pre-analyseverktøy'!AA142)</f>
        <v/>
      </c>
    </row>
    <row r="143" spans="1:27" ht="30">
      <c r="A143" s="620">
        <v>134</v>
      </c>
      <c r="B143" s="911" t="s">
        <v>437</v>
      </c>
      <c r="C143" s="911"/>
      <c r="D143" s="932" t="str">
        <f>'Pre-analyseverktøy'!C143</f>
        <v>Mat 07</v>
      </c>
      <c r="E143" s="932" t="str">
        <f>'Pre-analyseverktøy'!E143</f>
        <v>2-3</v>
      </c>
      <c r="F143" s="933" t="str">
        <f>'Pre-analyseverktøy'!F143</f>
        <v>Endringsdyktighet og ombrukbarhet - anbefalinger (EU taksonomi: krit 2-3)</v>
      </c>
      <c r="G143" s="430">
        <f>'Pre-analyseverktøy'!G143</f>
        <v>1</v>
      </c>
      <c r="H143" s="436">
        <f>'Pre-analyseverktøy'!H143</f>
        <v>0</v>
      </c>
      <c r="I143" s="902">
        <f>'Pre-analyseverktøy'!I143</f>
        <v>0</v>
      </c>
      <c r="J143" s="432" t="str">
        <f>'Pre-analyseverktøy'!J143</f>
        <v>Very Good</v>
      </c>
      <c r="K143" s="433" t="str">
        <f>IF('Pre-analyseverktøy'!K143=0,"",'Pre-analyseverktøy'!K143)</f>
        <v/>
      </c>
      <c r="L143" s="433" t="str">
        <f>IF('Pre-analyseverktøy'!L143=0,"",'Pre-analyseverktøy'!L143)</f>
        <v/>
      </c>
      <c r="M143" s="434" t="str">
        <f>IF('Pre-analyseverktøy'!M143=0,"",'Pre-analyseverktøy'!M143)</f>
        <v/>
      </c>
      <c r="N143" s="435">
        <f>'Pre-analyseverktøy'!N143</f>
        <v>0</v>
      </c>
      <c r="O143" s="436">
        <f>'Pre-analyseverktøy'!O143</f>
        <v>0</v>
      </c>
      <c r="P143" s="431">
        <f>'Pre-analyseverktøy'!P143</f>
        <v>0</v>
      </c>
      <c r="Q143" s="430" t="str">
        <f>'Pre-analyseverktøy'!Q143</f>
        <v>Very Good</v>
      </c>
      <c r="R143" s="433" t="str">
        <f>IF('Pre-analyseverktøy'!R143=0,"",'Pre-analyseverktøy'!R143)</f>
        <v/>
      </c>
      <c r="S143" s="433" t="str">
        <f>IF('Pre-analyseverktøy'!S143=0,"",'Pre-analyseverktøy'!S143)</f>
        <v/>
      </c>
      <c r="T143" s="434" t="str">
        <f>IF('Pre-analyseverktøy'!T143=0,"",'Pre-analyseverktøy'!T143)</f>
        <v/>
      </c>
      <c r="U143" s="437"/>
      <c r="V143" s="436">
        <f>'Pre-analyseverktøy'!V143</f>
        <v>0</v>
      </c>
      <c r="W143" s="431">
        <f>'Pre-analyseverktøy'!W143</f>
        <v>0</v>
      </c>
      <c r="X143" s="430" t="str">
        <f>'Pre-analyseverktøy'!X143</f>
        <v>Very Good</v>
      </c>
      <c r="Y143" s="433" t="str">
        <f>IF('Pre-analyseverktøy'!Y143=0,"",'Pre-analyseverktøy'!Y143)</f>
        <v/>
      </c>
      <c r="Z143" s="433" t="str">
        <f>IF('Pre-analyseverktøy'!Z143=0,"",'Pre-analyseverktøy'!Z143)</f>
        <v/>
      </c>
      <c r="AA143" s="433" t="str">
        <f>IF('Pre-analyseverktøy'!AA143=0,"",'Pre-analyseverktøy'!AA143)</f>
        <v/>
      </c>
    </row>
    <row r="144" spans="1:27" ht="30">
      <c r="A144" s="620">
        <v>135</v>
      </c>
      <c r="B144" s="911" t="s">
        <v>437</v>
      </c>
      <c r="C144" s="911"/>
      <c r="D144" s="932" t="str">
        <f>'Pre-analyseverktøy'!C144</f>
        <v>Mat 07</v>
      </c>
      <c r="E144" s="932" t="str">
        <f>'Pre-analyseverktøy'!E144</f>
        <v>4-6</v>
      </c>
      <c r="F144" s="933" t="str">
        <f>'Pre-analyseverktøy'!F144</f>
        <v>Endringsdyktighet og ombrukbarhet - gjennomføring (EU taksonomi: krit 4-6)</v>
      </c>
      <c r="G144" s="430">
        <f>'Pre-analyseverktøy'!G144</f>
        <v>1</v>
      </c>
      <c r="H144" s="436">
        <f>'Pre-analyseverktøy'!H144</f>
        <v>0</v>
      </c>
      <c r="I144" s="902">
        <f>'Pre-analyseverktøy'!I144</f>
        <v>0</v>
      </c>
      <c r="J144" s="432" t="str">
        <f>'Pre-analyseverktøy'!J144</f>
        <v>Very Good</v>
      </c>
      <c r="K144" s="433" t="str">
        <f>IF('Pre-analyseverktøy'!K144=0,"",'Pre-analyseverktøy'!K144)</f>
        <v/>
      </c>
      <c r="L144" s="433" t="str">
        <f>IF('Pre-analyseverktøy'!L144=0,"",'Pre-analyseverktøy'!L144)</f>
        <v/>
      </c>
      <c r="M144" s="434" t="str">
        <f>IF('Pre-analyseverktøy'!M144=0,"",'Pre-analyseverktøy'!M144)</f>
        <v/>
      </c>
      <c r="N144" s="435">
        <f>'Pre-analyseverktøy'!N144</f>
        <v>0</v>
      </c>
      <c r="O144" s="436">
        <f>'Pre-analyseverktøy'!O144</f>
        <v>0</v>
      </c>
      <c r="P144" s="431">
        <f>'Pre-analyseverktøy'!P144</f>
        <v>0</v>
      </c>
      <c r="Q144" s="430" t="str">
        <f>'Pre-analyseverktøy'!Q144</f>
        <v>Very Good</v>
      </c>
      <c r="R144" s="433" t="str">
        <f>IF('Pre-analyseverktøy'!R144=0,"",'Pre-analyseverktøy'!R144)</f>
        <v/>
      </c>
      <c r="S144" s="433" t="str">
        <f>IF('Pre-analyseverktøy'!S144=0,"",'Pre-analyseverktøy'!S144)</f>
        <v/>
      </c>
      <c r="T144" s="434" t="str">
        <f>IF('Pre-analyseverktøy'!T144=0,"",'Pre-analyseverktøy'!T144)</f>
        <v/>
      </c>
      <c r="U144" s="437"/>
      <c r="V144" s="436">
        <f>'Pre-analyseverktøy'!V144</f>
        <v>0</v>
      </c>
      <c r="W144" s="431">
        <f>'Pre-analyseverktøy'!W144</f>
        <v>0</v>
      </c>
      <c r="X144" s="430" t="str">
        <f>'Pre-analyseverktøy'!X144</f>
        <v>Very Good</v>
      </c>
      <c r="Y144" s="433" t="str">
        <f>IF('Pre-analyseverktøy'!Y144=0,"",'Pre-analyseverktøy'!Y144)</f>
        <v/>
      </c>
      <c r="Z144" s="433" t="str">
        <f>IF('Pre-analyseverktøy'!Z144=0,"",'Pre-analyseverktøy'!Z144)</f>
        <v/>
      </c>
      <c r="AA144" s="433" t="str">
        <f>IF('Pre-analyseverktøy'!AA144=0,"",'Pre-analyseverktøy'!AA144)</f>
        <v/>
      </c>
    </row>
    <row r="145" spans="1:27" ht="30" customHeight="1" thickBot="1">
      <c r="A145" s="620">
        <v>136</v>
      </c>
      <c r="B145" s="911" t="s">
        <v>475</v>
      </c>
      <c r="C145" s="911"/>
      <c r="D145" s="934"/>
      <c r="E145" s="934"/>
      <c r="F145" s="934" t="str">
        <f>'Pre-analyseverktøy'!F145</f>
        <v>Totalsum materialer</v>
      </c>
      <c r="G145" s="438">
        <f>'Pre-analyseverktøy'!G145</f>
        <v>21</v>
      </c>
      <c r="H145" s="440">
        <f>'Pre-analyseverktøy'!H145</f>
        <v>0</v>
      </c>
      <c r="I145" s="439">
        <f>'Pre-analyseverktøy'!I145</f>
        <v>0</v>
      </c>
      <c r="J145" s="438" t="str">
        <f>'Pre-analyseverktøy'!J145</f>
        <v>Poeng oppnådd: 0</v>
      </c>
      <c r="K145" s="884" t="str">
        <f>IF('Pre-analyseverktøy'!K145=0,"",'Pre-analyseverktøy'!K145)</f>
        <v/>
      </c>
      <c r="L145" s="884" t="str">
        <f>IF('Pre-analyseverktøy'!L145=0,"",'Pre-analyseverktøy'!L145)</f>
        <v/>
      </c>
      <c r="M145" s="903" t="str">
        <f>IF('Pre-analyseverktøy'!M145=0,"",'Pre-analyseverktøy'!M145)</f>
        <v/>
      </c>
      <c r="N145" s="904">
        <f>'Pre-analyseverktøy'!N145</f>
        <v>0</v>
      </c>
      <c r="O145" s="440">
        <f>'Pre-analyseverktøy'!O145</f>
        <v>0</v>
      </c>
      <c r="P145" s="439">
        <f>'Pre-analyseverktøy'!P145</f>
        <v>0</v>
      </c>
      <c r="Q145" s="438" t="str">
        <f>'Pre-analyseverktøy'!Q145</f>
        <v>Poeng oppnådd: 0</v>
      </c>
      <c r="R145" s="884" t="str">
        <f>IF('Pre-analyseverktøy'!R145=0,"",'Pre-analyseverktøy'!R145)</f>
        <v/>
      </c>
      <c r="S145" s="884" t="str">
        <f>IF('Pre-analyseverktøy'!S145=0,"",'Pre-analyseverktøy'!S145)</f>
        <v/>
      </c>
      <c r="T145" s="903" t="str">
        <f>IF('Pre-analyseverktøy'!T145=0,"",'Pre-analyseverktøy'!T145)</f>
        <v/>
      </c>
      <c r="U145" s="905"/>
      <c r="V145" s="440">
        <f>'Pre-analyseverktøy'!V145</f>
        <v>0</v>
      </c>
      <c r="W145" s="439">
        <f>'Pre-analyseverktøy'!W145</f>
        <v>0</v>
      </c>
      <c r="X145" s="438" t="str">
        <f>'Pre-analyseverktøy'!X145</f>
        <v>Poeng oppnådd: 0</v>
      </c>
      <c r="Y145" s="884" t="str">
        <f>IF('Pre-analyseverktøy'!Y145=0,"",'Pre-analyseverktøy'!Y145)</f>
        <v/>
      </c>
      <c r="Z145" s="884" t="str">
        <f>IF('Pre-analyseverktøy'!Z145=0,"",'Pre-analyseverktøy'!Z145)</f>
        <v/>
      </c>
      <c r="AA145" s="884" t="str">
        <f>IF('Pre-analyseverktøy'!AA145=0,"",'Pre-analyseverktøy'!AA145)</f>
        <v/>
      </c>
    </row>
    <row r="146" spans="1:27">
      <c r="A146" s="620">
        <v>137</v>
      </c>
      <c r="B146" s="911" t="s">
        <v>475</v>
      </c>
      <c r="C146" s="911"/>
      <c r="D146" s="441"/>
      <c r="E146" s="441"/>
      <c r="F146" s="441"/>
      <c r="G146" s="442"/>
      <c r="H146" s="442"/>
      <c r="I146" s="442"/>
      <c r="J146" s="442"/>
      <c r="K146" s="441" t="str">
        <f>IF('Pre-analyseverktøy'!K146=0,"",'Pre-analyseverktøy'!K146)</f>
        <v/>
      </c>
      <c r="L146" s="442" t="str">
        <f>IF('Pre-analyseverktøy'!L146=0,"",'Pre-analyseverktøy'!L146)</f>
        <v/>
      </c>
      <c r="M146" s="441" t="str">
        <f>IF('Pre-analyseverktøy'!M146=0,"",'Pre-analyseverktøy'!M146)</f>
        <v/>
      </c>
      <c r="N146" s="435"/>
      <c r="O146" s="442"/>
      <c r="P146" s="442"/>
      <c r="Q146" s="442"/>
      <c r="R146" s="441" t="str">
        <f>IF('Pre-analyseverktøy'!R146=0,"",'Pre-analyseverktøy'!R146)</f>
        <v/>
      </c>
      <c r="S146" s="442" t="str">
        <f>IF('Pre-analyseverktøy'!S146=0,"",'Pre-analyseverktøy'!S146)</f>
        <v/>
      </c>
      <c r="T146" s="441" t="str">
        <f>IF('Pre-analyseverktøy'!T146=0,"",'Pre-analyseverktøy'!T146)</f>
        <v/>
      </c>
      <c r="U146" s="437"/>
      <c r="V146" s="442"/>
      <c r="W146" s="442"/>
      <c r="X146" s="442"/>
      <c r="Y146" s="441" t="str">
        <f>IF('Pre-analyseverktøy'!Y146=0,"",'Pre-analyseverktøy'!Y146)</f>
        <v/>
      </c>
      <c r="Z146" s="442" t="str">
        <f>IF('Pre-analyseverktøy'!Z146=0,"",'Pre-analyseverktøy'!Z146)</f>
        <v/>
      </c>
      <c r="AA146" s="441" t="str">
        <f>IF('Pre-analyseverktøy'!AA146=0,"",'Pre-analyseverktøy'!AA146)</f>
        <v/>
      </c>
    </row>
    <row r="147" spans="1:27" ht="18.75">
      <c r="A147" s="620">
        <v>138</v>
      </c>
      <c r="B147" s="911" t="s">
        <v>475</v>
      </c>
      <c r="C147" s="911"/>
      <c r="D147" s="443"/>
      <c r="E147" s="443"/>
      <c r="F147" s="443" t="s">
        <v>475</v>
      </c>
      <c r="G147" s="426"/>
      <c r="H147" s="426"/>
      <c r="I147" s="426"/>
      <c r="J147" s="426"/>
      <c r="K147" s="427" t="str">
        <f>IF('Pre-analyseverktøy'!K147=0,"",'Pre-analyseverktøy'!K147)</f>
        <v/>
      </c>
      <c r="L147" s="426" t="str">
        <f>IF('Pre-analyseverktøy'!L147=0,"",'Pre-analyseverktøy'!L147)</f>
        <v/>
      </c>
      <c r="M147" s="427" t="str">
        <f>IF('Pre-analyseverktøy'!M147=0,"",'Pre-analyseverktøy'!M147)</f>
        <v/>
      </c>
      <c r="N147" s="435"/>
      <c r="O147" s="426"/>
      <c r="P147" s="426"/>
      <c r="Q147" s="426"/>
      <c r="R147" s="427" t="str">
        <f>IF('Pre-analyseverktøy'!R147=0,"",'Pre-analyseverktøy'!R147)</f>
        <v/>
      </c>
      <c r="S147" s="426" t="str">
        <f>IF('Pre-analyseverktøy'!S147=0,"",'Pre-analyseverktøy'!S147)</f>
        <v/>
      </c>
      <c r="T147" s="427" t="str">
        <f>IF('Pre-analyseverktøy'!T147=0,"",'Pre-analyseverktøy'!T147)</f>
        <v/>
      </c>
      <c r="U147" s="437"/>
      <c r="V147" s="426"/>
      <c r="W147" s="426"/>
      <c r="X147" s="426"/>
      <c r="Y147" s="427" t="str">
        <f>IF('Pre-analyseverktøy'!Y147=0,"",'Pre-analyseverktøy'!Y147)</f>
        <v/>
      </c>
      <c r="Z147" s="426" t="str">
        <f>IF('Pre-analyseverktøy'!Z147=0,"",'Pre-analyseverktøy'!Z147)</f>
        <v/>
      </c>
      <c r="AA147" s="514" t="str">
        <f>IF('Pre-analyseverktøy'!AA147=0,"",'Pre-analyseverktøy'!AA147)</f>
        <v/>
      </c>
    </row>
    <row r="148" spans="1:27" ht="30">
      <c r="A148" s="620">
        <v>139</v>
      </c>
      <c r="B148" s="911" t="s">
        <v>475</v>
      </c>
      <c r="C148" s="911"/>
      <c r="D148" s="931" t="str">
        <f>'Pre-analyseverktøy'!C148</f>
        <v>Wst 01</v>
      </c>
      <c r="E148" s="932"/>
      <c r="F148" s="931" t="str">
        <f>'Pre-analyseverktøy'!F148</f>
        <v xml:space="preserve">	
Wst 01 Avfallshåndtering på byggeplass</v>
      </c>
      <c r="G148" s="430">
        <f>'Pre-analyseverktøy'!G148</f>
        <v>5</v>
      </c>
      <c r="H148" s="436">
        <f>'Pre-analyseverktøy'!H148</f>
        <v>0</v>
      </c>
      <c r="I148" s="902" t="str">
        <f>'Pre-analyseverktøy'!I148</f>
        <v>0 c. 0 %</v>
      </c>
      <c r="J148" s="432" t="str">
        <f>'Pre-analyseverktøy'!J148</f>
        <v>N/A</v>
      </c>
      <c r="K148" s="433" t="str">
        <f>IF('Pre-analyseverktøy'!K148=0,"",'Pre-analyseverktøy'!K148)</f>
        <v/>
      </c>
      <c r="L148" s="433" t="str">
        <f>IF('Pre-analyseverktøy'!L148=0,"",'Pre-analyseverktøy'!L148)</f>
        <v/>
      </c>
      <c r="M148" s="434" t="str">
        <f>IF('Pre-analyseverktøy'!M148=0,"",'Pre-analyseverktøy'!M148)</f>
        <v/>
      </c>
      <c r="N148" s="435">
        <f>'Pre-analyseverktøy'!N148</f>
        <v>0</v>
      </c>
      <c r="O148" s="436">
        <f>'Pre-analyseverktøy'!O148</f>
        <v>0</v>
      </c>
      <c r="P148" s="431" t="str">
        <f>'Pre-analyseverktøy'!P148</f>
        <v>0 c. 0 %</v>
      </c>
      <c r="Q148" s="430" t="str">
        <f>'Pre-analyseverktøy'!Q148</f>
        <v>N/A</v>
      </c>
      <c r="R148" s="433" t="str">
        <f>IF('Pre-analyseverktøy'!R148=0,"",'Pre-analyseverktøy'!R148)</f>
        <v/>
      </c>
      <c r="S148" s="433" t="str">
        <f>IF('Pre-analyseverktøy'!S148=0,"",'Pre-analyseverktøy'!S148)</f>
        <v/>
      </c>
      <c r="T148" s="434" t="str">
        <f>IF('Pre-analyseverktøy'!T148=0,"",'Pre-analyseverktøy'!T148)</f>
        <v/>
      </c>
      <c r="U148" s="437"/>
      <c r="V148" s="436">
        <f>'Pre-analyseverktøy'!V148</f>
        <v>0</v>
      </c>
      <c r="W148" s="431" t="str">
        <f>'Pre-analyseverktøy'!W148</f>
        <v>0 c. 0 %</v>
      </c>
      <c r="X148" s="430" t="str">
        <f>'Pre-analyseverktøy'!X148</f>
        <v>N/A</v>
      </c>
      <c r="Y148" s="433" t="str">
        <f>IF('Pre-analyseverktøy'!Y148=0,"",'Pre-analyseverktøy'!Y148)</f>
        <v/>
      </c>
      <c r="Z148" s="433" t="str">
        <f>IF('Pre-analyseverktøy'!Z148=0,"",'Pre-analyseverktøy'!Z148)</f>
        <v/>
      </c>
      <c r="AA148" s="433" t="str">
        <f>IF('Pre-analyseverktøy'!AA148=0,"",'Pre-analyseverktøy'!AA148)</f>
        <v/>
      </c>
    </row>
    <row r="149" spans="1:27">
      <c r="A149" s="620">
        <v>140</v>
      </c>
      <c r="B149" s="911" t="s">
        <v>475</v>
      </c>
      <c r="C149" s="911"/>
      <c r="D149" s="932" t="str">
        <f>'Pre-analyseverktøy'!C149</f>
        <v>Wst 01</v>
      </c>
      <c r="E149" s="932" t="str">
        <f>'Pre-analyseverktøy'!E149</f>
        <v>1-2</v>
      </c>
      <c r="F149" s="933" t="str">
        <f>'Pre-analyseverktøy'!F149</f>
        <v>Ressursstyringsplan</v>
      </c>
      <c r="G149" s="430">
        <f>'Pre-analyseverktøy'!G149</f>
        <v>1</v>
      </c>
      <c r="H149" s="436">
        <f>'Pre-analyseverktøy'!H149</f>
        <v>0</v>
      </c>
      <c r="I149" s="902">
        <f>'Pre-analyseverktøy'!I149</f>
        <v>0</v>
      </c>
      <c r="J149" s="432" t="str">
        <f>'Pre-analyseverktøy'!J149</f>
        <v>Good</v>
      </c>
      <c r="K149" s="433" t="str">
        <f>IF('Pre-analyseverktøy'!K149=0,"",'Pre-analyseverktøy'!K149)</f>
        <v/>
      </c>
      <c r="L149" s="433" t="str">
        <f>IF('Pre-analyseverktøy'!L149=0,"",'Pre-analyseverktøy'!L149)</f>
        <v/>
      </c>
      <c r="M149" s="434" t="str">
        <f>IF('Pre-analyseverktøy'!M149=0,"",'Pre-analyseverktøy'!M149)</f>
        <v/>
      </c>
      <c r="N149" s="435">
        <f>'Pre-analyseverktøy'!N149</f>
        <v>0</v>
      </c>
      <c r="O149" s="436">
        <f>'Pre-analyseverktøy'!O149</f>
        <v>0</v>
      </c>
      <c r="P149" s="431">
        <f>'Pre-analyseverktøy'!P149</f>
        <v>0</v>
      </c>
      <c r="Q149" s="430" t="str">
        <f>'Pre-analyseverktøy'!Q149</f>
        <v>Good</v>
      </c>
      <c r="R149" s="433" t="str">
        <f>IF('Pre-analyseverktøy'!R149=0,"",'Pre-analyseverktøy'!R149)</f>
        <v/>
      </c>
      <c r="S149" s="433" t="str">
        <f>IF('Pre-analyseverktøy'!S149=0,"",'Pre-analyseverktøy'!S149)</f>
        <v/>
      </c>
      <c r="T149" s="434" t="str">
        <f>IF('Pre-analyseverktøy'!T149=0,"",'Pre-analyseverktøy'!T149)</f>
        <v/>
      </c>
      <c r="U149" s="437"/>
      <c r="V149" s="436">
        <f>'Pre-analyseverktøy'!V149</f>
        <v>0</v>
      </c>
      <c r="W149" s="431">
        <f>'Pre-analyseverktøy'!W149</f>
        <v>0</v>
      </c>
      <c r="X149" s="430" t="str">
        <f>'Pre-analyseverktøy'!X149</f>
        <v>Good</v>
      </c>
      <c r="Y149" s="433" t="str">
        <f>IF('Pre-analyseverktøy'!Y149=0,"",'Pre-analyseverktøy'!Y149)</f>
        <v/>
      </c>
      <c r="Z149" s="433" t="str">
        <f>IF('Pre-analyseverktøy'!Z149=0,"",'Pre-analyseverktøy'!Z149)</f>
        <v/>
      </c>
      <c r="AA149" s="433" t="str">
        <f>IF('Pre-analyseverktøy'!AA149=0,"",'Pre-analyseverktøy'!AA149)</f>
        <v/>
      </c>
    </row>
    <row r="150" spans="1:27">
      <c r="A150" s="620">
        <v>141</v>
      </c>
      <c r="B150" s="911" t="s">
        <v>475</v>
      </c>
      <c r="C150" s="911"/>
      <c r="D150" s="932" t="str">
        <f>'Pre-analyseverktøy'!C150</f>
        <v>Wst 01</v>
      </c>
      <c r="E150" s="932">
        <f>'Pre-analyseverktøy'!E150</f>
        <v>1</v>
      </c>
      <c r="F150" s="935" t="str">
        <f>'Pre-analyseverktøy'!F150</f>
        <v>EU taksonomi: krit. 1</v>
      </c>
      <c r="G150" s="430" t="str">
        <f>'Pre-analyseverktøy'!G150</f>
        <v>Yes/No</v>
      </c>
      <c r="H150" s="436">
        <f>'Pre-analyseverktøy'!H150</f>
        <v>0</v>
      </c>
      <c r="I150" s="902" t="str">
        <f>'Pre-analyseverktøy'!I150</f>
        <v>-</v>
      </c>
      <c r="J150" s="432" t="str">
        <f>'Pre-analyseverktøy'!J150</f>
        <v>N/A</v>
      </c>
      <c r="K150" s="433" t="str">
        <f>IF('Pre-analyseverktøy'!K150=0,"",'Pre-analyseverktøy'!K150)</f>
        <v/>
      </c>
      <c r="L150" s="433" t="str">
        <f>IF('Pre-analyseverktøy'!L150=0,"",'Pre-analyseverktøy'!L150)</f>
        <v/>
      </c>
      <c r="M150" s="434" t="str">
        <f>IF('Pre-analyseverktøy'!M150=0,"",'Pre-analyseverktøy'!M150)</f>
        <v/>
      </c>
      <c r="N150" s="435">
        <f>'Pre-analyseverktøy'!N150</f>
        <v>0</v>
      </c>
      <c r="O150" s="436">
        <f>'Pre-analyseverktøy'!O150</f>
        <v>0</v>
      </c>
      <c r="P150" s="431" t="str">
        <f>'Pre-analyseverktøy'!P150</f>
        <v>-</v>
      </c>
      <c r="Q150" s="430" t="str">
        <f>'Pre-analyseverktøy'!Q150</f>
        <v>N/A</v>
      </c>
      <c r="R150" s="433" t="str">
        <f>IF('Pre-analyseverktøy'!R150=0,"",'Pre-analyseverktøy'!R150)</f>
        <v/>
      </c>
      <c r="S150" s="433" t="str">
        <f>IF('Pre-analyseverktøy'!S150=0,"",'Pre-analyseverktøy'!S150)</f>
        <v/>
      </c>
      <c r="T150" s="434" t="str">
        <f>IF('Pre-analyseverktøy'!T150=0,"",'Pre-analyseverktøy'!T150)</f>
        <v/>
      </c>
      <c r="U150" s="437"/>
      <c r="V150" s="436">
        <f>'Pre-analyseverktøy'!V150</f>
        <v>0</v>
      </c>
      <c r="W150" s="431" t="str">
        <f>'Pre-analyseverktøy'!W150</f>
        <v>-</v>
      </c>
      <c r="X150" s="430" t="str">
        <f>'Pre-analyseverktøy'!X150</f>
        <v>N/A</v>
      </c>
      <c r="Y150" s="433" t="str">
        <f>IF('Pre-analyseverktøy'!Y150=0,"",'Pre-analyseverktøy'!Y150)</f>
        <v/>
      </c>
      <c r="Z150" s="433" t="str">
        <f>IF('Pre-analyseverktøy'!Z150=0,"",'Pre-analyseverktøy'!Z150)</f>
        <v/>
      </c>
      <c r="AA150" s="433" t="str">
        <f>IF('Pre-analyseverktøy'!AA150=0,"",'Pre-analyseverktøy'!AA150)</f>
        <v/>
      </c>
    </row>
    <row r="151" spans="1:27">
      <c r="A151" s="620">
        <v>142</v>
      </c>
      <c r="B151" s="911" t="s">
        <v>475</v>
      </c>
      <c r="C151" s="911"/>
      <c r="D151" s="932" t="str">
        <f>'Pre-analyseverktøy'!C151</f>
        <v>Wst 01</v>
      </c>
      <c r="E151" s="932">
        <f>'Pre-analyseverktøy'!E151</f>
        <v>3</v>
      </c>
      <c r="F151" s="933" t="str">
        <f>'Pre-analyseverktøy'!F151</f>
        <v>Avfallsmengder</v>
      </c>
      <c r="G151" s="430">
        <f>'Pre-analyseverktøy'!G151</f>
        <v>2</v>
      </c>
      <c r="H151" s="436">
        <f>'Pre-analyseverktøy'!H151</f>
        <v>0</v>
      </c>
      <c r="I151" s="902">
        <f>'Pre-analyseverktøy'!I151</f>
        <v>0</v>
      </c>
      <c r="J151" s="432" t="str">
        <f>'Pre-analyseverktøy'!J151</f>
        <v>Excellent</v>
      </c>
      <c r="K151" s="433" t="str">
        <f>IF('Pre-analyseverktøy'!K151=0,"",'Pre-analyseverktøy'!K151)</f>
        <v/>
      </c>
      <c r="L151" s="433" t="str">
        <f>IF('Pre-analyseverktøy'!L151=0,"",'Pre-analyseverktøy'!L151)</f>
        <v/>
      </c>
      <c r="M151" s="434" t="str">
        <f>IF('Pre-analyseverktøy'!M151=0,"",'Pre-analyseverktøy'!M151)</f>
        <v/>
      </c>
      <c r="N151" s="435">
        <f>'Pre-analyseverktøy'!N151</f>
        <v>0</v>
      </c>
      <c r="O151" s="436">
        <f>'Pre-analyseverktøy'!O151</f>
        <v>0</v>
      </c>
      <c r="P151" s="431">
        <f>'Pre-analyseverktøy'!P151</f>
        <v>0</v>
      </c>
      <c r="Q151" s="430" t="str">
        <f>'Pre-analyseverktøy'!Q151</f>
        <v>Excellent</v>
      </c>
      <c r="R151" s="433" t="str">
        <f>IF('Pre-analyseverktøy'!R151=0,"",'Pre-analyseverktøy'!R151)</f>
        <v/>
      </c>
      <c r="S151" s="433" t="str">
        <f>IF('Pre-analyseverktøy'!S151=0,"",'Pre-analyseverktøy'!S151)</f>
        <v/>
      </c>
      <c r="T151" s="434" t="str">
        <f>IF('Pre-analyseverktøy'!T151=0,"",'Pre-analyseverktøy'!T151)</f>
        <v/>
      </c>
      <c r="U151" s="437"/>
      <c r="V151" s="436">
        <f>'Pre-analyseverktøy'!V151</f>
        <v>0</v>
      </c>
      <c r="W151" s="431">
        <f>'Pre-analyseverktøy'!W151</f>
        <v>0</v>
      </c>
      <c r="X151" s="430" t="str">
        <f>'Pre-analyseverktøy'!X151</f>
        <v>Excellent</v>
      </c>
      <c r="Y151" s="433" t="str">
        <f>IF('Pre-analyseverktøy'!Y151=0,"",'Pre-analyseverktøy'!Y151)</f>
        <v/>
      </c>
      <c r="Z151" s="433" t="str">
        <f>IF('Pre-analyseverktøy'!Z151=0,"",'Pre-analyseverktøy'!Z151)</f>
        <v/>
      </c>
      <c r="AA151" s="433" t="str">
        <f>IF('Pre-analyseverktøy'!AA151=0,"",'Pre-analyseverktøy'!AA151)</f>
        <v/>
      </c>
    </row>
    <row r="152" spans="1:27">
      <c r="A152" s="620">
        <v>143</v>
      </c>
      <c r="B152" s="911" t="s">
        <v>475</v>
      </c>
      <c r="C152" s="911"/>
      <c r="D152" s="932" t="str">
        <f>'Pre-analyseverktøy'!C152</f>
        <v>Wst 01</v>
      </c>
      <c r="E152" s="932">
        <f>'Pre-analyseverktøy'!E152</f>
        <v>4</v>
      </c>
      <c r="F152" s="933" t="str">
        <f>'Pre-analyseverktøy'!F152</f>
        <v>Avfallssortering, ombruk og materialgjenvinning</v>
      </c>
      <c r="G152" s="430">
        <f>'Pre-analyseverktøy'!G152</f>
        <v>2</v>
      </c>
      <c r="H152" s="436">
        <f>'Pre-analyseverktøy'!H152</f>
        <v>0</v>
      </c>
      <c r="I152" s="902">
        <f>'Pre-analyseverktøy'!I152</f>
        <v>0</v>
      </c>
      <c r="J152" s="432" t="str">
        <f>'Pre-analyseverktøy'!J152</f>
        <v>Very Good</v>
      </c>
      <c r="K152" s="433" t="str">
        <f>IF('Pre-analyseverktøy'!K152=0,"",'Pre-analyseverktøy'!K152)</f>
        <v/>
      </c>
      <c r="L152" s="433" t="str">
        <f>IF('Pre-analyseverktøy'!L152=0,"",'Pre-analyseverktøy'!L152)</f>
        <v/>
      </c>
      <c r="M152" s="434" t="str">
        <f>IF('Pre-analyseverktøy'!M152=0,"",'Pre-analyseverktøy'!M152)</f>
        <v/>
      </c>
      <c r="N152" s="435">
        <f>'Pre-analyseverktøy'!N152</f>
        <v>0</v>
      </c>
      <c r="O152" s="436">
        <f>'Pre-analyseverktøy'!O152</f>
        <v>0</v>
      </c>
      <c r="P152" s="431">
        <f>'Pre-analyseverktøy'!P152</f>
        <v>0</v>
      </c>
      <c r="Q152" s="430" t="str">
        <f>'Pre-analyseverktøy'!Q152</f>
        <v>Very Good</v>
      </c>
      <c r="R152" s="433" t="str">
        <f>IF('Pre-analyseverktøy'!R152=0,"",'Pre-analyseverktøy'!R152)</f>
        <v/>
      </c>
      <c r="S152" s="433" t="str">
        <f>IF('Pre-analyseverktøy'!S152=0,"",'Pre-analyseverktøy'!S152)</f>
        <v/>
      </c>
      <c r="T152" s="434" t="str">
        <f>IF('Pre-analyseverktøy'!T152=0,"",'Pre-analyseverktøy'!T152)</f>
        <v/>
      </c>
      <c r="U152" s="437"/>
      <c r="V152" s="436">
        <f>'Pre-analyseverktøy'!V152</f>
        <v>0</v>
      </c>
      <c r="W152" s="431">
        <f>'Pre-analyseverktøy'!W152</f>
        <v>0</v>
      </c>
      <c r="X152" s="430" t="str">
        <f>'Pre-analyseverktøy'!X152</f>
        <v>Very Good</v>
      </c>
      <c r="Y152" s="433" t="str">
        <f>IF('Pre-analyseverktøy'!Y152=0,"",'Pre-analyseverktøy'!Y152)</f>
        <v/>
      </c>
      <c r="Z152" s="433" t="str">
        <f>IF('Pre-analyseverktøy'!Z152=0,"",'Pre-analyseverktøy'!Z152)</f>
        <v/>
      </c>
      <c r="AA152" s="433" t="str">
        <f>IF('Pre-analyseverktøy'!AA152=0,"",'Pre-analyseverktøy'!AA152)</f>
        <v/>
      </c>
    </row>
    <row r="153" spans="1:27" ht="30">
      <c r="A153" s="620">
        <v>144</v>
      </c>
      <c r="B153" s="911" t="s">
        <v>475</v>
      </c>
      <c r="C153" s="911"/>
      <c r="D153" s="932" t="str">
        <f>'Pre-analyseverktøy'!C153</f>
        <v>Wst 01</v>
      </c>
      <c r="E153" s="932">
        <f>'Pre-analyseverktøy'!E153</f>
        <v>4</v>
      </c>
      <c r="F153" s="935" t="str">
        <f>'Pre-analyseverktøy'!F153</f>
        <v>EU taksonomi:krit.  4, &gt; 90 % sortert og &gt; 70 % klargjort for ombruk og materialgjenvinning</v>
      </c>
      <c r="G153" s="430" t="str">
        <f>'Pre-analyseverktøy'!G153</f>
        <v>Yes/No</v>
      </c>
      <c r="H153" s="436">
        <f>'Pre-analyseverktøy'!H153</f>
        <v>0</v>
      </c>
      <c r="I153" s="902" t="str">
        <f>'Pre-analyseverktøy'!I153</f>
        <v>-</v>
      </c>
      <c r="J153" s="432" t="str">
        <f>'Pre-analyseverktøy'!J153</f>
        <v>Very Good</v>
      </c>
      <c r="K153" s="433" t="str">
        <f>IF('Pre-analyseverktøy'!K153=0,"",'Pre-analyseverktøy'!K153)</f>
        <v/>
      </c>
      <c r="L153" s="433" t="str">
        <f>IF('Pre-analyseverktøy'!L153=0,"",'Pre-analyseverktøy'!L153)</f>
        <v/>
      </c>
      <c r="M153" s="434" t="str">
        <f>IF('Pre-analyseverktøy'!M153=0,"",'Pre-analyseverktøy'!M153)</f>
        <v/>
      </c>
      <c r="N153" s="435">
        <f>'Pre-analyseverktøy'!N153</f>
        <v>0</v>
      </c>
      <c r="O153" s="436">
        <f>'Pre-analyseverktøy'!O153</f>
        <v>0</v>
      </c>
      <c r="P153" s="431" t="str">
        <f>'Pre-analyseverktøy'!P153</f>
        <v>-</v>
      </c>
      <c r="Q153" s="430" t="str">
        <f>'Pre-analyseverktøy'!Q153</f>
        <v>Very Good</v>
      </c>
      <c r="R153" s="433" t="str">
        <f>IF('Pre-analyseverktøy'!R153=0,"",'Pre-analyseverktøy'!R153)</f>
        <v/>
      </c>
      <c r="S153" s="433" t="str">
        <f>IF('Pre-analyseverktøy'!S153=0,"",'Pre-analyseverktøy'!S153)</f>
        <v/>
      </c>
      <c r="T153" s="434" t="str">
        <f>IF('Pre-analyseverktøy'!T153=0,"",'Pre-analyseverktøy'!T153)</f>
        <v/>
      </c>
      <c r="U153" s="437"/>
      <c r="V153" s="436">
        <f>'Pre-analyseverktøy'!V153</f>
        <v>0</v>
      </c>
      <c r="W153" s="431" t="str">
        <f>'Pre-analyseverktøy'!W153</f>
        <v>-</v>
      </c>
      <c r="X153" s="430" t="str">
        <f>'Pre-analyseverktøy'!X153</f>
        <v>Very Good</v>
      </c>
      <c r="Y153" s="433" t="str">
        <f>IF('Pre-analyseverktøy'!Y153=0,"",'Pre-analyseverktøy'!Y153)</f>
        <v/>
      </c>
      <c r="Z153" s="433" t="str">
        <f>IF('Pre-analyseverktøy'!Z153=0,"",'Pre-analyseverktøy'!Z153)</f>
        <v/>
      </c>
      <c r="AA153" s="433" t="str">
        <f>IF('Pre-analyseverktøy'!AA153=0,"",'Pre-analyseverktøy'!AA153)</f>
        <v/>
      </c>
    </row>
    <row r="154" spans="1:27">
      <c r="A154" s="620">
        <v>145</v>
      </c>
      <c r="B154" s="911" t="s">
        <v>475</v>
      </c>
      <c r="C154" s="911"/>
      <c r="D154" s="931" t="str">
        <f>'Pre-analyseverktøy'!C154</f>
        <v>Wst 03a</v>
      </c>
      <c r="E154" s="932"/>
      <c r="F154" s="931" t="str">
        <f>'Pre-analyseverktøy'!F154</f>
        <v>Wst 03a Avfall i driftsfase</v>
      </c>
      <c r="G154" s="430">
        <f>'Pre-analyseverktøy'!G154</f>
        <v>1</v>
      </c>
      <c r="H154" s="436">
        <f>'Pre-analyseverktøy'!H154</f>
        <v>0</v>
      </c>
      <c r="I154" s="902" t="str">
        <f>'Pre-analyseverktøy'!I154</f>
        <v>0 c. 0 %</v>
      </c>
      <c r="J154" s="432" t="str">
        <f>'Pre-analyseverktøy'!J154</f>
        <v>N/A</v>
      </c>
      <c r="K154" s="433" t="str">
        <f>IF('Pre-analyseverktøy'!K154=0,"",'Pre-analyseverktøy'!K154)</f>
        <v/>
      </c>
      <c r="L154" s="433" t="str">
        <f>IF('Pre-analyseverktøy'!L154=0,"",'Pre-analyseverktøy'!L154)</f>
        <v/>
      </c>
      <c r="M154" s="434" t="str">
        <f>IF('Pre-analyseverktøy'!M154=0,"",'Pre-analyseverktøy'!M154)</f>
        <v/>
      </c>
      <c r="N154" s="435">
        <f>'Pre-analyseverktøy'!N154</f>
        <v>0</v>
      </c>
      <c r="O154" s="436">
        <f>'Pre-analyseverktøy'!O154</f>
        <v>0</v>
      </c>
      <c r="P154" s="431" t="str">
        <f>'Pre-analyseverktøy'!P154</f>
        <v>0 c. 0 %</v>
      </c>
      <c r="Q154" s="430" t="str">
        <f>'Pre-analyseverktøy'!Q154</f>
        <v>N/A</v>
      </c>
      <c r="R154" s="433" t="str">
        <f>IF('Pre-analyseverktøy'!R154=0,"",'Pre-analyseverktøy'!R154)</f>
        <v/>
      </c>
      <c r="S154" s="433" t="str">
        <f>IF('Pre-analyseverktøy'!S154=0,"",'Pre-analyseverktøy'!S154)</f>
        <v/>
      </c>
      <c r="T154" s="434" t="str">
        <f>IF('Pre-analyseverktøy'!T154=0,"",'Pre-analyseverktøy'!T154)</f>
        <v/>
      </c>
      <c r="U154" s="437"/>
      <c r="V154" s="436">
        <f>'Pre-analyseverktøy'!V154</f>
        <v>0</v>
      </c>
      <c r="W154" s="431" t="str">
        <f>'Pre-analyseverktøy'!W154</f>
        <v>0 c. 0 %</v>
      </c>
      <c r="X154" s="430" t="str">
        <f>'Pre-analyseverktøy'!X154</f>
        <v>N/A</v>
      </c>
      <c r="Y154" s="433" t="str">
        <f>IF('Pre-analyseverktøy'!Y154=0,"",'Pre-analyseverktøy'!Y154)</f>
        <v/>
      </c>
      <c r="Z154" s="433" t="str">
        <f>IF('Pre-analyseverktøy'!Z154=0,"",'Pre-analyseverktøy'!Z154)</f>
        <v/>
      </c>
      <c r="AA154" s="433" t="str">
        <f>IF('Pre-analyseverktøy'!AA154=0,"",'Pre-analyseverktøy'!AA154)</f>
        <v/>
      </c>
    </row>
    <row r="155" spans="1:27">
      <c r="A155" s="620">
        <v>146</v>
      </c>
      <c r="B155" s="911" t="s">
        <v>475</v>
      </c>
      <c r="C155" s="911"/>
      <c r="D155" s="932" t="str">
        <f>'Pre-analyseverktøy'!C155</f>
        <v>Wst 03a</v>
      </c>
      <c r="E155" s="932" t="str">
        <f>'Pre-analyseverktøy'!E155</f>
        <v>1-5</v>
      </c>
      <c r="F155" s="933" t="str">
        <f>'Pre-analyseverktøy'!F155</f>
        <v>Avfall i driftsfase</v>
      </c>
      <c r="G155" s="430">
        <f>'Pre-analyseverktøy'!G155</f>
        <v>1</v>
      </c>
      <c r="H155" s="436">
        <f>'Pre-analyseverktøy'!H155</f>
        <v>0</v>
      </c>
      <c r="I155" s="902">
        <f>'Pre-analyseverktøy'!I155</f>
        <v>0</v>
      </c>
      <c r="J155" s="432" t="str">
        <f>'Pre-analyseverktøy'!J155</f>
        <v>Very Good</v>
      </c>
      <c r="K155" s="433" t="str">
        <f>IF('Pre-analyseverktøy'!K155=0,"",'Pre-analyseverktøy'!K155)</f>
        <v/>
      </c>
      <c r="L155" s="433" t="str">
        <f>IF('Pre-analyseverktøy'!L155=0,"",'Pre-analyseverktøy'!L155)</f>
        <v/>
      </c>
      <c r="M155" s="434" t="str">
        <f>IF('Pre-analyseverktøy'!M155=0,"",'Pre-analyseverktøy'!M155)</f>
        <v/>
      </c>
      <c r="N155" s="435">
        <f>'Pre-analyseverktøy'!N155</f>
        <v>0</v>
      </c>
      <c r="O155" s="436">
        <f>'Pre-analyseverktøy'!O155</f>
        <v>0</v>
      </c>
      <c r="P155" s="431">
        <f>'Pre-analyseverktøy'!P155</f>
        <v>0</v>
      </c>
      <c r="Q155" s="430" t="str">
        <f>'Pre-analyseverktøy'!Q155</f>
        <v>Very Good</v>
      </c>
      <c r="R155" s="433" t="str">
        <f>IF('Pre-analyseverktøy'!R155=0,"",'Pre-analyseverktøy'!R155)</f>
        <v/>
      </c>
      <c r="S155" s="433" t="str">
        <f>IF('Pre-analyseverktøy'!S155=0,"",'Pre-analyseverktøy'!S155)</f>
        <v/>
      </c>
      <c r="T155" s="434" t="str">
        <f>IF('Pre-analyseverktøy'!T155=0,"",'Pre-analyseverktøy'!T155)</f>
        <v/>
      </c>
      <c r="U155" s="437"/>
      <c r="V155" s="436">
        <f>'Pre-analyseverktøy'!V155</f>
        <v>0</v>
      </c>
      <c r="W155" s="431">
        <f>'Pre-analyseverktøy'!W155</f>
        <v>0</v>
      </c>
      <c r="X155" s="430" t="str">
        <f>'Pre-analyseverktøy'!X155</f>
        <v>Very Good</v>
      </c>
      <c r="Y155" s="433" t="str">
        <f>IF('Pre-analyseverktøy'!Y155=0,"",'Pre-analyseverktøy'!Y155)</f>
        <v/>
      </c>
      <c r="Z155" s="433" t="str">
        <f>IF('Pre-analyseverktøy'!Z155=0,"",'Pre-analyseverktøy'!Z155)</f>
        <v/>
      </c>
      <c r="AA155" s="433" t="str">
        <f>IF('Pre-analyseverktøy'!AA155=0,"",'Pre-analyseverktøy'!AA155)</f>
        <v/>
      </c>
    </row>
    <row r="156" spans="1:27">
      <c r="A156" s="620">
        <v>147</v>
      </c>
      <c r="B156" s="911" t="s">
        <v>475</v>
      </c>
      <c r="C156" s="911"/>
      <c r="D156" s="931" t="str">
        <f>'Pre-analyseverktøy'!C156</f>
        <v>Wst 03b</v>
      </c>
      <c r="E156" s="932"/>
      <c r="F156" s="931" t="str">
        <f>'Pre-analyseverktøy'!F156</f>
        <v>Wst 03b Avfall i driftsfase</v>
      </c>
      <c r="G156" s="430">
        <f>'Pre-analyseverktøy'!G156</f>
        <v>0</v>
      </c>
      <c r="H156" s="436">
        <f>'Pre-analyseverktøy'!H156</f>
        <v>0</v>
      </c>
      <c r="I156" s="902" t="str">
        <f>'Pre-analyseverktøy'!I156</f>
        <v>0 c. 0 %</v>
      </c>
      <c r="J156" s="432" t="str">
        <f>'Pre-analyseverktøy'!J156</f>
        <v>N/A</v>
      </c>
      <c r="K156" s="433" t="str">
        <f>IF('Pre-analyseverktøy'!K156=0,"",'Pre-analyseverktøy'!K156)</f>
        <v/>
      </c>
      <c r="L156" s="433" t="str">
        <f>IF('Pre-analyseverktøy'!L156=0,"",'Pre-analyseverktøy'!L156)</f>
        <v/>
      </c>
      <c r="M156" s="434" t="str">
        <f>IF('Pre-analyseverktøy'!M156=0,"",'Pre-analyseverktøy'!M156)</f>
        <v/>
      </c>
      <c r="N156" s="435">
        <f>'Pre-analyseverktøy'!N156</f>
        <v>0</v>
      </c>
      <c r="O156" s="436">
        <f>'Pre-analyseverktøy'!O156</f>
        <v>0</v>
      </c>
      <c r="P156" s="431" t="str">
        <f>'Pre-analyseverktøy'!P156</f>
        <v>0 c. 0 %</v>
      </c>
      <c r="Q156" s="430" t="str">
        <f>'Pre-analyseverktøy'!Q156</f>
        <v>N/A</v>
      </c>
      <c r="R156" s="433" t="str">
        <f>IF('Pre-analyseverktøy'!R156=0,"",'Pre-analyseverktøy'!R156)</f>
        <v/>
      </c>
      <c r="S156" s="433" t="str">
        <f>IF('Pre-analyseverktøy'!S156=0,"",'Pre-analyseverktøy'!S156)</f>
        <v/>
      </c>
      <c r="T156" s="434" t="str">
        <f>IF('Pre-analyseverktøy'!T156=0,"",'Pre-analyseverktøy'!T156)</f>
        <v/>
      </c>
      <c r="U156" s="437"/>
      <c r="V156" s="436">
        <f>'Pre-analyseverktøy'!V156</f>
        <v>0</v>
      </c>
      <c r="W156" s="431">
        <f>'Pre-analyseverktøy'!W156</f>
        <v>0</v>
      </c>
      <c r="X156" s="430" t="str">
        <f>'Pre-analyseverktøy'!X156</f>
        <v>N/A</v>
      </c>
      <c r="Y156" s="433" t="str">
        <f>IF('Pre-analyseverktøy'!Y156=0,"",'Pre-analyseverktøy'!Y156)</f>
        <v/>
      </c>
      <c r="Z156" s="433" t="str">
        <f>IF('Pre-analyseverktøy'!Z156=0,"",'Pre-analyseverktøy'!Z156)</f>
        <v/>
      </c>
      <c r="AA156" s="433" t="str">
        <f>IF('Pre-analyseverktøy'!AA156=0,"",'Pre-analyseverktøy'!AA156)</f>
        <v/>
      </c>
    </row>
    <row r="157" spans="1:27">
      <c r="A157" s="620">
        <v>148</v>
      </c>
      <c r="B157" s="911" t="s">
        <v>475</v>
      </c>
      <c r="C157" s="911"/>
      <c r="D157" s="932" t="str">
        <f>'Pre-analyseverktøy'!C157</f>
        <v>Wst 03b</v>
      </c>
      <c r="E157" s="932" t="str">
        <f>'Pre-analyseverktøy'!E157</f>
        <v>1-2</v>
      </c>
      <c r="F157" s="933" t="str">
        <f>'Pre-analyseverktøy'!F157</f>
        <v>Sortering av avfall</v>
      </c>
      <c r="G157" s="430">
        <f>'Pre-analyseverktøy'!G157</f>
        <v>0</v>
      </c>
      <c r="H157" s="436">
        <f>'Pre-analyseverktøy'!H157</f>
        <v>0</v>
      </c>
      <c r="I157" s="902">
        <f>'Pre-analyseverktøy'!I157</f>
        <v>0</v>
      </c>
      <c r="J157" s="432" t="str">
        <f>'Pre-analyseverktøy'!J157</f>
        <v>N/A</v>
      </c>
      <c r="K157" s="433" t="str">
        <f>IF('Pre-analyseverktøy'!K157=0,"",'Pre-analyseverktøy'!K157)</f>
        <v/>
      </c>
      <c r="L157" s="433" t="str">
        <f>IF('Pre-analyseverktøy'!L157=0,"",'Pre-analyseverktøy'!L157)</f>
        <v/>
      </c>
      <c r="M157" s="434" t="str">
        <f>IF('Pre-analyseverktøy'!M157=0,"",'Pre-analyseverktøy'!M157)</f>
        <v/>
      </c>
      <c r="N157" s="435">
        <f>'Pre-analyseverktøy'!N157</f>
        <v>0</v>
      </c>
      <c r="O157" s="436">
        <f>'Pre-analyseverktøy'!O157</f>
        <v>0</v>
      </c>
      <c r="P157" s="431">
        <f>'Pre-analyseverktøy'!P157</f>
        <v>0</v>
      </c>
      <c r="Q157" s="430" t="str">
        <f>'Pre-analyseverktøy'!Q157</f>
        <v>N/A</v>
      </c>
      <c r="R157" s="433" t="str">
        <f>IF('Pre-analyseverktøy'!R157=0,"",'Pre-analyseverktøy'!R157)</f>
        <v/>
      </c>
      <c r="S157" s="433" t="str">
        <f>IF('Pre-analyseverktøy'!S157=0,"",'Pre-analyseverktøy'!S157)</f>
        <v/>
      </c>
      <c r="T157" s="434" t="str">
        <f>IF('Pre-analyseverktøy'!T157=0,"",'Pre-analyseverktøy'!T157)</f>
        <v/>
      </c>
      <c r="U157" s="437"/>
      <c r="V157" s="436">
        <f>'Pre-analyseverktøy'!V157</f>
        <v>0</v>
      </c>
      <c r="W157" s="431">
        <f>'Pre-analyseverktøy'!W157</f>
        <v>0</v>
      </c>
      <c r="X157" s="430" t="str">
        <f>'Pre-analyseverktøy'!X157</f>
        <v>N/A</v>
      </c>
      <c r="Y157" s="433" t="str">
        <f>IF('Pre-analyseverktøy'!Y157=0,"",'Pre-analyseverktøy'!Y157)</f>
        <v/>
      </c>
      <c r="Z157" s="433" t="str">
        <f>IF('Pre-analyseverktøy'!Z157=0,"",'Pre-analyseverktøy'!Z157)</f>
        <v/>
      </c>
      <c r="AA157" s="433" t="str">
        <f>IF('Pre-analyseverktøy'!AA157=0,"",'Pre-analyseverktøy'!AA157)</f>
        <v/>
      </c>
    </row>
    <row r="158" spans="1:27">
      <c r="A158" s="620">
        <v>149</v>
      </c>
      <c r="B158" s="911" t="s">
        <v>475</v>
      </c>
      <c r="C158" s="911"/>
      <c r="D158" s="931" t="str">
        <f>'Pre-analyseverktøy'!C158</f>
        <v>Wst 04</v>
      </c>
      <c r="E158" s="932"/>
      <c r="F158" s="931" t="str">
        <f>'Pre-analyseverktøy'!F158</f>
        <v>Wst 04 Brukerinvolvering innvendige overflater</v>
      </c>
      <c r="G158" s="430">
        <f>'Pre-analyseverktøy'!G158</f>
        <v>1</v>
      </c>
      <c r="H158" s="436">
        <f>'Pre-analyseverktøy'!H158</f>
        <v>0</v>
      </c>
      <c r="I158" s="902" t="str">
        <f>'Pre-analyseverktøy'!I158</f>
        <v>0 c. 0 %</v>
      </c>
      <c r="J158" s="432" t="str">
        <f>'Pre-analyseverktøy'!J158</f>
        <v>N/A</v>
      </c>
      <c r="K158" s="433" t="str">
        <f>IF('Pre-analyseverktøy'!K158=0,"",'Pre-analyseverktøy'!K158)</f>
        <v/>
      </c>
      <c r="L158" s="433" t="str">
        <f>IF('Pre-analyseverktøy'!L158=0,"",'Pre-analyseverktøy'!L158)</f>
        <v/>
      </c>
      <c r="M158" s="434" t="str">
        <f>IF('Pre-analyseverktøy'!M158=0,"",'Pre-analyseverktøy'!M158)</f>
        <v/>
      </c>
      <c r="N158" s="435">
        <f>'Pre-analyseverktøy'!N158</f>
        <v>0</v>
      </c>
      <c r="O158" s="436">
        <f>'Pre-analyseverktøy'!O158</f>
        <v>0</v>
      </c>
      <c r="P158" s="431" t="str">
        <f>'Pre-analyseverktøy'!P158</f>
        <v>0 c. 0 %</v>
      </c>
      <c r="Q158" s="430" t="str">
        <f>'Pre-analyseverktøy'!Q158</f>
        <v>N/A</v>
      </c>
      <c r="R158" s="433" t="str">
        <f>IF('Pre-analyseverktøy'!R158=0,"",'Pre-analyseverktøy'!R158)</f>
        <v/>
      </c>
      <c r="S158" s="433" t="str">
        <f>IF('Pre-analyseverktøy'!S158=0,"",'Pre-analyseverktøy'!S158)</f>
        <v/>
      </c>
      <c r="T158" s="434" t="str">
        <f>IF('Pre-analyseverktøy'!T158=0,"",'Pre-analyseverktøy'!T158)</f>
        <v/>
      </c>
      <c r="U158" s="437"/>
      <c r="V158" s="436">
        <f>'Pre-analyseverktøy'!V158</f>
        <v>0</v>
      </c>
      <c r="W158" s="431" t="str">
        <f>'Pre-analyseverktøy'!W158</f>
        <v>0 c. 0 %</v>
      </c>
      <c r="X158" s="430" t="str">
        <f>'Pre-analyseverktøy'!X158</f>
        <v>N/A</v>
      </c>
      <c r="Y158" s="433" t="str">
        <f>IF('Pre-analyseverktøy'!Y158=0,"",'Pre-analyseverktøy'!Y158)</f>
        <v/>
      </c>
      <c r="Z158" s="433" t="str">
        <f>IF('Pre-analyseverktøy'!Z158=0,"",'Pre-analyseverktøy'!Z158)</f>
        <v/>
      </c>
      <c r="AA158" s="433" t="str">
        <f>IF('Pre-analyseverktøy'!AA158=0,"",'Pre-analyseverktøy'!AA158)</f>
        <v/>
      </c>
    </row>
    <row r="159" spans="1:27">
      <c r="A159" s="620">
        <v>150</v>
      </c>
      <c r="B159" s="911" t="s">
        <v>496</v>
      </c>
      <c r="C159" s="911"/>
      <c r="D159" s="932" t="str">
        <f>'Pre-analyseverktøy'!C159</f>
        <v>Wst 04</v>
      </c>
      <c r="E159" s="932" t="str">
        <f>'Pre-analyseverktøy'!E159</f>
        <v>1-3</v>
      </c>
      <c r="F159" s="933" t="str">
        <f>'Pre-analyseverktøy'!F159</f>
        <v>Brukerinvolvering innvendige overflater</v>
      </c>
      <c r="G159" s="430">
        <f>'Pre-analyseverktøy'!G159</f>
        <v>1</v>
      </c>
      <c r="H159" s="436">
        <f>'Pre-analyseverktøy'!H159</f>
        <v>0</v>
      </c>
      <c r="I159" s="902">
        <f>'Pre-analyseverktøy'!I159</f>
        <v>0</v>
      </c>
      <c r="J159" s="432" t="str">
        <f>'Pre-analyseverktøy'!J159</f>
        <v>N/A</v>
      </c>
      <c r="K159" s="433" t="str">
        <f>IF('Pre-analyseverktøy'!K159=0,"",'Pre-analyseverktøy'!K159)</f>
        <v/>
      </c>
      <c r="L159" s="433" t="str">
        <f>IF('Pre-analyseverktøy'!L159=0,"",'Pre-analyseverktøy'!L159)</f>
        <v/>
      </c>
      <c r="M159" s="434" t="str">
        <f>IF('Pre-analyseverktøy'!M159=0,"",'Pre-analyseverktøy'!M159)</f>
        <v/>
      </c>
      <c r="N159" s="435">
        <f>'Pre-analyseverktøy'!N159</f>
        <v>0</v>
      </c>
      <c r="O159" s="436">
        <f>'Pre-analyseverktøy'!O159</f>
        <v>0</v>
      </c>
      <c r="P159" s="431">
        <f>'Pre-analyseverktøy'!P159</f>
        <v>0</v>
      </c>
      <c r="Q159" s="430" t="str">
        <f>'Pre-analyseverktøy'!Q159</f>
        <v>N/A</v>
      </c>
      <c r="R159" s="433" t="str">
        <f>IF('Pre-analyseverktøy'!R159=0,"",'Pre-analyseverktøy'!R159)</f>
        <v/>
      </c>
      <c r="S159" s="433" t="str">
        <f>IF('Pre-analyseverktøy'!S159=0,"",'Pre-analyseverktøy'!S159)</f>
        <v/>
      </c>
      <c r="T159" s="434" t="str">
        <f>IF('Pre-analyseverktøy'!T159=0,"",'Pre-analyseverktøy'!T159)</f>
        <v/>
      </c>
      <c r="U159" s="437"/>
      <c r="V159" s="436">
        <f>'Pre-analyseverktøy'!V159</f>
        <v>0</v>
      </c>
      <c r="W159" s="431">
        <f>'Pre-analyseverktøy'!W159</f>
        <v>0</v>
      </c>
      <c r="X159" s="430" t="str">
        <f>'Pre-analyseverktøy'!X159</f>
        <v>N/A</v>
      </c>
      <c r="Y159" s="433" t="str">
        <f>IF('Pre-analyseverktøy'!Y159=0,"",'Pre-analyseverktøy'!Y159)</f>
        <v/>
      </c>
      <c r="Z159" s="433" t="str">
        <f>IF('Pre-analyseverktøy'!Z159=0,"",'Pre-analyseverktøy'!Z159)</f>
        <v/>
      </c>
      <c r="AA159" s="433" t="str">
        <f>IF('Pre-analyseverktøy'!AA159=0,"",'Pre-analyseverktøy'!AA159)</f>
        <v/>
      </c>
    </row>
    <row r="160" spans="1:27" ht="30" customHeight="1" thickBot="1">
      <c r="A160" s="620">
        <v>151</v>
      </c>
      <c r="B160" s="911" t="s">
        <v>496</v>
      </c>
      <c r="C160" s="911"/>
      <c r="D160" s="934"/>
      <c r="E160" s="934"/>
      <c r="F160" s="934" t="str">
        <f>'Pre-analyseverktøy'!F160</f>
        <v>Totalsum Avfall</v>
      </c>
      <c r="G160" s="438">
        <f>'Pre-analyseverktøy'!G160</f>
        <v>7</v>
      </c>
      <c r="H160" s="440">
        <f>'Pre-analyseverktøy'!H160</f>
        <v>0</v>
      </c>
      <c r="I160" s="439">
        <f>'Pre-analyseverktøy'!I160</f>
        <v>0</v>
      </c>
      <c r="J160" s="438" t="str">
        <f>'Pre-analyseverktøy'!J160</f>
        <v>Poeng oppnådd: 0</v>
      </c>
      <c r="K160" s="884" t="str">
        <f>IF('Pre-analyseverktøy'!K160=0,"",'Pre-analyseverktøy'!K160)</f>
        <v/>
      </c>
      <c r="L160" s="884" t="str">
        <f>IF('Pre-analyseverktøy'!L160=0,"",'Pre-analyseverktøy'!L160)</f>
        <v/>
      </c>
      <c r="M160" s="903" t="str">
        <f>IF('Pre-analyseverktøy'!M160=0,"",'Pre-analyseverktøy'!M160)</f>
        <v/>
      </c>
      <c r="N160" s="904">
        <f>'Pre-analyseverktøy'!N160</f>
        <v>0</v>
      </c>
      <c r="O160" s="440">
        <f>'Pre-analyseverktøy'!O160</f>
        <v>0</v>
      </c>
      <c r="P160" s="439">
        <f>'Pre-analyseverktøy'!P160</f>
        <v>0</v>
      </c>
      <c r="Q160" s="438" t="str">
        <f>'Pre-analyseverktøy'!Q160</f>
        <v>Poeng oppnådd: 0</v>
      </c>
      <c r="R160" s="884" t="str">
        <f>IF('Pre-analyseverktøy'!R160=0,"",'Pre-analyseverktøy'!R160)</f>
        <v/>
      </c>
      <c r="S160" s="884" t="str">
        <f>IF('Pre-analyseverktøy'!S160=0,"",'Pre-analyseverktøy'!S160)</f>
        <v/>
      </c>
      <c r="T160" s="903" t="str">
        <f>IF('Pre-analyseverktøy'!T160=0,"",'Pre-analyseverktøy'!T160)</f>
        <v/>
      </c>
      <c r="U160" s="905"/>
      <c r="V160" s="440">
        <f>'Pre-analyseverktøy'!V160</f>
        <v>0</v>
      </c>
      <c r="W160" s="439">
        <f>'Pre-analyseverktøy'!W160</f>
        <v>0</v>
      </c>
      <c r="X160" s="438" t="str">
        <f>'Pre-analyseverktøy'!X160</f>
        <v>Poeng oppnådd: 0</v>
      </c>
      <c r="Y160" s="884" t="str">
        <f>IF('Pre-analyseverktøy'!Y160=0,"",'Pre-analyseverktøy'!Y160)</f>
        <v/>
      </c>
      <c r="Z160" s="884" t="str">
        <f>IF('Pre-analyseverktøy'!Z160=0,"",'Pre-analyseverktøy'!Z160)</f>
        <v/>
      </c>
      <c r="AA160" s="884" t="str">
        <f>IF('Pre-analyseverktøy'!AA160=0,"",'Pre-analyseverktøy'!AA160)</f>
        <v/>
      </c>
    </row>
    <row r="161" spans="1:27">
      <c r="A161" s="620">
        <v>152</v>
      </c>
      <c r="B161" s="911" t="s">
        <v>496</v>
      </c>
      <c r="C161" s="911"/>
      <c r="D161" s="441"/>
      <c r="E161" s="441"/>
      <c r="F161" s="441"/>
      <c r="G161" s="442"/>
      <c r="H161" s="442"/>
      <c r="I161" s="442"/>
      <c r="J161" s="442"/>
      <c r="K161" s="441" t="str">
        <f>IF('Pre-analyseverktøy'!K161=0,"",'Pre-analyseverktøy'!K161)</f>
        <v/>
      </c>
      <c r="L161" s="442" t="str">
        <f>IF('Pre-analyseverktøy'!L161=0,"",'Pre-analyseverktøy'!L161)</f>
        <v/>
      </c>
      <c r="M161" s="441" t="str">
        <f>IF('Pre-analyseverktøy'!M161=0,"",'Pre-analyseverktøy'!M161)</f>
        <v/>
      </c>
      <c r="N161" s="435"/>
      <c r="O161" s="442"/>
      <c r="P161" s="442"/>
      <c r="Q161" s="442"/>
      <c r="R161" s="441" t="str">
        <f>IF('Pre-analyseverktøy'!R161=0,"",'Pre-analyseverktøy'!R161)</f>
        <v/>
      </c>
      <c r="S161" s="442" t="str">
        <f>IF('Pre-analyseverktøy'!S161=0,"",'Pre-analyseverktøy'!S161)</f>
        <v/>
      </c>
      <c r="T161" s="441" t="str">
        <f>IF('Pre-analyseverktøy'!T161=0,"",'Pre-analyseverktøy'!T161)</f>
        <v/>
      </c>
      <c r="U161" s="437"/>
      <c r="V161" s="442"/>
      <c r="W161" s="442"/>
      <c r="X161" s="442"/>
      <c r="Y161" s="441" t="str">
        <f>IF('Pre-analyseverktøy'!Y161=0,"",'Pre-analyseverktøy'!Y161)</f>
        <v/>
      </c>
      <c r="Z161" s="442" t="str">
        <f>IF('Pre-analyseverktøy'!Z161=0,"",'Pre-analyseverktøy'!Z161)</f>
        <v/>
      </c>
      <c r="AA161" s="441" t="str">
        <f>IF('Pre-analyseverktøy'!AA161=0,"",'Pre-analyseverktøy'!AA161)</f>
        <v/>
      </c>
    </row>
    <row r="162" spans="1:27" ht="18.75">
      <c r="A162" s="620">
        <v>153</v>
      </c>
      <c r="B162" s="911" t="s">
        <v>496</v>
      </c>
      <c r="C162" s="911"/>
      <c r="D162" s="443"/>
      <c r="E162" s="443"/>
      <c r="F162" s="443" t="s">
        <v>1298</v>
      </c>
      <c r="G162" s="426"/>
      <c r="H162" s="426"/>
      <c r="I162" s="426"/>
      <c r="J162" s="426"/>
      <c r="K162" s="427" t="str">
        <f>IF('Pre-analyseverktøy'!K162=0,"",'Pre-analyseverktøy'!K162)</f>
        <v/>
      </c>
      <c r="L162" s="426" t="str">
        <f>IF('Pre-analyseverktøy'!L162=0,"",'Pre-analyseverktøy'!L162)</f>
        <v/>
      </c>
      <c r="M162" s="427" t="str">
        <f>IF('Pre-analyseverktøy'!M162=0,"",'Pre-analyseverktøy'!M162)</f>
        <v/>
      </c>
      <c r="N162" s="435"/>
      <c r="O162" s="426"/>
      <c r="P162" s="426"/>
      <c r="Q162" s="426"/>
      <c r="R162" s="427" t="str">
        <f>IF('Pre-analyseverktøy'!R162=0,"",'Pre-analyseverktøy'!R162)</f>
        <v/>
      </c>
      <c r="S162" s="426" t="str">
        <f>IF('Pre-analyseverktøy'!S162=0,"",'Pre-analyseverktøy'!S162)</f>
        <v/>
      </c>
      <c r="T162" s="427" t="str">
        <f>IF('Pre-analyseverktøy'!T162=0,"",'Pre-analyseverktøy'!T162)</f>
        <v/>
      </c>
      <c r="U162" s="437"/>
      <c r="V162" s="426"/>
      <c r="W162" s="426"/>
      <c r="X162" s="426"/>
      <c r="Y162" s="427" t="str">
        <f>IF('Pre-analyseverktøy'!Y162=0,"",'Pre-analyseverktøy'!Y162)</f>
        <v/>
      </c>
      <c r="Z162" s="426" t="str">
        <f>IF('Pre-analyseverktøy'!Z162=0,"",'Pre-analyseverktøy'!Z162)</f>
        <v/>
      </c>
      <c r="AA162" s="514" t="str">
        <f>IF('Pre-analyseverktøy'!AA162=0,"",'Pre-analyseverktøy'!AA162)</f>
        <v/>
      </c>
    </row>
    <row r="163" spans="1:27">
      <c r="A163" s="620">
        <v>154</v>
      </c>
      <c r="B163" s="911" t="s">
        <v>496</v>
      </c>
      <c r="C163" s="911"/>
      <c r="D163" s="931" t="str">
        <f>'Pre-analyseverktøy'!C163</f>
        <v>LE 01</v>
      </c>
      <c r="E163" s="932"/>
      <c r="F163" s="931" t="str">
        <f>'Pre-analyseverktøy'!F163</f>
        <v>LE 01 Valg av tomt</v>
      </c>
      <c r="G163" s="430">
        <f>'Pre-analyseverktøy'!G163</f>
        <v>2</v>
      </c>
      <c r="H163" s="436">
        <f>'Pre-analyseverktøy'!H163</f>
        <v>0</v>
      </c>
      <c r="I163" s="902" t="str">
        <f>'Pre-analyseverktøy'!I163</f>
        <v>0 c. 0 %</v>
      </c>
      <c r="J163" s="432" t="str">
        <f>'Pre-analyseverktøy'!J163</f>
        <v>N/A</v>
      </c>
      <c r="K163" s="433" t="str">
        <f>IF('Pre-analyseverktøy'!K163=0,"",'Pre-analyseverktøy'!K163)</f>
        <v/>
      </c>
      <c r="L163" s="433" t="str">
        <f>IF('Pre-analyseverktøy'!L163=0,"",'Pre-analyseverktøy'!L163)</f>
        <v/>
      </c>
      <c r="M163" s="434" t="str">
        <f>IF('Pre-analyseverktøy'!M163=0,"",'Pre-analyseverktøy'!M163)</f>
        <v/>
      </c>
      <c r="N163" s="435">
        <f>'Pre-analyseverktøy'!N163</f>
        <v>0</v>
      </c>
      <c r="O163" s="436">
        <f>'Pre-analyseverktøy'!O163</f>
        <v>0</v>
      </c>
      <c r="P163" s="431" t="str">
        <f>'Pre-analyseverktøy'!P163</f>
        <v>0 c. 0 %</v>
      </c>
      <c r="Q163" s="430" t="str">
        <f>'Pre-analyseverktøy'!Q163</f>
        <v>N/A</v>
      </c>
      <c r="R163" s="433" t="str">
        <f>IF('Pre-analyseverktøy'!R163=0,"",'Pre-analyseverktøy'!R163)</f>
        <v/>
      </c>
      <c r="S163" s="433" t="str">
        <f>IF('Pre-analyseverktøy'!S163=0,"",'Pre-analyseverktøy'!S163)</f>
        <v/>
      </c>
      <c r="T163" s="434" t="str">
        <f>IF('Pre-analyseverktøy'!T163=0,"",'Pre-analyseverktøy'!T163)</f>
        <v/>
      </c>
      <c r="U163" s="437"/>
      <c r="V163" s="436">
        <f>'Pre-analyseverktøy'!V163</f>
        <v>0</v>
      </c>
      <c r="W163" s="431" t="str">
        <f>'Pre-analyseverktøy'!W163</f>
        <v>0 c. 0 %</v>
      </c>
      <c r="X163" s="430" t="str">
        <f>'Pre-analyseverktøy'!X163</f>
        <v>N/A</v>
      </c>
      <c r="Y163" s="433" t="str">
        <f>IF('Pre-analyseverktøy'!Y163=0,"",'Pre-analyseverktøy'!Y163)</f>
        <v/>
      </c>
      <c r="Z163" s="433" t="str">
        <f>IF('Pre-analyseverktøy'!Z163=0,"",'Pre-analyseverktøy'!Z163)</f>
        <v/>
      </c>
      <c r="AA163" s="433" t="str">
        <f>IF('Pre-analyseverktøy'!AA163=0,"",'Pre-analyseverktøy'!AA163)</f>
        <v/>
      </c>
    </row>
    <row r="164" spans="1:27">
      <c r="A164" s="620">
        <v>155</v>
      </c>
      <c r="B164" s="911" t="s">
        <v>496</v>
      </c>
      <c r="C164" s="911"/>
      <c r="D164" s="932" t="str">
        <f>'Pre-analyseverktøy'!C164</f>
        <v>LE 01</v>
      </c>
      <c r="E164" s="932" t="str">
        <f>'Pre-analyseverktøy'!E164</f>
        <v>1-2</v>
      </c>
      <c r="F164" s="933" t="str">
        <f>'Pre-analyseverktøy'!F164</f>
        <v>Tidligere utbygget areal</v>
      </c>
      <c r="G164" s="430">
        <f>'Pre-analyseverktøy'!G164</f>
        <v>2</v>
      </c>
      <c r="H164" s="436">
        <f>'Pre-analyseverktøy'!H164</f>
        <v>0</v>
      </c>
      <c r="I164" s="902">
        <f>'Pre-analyseverktøy'!I164</f>
        <v>0</v>
      </c>
      <c r="J164" s="432" t="str">
        <f>'Pre-analyseverktøy'!J164</f>
        <v>N/A</v>
      </c>
      <c r="K164" s="433" t="str">
        <f>IF('Pre-analyseverktøy'!K164=0,"",'Pre-analyseverktøy'!K164)</f>
        <v/>
      </c>
      <c r="L164" s="433" t="str">
        <f>IF('Pre-analyseverktøy'!L164=0,"",'Pre-analyseverktøy'!L164)</f>
        <v/>
      </c>
      <c r="M164" s="434" t="str">
        <f>IF('Pre-analyseverktøy'!M164=0,"",'Pre-analyseverktøy'!M164)</f>
        <v/>
      </c>
      <c r="N164" s="435">
        <f>'Pre-analyseverktøy'!N164</f>
        <v>0</v>
      </c>
      <c r="O164" s="436">
        <f>'Pre-analyseverktøy'!O164</f>
        <v>0</v>
      </c>
      <c r="P164" s="431">
        <f>'Pre-analyseverktøy'!P164</f>
        <v>0</v>
      </c>
      <c r="Q164" s="430" t="str">
        <f>'Pre-analyseverktøy'!Q164</f>
        <v>N/A</v>
      </c>
      <c r="R164" s="433" t="str">
        <f>IF('Pre-analyseverktøy'!R164=0,"",'Pre-analyseverktøy'!R164)</f>
        <v/>
      </c>
      <c r="S164" s="433" t="str">
        <f>IF('Pre-analyseverktøy'!S164=0,"",'Pre-analyseverktøy'!S164)</f>
        <v/>
      </c>
      <c r="T164" s="434" t="str">
        <f>IF('Pre-analyseverktøy'!T164=0,"",'Pre-analyseverktøy'!T164)</f>
        <v/>
      </c>
      <c r="U164" s="437"/>
      <c r="V164" s="436">
        <f>'Pre-analyseverktøy'!V164</f>
        <v>0</v>
      </c>
      <c r="W164" s="431">
        <f>'Pre-analyseverktøy'!W164</f>
        <v>0</v>
      </c>
      <c r="X164" s="430" t="str">
        <f>'Pre-analyseverktøy'!X164</f>
        <v>N/A</v>
      </c>
      <c r="Y164" s="433" t="str">
        <f>IF('Pre-analyseverktøy'!Y164=0,"",'Pre-analyseverktøy'!Y164)</f>
        <v/>
      </c>
      <c r="Z164" s="433" t="str">
        <f>IF('Pre-analyseverktøy'!Z164=0,"",'Pre-analyseverktøy'!Z164)</f>
        <v/>
      </c>
      <c r="AA164" s="433" t="str">
        <f>IF('Pre-analyseverktøy'!AA164=0,"",'Pre-analyseverktøy'!AA164)</f>
        <v/>
      </c>
    </row>
    <row r="165" spans="1:27" ht="30">
      <c r="A165" s="620">
        <v>156</v>
      </c>
      <c r="B165" s="911" t="s">
        <v>496</v>
      </c>
      <c r="C165" s="911"/>
      <c r="D165" s="932" t="str">
        <f>'Pre-analyseverktøy'!C165</f>
        <v>LE 01</v>
      </c>
      <c r="E165" s="932">
        <f>'Pre-analyseverktøy'!E165</f>
        <v>2</v>
      </c>
      <c r="F165" s="933" t="str">
        <f>'Pre-analyseverktøy'!F165</f>
        <v>Minstekrav: utbygging på jordbruksareal eller dyrkbar jord (EU taksonomi: krit. 2)</v>
      </c>
      <c r="G165" s="430" t="str">
        <f>'Pre-analyseverktøy'!G165</f>
        <v>Yes/No</v>
      </c>
      <c r="H165" s="436">
        <f>'Pre-analyseverktøy'!H165</f>
        <v>0</v>
      </c>
      <c r="I165" s="902" t="str">
        <f>'Pre-analyseverktøy'!I165</f>
        <v>-</v>
      </c>
      <c r="J165" s="432" t="str">
        <f>'Pre-analyseverktøy'!J165</f>
        <v>Very Good</v>
      </c>
      <c r="K165" s="433" t="str">
        <f>IF('Pre-analyseverktøy'!K165=0,"",'Pre-analyseverktøy'!K165)</f>
        <v/>
      </c>
      <c r="L165" s="433" t="str">
        <f>IF('Pre-analyseverktøy'!L165=0,"",'Pre-analyseverktøy'!L165)</f>
        <v/>
      </c>
      <c r="M165" s="434" t="str">
        <f>IF('Pre-analyseverktøy'!M165=0,"",'Pre-analyseverktøy'!M165)</f>
        <v/>
      </c>
      <c r="N165" s="435">
        <f>'Pre-analyseverktøy'!N165</f>
        <v>0</v>
      </c>
      <c r="O165" s="436">
        <f>'Pre-analyseverktøy'!O165</f>
        <v>0</v>
      </c>
      <c r="P165" s="431" t="str">
        <f>'Pre-analyseverktøy'!P165</f>
        <v>-</v>
      </c>
      <c r="Q165" s="430" t="str">
        <f>'Pre-analyseverktøy'!Q165</f>
        <v>Very Good</v>
      </c>
      <c r="R165" s="433" t="str">
        <f>IF('Pre-analyseverktøy'!R165=0,"",'Pre-analyseverktøy'!R165)</f>
        <v/>
      </c>
      <c r="S165" s="433" t="str">
        <f>IF('Pre-analyseverktøy'!S165=0,"",'Pre-analyseverktøy'!S165)</f>
        <v/>
      </c>
      <c r="T165" s="434" t="str">
        <f>IF('Pre-analyseverktøy'!T165=0,"",'Pre-analyseverktøy'!T165)</f>
        <v/>
      </c>
      <c r="U165" s="437"/>
      <c r="V165" s="436">
        <f>'Pre-analyseverktøy'!V165</f>
        <v>0</v>
      </c>
      <c r="W165" s="431" t="str">
        <f>'Pre-analyseverktøy'!W165</f>
        <v>-</v>
      </c>
      <c r="X165" s="430" t="str">
        <f>'Pre-analyseverktøy'!X165</f>
        <v>Very Good</v>
      </c>
      <c r="Y165" s="433" t="str">
        <f>IF('Pre-analyseverktøy'!Y165=0,"",'Pre-analyseverktøy'!Y165)</f>
        <v/>
      </c>
      <c r="Z165" s="433" t="str">
        <f>IF('Pre-analyseverktøy'!Z165=0,"",'Pre-analyseverktøy'!Z165)</f>
        <v/>
      </c>
      <c r="AA165" s="433" t="str">
        <f>IF('Pre-analyseverktøy'!AA165=0,"",'Pre-analyseverktøy'!AA165)</f>
        <v/>
      </c>
    </row>
    <row r="166" spans="1:27">
      <c r="A166" s="620">
        <v>157</v>
      </c>
      <c r="B166" s="911" t="s">
        <v>496</v>
      </c>
      <c r="C166" s="911"/>
      <c r="D166" s="931" t="str">
        <f>'Pre-analyseverktøy'!C166</f>
        <v>LE 02</v>
      </c>
      <c r="E166" s="932"/>
      <c r="F166" s="931" t="str">
        <f>'Pre-analyseverktøy'!F166</f>
        <v>LE 02 Økologisk risiko og muligheter</v>
      </c>
      <c r="G166" s="430">
        <f>'Pre-analyseverktøy'!G166</f>
        <v>2</v>
      </c>
      <c r="H166" s="436">
        <f>'Pre-analyseverktøy'!H166</f>
        <v>0</v>
      </c>
      <c r="I166" s="902" t="str">
        <f>'Pre-analyseverktøy'!I166</f>
        <v>0 c. 0 %</v>
      </c>
      <c r="J166" s="432" t="str">
        <f>'Pre-analyseverktøy'!J166</f>
        <v>N/A</v>
      </c>
      <c r="K166" s="433" t="str">
        <f>IF('Pre-analyseverktøy'!K166=0,"",'Pre-analyseverktøy'!K166)</f>
        <v/>
      </c>
      <c r="L166" s="433" t="str">
        <f>IF('Pre-analyseverktøy'!L166=0,"",'Pre-analyseverktøy'!L166)</f>
        <v/>
      </c>
      <c r="M166" s="434" t="str">
        <f>IF('Pre-analyseverktøy'!M166=0,"",'Pre-analyseverktøy'!M166)</f>
        <v/>
      </c>
      <c r="N166" s="435">
        <f>'Pre-analyseverktøy'!N166</f>
        <v>0</v>
      </c>
      <c r="O166" s="436">
        <f>'Pre-analyseverktøy'!O166</f>
        <v>0</v>
      </c>
      <c r="P166" s="431" t="str">
        <f>'Pre-analyseverktøy'!P166</f>
        <v>0 c. 0 %</v>
      </c>
      <c r="Q166" s="430" t="str">
        <f>'Pre-analyseverktøy'!Q166</f>
        <v>N/A</v>
      </c>
      <c r="R166" s="433" t="str">
        <f>IF('Pre-analyseverktøy'!R166=0,"",'Pre-analyseverktøy'!R166)</f>
        <v/>
      </c>
      <c r="S166" s="433" t="str">
        <f>IF('Pre-analyseverktøy'!S166=0,"",'Pre-analyseverktøy'!S166)</f>
        <v/>
      </c>
      <c r="T166" s="434" t="str">
        <f>IF('Pre-analyseverktøy'!T166=0,"",'Pre-analyseverktøy'!T166)</f>
        <v/>
      </c>
      <c r="U166" s="437"/>
      <c r="V166" s="436">
        <f>'Pre-analyseverktøy'!V166</f>
        <v>0</v>
      </c>
      <c r="W166" s="431" t="str">
        <f>'Pre-analyseverktøy'!W166</f>
        <v>0 c. 0 %</v>
      </c>
      <c r="X166" s="430" t="str">
        <f>'Pre-analyseverktøy'!X166</f>
        <v>N/A</v>
      </c>
      <c r="Y166" s="433" t="str">
        <f>IF('Pre-analyseverktøy'!Y166=0,"",'Pre-analyseverktøy'!Y166)</f>
        <v/>
      </c>
      <c r="Z166" s="433" t="str">
        <f>IF('Pre-analyseverktøy'!Z166=0,"",'Pre-analyseverktøy'!Z166)</f>
        <v/>
      </c>
      <c r="AA166" s="433" t="str">
        <f>IF('Pre-analyseverktøy'!AA166=0,"",'Pre-analyseverktøy'!AA166)</f>
        <v/>
      </c>
    </row>
    <row r="167" spans="1:27">
      <c r="A167" s="620">
        <v>158</v>
      </c>
      <c r="B167" s="911" t="s">
        <v>496</v>
      </c>
      <c r="C167" s="911"/>
      <c r="D167" s="932" t="str">
        <f>'Pre-analyseverktøy'!C167</f>
        <v>LE 02</v>
      </c>
      <c r="E167" s="932">
        <f>'Pre-analyseverktøy'!E167</f>
        <v>1</v>
      </c>
      <c r="F167" s="933" t="str">
        <f>'Pre-analyseverktøy'!F167</f>
        <v>Forkrav: Lovfestede plikter</v>
      </c>
      <c r="G167" s="430" t="str">
        <f>'Pre-analyseverktøy'!G167</f>
        <v>Yes/No</v>
      </c>
      <c r="H167" s="436">
        <f>'Pre-analyseverktøy'!H167</f>
        <v>0</v>
      </c>
      <c r="I167" s="902" t="str">
        <f>'Pre-analyseverktøy'!I167</f>
        <v>-</v>
      </c>
      <c r="J167" s="432" t="str">
        <f>'Pre-analyseverktøy'!J167</f>
        <v>N/A</v>
      </c>
      <c r="K167" s="433" t="str">
        <f>IF('Pre-analyseverktøy'!K167=0,"",'Pre-analyseverktøy'!K167)</f>
        <v/>
      </c>
      <c r="L167" s="433" t="str">
        <f>IF('Pre-analyseverktøy'!L167=0,"",'Pre-analyseverktøy'!L167)</f>
        <v/>
      </c>
      <c r="M167" s="434" t="str">
        <f>IF('Pre-analyseverktøy'!M167=0,"",'Pre-analyseverktøy'!M167)</f>
        <v/>
      </c>
      <c r="N167" s="435">
        <f>'Pre-analyseverktøy'!N167</f>
        <v>0</v>
      </c>
      <c r="O167" s="436">
        <f>'Pre-analyseverktøy'!O167</f>
        <v>0</v>
      </c>
      <c r="P167" s="431" t="str">
        <f>'Pre-analyseverktøy'!P167</f>
        <v>-</v>
      </c>
      <c r="Q167" s="430" t="str">
        <f>'Pre-analyseverktøy'!Q167</f>
        <v>N/A</v>
      </c>
      <c r="R167" s="433" t="str">
        <f>IF('Pre-analyseverktøy'!R167=0,"",'Pre-analyseverktøy'!R167)</f>
        <v/>
      </c>
      <c r="S167" s="433" t="str">
        <f>IF('Pre-analyseverktøy'!S167=0,"",'Pre-analyseverktøy'!S167)</f>
        <v/>
      </c>
      <c r="T167" s="434" t="str">
        <f>IF('Pre-analyseverktøy'!T167=0,"",'Pre-analyseverktøy'!T167)</f>
        <v/>
      </c>
      <c r="U167" s="437"/>
      <c r="V167" s="436">
        <f>'Pre-analyseverktøy'!V167</f>
        <v>0</v>
      </c>
      <c r="W167" s="431" t="str">
        <f>'Pre-analyseverktøy'!W167</f>
        <v>-</v>
      </c>
      <c r="X167" s="430" t="str">
        <f>'Pre-analyseverktøy'!X167</f>
        <v>N/A</v>
      </c>
      <c r="Y167" s="433" t="str">
        <f>IF('Pre-analyseverktøy'!Y167=0,"",'Pre-analyseverktøy'!Y167)</f>
        <v/>
      </c>
      <c r="Z167" s="433" t="str">
        <f>IF('Pre-analyseverktøy'!Z167=0,"",'Pre-analyseverktøy'!Z167)</f>
        <v/>
      </c>
      <c r="AA167" s="433" t="str">
        <f>IF('Pre-analyseverktøy'!AA167=0,"",'Pre-analyseverktøy'!AA167)</f>
        <v/>
      </c>
    </row>
    <row r="168" spans="1:27">
      <c r="A168" s="620">
        <v>159</v>
      </c>
      <c r="B168" s="911" t="s">
        <v>496</v>
      </c>
      <c r="C168" s="911"/>
      <c r="D168" s="932" t="str">
        <f>'Pre-analyseverktøy'!C168</f>
        <v>LE 02</v>
      </c>
      <c r="E168" s="932" t="str">
        <f>'Pre-analyseverktøy'!E168</f>
        <v>2-4</v>
      </c>
      <c r="F168" s="933" t="str">
        <f>'Pre-analyseverktøy'!F168</f>
        <v>Kartlegging og vurdering (EU taksonomi: krit 2-4)</v>
      </c>
      <c r="G168" s="430">
        <f>'Pre-analyseverktøy'!G168</f>
        <v>1</v>
      </c>
      <c r="H168" s="436">
        <f>'Pre-analyseverktøy'!H168</f>
        <v>0</v>
      </c>
      <c r="I168" s="902">
        <f>'Pre-analyseverktøy'!I168</f>
        <v>0</v>
      </c>
      <c r="J168" s="432" t="str">
        <f>'Pre-analyseverktøy'!J168</f>
        <v>Good</v>
      </c>
      <c r="K168" s="433" t="str">
        <f>IF('Pre-analyseverktøy'!K168=0,"",'Pre-analyseverktøy'!K168)</f>
        <v/>
      </c>
      <c r="L168" s="433" t="str">
        <f>IF('Pre-analyseverktøy'!L168=0,"",'Pre-analyseverktøy'!L168)</f>
        <v/>
      </c>
      <c r="M168" s="434" t="str">
        <f>IF('Pre-analyseverktøy'!M168=0,"",'Pre-analyseverktøy'!M168)</f>
        <v/>
      </c>
      <c r="N168" s="435">
        <f>'Pre-analyseverktøy'!N168</f>
        <v>0</v>
      </c>
      <c r="O168" s="436">
        <f>'Pre-analyseverktøy'!O168</f>
        <v>0</v>
      </c>
      <c r="P168" s="431">
        <f>'Pre-analyseverktøy'!P168</f>
        <v>0</v>
      </c>
      <c r="Q168" s="430" t="str">
        <f>'Pre-analyseverktøy'!Q168</f>
        <v>Good</v>
      </c>
      <c r="R168" s="433" t="str">
        <f>IF('Pre-analyseverktøy'!R168=0,"",'Pre-analyseverktøy'!R168)</f>
        <v/>
      </c>
      <c r="S168" s="433" t="str">
        <f>IF('Pre-analyseverktøy'!S168=0,"",'Pre-analyseverktøy'!S168)</f>
        <v/>
      </c>
      <c r="T168" s="434" t="str">
        <f>IF('Pre-analyseverktøy'!T168=0,"",'Pre-analyseverktøy'!T168)</f>
        <v/>
      </c>
      <c r="U168" s="437"/>
      <c r="V168" s="436">
        <f>'Pre-analyseverktøy'!V168</f>
        <v>0</v>
      </c>
      <c r="W168" s="431">
        <f>'Pre-analyseverktøy'!W168</f>
        <v>0</v>
      </c>
      <c r="X168" s="430" t="str">
        <f>'Pre-analyseverktøy'!X168</f>
        <v>Good</v>
      </c>
      <c r="Y168" s="433" t="str">
        <f>IF('Pre-analyseverktøy'!Y168=0,"",'Pre-analyseverktøy'!Y168)</f>
        <v/>
      </c>
      <c r="Z168" s="433" t="str">
        <f>IF('Pre-analyseverktøy'!Z168=0,"",'Pre-analyseverktøy'!Z168)</f>
        <v/>
      </c>
      <c r="AA168" s="433" t="str">
        <f>IF('Pre-analyseverktøy'!AA168=0,"",'Pre-analyseverktøy'!AA168)</f>
        <v/>
      </c>
    </row>
    <row r="169" spans="1:27">
      <c r="A169" s="620">
        <v>160</v>
      </c>
      <c r="B169" s="911" t="s">
        <v>496</v>
      </c>
      <c r="C169" s="911"/>
      <c r="D169" s="932" t="str">
        <f>'Pre-analyseverktøy'!C169</f>
        <v>LE 02</v>
      </c>
      <c r="E169" s="932" t="str">
        <f>'Pre-analyseverktøy'!E169</f>
        <v>5-6</v>
      </c>
      <c r="F169" s="933" t="str">
        <f>'Pre-analyseverktøy'!F169</f>
        <v>Fastsette økologiske muligheter</v>
      </c>
      <c r="G169" s="430">
        <f>'Pre-analyseverktøy'!G169</f>
        <v>1</v>
      </c>
      <c r="H169" s="436">
        <f>'Pre-analyseverktøy'!H169</f>
        <v>0</v>
      </c>
      <c r="I169" s="902">
        <f>'Pre-analyseverktøy'!I169</f>
        <v>0</v>
      </c>
      <c r="J169" s="432" t="str">
        <f>'Pre-analyseverktøy'!J169</f>
        <v>N/A</v>
      </c>
      <c r="K169" s="433" t="str">
        <f>IF('Pre-analyseverktøy'!K169=0,"",'Pre-analyseverktøy'!K169)</f>
        <v/>
      </c>
      <c r="L169" s="433" t="str">
        <f>IF('Pre-analyseverktøy'!L169=0,"",'Pre-analyseverktøy'!L169)</f>
        <v/>
      </c>
      <c r="M169" s="434" t="str">
        <f>IF('Pre-analyseverktøy'!M169=0,"",'Pre-analyseverktøy'!M169)</f>
        <v/>
      </c>
      <c r="N169" s="435">
        <f>'Pre-analyseverktøy'!N169</f>
        <v>0</v>
      </c>
      <c r="O169" s="436">
        <f>'Pre-analyseverktøy'!O169</f>
        <v>0</v>
      </c>
      <c r="P169" s="431">
        <f>'Pre-analyseverktøy'!P169</f>
        <v>0</v>
      </c>
      <c r="Q169" s="430" t="str">
        <f>'Pre-analyseverktøy'!Q169</f>
        <v>N/A</v>
      </c>
      <c r="R169" s="433" t="str">
        <f>IF('Pre-analyseverktøy'!R169=0,"",'Pre-analyseverktøy'!R169)</f>
        <v/>
      </c>
      <c r="S169" s="433" t="str">
        <f>IF('Pre-analyseverktøy'!S169=0,"",'Pre-analyseverktøy'!S169)</f>
        <v/>
      </c>
      <c r="T169" s="434" t="str">
        <f>IF('Pre-analyseverktøy'!T169=0,"",'Pre-analyseverktøy'!T169)</f>
        <v/>
      </c>
      <c r="U169" s="437"/>
      <c r="V169" s="436">
        <f>'Pre-analyseverktøy'!V169</f>
        <v>0</v>
      </c>
      <c r="W169" s="431">
        <f>'Pre-analyseverktøy'!W169</f>
        <v>0</v>
      </c>
      <c r="X169" s="430" t="str">
        <f>'Pre-analyseverktøy'!X169</f>
        <v>N/A</v>
      </c>
      <c r="Y169" s="433" t="str">
        <f>IF('Pre-analyseverktøy'!Y169=0,"",'Pre-analyseverktøy'!Y169)</f>
        <v/>
      </c>
      <c r="Z169" s="433" t="str">
        <f>IF('Pre-analyseverktøy'!Z169=0,"",'Pre-analyseverktøy'!Z169)</f>
        <v/>
      </c>
      <c r="AA169" s="433" t="str">
        <f>IF('Pre-analyseverktøy'!AA169=0,"",'Pre-analyseverktøy'!AA169)</f>
        <v/>
      </c>
    </row>
    <row r="170" spans="1:27">
      <c r="A170" s="620">
        <v>161</v>
      </c>
      <c r="B170" s="911" t="s">
        <v>496</v>
      </c>
      <c r="C170" s="911"/>
      <c r="D170" s="931" t="str">
        <f>'Pre-analyseverktøy'!C170</f>
        <v>LE 03</v>
      </c>
      <c r="E170" s="932"/>
      <c r="F170" s="931" t="str">
        <f>'Pre-analyseverktøy'!F170</f>
        <v>LE 03 Håndtering av påvirkning på økologi</v>
      </c>
      <c r="G170" s="430">
        <f>'Pre-analyseverktøy'!G170</f>
        <v>3</v>
      </c>
      <c r="H170" s="436">
        <f>'Pre-analyseverktøy'!H170</f>
        <v>0</v>
      </c>
      <c r="I170" s="902" t="str">
        <f>'Pre-analyseverktøy'!I170</f>
        <v>0 c. 0 %</v>
      </c>
      <c r="J170" s="432" t="str">
        <f>'Pre-analyseverktøy'!J170</f>
        <v>N/A</v>
      </c>
      <c r="K170" s="433" t="str">
        <f>IF('Pre-analyseverktøy'!K170=0,"",'Pre-analyseverktøy'!K170)</f>
        <v/>
      </c>
      <c r="L170" s="433" t="str">
        <f>IF('Pre-analyseverktøy'!L170=0,"",'Pre-analyseverktøy'!L170)</f>
        <v/>
      </c>
      <c r="M170" s="434" t="str">
        <f>IF('Pre-analyseverktøy'!M170=0,"",'Pre-analyseverktøy'!M170)</f>
        <v/>
      </c>
      <c r="N170" s="435">
        <f>'Pre-analyseverktøy'!N170</f>
        <v>0</v>
      </c>
      <c r="O170" s="436">
        <f>'Pre-analyseverktøy'!O170</f>
        <v>0</v>
      </c>
      <c r="P170" s="431" t="str">
        <f>'Pre-analyseverktøy'!P170</f>
        <v>0 c. 0 %</v>
      </c>
      <c r="Q170" s="430" t="str">
        <f>'Pre-analyseverktøy'!Q170</f>
        <v>N/A</v>
      </c>
      <c r="R170" s="433" t="str">
        <f>IF('Pre-analyseverktøy'!R170=0,"",'Pre-analyseverktøy'!R170)</f>
        <v/>
      </c>
      <c r="S170" s="433" t="str">
        <f>IF('Pre-analyseverktøy'!S170=0,"",'Pre-analyseverktøy'!S170)</f>
        <v/>
      </c>
      <c r="T170" s="434" t="str">
        <f>IF('Pre-analyseverktøy'!T170=0,"",'Pre-analyseverktøy'!T170)</f>
        <v/>
      </c>
      <c r="U170" s="437"/>
      <c r="V170" s="436">
        <f>'Pre-analyseverktøy'!V170</f>
        <v>0</v>
      </c>
      <c r="W170" s="431" t="str">
        <f>'Pre-analyseverktøy'!W170</f>
        <v>0 c. 0 %</v>
      </c>
      <c r="X170" s="430" t="str">
        <f>'Pre-analyseverktøy'!X170</f>
        <v>N/A</v>
      </c>
      <c r="Y170" s="433" t="str">
        <f>IF('Pre-analyseverktøy'!Y170=0,"",'Pre-analyseverktøy'!Y170)</f>
        <v/>
      </c>
      <c r="Z170" s="433" t="str">
        <f>IF('Pre-analyseverktøy'!Z170=0,"",'Pre-analyseverktøy'!Z170)</f>
        <v/>
      </c>
      <c r="AA170" s="433" t="str">
        <f>IF('Pre-analyseverktøy'!AA170=0,"",'Pre-analyseverktøy'!AA170)</f>
        <v/>
      </c>
    </row>
    <row r="171" spans="1:27">
      <c r="A171" s="620">
        <v>162</v>
      </c>
      <c r="B171" s="911" t="s">
        <v>496</v>
      </c>
      <c r="C171" s="911"/>
      <c r="D171" s="932" t="str">
        <f>'Pre-analyseverktøy'!C171</f>
        <v>LE 03</v>
      </c>
      <c r="E171" s="932">
        <f>'Pre-analyseverktøy'!E171</f>
        <v>1</v>
      </c>
      <c r="F171" s="933" t="str">
        <f>'Pre-analyseverktøy'!F171</f>
        <v>Forkrav: økologisk risiko og muligheter</v>
      </c>
      <c r="G171" s="430" t="str">
        <f>'Pre-analyseverktøy'!G171</f>
        <v>Yes/No</v>
      </c>
      <c r="H171" s="436">
        <f>'Pre-analyseverktøy'!H171</f>
        <v>0</v>
      </c>
      <c r="I171" s="902" t="str">
        <f>'Pre-analyseverktøy'!I171</f>
        <v>No</v>
      </c>
      <c r="J171" s="432" t="str">
        <f>'Pre-analyseverktøy'!J171</f>
        <v>N/A</v>
      </c>
      <c r="K171" s="433" t="str">
        <f>IF('Pre-analyseverktøy'!K171=0,"",'Pre-analyseverktøy'!K171)</f>
        <v/>
      </c>
      <c r="L171" s="433" t="str">
        <f>IF('Pre-analyseverktøy'!L171=0,"",'Pre-analyseverktøy'!L171)</f>
        <v/>
      </c>
      <c r="M171" s="434" t="str">
        <f>IF('Pre-analyseverktøy'!M171=0,"",'Pre-analyseverktøy'!M171)</f>
        <v/>
      </c>
      <c r="N171" s="435">
        <f>'Pre-analyseverktøy'!N171</f>
        <v>0</v>
      </c>
      <c r="O171" s="436">
        <f>'Pre-analyseverktøy'!O171</f>
        <v>0</v>
      </c>
      <c r="P171" s="431" t="str">
        <f>'Pre-analyseverktøy'!P171</f>
        <v>No</v>
      </c>
      <c r="Q171" s="430" t="str">
        <f>'Pre-analyseverktøy'!Q171</f>
        <v>N/A</v>
      </c>
      <c r="R171" s="433" t="str">
        <f>IF('Pre-analyseverktøy'!R171=0,"",'Pre-analyseverktøy'!R171)</f>
        <v/>
      </c>
      <c r="S171" s="433" t="str">
        <f>IF('Pre-analyseverktøy'!S171=0,"",'Pre-analyseverktøy'!S171)</f>
        <v/>
      </c>
      <c r="T171" s="434" t="str">
        <f>IF('Pre-analyseverktøy'!T171=0,"",'Pre-analyseverktøy'!T171)</f>
        <v/>
      </c>
      <c r="U171" s="437"/>
      <c r="V171" s="436">
        <f>'Pre-analyseverktøy'!V171</f>
        <v>0</v>
      </c>
      <c r="W171" s="431" t="str">
        <f>'Pre-analyseverktøy'!W171</f>
        <v>No</v>
      </c>
      <c r="X171" s="430" t="str">
        <f>'Pre-analyseverktøy'!X171</f>
        <v>N/A</v>
      </c>
      <c r="Y171" s="433" t="str">
        <f>IF('Pre-analyseverktøy'!Y171=0,"",'Pre-analyseverktøy'!Y171)</f>
        <v/>
      </c>
      <c r="Z171" s="433" t="str">
        <f>IF('Pre-analyseverktøy'!Z171=0,"",'Pre-analyseverktøy'!Z171)</f>
        <v/>
      </c>
      <c r="AA171" s="433" t="str">
        <f>IF('Pre-analyseverktøy'!AA171=0,"",'Pre-analyseverktøy'!AA171)</f>
        <v/>
      </c>
    </row>
    <row r="172" spans="1:27">
      <c r="A172" s="620">
        <v>163</v>
      </c>
      <c r="B172" s="911" t="s">
        <v>496</v>
      </c>
      <c r="C172" s="911"/>
      <c r="D172" s="932" t="str">
        <f>'Pre-analyseverktøy'!C172</f>
        <v>LE 03</v>
      </c>
      <c r="E172" s="932" t="str">
        <f>'Pre-analyseverktøy'!E172</f>
        <v>2-4</v>
      </c>
      <c r="F172" s="933" t="str">
        <f>'Pre-analyseverktøy'!F172</f>
        <v>Planlegging og tiltak på utbyggingsområdet</v>
      </c>
      <c r="G172" s="430">
        <f>'Pre-analyseverktøy'!G172</f>
        <v>1</v>
      </c>
      <c r="H172" s="436">
        <f>'Pre-analyseverktøy'!H172</f>
        <v>0</v>
      </c>
      <c r="I172" s="902">
        <f>'Pre-analyseverktøy'!I172</f>
        <v>0</v>
      </c>
      <c r="J172" s="432" t="str">
        <f>'Pre-analyseverktøy'!J172</f>
        <v>N/A</v>
      </c>
      <c r="K172" s="433" t="str">
        <f>IF('Pre-analyseverktøy'!K172=0,"",'Pre-analyseverktøy'!K172)</f>
        <v/>
      </c>
      <c r="L172" s="433" t="str">
        <f>IF('Pre-analyseverktøy'!L172=0,"",'Pre-analyseverktøy'!L172)</f>
        <v/>
      </c>
      <c r="M172" s="434" t="str">
        <f>IF('Pre-analyseverktøy'!M172=0,"",'Pre-analyseverktøy'!M172)</f>
        <v/>
      </c>
      <c r="N172" s="435">
        <f>'Pre-analyseverktøy'!N172</f>
        <v>0</v>
      </c>
      <c r="O172" s="436">
        <f>'Pre-analyseverktøy'!O172</f>
        <v>0</v>
      </c>
      <c r="P172" s="431">
        <f>'Pre-analyseverktøy'!P172</f>
        <v>0</v>
      </c>
      <c r="Q172" s="430" t="str">
        <f>'Pre-analyseverktøy'!Q172</f>
        <v>N/A</v>
      </c>
      <c r="R172" s="433" t="str">
        <f>IF('Pre-analyseverktøy'!R172=0,"",'Pre-analyseverktøy'!R172)</f>
        <v/>
      </c>
      <c r="S172" s="433" t="str">
        <f>IF('Pre-analyseverktøy'!S172=0,"",'Pre-analyseverktøy'!S172)</f>
        <v/>
      </c>
      <c r="T172" s="434" t="str">
        <f>IF('Pre-analyseverktøy'!T172=0,"",'Pre-analyseverktøy'!T172)</f>
        <v/>
      </c>
      <c r="U172" s="437"/>
      <c r="V172" s="436">
        <f>'Pre-analyseverktøy'!V172</f>
        <v>0</v>
      </c>
      <c r="W172" s="431">
        <f>'Pre-analyseverktøy'!W172</f>
        <v>0</v>
      </c>
      <c r="X172" s="430" t="str">
        <f>'Pre-analyseverktøy'!X172</f>
        <v>N/A</v>
      </c>
      <c r="Y172" s="433" t="str">
        <f>IF('Pre-analyseverktøy'!Y172=0,"",'Pre-analyseverktøy'!Y172)</f>
        <v/>
      </c>
      <c r="Z172" s="433" t="str">
        <f>IF('Pre-analyseverktøy'!Z172=0,"",'Pre-analyseverktøy'!Z172)</f>
        <v/>
      </c>
      <c r="AA172" s="433" t="str">
        <f>IF('Pre-analyseverktøy'!AA172=0,"",'Pre-analyseverktøy'!AA172)</f>
        <v/>
      </c>
    </row>
    <row r="173" spans="1:27">
      <c r="A173" s="620">
        <v>164</v>
      </c>
      <c r="B173" s="911" t="s">
        <v>496</v>
      </c>
      <c r="C173" s="911"/>
      <c r="D173" s="932" t="str">
        <f>'Pre-analyseverktøy'!C173</f>
        <v>LE 03</v>
      </c>
      <c r="E173" s="932" t="str">
        <f>'Pre-analyseverktøy'!E173</f>
        <v>5-6</v>
      </c>
      <c r="F173" s="933" t="str">
        <f>'Pre-analyseverktøy'!F173</f>
        <v>Håndtering av negativ påvirkning</v>
      </c>
      <c r="G173" s="430">
        <f>'Pre-analyseverktøy'!G173</f>
        <v>2</v>
      </c>
      <c r="H173" s="436">
        <f>'Pre-analyseverktøy'!H173</f>
        <v>0</v>
      </c>
      <c r="I173" s="902">
        <f>'Pre-analyseverktøy'!I173</f>
        <v>0</v>
      </c>
      <c r="J173" s="432" t="str">
        <f>'Pre-analyseverktøy'!J173</f>
        <v>N/A</v>
      </c>
      <c r="K173" s="433" t="str">
        <f>IF('Pre-analyseverktøy'!K173=0,"",'Pre-analyseverktøy'!K173)</f>
        <v/>
      </c>
      <c r="L173" s="433" t="str">
        <f>IF('Pre-analyseverktøy'!L173=0,"",'Pre-analyseverktøy'!L173)</f>
        <v/>
      </c>
      <c r="M173" s="434" t="str">
        <f>IF('Pre-analyseverktøy'!M173=0,"",'Pre-analyseverktøy'!M173)</f>
        <v/>
      </c>
      <c r="N173" s="435">
        <f>'Pre-analyseverktøy'!N173</f>
        <v>0</v>
      </c>
      <c r="O173" s="436">
        <f>'Pre-analyseverktøy'!O173</f>
        <v>0</v>
      </c>
      <c r="P173" s="431">
        <f>'Pre-analyseverktøy'!P173</f>
        <v>0</v>
      </c>
      <c r="Q173" s="430" t="str">
        <f>'Pre-analyseverktøy'!Q173</f>
        <v>N/A</v>
      </c>
      <c r="R173" s="433" t="str">
        <f>IF('Pre-analyseverktøy'!R173=0,"",'Pre-analyseverktøy'!R173)</f>
        <v/>
      </c>
      <c r="S173" s="433" t="str">
        <f>IF('Pre-analyseverktøy'!S173=0,"",'Pre-analyseverktøy'!S173)</f>
        <v/>
      </c>
      <c r="T173" s="434" t="str">
        <f>IF('Pre-analyseverktøy'!T173=0,"",'Pre-analyseverktøy'!T173)</f>
        <v/>
      </c>
      <c r="U173" s="437"/>
      <c r="V173" s="436">
        <f>'Pre-analyseverktøy'!V173</f>
        <v>0</v>
      </c>
      <c r="W173" s="431">
        <f>'Pre-analyseverktøy'!W173</f>
        <v>0</v>
      </c>
      <c r="X173" s="430" t="str">
        <f>'Pre-analyseverktøy'!X173</f>
        <v>N/A</v>
      </c>
      <c r="Y173" s="433" t="str">
        <f>IF('Pre-analyseverktøy'!Y173=0,"",'Pre-analyseverktøy'!Y173)</f>
        <v/>
      </c>
      <c r="Z173" s="433" t="str">
        <f>IF('Pre-analyseverktøy'!Z173=0,"",'Pre-analyseverktøy'!Z173)</f>
        <v/>
      </c>
      <c r="AA173" s="433" t="str">
        <f>IF('Pre-analyseverktøy'!AA173=0,"",'Pre-analyseverktøy'!AA173)</f>
        <v/>
      </c>
    </row>
    <row r="174" spans="1:27">
      <c r="A174" s="620">
        <v>165</v>
      </c>
      <c r="B174" s="911" t="s">
        <v>496</v>
      </c>
      <c r="C174" s="911"/>
      <c r="D174" s="931" t="str">
        <f>'Pre-analyseverktøy'!C174</f>
        <v>LE 04</v>
      </c>
      <c r="E174" s="932"/>
      <c r="F174" s="931" t="str">
        <f>'Pre-analyseverktøy'!F174</f>
        <v>LE 04 Økologisk endring og forbedring</v>
      </c>
      <c r="G174" s="430">
        <f>'Pre-analyseverktøy'!G174</f>
        <v>4</v>
      </c>
      <c r="H174" s="436">
        <f>'Pre-analyseverktøy'!H174</f>
        <v>0</v>
      </c>
      <c r="I174" s="902" t="str">
        <f>'Pre-analyseverktøy'!I174</f>
        <v>0 c. 0 %</v>
      </c>
      <c r="J174" s="432" t="str">
        <f>'Pre-analyseverktøy'!J174</f>
        <v>N/A</v>
      </c>
      <c r="K174" s="433" t="str">
        <f>IF('Pre-analyseverktøy'!K174=0,"",'Pre-analyseverktøy'!K174)</f>
        <v/>
      </c>
      <c r="L174" s="433" t="str">
        <f>IF('Pre-analyseverktøy'!L174=0,"",'Pre-analyseverktøy'!L174)</f>
        <v/>
      </c>
      <c r="M174" s="434" t="str">
        <f>IF('Pre-analyseverktøy'!M174=0,"",'Pre-analyseverktøy'!M174)</f>
        <v/>
      </c>
      <c r="N174" s="435">
        <f>'Pre-analyseverktøy'!N174</f>
        <v>0</v>
      </c>
      <c r="O174" s="436">
        <f>'Pre-analyseverktøy'!O174</f>
        <v>0</v>
      </c>
      <c r="P174" s="431" t="str">
        <f>'Pre-analyseverktøy'!P174</f>
        <v>0 c. 0 %</v>
      </c>
      <c r="Q174" s="430" t="str">
        <f>'Pre-analyseverktøy'!Q174</f>
        <v>N/A</v>
      </c>
      <c r="R174" s="433" t="str">
        <f>IF('Pre-analyseverktøy'!R174=0,"",'Pre-analyseverktøy'!R174)</f>
        <v/>
      </c>
      <c r="S174" s="433" t="str">
        <f>IF('Pre-analyseverktøy'!S174=0,"",'Pre-analyseverktøy'!S174)</f>
        <v/>
      </c>
      <c r="T174" s="434" t="str">
        <f>IF('Pre-analyseverktøy'!T174=0,"",'Pre-analyseverktøy'!T174)</f>
        <v/>
      </c>
      <c r="U174" s="437"/>
      <c r="V174" s="436">
        <f>'Pre-analyseverktøy'!V174</f>
        <v>0</v>
      </c>
      <c r="W174" s="431" t="str">
        <f>'Pre-analyseverktøy'!W174</f>
        <v>0 c. 0 %</v>
      </c>
      <c r="X174" s="430" t="str">
        <f>'Pre-analyseverktøy'!X174</f>
        <v>N/A</v>
      </c>
      <c r="Y174" s="433" t="str">
        <f>IF('Pre-analyseverktøy'!Y174=0,"",'Pre-analyseverktøy'!Y174)</f>
        <v/>
      </c>
      <c r="Z174" s="433" t="str">
        <f>IF('Pre-analyseverktøy'!Z174=0,"",'Pre-analyseverktøy'!Z174)</f>
        <v/>
      </c>
      <c r="AA174" s="433" t="str">
        <f>IF('Pre-analyseverktøy'!AA174=0,"",'Pre-analyseverktøy'!AA174)</f>
        <v/>
      </c>
    </row>
    <row r="175" spans="1:27">
      <c r="A175" s="620">
        <v>166</v>
      </c>
      <c r="B175" s="911" t="s">
        <v>496</v>
      </c>
      <c r="C175" s="911"/>
      <c r="D175" s="932" t="str">
        <f>'Pre-analyseverktøy'!C175</f>
        <v>LE 04</v>
      </c>
      <c r="E175" s="932" t="str">
        <f>'Pre-analyseverktøy'!E175</f>
        <v>1-2</v>
      </c>
      <c r="F175" s="933" t="str">
        <f>'Pre-analyseverktøy'!F175</f>
        <v>Forkrav: håndtering av negativ påvirkning på økologi</v>
      </c>
      <c r="G175" s="430" t="str">
        <f>'Pre-analyseverktøy'!G175</f>
        <v>Yes/No</v>
      </c>
      <c r="H175" s="436">
        <f>'Pre-analyseverktøy'!H175</f>
        <v>0</v>
      </c>
      <c r="I175" s="902" t="str">
        <f>'Pre-analyseverktøy'!I175</f>
        <v>-</v>
      </c>
      <c r="J175" s="432" t="str">
        <f>'Pre-analyseverktøy'!J175</f>
        <v>Excellent</v>
      </c>
      <c r="K175" s="433" t="str">
        <f>IF('Pre-analyseverktøy'!K175=0,"",'Pre-analyseverktøy'!K175)</f>
        <v/>
      </c>
      <c r="L175" s="433" t="str">
        <f>IF('Pre-analyseverktøy'!L175=0,"",'Pre-analyseverktøy'!L175)</f>
        <v/>
      </c>
      <c r="M175" s="434" t="str">
        <f>IF('Pre-analyseverktøy'!M175=0,"",'Pre-analyseverktøy'!M175)</f>
        <v/>
      </c>
      <c r="N175" s="435">
        <f>'Pre-analyseverktøy'!N175</f>
        <v>0</v>
      </c>
      <c r="O175" s="436">
        <f>'Pre-analyseverktøy'!O175</f>
        <v>0</v>
      </c>
      <c r="P175" s="431" t="str">
        <f>'Pre-analyseverktøy'!P175</f>
        <v>-</v>
      </c>
      <c r="Q175" s="430" t="str">
        <f>'Pre-analyseverktøy'!Q175</f>
        <v>Excellent</v>
      </c>
      <c r="R175" s="433" t="str">
        <f>IF('Pre-analyseverktøy'!R175=0,"",'Pre-analyseverktøy'!R175)</f>
        <v/>
      </c>
      <c r="S175" s="433" t="str">
        <f>IF('Pre-analyseverktøy'!S175=0,"",'Pre-analyseverktøy'!S175)</f>
        <v/>
      </c>
      <c r="T175" s="434" t="str">
        <f>IF('Pre-analyseverktøy'!T175=0,"",'Pre-analyseverktøy'!T175)</f>
        <v/>
      </c>
      <c r="U175" s="437"/>
      <c r="V175" s="436">
        <f>'Pre-analyseverktøy'!V175</f>
        <v>0</v>
      </c>
      <c r="W175" s="431" t="str">
        <f>'Pre-analyseverktøy'!W175</f>
        <v>-</v>
      </c>
      <c r="X175" s="430" t="str">
        <f>'Pre-analyseverktøy'!X175</f>
        <v>Excellent</v>
      </c>
      <c r="Y175" s="433" t="str">
        <f>IF('Pre-analyseverktøy'!Y175=0,"",'Pre-analyseverktøy'!Y175)</f>
        <v/>
      </c>
      <c r="Z175" s="433" t="str">
        <f>IF('Pre-analyseverktøy'!Z175=0,"",'Pre-analyseverktøy'!Z175)</f>
        <v/>
      </c>
      <c r="AA175" s="433" t="str">
        <f>IF('Pre-analyseverktøy'!AA175=0,"",'Pre-analyseverktøy'!AA175)</f>
        <v/>
      </c>
    </row>
    <row r="176" spans="1:27">
      <c r="A176" s="620">
        <v>167</v>
      </c>
      <c r="B176" s="911" t="s">
        <v>496</v>
      </c>
      <c r="C176" s="911"/>
      <c r="D176" s="932" t="str">
        <f>'Pre-analyseverktøy'!C176</f>
        <v>LE 04</v>
      </c>
      <c r="E176" s="932" t="str">
        <f>'Pre-analyseverktøy'!E176</f>
        <v>3-4</v>
      </c>
      <c r="F176" s="933" t="str">
        <f>'Pre-analyseverktøy'!F176</f>
        <v>Økologisk forbedring</v>
      </c>
      <c r="G176" s="430">
        <f>'Pre-analyseverktøy'!G176</f>
        <v>1</v>
      </c>
      <c r="H176" s="436">
        <f>'Pre-analyseverktøy'!H176</f>
        <v>0</v>
      </c>
      <c r="I176" s="902">
        <f>'Pre-analyseverktøy'!I176</f>
        <v>0</v>
      </c>
      <c r="J176" s="432" t="str">
        <f>'Pre-analyseverktøy'!J176</f>
        <v>Excellent</v>
      </c>
      <c r="K176" s="433" t="str">
        <f>IF('Pre-analyseverktøy'!K176=0,"",'Pre-analyseverktøy'!K176)</f>
        <v/>
      </c>
      <c r="L176" s="433" t="str">
        <f>IF('Pre-analyseverktøy'!L176=0,"",'Pre-analyseverktøy'!L176)</f>
        <v/>
      </c>
      <c r="M176" s="434" t="str">
        <f>IF('Pre-analyseverktøy'!M176=0,"",'Pre-analyseverktøy'!M176)</f>
        <v/>
      </c>
      <c r="N176" s="435">
        <f>'Pre-analyseverktøy'!N176</f>
        <v>0</v>
      </c>
      <c r="O176" s="436">
        <f>'Pre-analyseverktøy'!O176</f>
        <v>0</v>
      </c>
      <c r="P176" s="431">
        <f>'Pre-analyseverktøy'!P176</f>
        <v>0</v>
      </c>
      <c r="Q176" s="430" t="str">
        <f>'Pre-analyseverktøy'!Q176</f>
        <v>Excellent</v>
      </c>
      <c r="R176" s="433" t="str">
        <f>IF('Pre-analyseverktøy'!R176=0,"",'Pre-analyseverktøy'!R176)</f>
        <v/>
      </c>
      <c r="S176" s="433" t="str">
        <f>IF('Pre-analyseverktøy'!S176=0,"",'Pre-analyseverktøy'!S176)</f>
        <v/>
      </c>
      <c r="T176" s="434" t="str">
        <f>IF('Pre-analyseverktøy'!T176=0,"",'Pre-analyseverktøy'!T176)</f>
        <v/>
      </c>
      <c r="U176" s="437"/>
      <c r="V176" s="436">
        <f>'Pre-analyseverktøy'!V176</f>
        <v>0</v>
      </c>
      <c r="W176" s="431">
        <f>'Pre-analyseverktøy'!W176</f>
        <v>0</v>
      </c>
      <c r="X176" s="430" t="str">
        <f>'Pre-analyseverktøy'!X176</f>
        <v>Excellent</v>
      </c>
      <c r="Y176" s="433" t="str">
        <f>IF('Pre-analyseverktøy'!Y176=0,"",'Pre-analyseverktøy'!Y176)</f>
        <v/>
      </c>
      <c r="Z176" s="433" t="str">
        <f>IF('Pre-analyseverktøy'!Z176=0,"",'Pre-analyseverktøy'!Z176)</f>
        <v/>
      </c>
      <c r="AA176" s="433" t="str">
        <f>IF('Pre-analyseverktøy'!AA176=0,"",'Pre-analyseverktøy'!AA176)</f>
        <v/>
      </c>
    </row>
    <row r="177" spans="1:27">
      <c r="A177" s="620">
        <v>168</v>
      </c>
      <c r="B177" s="911" t="s">
        <v>496</v>
      </c>
      <c r="C177" s="911"/>
      <c r="D177" s="932" t="str">
        <f>'Pre-analyseverktøy'!C177</f>
        <v>LE 04</v>
      </c>
      <c r="E177" s="932">
        <f>'Pre-analyseverktøy'!E177</f>
        <v>5</v>
      </c>
      <c r="F177" s="933" t="str">
        <f>'Pre-analyseverktøy'!F177</f>
        <v>Beregning av endring i biologisk mangfold</v>
      </c>
      <c r="G177" s="430">
        <f>'Pre-analyseverktøy'!G177</f>
        <v>3</v>
      </c>
      <c r="H177" s="436">
        <f>'Pre-analyseverktøy'!H177</f>
        <v>0</v>
      </c>
      <c r="I177" s="902">
        <f>'Pre-analyseverktøy'!I177</f>
        <v>0</v>
      </c>
      <c r="J177" s="432" t="str">
        <f>'Pre-analyseverktøy'!J177</f>
        <v>N/A</v>
      </c>
      <c r="K177" s="433" t="str">
        <f>IF('Pre-analyseverktøy'!K177=0,"",'Pre-analyseverktøy'!K177)</f>
        <v/>
      </c>
      <c r="L177" s="433" t="str">
        <f>IF('Pre-analyseverktøy'!L177=0,"",'Pre-analyseverktøy'!L177)</f>
        <v/>
      </c>
      <c r="M177" s="434" t="str">
        <f>IF('Pre-analyseverktøy'!M177=0,"",'Pre-analyseverktøy'!M177)</f>
        <v/>
      </c>
      <c r="N177" s="435">
        <f>'Pre-analyseverktøy'!N177</f>
        <v>0</v>
      </c>
      <c r="O177" s="436">
        <f>'Pre-analyseverktøy'!O177</f>
        <v>0</v>
      </c>
      <c r="P177" s="431">
        <f>'Pre-analyseverktøy'!P177</f>
        <v>0</v>
      </c>
      <c r="Q177" s="430" t="str">
        <f>'Pre-analyseverktøy'!Q177</f>
        <v>N/A</v>
      </c>
      <c r="R177" s="433" t="str">
        <f>IF('Pre-analyseverktøy'!R177=0,"",'Pre-analyseverktøy'!R177)</f>
        <v/>
      </c>
      <c r="S177" s="433" t="str">
        <f>IF('Pre-analyseverktøy'!S177=0,"",'Pre-analyseverktøy'!S177)</f>
        <v/>
      </c>
      <c r="T177" s="434" t="str">
        <f>IF('Pre-analyseverktøy'!T177=0,"",'Pre-analyseverktøy'!T177)</f>
        <v/>
      </c>
      <c r="U177" s="437"/>
      <c r="V177" s="436">
        <f>'Pre-analyseverktøy'!V177</f>
        <v>0</v>
      </c>
      <c r="W177" s="431">
        <f>'Pre-analyseverktøy'!W177</f>
        <v>0</v>
      </c>
      <c r="X177" s="430" t="str">
        <f>'Pre-analyseverktøy'!X177</f>
        <v>N/A</v>
      </c>
      <c r="Y177" s="433" t="str">
        <f>IF('Pre-analyseverktøy'!Y177=0,"",'Pre-analyseverktøy'!Y177)</f>
        <v/>
      </c>
      <c r="Z177" s="433" t="str">
        <f>IF('Pre-analyseverktøy'!Z177=0,"",'Pre-analyseverktøy'!Z177)</f>
        <v/>
      </c>
      <c r="AA177" s="433" t="str">
        <f>IF('Pre-analyseverktøy'!AA177=0,"",'Pre-analyseverktøy'!AA177)</f>
        <v/>
      </c>
    </row>
    <row r="178" spans="1:27">
      <c r="A178" s="620">
        <v>169</v>
      </c>
      <c r="B178" s="911" t="s">
        <v>496</v>
      </c>
      <c r="C178" s="911"/>
      <c r="D178" s="931" t="str">
        <f>'Pre-analyseverktøy'!C178</f>
        <v>LE 05</v>
      </c>
      <c r="E178" s="932"/>
      <c r="F178" s="931" t="str">
        <f>'Pre-analyseverktøy'!F178</f>
        <v>LE 05 Langsiktig økologisk forvaltning og vedlikehold</v>
      </c>
      <c r="G178" s="430">
        <f>'Pre-analyseverktøy'!G178</f>
        <v>2</v>
      </c>
      <c r="H178" s="436">
        <f>'Pre-analyseverktøy'!H178</f>
        <v>0</v>
      </c>
      <c r="I178" s="902" t="str">
        <f>'Pre-analyseverktøy'!I178</f>
        <v>0 c. 0 %</v>
      </c>
      <c r="J178" s="432" t="str">
        <f>'Pre-analyseverktøy'!J178</f>
        <v>N/A</v>
      </c>
      <c r="K178" s="433" t="str">
        <f>IF('Pre-analyseverktøy'!K178=0,"",'Pre-analyseverktøy'!K178)</f>
        <v/>
      </c>
      <c r="L178" s="433" t="str">
        <f>IF('Pre-analyseverktøy'!L178=0,"",'Pre-analyseverktøy'!L178)</f>
        <v/>
      </c>
      <c r="M178" s="434" t="str">
        <f>IF('Pre-analyseverktøy'!M178=0,"",'Pre-analyseverktøy'!M178)</f>
        <v/>
      </c>
      <c r="N178" s="435">
        <f>'Pre-analyseverktøy'!N178</f>
        <v>0</v>
      </c>
      <c r="O178" s="436">
        <f>'Pre-analyseverktøy'!O178</f>
        <v>0</v>
      </c>
      <c r="P178" s="431" t="str">
        <f>'Pre-analyseverktøy'!P178</f>
        <v>0 c. 0 %</v>
      </c>
      <c r="Q178" s="430" t="str">
        <f>'Pre-analyseverktøy'!Q178</f>
        <v>N/A</v>
      </c>
      <c r="R178" s="433" t="str">
        <f>IF('Pre-analyseverktøy'!R178=0,"",'Pre-analyseverktøy'!R178)</f>
        <v/>
      </c>
      <c r="S178" s="433" t="str">
        <f>IF('Pre-analyseverktøy'!S178=0,"",'Pre-analyseverktøy'!S178)</f>
        <v/>
      </c>
      <c r="T178" s="434" t="str">
        <f>IF('Pre-analyseverktøy'!T178=0,"",'Pre-analyseverktøy'!T178)</f>
        <v/>
      </c>
      <c r="U178" s="437"/>
      <c r="V178" s="436">
        <f>'Pre-analyseverktøy'!V178</f>
        <v>0</v>
      </c>
      <c r="W178" s="431" t="str">
        <f>'Pre-analyseverktøy'!W178</f>
        <v>0 c. 0 %</v>
      </c>
      <c r="X178" s="430" t="str">
        <f>'Pre-analyseverktøy'!X178</f>
        <v>N/A</v>
      </c>
      <c r="Y178" s="433" t="str">
        <f>IF('Pre-analyseverktøy'!Y178=0,"",'Pre-analyseverktøy'!Y178)</f>
        <v/>
      </c>
      <c r="Z178" s="433" t="str">
        <f>IF('Pre-analyseverktøy'!Z178=0,"",'Pre-analyseverktøy'!Z178)</f>
        <v/>
      </c>
      <c r="AA178" s="433" t="str">
        <f>IF('Pre-analyseverktøy'!AA178=0,"",'Pre-analyseverktøy'!AA178)</f>
        <v/>
      </c>
    </row>
    <row r="179" spans="1:27">
      <c r="A179" s="620">
        <v>170</v>
      </c>
      <c r="B179" s="911" t="s">
        <v>496</v>
      </c>
      <c r="C179" s="911"/>
      <c r="D179" s="932" t="str">
        <f>'Pre-analyseverktøy'!C179</f>
        <v>LE 05</v>
      </c>
      <c r="E179" s="932" t="str">
        <f>'Pre-analyseverktøy'!E179</f>
        <v>1-2</v>
      </c>
      <c r="F179" s="933" t="str">
        <f>'Pre-analyseverktøy'!F179</f>
        <v>Forkrav: Lovkrav, planlegging og iverksettelse i utbyggingsområdet</v>
      </c>
      <c r="G179" s="430" t="str">
        <f>'Pre-analyseverktøy'!G179</f>
        <v>Yes/No</v>
      </c>
      <c r="H179" s="436">
        <f>'Pre-analyseverktøy'!H179</f>
        <v>0</v>
      </c>
      <c r="I179" s="902" t="str">
        <f>'Pre-analyseverktøy'!I179</f>
        <v>-</v>
      </c>
      <c r="J179" s="432" t="str">
        <f>'Pre-analyseverktøy'!J179</f>
        <v>N/A</v>
      </c>
      <c r="K179" s="433" t="str">
        <f>IF('Pre-analyseverktøy'!K179=0,"",'Pre-analyseverktøy'!K179)</f>
        <v/>
      </c>
      <c r="L179" s="433" t="str">
        <f>IF('Pre-analyseverktøy'!L179=0,"",'Pre-analyseverktøy'!L179)</f>
        <v/>
      </c>
      <c r="M179" s="434" t="str">
        <f>IF('Pre-analyseverktøy'!M179=0,"",'Pre-analyseverktøy'!M179)</f>
        <v/>
      </c>
      <c r="N179" s="435">
        <f>'Pre-analyseverktøy'!N179</f>
        <v>0</v>
      </c>
      <c r="O179" s="436">
        <f>'Pre-analyseverktøy'!O179</f>
        <v>0</v>
      </c>
      <c r="P179" s="431" t="str">
        <f>'Pre-analyseverktøy'!P179</f>
        <v>-</v>
      </c>
      <c r="Q179" s="430" t="str">
        <f>'Pre-analyseverktøy'!Q179</f>
        <v>N/A</v>
      </c>
      <c r="R179" s="433" t="str">
        <f>IF('Pre-analyseverktøy'!R179=0,"",'Pre-analyseverktøy'!R179)</f>
        <v/>
      </c>
      <c r="S179" s="433" t="str">
        <f>IF('Pre-analyseverktøy'!S179=0,"",'Pre-analyseverktøy'!S179)</f>
        <v/>
      </c>
      <c r="T179" s="434" t="str">
        <f>IF('Pre-analyseverktøy'!T179=0,"",'Pre-analyseverktøy'!T179)</f>
        <v/>
      </c>
      <c r="U179" s="437"/>
      <c r="V179" s="436">
        <f>'Pre-analyseverktøy'!V179</f>
        <v>0</v>
      </c>
      <c r="W179" s="431" t="str">
        <f>'Pre-analyseverktøy'!W179</f>
        <v>-</v>
      </c>
      <c r="X179" s="430" t="str">
        <f>'Pre-analyseverktøy'!X179</f>
        <v>N/A</v>
      </c>
      <c r="Y179" s="433" t="str">
        <f>IF('Pre-analyseverktøy'!Y179=0,"",'Pre-analyseverktøy'!Y179)</f>
        <v/>
      </c>
      <c r="Z179" s="433" t="str">
        <f>IF('Pre-analyseverktøy'!Z179=0,"",'Pre-analyseverktøy'!Z179)</f>
        <v/>
      </c>
      <c r="AA179" s="433" t="str">
        <f>IF('Pre-analyseverktøy'!AA179=0,"",'Pre-analyseverktøy'!AA179)</f>
        <v/>
      </c>
    </row>
    <row r="180" spans="1:27">
      <c r="A180" s="620">
        <v>171</v>
      </c>
      <c r="B180" s="911" t="s">
        <v>496</v>
      </c>
      <c r="C180" s="911"/>
      <c r="D180" s="932" t="str">
        <f>'Pre-analyseverktøy'!C180</f>
        <v>LE 05</v>
      </c>
      <c r="E180" s="932" t="str">
        <f>'Pre-analyseverktøy'!E180</f>
        <v>3-4</v>
      </c>
      <c r="F180" s="933" t="str">
        <f>'Pre-analyseverktøy'!F180</f>
        <v>Forvaltning og ledelse under hele prosjektet</v>
      </c>
      <c r="G180" s="430">
        <f>'Pre-analyseverktøy'!G180</f>
        <v>1</v>
      </c>
      <c r="H180" s="436">
        <f>'Pre-analyseverktøy'!H180</f>
        <v>0</v>
      </c>
      <c r="I180" s="902">
        <f>'Pre-analyseverktøy'!I180</f>
        <v>0</v>
      </c>
      <c r="J180" s="432" t="str">
        <f>'Pre-analyseverktøy'!J180</f>
        <v>N/A</v>
      </c>
      <c r="K180" s="433" t="str">
        <f>IF('Pre-analyseverktøy'!K180=0,"",'Pre-analyseverktøy'!K180)</f>
        <v/>
      </c>
      <c r="L180" s="433" t="str">
        <f>IF('Pre-analyseverktøy'!L180=0,"",'Pre-analyseverktøy'!L180)</f>
        <v/>
      </c>
      <c r="M180" s="434" t="str">
        <f>IF('Pre-analyseverktøy'!M180=0,"",'Pre-analyseverktøy'!M180)</f>
        <v/>
      </c>
      <c r="N180" s="435">
        <f>'Pre-analyseverktøy'!N180</f>
        <v>0</v>
      </c>
      <c r="O180" s="436">
        <f>'Pre-analyseverktøy'!O180</f>
        <v>0</v>
      </c>
      <c r="P180" s="431">
        <f>'Pre-analyseverktøy'!P180</f>
        <v>0</v>
      </c>
      <c r="Q180" s="430" t="str">
        <f>'Pre-analyseverktøy'!Q180</f>
        <v>N/A</v>
      </c>
      <c r="R180" s="433" t="str">
        <f>IF('Pre-analyseverktøy'!R180=0,"",'Pre-analyseverktøy'!R180)</f>
        <v/>
      </c>
      <c r="S180" s="433" t="str">
        <f>IF('Pre-analyseverktøy'!S180=0,"",'Pre-analyseverktøy'!S180)</f>
        <v/>
      </c>
      <c r="T180" s="434" t="str">
        <f>IF('Pre-analyseverktøy'!T180=0,"",'Pre-analyseverktøy'!T180)</f>
        <v/>
      </c>
      <c r="U180" s="437"/>
      <c r="V180" s="436">
        <f>'Pre-analyseverktøy'!V180</f>
        <v>0</v>
      </c>
      <c r="W180" s="431">
        <f>'Pre-analyseverktøy'!W180</f>
        <v>0</v>
      </c>
      <c r="X180" s="430" t="str">
        <f>'Pre-analyseverktøy'!X180</f>
        <v>N/A</v>
      </c>
      <c r="Y180" s="433" t="str">
        <f>IF('Pre-analyseverktøy'!Y180=0,"",'Pre-analyseverktøy'!Y180)</f>
        <v/>
      </c>
      <c r="Z180" s="433" t="str">
        <f>IF('Pre-analyseverktøy'!Z180=0,"",'Pre-analyseverktøy'!Z180)</f>
        <v/>
      </c>
      <c r="AA180" s="433" t="str">
        <f>IF('Pre-analyseverktøy'!AA180=0,"",'Pre-analyseverktøy'!AA180)</f>
        <v/>
      </c>
    </row>
    <row r="181" spans="1:27">
      <c r="A181" s="620">
        <v>172</v>
      </c>
      <c r="B181" s="911" t="s">
        <v>496</v>
      </c>
      <c r="C181" s="911"/>
      <c r="D181" s="932" t="str">
        <f>'Pre-analyseverktøy'!C181</f>
        <v>LE 05</v>
      </c>
      <c r="E181" s="932" t="str">
        <f>'Pre-analyseverktøy'!E181</f>
        <v>5-6</v>
      </c>
      <c r="F181" s="933" t="str">
        <f>'Pre-analyseverktøy'!F181</f>
        <v>Forvaltningsplan for landskap og økologi</v>
      </c>
      <c r="G181" s="430">
        <f>'Pre-analyseverktøy'!G181</f>
        <v>1</v>
      </c>
      <c r="H181" s="436">
        <f>'Pre-analyseverktøy'!H181</f>
        <v>0</v>
      </c>
      <c r="I181" s="902">
        <f>'Pre-analyseverktøy'!I181</f>
        <v>0</v>
      </c>
      <c r="J181" s="432" t="str">
        <f>'Pre-analyseverktøy'!J181</f>
        <v>N/A</v>
      </c>
      <c r="K181" s="433" t="str">
        <f>IF('Pre-analyseverktøy'!K181=0,"",'Pre-analyseverktøy'!K181)</f>
        <v/>
      </c>
      <c r="L181" s="433" t="str">
        <f>IF('Pre-analyseverktøy'!L181=0,"",'Pre-analyseverktøy'!L181)</f>
        <v/>
      </c>
      <c r="M181" s="434" t="str">
        <f>IF('Pre-analyseverktøy'!M181=0,"",'Pre-analyseverktøy'!M181)</f>
        <v/>
      </c>
      <c r="N181" s="435">
        <f>'Pre-analyseverktøy'!N181</f>
        <v>0</v>
      </c>
      <c r="O181" s="436">
        <f>'Pre-analyseverktøy'!O181</f>
        <v>0</v>
      </c>
      <c r="P181" s="431">
        <f>'Pre-analyseverktøy'!P181</f>
        <v>0</v>
      </c>
      <c r="Q181" s="430" t="str">
        <f>'Pre-analyseverktøy'!Q181</f>
        <v>N/A</v>
      </c>
      <c r="R181" s="433" t="str">
        <f>IF('Pre-analyseverktøy'!R181=0,"",'Pre-analyseverktøy'!R181)</f>
        <v/>
      </c>
      <c r="S181" s="433" t="str">
        <f>IF('Pre-analyseverktøy'!S181=0,"",'Pre-analyseverktøy'!S181)</f>
        <v/>
      </c>
      <c r="T181" s="434" t="str">
        <f>IF('Pre-analyseverktøy'!T181=0,"",'Pre-analyseverktøy'!T181)</f>
        <v/>
      </c>
      <c r="U181" s="437"/>
      <c r="V181" s="436">
        <f>'Pre-analyseverktøy'!V181</f>
        <v>0</v>
      </c>
      <c r="W181" s="431">
        <f>'Pre-analyseverktøy'!W181</f>
        <v>0</v>
      </c>
      <c r="X181" s="430" t="str">
        <f>'Pre-analyseverktøy'!X181</f>
        <v>N/A</v>
      </c>
      <c r="Y181" s="433" t="str">
        <f>IF('Pre-analyseverktøy'!Y181=0,"",'Pre-analyseverktøy'!Y181)</f>
        <v/>
      </c>
      <c r="Z181" s="433" t="str">
        <f>IF('Pre-analyseverktøy'!Z181=0,"",'Pre-analyseverktøy'!Z181)</f>
        <v/>
      </c>
      <c r="AA181" s="433" t="str">
        <f>IF('Pre-analyseverktøy'!AA181=0,"",'Pre-analyseverktøy'!AA181)</f>
        <v/>
      </c>
    </row>
    <row r="182" spans="1:27">
      <c r="A182" s="620">
        <v>173</v>
      </c>
      <c r="B182" s="911" t="s">
        <v>496</v>
      </c>
      <c r="C182" s="911"/>
      <c r="D182" s="931" t="str">
        <f>'Pre-analyseverktøy'!C182</f>
        <v>LE 06</v>
      </c>
      <c r="E182" s="932"/>
      <c r="F182" s="931" t="str">
        <f>'Pre-analyseverktøy'!F182</f>
        <v>LE 06 Klimatilpasning</v>
      </c>
      <c r="G182" s="430">
        <f>'Pre-analyseverktøy'!G182</f>
        <v>1</v>
      </c>
      <c r="H182" s="436">
        <f>'Pre-analyseverktøy'!H182</f>
        <v>0</v>
      </c>
      <c r="I182" s="902" t="str">
        <f>'Pre-analyseverktøy'!I182</f>
        <v>0 c. 0 %</v>
      </c>
      <c r="J182" s="432" t="str">
        <f>'Pre-analyseverktøy'!J182</f>
        <v>N/A</v>
      </c>
      <c r="K182" s="433" t="str">
        <f>IF('Pre-analyseverktøy'!K182=0,"",'Pre-analyseverktøy'!K182)</f>
        <v/>
      </c>
      <c r="L182" s="433" t="str">
        <f>IF('Pre-analyseverktøy'!L182=0,"",'Pre-analyseverktøy'!L182)</f>
        <v/>
      </c>
      <c r="M182" s="434" t="str">
        <f>IF('Pre-analyseverktøy'!M182=0,"",'Pre-analyseverktøy'!M182)</f>
        <v/>
      </c>
      <c r="N182" s="435">
        <f>'Pre-analyseverktøy'!N182</f>
        <v>0</v>
      </c>
      <c r="O182" s="436">
        <f>'Pre-analyseverktøy'!O182</f>
        <v>0</v>
      </c>
      <c r="P182" s="431" t="str">
        <f>'Pre-analyseverktøy'!P182</f>
        <v>0 c. 0 %</v>
      </c>
      <c r="Q182" s="430" t="str">
        <f>'Pre-analyseverktøy'!Q182</f>
        <v>N/A</v>
      </c>
      <c r="R182" s="433" t="str">
        <f>IF('Pre-analyseverktøy'!R182=0,"",'Pre-analyseverktøy'!R182)</f>
        <v/>
      </c>
      <c r="S182" s="433" t="str">
        <f>IF('Pre-analyseverktøy'!S182=0,"",'Pre-analyseverktøy'!S182)</f>
        <v/>
      </c>
      <c r="T182" s="434" t="str">
        <f>IF('Pre-analyseverktøy'!T182=0,"",'Pre-analyseverktøy'!T182)</f>
        <v/>
      </c>
      <c r="U182" s="437"/>
      <c r="V182" s="436">
        <f>'Pre-analyseverktøy'!V182</f>
        <v>0</v>
      </c>
      <c r="W182" s="431" t="str">
        <f>'Pre-analyseverktøy'!W182</f>
        <v>0 c. 0 %</v>
      </c>
      <c r="X182" s="430" t="str">
        <f>'Pre-analyseverktøy'!X182</f>
        <v>N/A</v>
      </c>
      <c r="Y182" s="433" t="str">
        <f>IF('Pre-analyseverktøy'!Y182=0,"",'Pre-analyseverktøy'!Y182)</f>
        <v/>
      </c>
      <c r="Z182" s="433" t="str">
        <f>IF('Pre-analyseverktøy'!Z182=0,"",'Pre-analyseverktøy'!Z182)</f>
        <v/>
      </c>
      <c r="AA182" s="433" t="str">
        <f>IF('Pre-analyseverktøy'!AA182=0,"",'Pre-analyseverktøy'!AA182)</f>
        <v/>
      </c>
    </row>
    <row r="183" spans="1:27">
      <c r="A183" s="620">
        <v>174</v>
      </c>
      <c r="B183" s="911" t="s">
        <v>496</v>
      </c>
      <c r="C183" s="911"/>
      <c r="D183" s="932" t="str">
        <f>'Pre-analyseverktøy'!C183</f>
        <v>LE 06</v>
      </c>
      <c r="E183" s="932" t="str">
        <f>'Pre-analyseverktøy'!E183</f>
        <v>1-6</v>
      </c>
      <c r="F183" s="933" t="str">
        <f>'Pre-analyseverktøy'!F183</f>
        <v>Risikovurdering (EU taksonomi: krit. 1-6)</v>
      </c>
      <c r="G183" s="430">
        <f>'Pre-analyseverktøy'!G183</f>
        <v>1</v>
      </c>
      <c r="H183" s="436">
        <f>'Pre-analyseverktøy'!H183</f>
        <v>0</v>
      </c>
      <c r="I183" s="902">
        <f>'Pre-analyseverktøy'!I183</f>
        <v>0</v>
      </c>
      <c r="J183" s="432" t="str">
        <f>'Pre-analyseverktøy'!J183</f>
        <v>Very Good</v>
      </c>
      <c r="K183" s="433" t="str">
        <f>IF('Pre-analyseverktøy'!K183=0,"",'Pre-analyseverktøy'!K183)</f>
        <v/>
      </c>
      <c r="L183" s="433" t="str">
        <f>IF('Pre-analyseverktøy'!L183=0,"",'Pre-analyseverktøy'!L183)</f>
        <v/>
      </c>
      <c r="M183" s="434" t="str">
        <f>IF('Pre-analyseverktøy'!M183=0,"",'Pre-analyseverktøy'!M183)</f>
        <v/>
      </c>
      <c r="N183" s="435">
        <f>'Pre-analyseverktøy'!N183</f>
        <v>0</v>
      </c>
      <c r="O183" s="436">
        <f>'Pre-analyseverktøy'!O183</f>
        <v>0</v>
      </c>
      <c r="P183" s="431">
        <f>'Pre-analyseverktøy'!P183</f>
        <v>0</v>
      </c>
      <c r="Q183" s="430" t="str">
        <f>'Pre-analyseverktøy'!Q183</f>
        <v>Very Good</v>
      </c>
      <c r="R183" s="433" t="str">
        <f>IF('Pre-analyseverktøy'!R183=0,"",'Pre-analyseverktøy'!R183)</f>
        <v/>
      </c>
      <c r="S183" s="433" t="str">
        <f>IF('Pre-analyseverktøy'!S183=0,"",'Pre-analyseverktøy'!S183)</f>
        <v/>
      </c>
      <c r="T183" s="434" t="str">
        <f>IF('Pre-analyseverktøy'!T183=0,"",'Pre-analyseverktøy'!T183)</f>
        <v/>
      </c>
      <c r="U183" s="437"/>
      <c r="V183" s="436">
        <f>'Pre-analyseverktøy'!V183</f>
        <v>0</v>
      </c>
      <c r="W183" s="431">
        <f>'Pre-analyseverktøy'!W183</f>
        <v>0</v>
      </c>
      <c r="X183" s="430" t="str">
        <f>'Pre-analyseverktøy'!X183</f>
        <v>Very Good</v>
      </c>
      <c r="Y183" s="433" t="str">
        <f>IF('Pre-analyseverktøy'!Y183=0,"",'Pre-analyseverktøy'!Y183)</f>
        <v/>
      </c>
      <c r="Z183" s="433" t="str">
        <f>IF('Pre-analyseverktøy'!Z183=0,"",'Pre-analyseverktøy'!Z183)</f>
        <v/>
      </c>
      <c r="AA183" s="433" t="str">
        <f>IF('Pre-analyseverktøy'!AA183=0,"",'Pre-analyseverktøy'!AA183)</f>
        <v/>
      </c>
    </row>
    <row r="184" spans="1:27">
      <c r="A184" s="620">
        <v>175</v>
      </c>
      <c r="B184" s="911" t="s">
        <v>496</v>
      </c>
      <c r="C184" s="911"/>
      <c r="D184" s="931" t="str">
        <f>'Pre-analyseverktøy'!C184</f>
        <v>LE 07</v>
      </c>
      <c r="E184" s="932"/>
      <c r="F184" s="931" t="str">
        <f>'Pre-analyseverktøy'!F184</f>
        <v>LE 07 Sikkerhet mot flom og stormflo</v>
      </c>
      <c r="G184" s="430">
        <f>'Pre-analyseverktøy'!G184</f>
        <v>2</v>
      </c>
      <c r="H184" s="436">
        <f>'Pre-analyseverktøy'!H184</f>
        <v>0</v>
      </c>
      <c r="I184" s="902" t="str">
        <f>'Pre-analyseverktøy'!I184</f>
        <v>0 c. 0 %</v>
      </c>
      <c r="J184" s="432" t="str">
        <f>'Pre-analyseverktøy'!J184</f>
        <v>N/A</v>
      </c>
      <c r="K184" s="433" t="str">
        <f>IF('Pre-analyseverktøy'!K184=0,"",'Pre-analyseverktøy'!K184)</f>
        <v/>
      </c>
      <c r="L184" s="433" t="str">
        <f>IF('Pre-analyseverktøy'!L184=0,"",'Pre-analyseverktøy'!L184)</f>
        <v/>
      </c>
      <c r="M184" s="434" t="str">
        <f>IF('Pre-analyseverktøy'!M184=0,"",'Pre-analyseverktøy'!M184)</f>
        <v/>
      </c>
      <c r="N184" s="435">
        <f>'Pre-analyseverktøy'!N184</f>
        <v>0</v>
      </c>
      <c r="O184" s="436">
        <f>'Pre-analyseverktøy'!O184</f>
        <v>0</v>
      </c>
      <c r="P184" s="431" t="str">
        <f>'Pre-analyseverktøy'!P184</f>
        <v>0 c. 0 %</v>
      </c>
      <c r="Q184" s="430" t="str">
        <f>'Pre-analyseverktøy'!Q184</f>
        <v>N/A</v>
      </c>
      <c r="R184" s="433" t="str">
        <f>IF('Pre-analyseverktøy'!R184=0,"",'Pre-analyseverktøy'!R184)</f>
        <v/>
      </c>
      <c r="S184" s="433" t="str">
        <f>IF('Pre-analyseverktøy'!S184=0,"",'Pre-analyseverktøy'!S184)</f>
        <v/>
      </c>
      <c r="T184" s="434" t="str">
        <f>IF('Pre-analyseverktøy'!T184=0,"",'Pre-analyseverktøy'!T184)</f>
        <v/>
      </c>
      <c r="U184" s="437"/>
      <c r="V184" s="436">
        <f>'Pre-analyseverktøy'!V184</f>
        <v>0</v>
      </c>
      <c r="W184" s="431" t="str">
        <f>'Pre-analyseverktøy'!W184</f>
        <v>0 c. 0 %</v>
      </c>
      <c r="X184" s="430" t="str">
        <f>'Pre-analyseverktøy'!X184</f>
        <v>N/A</v>
      </c>
      <c r="Y184" s="433" t="str">
        <f>IF('Pre-analyseverktøy'!Y184=0,"",'Pre-analyseverktøy'!Y184)</f>
        <v/>
      </c>
      <c r="Z184" s="433" t="str">
        <f>IF('Pre-analyseverktøy'!Z184=0,"",'Pre-analyseverktøy'!Z184)</f>
        <v/>
      </c>
      <c r="AA184" s="433" t="str">
        <f>IF('Pre-analyseverktøy'!AA184=0,"",'Pre-analyseverktøy'!AA184)</f>
        <v/>
      </c>
    </row>
    <row r="185" spans="1:27">
      <c r="A185" s="620">
        <v>176</v>
      </c>
      <c r="B185" s="911" t="s">
        <v>496</v>
      </c>
      <c r="C185" s="911"/>
      <c r="D185" s="932" t="str">
        <f>'Pre-analyseverktøy'!C185</f>
        <v>LE 07</v>
      </c>
      <c r="E185" s="932">
        <f>'Pre-analyseverktøy'!E185</f>
        <v>1</v>
      </c>
      <c r="F185" s="933" t="str">
        <f>'Pre-analyseverktøy'!F185</f>
        <v>Forkrav: flomrisikoanalyse</v>
      </c>
      <c r="G185" s="430" t="str">
        <f>'Pre-analyseverktøy'!G185</f>
        <v>Yes/No</v>
      </c>
      <c r="H185" s="436">
        <f>'Pre-analyseverktøy'!H185</f>
        <v>0</v>
      </c>
      <c r="I185" s="902" t="str">
        <f>'Pre-analyseverktøy'!I185</f>
        <v>-</v>
      </c>
      <c r="J185" s="432" t="str">
        <f>'Pre-analyseverktøy'!J185</f>
        <v>N/A</v>
      </c>
      <c r="K185" s="433" t="str">
        <f>IF('Pre-analyseverktøy'!K185=0,"",'Pre-analyseverktøy'!K185)</f>
        <v/>
      </c>
      <c r="L185" s="433" t="str">
        <f>IF('Pre-analyseverktøy'!L185=0,"",'Pre-analyseverktøy'!L185)</f>
        <v/>
      </c>
      <c r="M185" s="434" t="str">
        <f>IF('Pre-analyseverktøy'!M185=0,"",'Pre-analyseverktøy'!M185)</f>
        <v/>
      </c>
      <c r="N185" s="435">
        <f>'Pre-analyseverktøy'!N185</f>
        <v>0</v>
      </c>
      <c r="O185" s="436">
        <f>'Pre-analyseverktøy'!O185</f>
        <v>0</v>
      </c>
      <c r="P185" s="431" t="str">
        <f>'Pre-analyseverktøy'!P185</f>
        <v>-</v>
      </c>
      <c r="Q185" s="430" t="str">
        <f>'Pre-analyseverktøy'!Q185</f>
        <v>N/A</v>
      </c>
      <c r="R185" s="433" t="str">
        <f>IF('Pre-analyseverktøy'!R185=0,"",'Pre-analyseverktøy'!R185)</f>
        <v/>
      </c>
      <c r="S185" s="433" t="str">
        <f>IF('Pre-analyseverktøy'!S185=0,"",'Pre-analyseverktøy'!S185)</f>
        <v/>
      </c>
      <c r="T185" s="434" t="str">
        <f>IF('Pre-analyseverktøy'!T185=0,"",'Pre-analyseverktøy'!T185)</f>
        <v/>
      </c>
      <c r="U185" s="437"/>
      <c r="V185" s="436">
        <f>'Pre-analyseverktøy'!V185</f>
        <v>0</v>
      </c>
      <c r="W185" s="431" t="str">
        <f>'Pre-analyseverktøy'!W185</f>
        <v>-</v>
      </c>
      <c r="X185" s="430" t="str">
        <f>'Pre-analyseverktøy'!X185</f>
        <v>N/A</v>
      </c>
      <c r="Y185" s="433" t="str">
        <f>IF('Pre-analyseverktøy'!Y185=0,"",'Pre-analyseverktøy'!Y185)</f>
        <v/>
      </c>
      <c r="Z185" s="433" t="str">
        <f>IF('Pre-analyseverktøy'!Z185=0,"",'Pre-analyseverktøy'!Z185)</f>
        <v/>
      </c>
      <c r="AA185" s="433" t="str">
        <f>IF('Pre-analyseverktøy'!AA185=0,"",'Pre-analyseverktøy'!AA185)</f>
        <v/>
      </c>
    </row>
    <row r="186" spans="1:27">
      <c r="A186" s="620">
        <v>177</v>
      </c>
      <c r="B186" s="911" t="s">
        <v>496</v>
      </c>
      <c r="C186" s="911"/>
      <c r="D186" s="932" t="str">
        <f>'Pre-analyseverktøy'!C186</f>
        <v>LE 07</v>
      </c>
      <c r="E186" s="932" t="str">
        <f>'Pre-analyseverktøy'!E186</f>
        <v>2-3</v>
      </c>
      <c r="F186" s="933" t="str">
        <f>'Pre-analyseverktøy'!F186</f>
        <v>Robusthet mot flom og stormflo</v>
      </c>
      <c r="G186" s="430">
        <f>'Pre-analyseverktøy'!G186</f>
        <v>2</v>
      </c>
      <c r="H186" s="436">
        <f>'Pre-analyseverktøy'!H186</f>
        <v>0</v>
      </c>
      <c r="I186" s="902">
        <f>'Pre-analyseverktøy'!I186</f>
        <v>0</v>
      </c>
      <c r="J186" s="432" t="str">
        <f>'Pre-analyseverktøy'!J186</f>
        <v>N/A</v>
      </c>
      <c r="K186" s="433" t="str">
        <f>IF('Pre-analyseverktøy'!K186=0,"",'Pre-analyseverktøy'!K186)</f>
        <v/>
      </c>
      <c r="L186" s="433" t="str">
        <f>IF('Pre-analyseverktøy'!L186=0,"",'Pre-analyseverktøy'!L186)</f>
        <v/>
      </c>
      <c r="M186" s="434" t="str">
        <f>IF('Pre-analyseverktøy'!M186=0,"",'Pre-analyseverktøy'!M186)</f>
        <v/>
      </c>
      <c r="N186" s="435">
        <f>'Pre-analyseverktøy'!N186</f>
        <v>0</v>
      </c>
      <c r="O186" s="436">
        <f>'Pre-analyseverktøy'!O186</f>
        <v>0</v>
      </c>
      <c r="P186" s="431">
        <f>'Pre-analyseverktøy'!P186</f>
        <v>0</v>
      </c>
      <c r="Q186" s="430" t="str">
        <f>'Pre-analyseverktøy'!Q186</f>
        <v>N/A</v>
      </c>
      <c r="R186" s="433" t="str">
        <f>IF('Pre-analyseverktøy'!R186=0,"",'Pre-analyseverktøy'!R186)</f>
        <v/>
      </c>
      <c r="S186" s="433" t="str">
        <f>IF('Pre-analyseverktøy'!S186=0,"",'Pre-analyseverktøy'!S186)</f>
        <v/>
      </c>
      <c r="T186" s="434" t="str">
        <f>IF('Pre-analyseverktøy'!T186=0,"",'Pre-analyseverktøy'!T186)</f>
        <v/>
      </c>
      <c r="U186" s="437"/>
      <c r="V186" s="436">
        <f>'Pre-analyseverktøy'!V186</f>
        <v>0</v>
      </c>
      <c r="W186" s="431">
        <f>'Pre-analyseverktøy'!W186</f>
        <v>0</v>
      </c>
      <c r="X186" s="430" t="str">
        <f>'Pre-analyseverktøy'!X186</f>
        <v>N/A</v>
      </c>
      <c r="Y186" s="433" t="str">
        <f>IF('Pre-analyseverktøy'!Y186=0,"",'Pre-analyseverktøy'!Y186)</f>
        <v/>
      </c>
      <c r="Z186" s="433" t="str">
        <f>IF('Pre-analyseverktøy'!Z186=0,"",'Pre-analyseverktøy'!Z186)</f>
        <v/>
      </c>
      <c r="AA186" s="433" t="str">
        <f>IF('Pre-analyseverktøy'!AA186=0,"",'Pre-analyseverktøy'!AA186)</f>
        <v/>
      </c>
    </row>
    <row r="187" spans="1:27">
      <c r="A187" s="620">
        <v>178</v>
      </c>
      <c r="B187" s="911" t="s">
        <v>496</v>
      </c>
      <c r="C187" s="911"/>
      <c r="D187" s="931" t="str">
        <f>'Pre-analyseverktøy'!C187</f>
        <v>LE 08</v>
      </c>
      <c r="E187" s="932"/>
      <c r="F187" s="931" t="str">
        <f>'Pre-analyseverktøy'!F187</f>
        <v>LE 08 Lokal overvannshåndtering</v>
      </c>
      <c r="G187" s="430">
        <f>'Pre-analyseverktøy'!G187</f>
        <v>3</v>
      </c>
      <c r="H187" s="436">
        <f>'Pre-analyseverktøy'!H187</f>
        <v>0</v>
      </c>
      <c r="I187" s="902" t="str">
        <f>'Pre-analyseverktøy'!I187</f>
        <v>0 c. 0 %</v>
      </c>
      <c r="J187" s="432" t="str">
        <f>'Pre-analyseverktøy'!J187</f>
        <v>N/A</v>
      </c>
      <c r="K187" s="433" t="str">
        <f>IF('Pre-analyseverktøy'!K187=0,"",'Pre-analyseverktøy'!K187)</f>
        <v/>
      </c>
      <c r="L187" s="433" t="str">
        <f>IF('Pre-analyseverktøy'!L187=0,"",'Pre-analyseverktøy'!L187)</f>
        <v/>
      </c>
      <c r="M187" s="434" t="str">
        <f>IF('Pre-analyseverktøy'!M187=0,"",'Pre-analyseverktøy'!M187)</f>
        <v/>
      </c>
      <c r="N187" s="435">
        <f>'Pre-analyseverktøy'!N187</f>
        <v>0</v>
      </c>
      <c r="O187" s="436">
        <f>'Pre-analyseverktøy'!O187</f>
        <v>0</v>
      </c>
      <c r="P187" s="431" t="str">
        <f>'Pre-analyseverktøy'!P187</f>
        <v>0 c. 0 %</v>
      </c>
      <c r="Q187" s="430" t="str">
        <f>'Pre-analyseverktøy'!Q187</f>
        <v>N/A</v>
      </c>
      <c r="R187" s="433" t="str">
        <f>IF('Pre-analyseverktøy'!R187=0,"",'Pre-analyseverktøy'!R187)</f>
        <v/>
      </c>
      <c r="S187" s="433" t="str">
        <f>IF('Pre-analyseverktøy'!S187=0,"",'Pre-analyseverktøy'!S187)</f>
        <v/>
      </c>
      <c r="T187" s="434" t="str">
        <f>IF('Pre-analyseverktøy'!T187=0,"",'Pre-analyseverktøy'!T187)</f>
        <v/>
      </c>
      <c r="U187" s="437"/>
      <c r="V187" s="436">
        <f>'Pre-analyseverktøy'!V187</f>
        <v>0</v>
      </c>
      <c r="W187" s="431" t="str">
        <f>'Pre-analyseverktøy'!W187</f>
        <v>0 c. 0 %</v>
      </c>
      <c r="X187" s="430" t="str">
        <f>'Pre-analyseverktøy'!X187</f>
        <v>N/A</v>
      </c>
      <c r="Y187" s="433" t="str">
        <f>IF('Pre-analyseverktøy'!Y187=0,"",'Pre-analyseverktøy'!Y187)</f>
        <v/>
      </c>
      <c r="Z187" s="433" t="str">
        <f>IF('Pre-analyseverktøy'!Z187=0,"",'Pre-analyseverktøy'!Z187)</f>
        <v/>
      </c>
      <c r="AA187" s="433" t="str">
        <f>IF('Pre-analyseverktøy'!AA187=0,"",'Pre-analyseverktøy'!AA187)</f>
        <v/>
      </c>
    </row>
    <row r="188" spans="1:27">
      <c r="A188" s="620">
        <v>179</v>
      </c>
      <c r="B188" s="911" t="s">
        <v>496</v>
      </c>
      <c r="C188" s="911"/>
      <c r="D188" s="932" t="str">
        <f>'Pre-analyseverktøy'!C188</f>
        <v>LE 08</v>
      </c>
      <c r="E188" s="932" t="str">
        <f>'Pre-analyseverktøy'!E188</f>
        <v>1-3</v>
      </c>
      <c r="F188" s="933" t="str">
        <f>'Pre-analyseverktøy'!F188</f>
        <v>Forkrav: risikokartlegging og tretrinnsstrategi</v>
      </c>
      <c r="G188" s="430" t="str">
        <f>'Pre-analyseverktøy'!G188</f>
        <v>Yes/No</v>
      </c>
      <c r="H188" s="436">
        <f>'Pre-analyseverktøy'!H188</f>
        <v>0</v>
      </c>
      <c r="I188" s="902" t="str">
        <f>'Pre-analyseverktøy'!I188</f>
        <v>-</v>
      </c>
      <c r="J188" s="432" t="str">
        <f>'Pre-analyseverktøy'!J188</f>
        <v>N/A</v>
      </c>
      <c r="K188" s="433" t="str">
        <f>IF('Pre-analyseverktøy'!K188=0,"",'Pre-analyseverktøy'!K188)</f>
        <v/>
      </c>
      <c r="L188" s="433" t="str">
        <f>IF('Pre-analyseverktøy'!L188=0,"",'Pre-analyseverktøy'!L188)</f>
        <v/>
      </c>
      <c r="M188" s="434" t="str">
        <f>IF('Pre-analyseverktøy'!M188=0,"",'Pre-analyseverktøy'!M188)</f>
        <v/>
      </c>
      <c r="N188" s="435">
        <f>'Pre-analyseverktøy'!N188</f>
        <v>0</v>
      </c>
      <c r="O188" s="436">
        <f>'Pre-analyseverktøy'!O188</f>
        <v>0</v>
      </c>
      <c r="P188" s="431" t="str">
        <f>'Pre-analyseverktøy'!P188</f>
        <v>-</v>
      </c>
      <c r="Q188" s="430" t="str">
        <f>'Pre-analyseverktøy'!Q188</f>
        <v>N/A</v>
      </c>
      <c r="R188" s="433" t="str">
        <f>IF('Pre-analyseverktøy'!R188=0,"",'Pre-analyseverktøy'!R188)</f>
        <v/>
      </c>
      <c r="S188" s="433" t="str">
        <f>IF('Pre-analyseverktøy'!S188=0,"",'Pre-analyseverktøy'!S188)</f>
        <v/>
      </c>
      <c r="T188" s="434" t="str">
        <f>IF('Pre-analyseverktøy'!T188=0,"",'Pre-analyseverktøy'!T188)</f>
        <v/>
      </c>
      <c r="U188" s="437"/>
      <c r="V188" s="436">
        <f>'Pre-analyseverktøy'!V188</f>
        <v>0</v>
      </c>
      <c r="W188" s="431" t="str">
        <f>'Pre-analyseverktøy'!W188</f>
        <v>-</v>
      </c>
      <c r="X188" s="430" t="str">
        <f>'Pre-analyseverktøy'!X188</f>
        <v>N/A</v>
      </c>
      <c r="Y188" s="433" t="str">
        <f>IF('Pre-analyseverktøy'!Y188=0,"",'Pre-analyseverktøy'!Y188)</f>
        <v/>
      </c>
      <c r="Z188" s="433" t="str">
        <f>IF('Pre-analyseverktøy'!Z188=0,"",'Pre-analyseverktøy'!Z188)</f>
        <v/>
      </c>
      <c r="AA188" s="433" t="str">
        <f>IF('Pre-analyseverktøy'!AA188=0,"",'Pre-analyseverktøy'!AA188)</f>
        <v/>
      </c>
    </row>
    <row r="189" spans="1:27">
      <c r="A189" s="620">
        <v>180</v>
      </c>
      <c r="B189" s="911" t="s">
        <v>496</v>
      </c>
      <c r="C189" s="911"/>
      <c r="D189" s="932" t="str">
        <f>'Pre-analyseverktøy'!C189</f>
        <v>LE 08</v>
      </c>
      <c r="E189" s="932" t="str">
        <f>'Pre-analyseverktøy'!E189</f>
        <v>4-5</v>
      </c>
      <c r="F189" s="933" t="str">
        <f>'Pre-analyseverktøy'!F189</f>
        <v>Håndtering av 5 mm nedbør</v>
      </c>
      <c r="G189" s="430">
        <f>'Pre-analyseverktøy'!G189</f>
        <v>1</v>
      </c>
      <c r="H189" s="436">
        <f>'Pre-analyseverktøy'!H189</f>
        <v>0</v>
      </c>
      <c r="I189" s="902">
        <f>'Pre-analyseverktøy'!I189</f>
        <v>0</v>
      </c>
      <c r="J189" s="432" t="str">
        <f>'Pre-analyseverktøy'!J189</f>
        <v>N/A</v>
      </c>
      <c r="K189" s="433" t="str">
        <f>IF('Pre-analyseverktøy'!K189=0,"",'Pre-analyseverktøy'!K189)</f>
        <v/>
      </c>
      <c r="L189" s="433" t="str">
        <f>IF('Pre-analyseverktøy'!L189=0,"",'Pre-analyseverktøy'!L189)</f>
        <v/>
      </c>
      <c r="M189" s="434" t="str">
        <f>IF('Pre-analyseverktøy'!M189=0,"",'Pre-analyseverktøy'!M189)</f>
        <v/>
      </c>
      <c r="N189" s="435">
        <f>'Pre-analyseverktøy'!N189</f>
        <v>0</v>
      </c>
      <c r="O189" s="436">
        <f>'Pre-analyseverktøy'!O189</f>
        <v>0</v>
      </c>
      <c r="P189" s="431">
        <f>'Pre-analyseverktøy'!P189</f>
        <v>0</v>
      </c>
      <c r="Q189" s="430" t="str">
        <f>'Pre-analyseverktøy'!Q189</f>
        <v>N/A</v>
      </c>
      <c r="R189" s="433" t="str">
        <f>IF('Pre-analyseverktøy'!R189=0,"",'Pre-analyseverktøy'!R189)</f>
        <v/>
      </c>
      <c r="S189" s="433" t="str">
        <f>IF('Pre-analyseverktøy'!S189=0,"",'Pre-analyseverktøy'!S189)</f>
        <v/>
      </c>
      <c r="T189" s="434" t="str">
        <f>IF('Pre-analyseverktøy'!T189=0,"",'Pre-analyseverktøy'!T189)</f>
        <v/>
      </c>
      <c r="U189" s="437"/>
      <c r="V189" s="436">
        <f>'Pre-analyseverktøy'!V189</f>
        <v>0</v>
      </c>
      <c r="W189" s="431">
        <f>'Pre-analyseverktøy'!W189</f>
        <v>0</v>
      </c>
      <c r="X189" s="430" t="str">
        <f>'Pre-analyseverktøy'!X189</f>
        <v>N/A</v>
      </c>
      <c r="Y189" s="433" t="str">
        <f>IF('Pre-analyseverktøy'!Y189=0,"",'Pre-analyseverktøy'!Y189)</f>
        <v/>
      </c>
      <c r="Z189" s="433" t="str">
        <f>IF('Pre-analyseverktøy'!Z189=0,"",'Pre-analyseverktøy'!Z189)</f>
        <v/>
      </c>
      <c r="AA189" s="433" t="str">
        <f>IF('Pre-analyseverktøy'!AA189=0,"",'Pre-analyseverktøy'!AA189)</f>
        <v/>
      </c>
    </row>
    <row r="190" spans="1:27">
      <c r="A190" s="620">
        <v>181</v>
      </c>
      <c r="B190" s="911" t="s">
        <v>496</v>
      </c>
      <c r="C190" s="911"/>
      <c r="D190" s="932" t="str">
        <f>'Pre-analyseverktøy'!C190</f>
        <v>LE 08</v>
      </c>
      <c r="E190" s="932" t="str">
        <f>'Pre-analyseverktøy'!E190</f>
        <v>6-7</v>
      </c>
      <c r="F190" s="933" t="str">
        <f>'Pre-analyseverktøy'!F190</f>
        <v>Maksimal avrenningsmengde</v>
      </c>
      <c r="G190" s="430">
        <f>'Pre-analyseverktøy'!G190</f>
        <v>1</v>
      </c>
      <c r="H190" s="436">
        <f>'Pre-analyseverktøy'!H190</f>
        <v>0</v>
      </c>
      <c r="I190" s="902">
        <f>'Pre-analyseverktøy'!I190</f>
        <v>0</v>
      </c>
      <c r="J190" s="432" t="str">
        <f>'Pre-analyseverktøy'!J190</f>
        <v>N/A</v>
      </c>
      <c r="K190" s="433" t="str">
        <f>IF('Pre-analyseverktøy'!K190=0,"",'Pre-analyseverktøy'!K190)</f>
        <v/>
      </c>
      <c r="L190" s="433" t="str">
        <f>IF('Pre-analyseverktøy'!L190=0,"",'Pre-analyseverktøy'!L190)</f>
        <v/>
      </c>
      <c r="M190" s="434" t="str">
        <f>IF('Pre-analyseverktøy'!M190=0,"",'Pre-analyseverktøy'!M190)</f>
        <v/>
      </c>
      <c r="N190" s="435">
        <f>'Pre-analyseverktøy'!N190</f>
        <v>0</v>
      </c>
      <c r="O190" s="436">
        <f>'Pre-analyseverktøy'!O190</f>
        <v>0</v>
      </c>
      <c r="P190" s="431">
        <f>'Pre-analyseverktøy'!P190</f>
        <v>0</v>
      </c>
      <c r="Q190" s="430" t="str">
        <f>'Pre-analyseverktøy'!Q190</f>
        <v>N/A</v>
      </c>
      <c r="R190" s="433" t="str">
        <f>IF('Pre-analyseverktøy'!R190=0,"",'Pre-analyseverktøy'!R190)</f>
        <v/>
      </c>
      <c r="S190" s="433" t="str">
        <f>IF('Pre-analyseverktøy'!S190=0,"",'Pre-analyseverktøy'!S190)</f>
        <v/>
      </c>
      <c r="T190" s="434" t="str">
        <f>IF('Pre-analyseverktøy'!T190=0,"",'Pre-analyseverktøy'!T190)</f>
        <v/>
      </c>
      <c r="U190" s="437"/>
      <c r="V190" s="436">
        <f>'Pre-analyseverktøy'!V190</f>
        <v>0</v>
      </c>
      <c r="W190" s="431">
        <f>'Pre-analyseverktøy'!W190</f>
        <v>0</v>
      </c>
      <c r="X190" s="430" t="str">
        <f>'Pre-analyseverktøy'!X190</f>
        <v>N/A</v>
      </c>
      <c r="Y190" s="433" t="str">
        <f>IF('Pre-analyseverktøy'!Y190=0,"",'Pre-analyseverktøy'!Y190)</f>
        <v/>
      </c>
      <c r="Z190" s="433" t="str">
        <f>IF('Pre-analyseverktøy'!Z190=0,"",'Pre-analyseverktøy'!Z190)</f>
        <v/>
      </c>
      <c r="AA190" s="433" t="str">
        <f>IF('Pre-analyseverktøy'!AA190=0,"",'Pre-analyseverktøy'!AA190)</f>
        <v/>
      </c>
    </row>
    <row r="191" spans="1:27">
      <c r="A191" s="620">
        <v>182</v>
      </c>
      <c r="B191" s="911" t="s">
        <v>538</v>
      </c>
      <c r="C191" s="911"/>
      <c r="D191" s="932" t="str">
        <f>'Pre-analyseverktøy'!C191</f>
        <v>LE 08</v>
      </c>
      <c r="E191" s="932" t="str">
        <f>'Pre-analyseverktøy'!E191</f>
        <v>8-9</v>
      </c>
      <c r="F191" s="933" t="str">
        <f>'Pre-analyseverktøy'!F191</f>
        <v>Tiltak for overflatebasert overvannshåndtering</v>
      </c>
      <c r="G191" s="430">
        <f>'Pre-analyseverktøy'!G191</f>
        <v>1</v>
      </c>
      <c r="H191" s="436">
        <f>'Pre-analyseverktøy'!H191</f>
        <v>0</v>
      </c>
      <c r="I191" s="902">
        <f>'Pre-analyseverktøy'!I191</f>
        <v>0</v>
      </c>
      <c r="J191" s="432" t="str">
        <f>'Pre-analyseverktøy'!J191</f>
        <v>N/A</v>
      </c>
      <c r="K191" s="433" t="str">
        <f>IF('Pre-analyseverktøy'!K191=0,"",'Pre-analyseverktøy'!K191)</f>
        <v/>
      </c>
      <c r="L191" s="433" t="str">
        <f>IF('Pre-analyseverktøy'!L191=0,"",'Pre-analyseverktøy'!L191)</f>
        <v/>
      </c>
      <c r="M191" s="434" t="str">
        <f>IF('Pre-analyseverktøy'!M191=0,"",'Pre-analyseverktøy'!M191)</f>
        <v/>
      </c>
      <c r="N191" s="435">
        <f>'Pre-analyseverktøy'!N191</f>
        <v>0</v>
      </c>
      <c r="O191" s="436">
        <f>'Pre-analyseverktøy'!O191</f>
        <v>0</v>
      </c>
      <c r="P191" s="431">
        <f>'Pre-analyseverktøy'!P191</f>
        <v>0</v>
      </c>
      <c r="Q191" s="430" t="str">
        <f>'Pre-analyseverktøy'!Q191</f>
        <v>N/A</v>
      </c>
      <c r="R191" s="433" t="str">
        <f>IF('Pre-analyseverktøy'!R191=0,"",'Pre-analyseverktøy'!R191)</f>
        <v/>
      </c>
      <c r="S191" s="433" t="str">
        <f>IF('Pre-analyseverktøy'!S191=0,"",'Pre-analyseverktøy'!S191)</f>
        <v/>
      </c>
      <c r="T191" s="434" t="str">
        <f>IF('Pre-analyseverktøy'!T191=0,"",'Pre-analyseverktøy'!T191)</f>
        <v/>
      </c>
      <c r="U191" s="437"/>
      <c r="V191" s="436">
        <f>'Pre-analyseverktøy'!V191</f>
        <v>0</v>
      </c>
      <c r="W191" s="431">
        <f>'Pre-analyseverktøy'!W191</f>
        <v>0</v>
      </c>
      <c r="X191" s="430" t="str">
        <f>'Pre-analyseverktøy'!X191</f>
        <v>N/A</v>
      </c>
      <c r="Y191" s="433" t="str">
        <f>IF('Pre-analyseverktøy'!Y191=0,"",'Pre-analyseverktøy'!Y191)</f>
        <v/>
      </c>
      <c r="Z191" s="433" t="str">
        <f>IF('Pre-analyseverktøy'!Z191=0,"",'Pre-analyseverktøy'!Z191)</f>
        <v/>
      </c>
      <c r="AA191" s="433" t="str">
        <f>IF('Pre-analyseverktøy'!AA191=0,"",'Pre-analyseverktøy'!AA191)</f>
        <v/>
      </c>
    </row>
    <row r="192" spans="1:27" ht="30" customHeight="1" thickBot="1">
      <c r="A192" s="620">
        <v>183</v>
      </c>
      <c r="B192" s="911" t="s">
        <v>538</v>
      </c>
      <c r="C192" s="911"/>
      <c r="D192" s="934"/>
      <c r="E192" s="934"/>
      <c r="F192" s="934" t="str">
        <f>'Pre-analyseverktøy'!F192</f>
        <v>Totalsum arealbruk og økologi</v>
      </c>
      <c r="G192" s="438">
        <f>'Pre-analyseverktøy'!G192</f>
        <v>19</v>
      </c>
      <c r="H192" s="440">
        <f>'Pre-analyseverktøy'!H192</f>
        <v>0</v>
      </c>
      <c r="I192" s="439">
        <f>'Pre-analyseverktøy'!I192</f>
        <v>0</v>
      </c>
      <c r="J192" s="438" t="str">
        <f>'Pre-analyseverktøy'!J192</f>
        <v>Poeng oppnådd: 0</v>
      </c>
      <c r="K192" s="884" t="str">
        <f>IF('Pre-analyseverktøy'!K192=0,"",'Pre-analyseverktøy'!K192)</f>
        <v/>
      </c>
      <c r="L192" s="884" t="str">
        <f>IF('Pre-analyseverktøy'!L192=0,"",'Pre-analyseverktøy'!L192)</f>
        <v/>
      </c>
      <c r="M192" s="903" t="str">
        <f>IF('Pre-analyseverktøy'!M192=0,"",'Pre-analyseverktøy'!M192)</f>
        <v/>
      </c>
      <c r="N192" s="904">
        <f>'Pre-analyseverktøy'!N192</f>
        <v>0</v>
      </c>
      <c r="O192" s="440">
        <f>'Pre-analyseverktøy'!O192</f>
        <v>0</v>
      </c>
      <c r="P192" s="439">
        <f>'Pre-analyseverktøy'!P192</f>
        <v>0</v>
      </c>
      <c r="Q192" s="438" t="str">
        <f>'Pre-analyseverktøy'!Q192</f>
        <v>Poeng oppnådd: 0</v>
      </c>
      <c r="R192" s="884" t="str">
        <f>IF('Pre-analyseverktøy'!R192=0,"",'Pre-analyseverktøy'!R192)</f>
        <v/>
      </c>
      <c r="S192" s="884" t="str">
        <f>IF('Pre-analyseverktøy'!S192=0,"",'Pre-analyseverktøy'!S192)</f>
        <v/>
      </c>
      <c r="T192" s="903" t="str">
        <f>IF('Pre-analyseverktøy'!T192=0,"",'Pre-analyseverktøy'!T192)</f>
        <v/>
      </c>
      <c r="U192" s="905"/>
      <c r="V192" s="440">
        <f>'Pre-analyseverktøy'!V192</f>
        <v>0</v>
      </c>
      <c r="W192" s="439">
        <f>'Pre-analyseverktøy'!W192</f>
        <v>0</v>
      </c>
      <c r="X192" s="438" t="str">
        <f>'Pre-analyseverktøy'!X192</f>
        <v>Poeng oppnådd: 0</v>
      </c>
      <c r="Y192" s="884" t="str">
        <f>IF('Pre-analyseverktøy'!Y192=0,"",'Pre-analyseverktøy'!Y192)</f>
        <v/>
      </c>
      <c r="Z192" s="884" t="str">
        <f>IF('Pre-analyseverktøy'!Z192=0,"",'Pre-analyseverktøy'!Z192)</f>
        <v/>
      </c>
      <c r="AA192" s="884" t="str">
        <f>IF('Pre-analyseverktøy'!AA192=0,"",'Pre-analyseverktøy'!AA192)</f>
        <v/>
      </c>
    </row>
    <row r="193" spans="1:27">
      <c r="A193" s="620">
        <v>184</v>
      </c>
      <c r="B193" s="911" t="s">
        <v>538</v>
      </c>
      <c r="C193" s="911"/>
      <c r="D193" s="441"/>
      <c r="E193" s="441"/>
      <c r="F193" s="441"/>
      <c r="G193" s="442"/>
      <c r="H193" s="442"/>
      <c r="I193" s="442"/>
      <c r="J193" s="442"/>
      <c r="K193" s="441" t="str">
        <f>IF('Pre-analyseverktøy'!K193=0,"",'Pre-analyseverktøy'!K193)</f>
        <v/>
      </c>
      <c r="L193" s="442" t="str">
        <f>IF('Pre-analyseverktøy'!L193=0,"",'Pre-analyseverktøy'!L193)</f>
        <v/>
      </c>
      <c r="M193" s="441" t="str">
        <f>IF('Pre-analyseverktøy'!M193=0,"",'Pre-analyseverktøy'!M193)</f>
        <v/>
      </c>
      <c r="N193" s="435"/>
      <c r="O193" s="442"/>
      <c r="P193" s="442"/>
      <c r="Q193" s="442"/>
      <c r="R193" s="441" t="str">
        <f>IF('Pre-analyseverktøy'!R193=0,"",'Pre-analyseverktøy'!R193)</f>
        <v/>
      </c>
      <c r="S193" s="442" t="str">
        <f>IF('Pre-analyseverktøy'!S193=0,"",'Pre-analyseverktøy'!S193)</f>
        <v/>
      </c>
      <c r="T193" s="441" t="str">
        <f>IF('Pre-analyseverktøy'!T193=0,"",'Pre-analyseverktøy'!T193)</f>
        <v/>
      </c>
      <c r="U193" s="437"/>
      <c r="V193" s="442"/>
      <c r="W193" s="442"/>
      <c r="X193" s="442"/>
      <c r="Y193" s="441" t="str">
        <f>IF('Pre-analyseverktøy'!Y193=0,"",'Pre-analyseverktøy'!Y193)</f>
        <v/>
      </c>
      <c r="Z193" s="442" t="str">
        <f>IF('Pre-analyseverktøy'!Z193=0,"",'Pre-analyseverktøy'!Z193)</f>
        <v/>
      </c>
      <c r="AA193" s="441" t="str">
        <f>IF('Pre-analyseverktøy'!AA193=0,"",'Pre-analyseverktøy'!AA193)</f>
        <v/>
      </c>
    </row>
    <row r="194" spans="1:27" ht="18.75">
      <c r="A194" s="620">
        <v>185</v>
      </c>
      <c r="B194" s="911" t="s">
        <v>538</v>
      </c>
      <c r="C194" s="911"/>
      <c r="D194" s="443"/>
      <c r="E194" s="443"/>
      <c r="F194" s="443" t="s">
        <v>538</v>
      </c>
      <c r="G194" s="426"/>
      <c r="H194" s="426"/>
      <c r="I194" s="426"/>
      <c r="J194" s="426"/>
      <c r="K194" s="427" t="str">
        <f>IF('Pre-analyseverktøy'!K194=0,"",'Pre-analyseverktøy'!K194)</f>
        <v/>
      </c>
      <c r="L194" s="426" t="str">
        <f>IF('Pre-analyseverktøy'!L194=0,"",'Pre-analyseverktøy'!L194)</f>
        <v/>
      </c>
      <c r="M194" s="427" t="str">
        <f>IF('Pre-analyseverktøy'!M194=0,"",'Pre-analyseverktøy'!M194)</f>
        <v/>
      </c>
      <c r="N194" s="435"/>
      <c r="O194" s="426"/>
      <c r="P194" s="426"/>
      <c r="Q194" s="426"/>
      <c r="R194" s="427" t="str">
        <f>IF('Pre-analyseverktøy'!R194=0,"",'Pre-analyseverktøy'!R194)</f>
        <v/>
      </c>
      <c r="S194" s="426" t="str">
        <f>IF('Pre-analyseverktøy'!S194=0,"",'Pre-analyseverktøy'!S194)</f>
        <v/>
      </c>
      <c r="T194" s="427" t="str">
        <f>IF('Pre-analyseverktøy'!T194=0,"",'Pre-analyseverktøy'!T194)</f>
        <v/>
      </c>
      <c r="U194" s="437"/>
      <c r="V194" s="426"/>
      <c r="W194" s="426"/>
      <c r="X194" s="426"/>
      <c r="Y194" s="427" t="str">
        <f>IF('Pre-analyseverktøy'!Y194=0,"",'Pre-analyseverktøy'!Y194)</f>
        <v/>
      </c>
      <c r="Z194" s="426" t="str">
        <f>IF('Pre-analyseverktøy'!Z194=0,"",'Pre-analyseverktøy'!Z194)</f>
        <v/>
      </c>
      <c r="AA194" s="514" t="str">
        <f>IF('Pre-analyseverktøy'!AA194=0,"",'Pre-analyseverktøy'!AA194)</f>
        <v/>
      </c>
    </row>
    <row r="195" spans="1:27">
      <c r="A195" s="620">
        <v>186</v>
      </c>
      <c r="B195" s="911" t="s">
        <v>538</v>
      </c>
      <c r="C195" s="911"/>
      <c r="D195" s="931" t="str">
        <f>'Pre-analyseverktøy'!C195</f>
        <v>POL 01</v>
      </c>
      <c r="E195" s="932"/>
      <c r="F195" s="931" t="str">
        <f>'Pre-analyseverktøy'!F195</f>
        <v>POL 01 Påvirkning fra kuldemedier</v>
      </c>
      <c r="G195" s="430">
        <f>'Pre-analyseverktøy'!G195</f>
        <v>3</v>
      </c>
      <c r="H195" s="436">
        <f>'Pre-analyseverktøy'!H195</f>
        <v>0</v>
      </c>
      <c r="I195" s="902" t="str">
        <f>'Pre-analyseverktøy'!I195</f>
        <v>0 c. 0 %</v>
      </c>
      <c r="J195" s="432" t="str">
        <f>'Pre-analyseverktøy'!J195</f>
        <v>N/A</v>
      </c>
      <c r="K195" s="433" t="str">
        <f>IF('Pre-analyseverktøy'!K195=0,"",'Pre-analyseverktøy'!K195)</f>
        <v/>
      </c>
      <c r="L195" s="433" t="str">
        <f>IF('Pre-analyseverktøy'!L195=0,"",'Pre-analyseverktøy'!L195)</f>
        <v/>
      </c>
      <c r="M195" s="434" t="str">
        <f>IF('Pre-analyseverktøy'!M195=0,"",'Pre-analyseverktøy'!M195)</f>
        <v/>
      </c>
      <c r="N195" s="435">
        <f>'Pre-analyseverktøy'!N195</f>
        <v>0</v>
      </c>
      <c r="O195" s="436">
        <f>'Pre-analyseverktøy'!O195</f>
        <v>0</v>
      </c>
      <c r="P195" s="431" t="str">
        <f>'Pre-analyseverktøy'!P195</f>
        <v>0 c. 0 %</v>
      </c>
      <c r="Q195" s="430" t="str">
        <f>'Pre-analyseverktøy'!Q195</f>
        <v>N/A</v>
      </c>
      <c r="R195" s="433" t="str">
        <f>IF('Pre-analyseverktøy'!R195=0,"",'Pre-analyseverktøy'!R195)</f>
        <v/>
      </c>
      <c r="S195" s="433" t="str">
        <f>IF('Pre-analyseverktøy'!S195=0,"",'Pre-analyseverktøy'!S195)</f>
        <v/>
      </c>
      <c r="T195" s="434" t="str">
        <f>IF('Pre-analyseverktøy'!T195=0,"",'Pre-analyseverktøy'!T195)</f>
        <v/>
      </c>
      <c r="U195" s="437"/>
      <c r="V195" s="436">
        <f>'Pre-analyseverktøy'!V195</f>
        <v>0</v>
      </c>
      <c r="W195" s="431" t="str">
        <f>'Pre-analyseverktøy'!W195</f>
        <v>0 c. 0 %</v>
      </c>
      <c r="X195" s="430" t="str">
        <f>'Pre-analyseverktøy'!X195</f>
        <v>N/A</v>
      </c>
      <c r="Y195" s="433" t="str">
        <f>IF('Pre-analyseverktøy'!Y195=0,"",'Pre-analyseverktøy'!Y195)</f>
        <v/>
      </c>
      <c r="Z195" s="433" t="str">
        <f>IF('Pre-analyseverktøy'!Z195=0,"",'Pre-analyseverktøy'!Z195)</f>
        <v/>
      </c>
      <c r="AA195" s="433" t="str">
        <f>IF('Pre-analyseverktøy'!AA195=0,"",'Pre-analyseverktøy'!AA195)</f>
        <v/>
      </c>
    </row>
    <row r="196" spans="1:27">
      <c r="A196" s="620">
        <v>187</v>
      </c>
      <c r="B196" s="911" t="s">
        <v>538</v>
      </c>
      <c r="C196" s="911"/>
      <c r="D196" s="932" t="str">
        <f>'Pre-analyseverktøy'!C196</f>
        <v>POL 01</v>
      </c>
      <c r="E196" s="932">
        <f>'Pre-analyseverktøy'!E196</f>
        <v>1</v>
      </c>
      <c r="F196" s="932" t="str">
        <f>'Pre-analyseverktøy'!F196</f>
        <v>Ingen kuldemedier i bygget</v>
      </c>
      <c r="G196" s="430">
        <f>'Pre-analyseverktøy'!G196</f>
        <v>0</v>
      </c>
      <c r="H196" s="436">
        <f>'Pre-analyseverktøy'!H196</f>
        <v>0</v>
      </c>
      <c r="I196" s="902">
        <f>'Pre-analyseverktøy'!I196</f>
        <v>0</v>
      </c>
      <c r="J196" s="432" t="str">
        <f>'Pre-analyseverktøy'!J196</f>
        <v>N/A</v>
      </c>
      <c r="K196" s="433" t="str">
        <f>IF('Pre-analyseverktøy'!K196=0,"",'Pre-analyseverktøy'!K196)</f>
        <v/>
      </c>
      <c r="L196" s="433" t="str">
        <f>IF('Pre-analyseverktøy'!L196=0,"",'Pre-analyseverktøy'!L196)</f>
        <v/>
      </c>
      <c r="M196" s="434" t="str">
        <f>IF('Pre-analyseverktøy'!M196=0,"",'Pre-analyseverktøy'!M196)</f>
        <v/>
      </c>
      <c r="N196" s="435">
        <f>'Pre-analyseverktøy'!N196</f>
        <v>0</v>
      </c>
      <c r="O196" s="436">
        <f>'Pre-analyseverktøy'!O196</f>
        <v>0</v>
      </c>
      <c r="P196" s="431">
        <f>'Pre-analyseverktøy'!P196</f>
        <v>0</v>
      </c>
      <c r="Q196" s="430" t="str">
        <f>'Pre-analyseverktøy'!Q196</f>
        <v>N/A</v>
      </c>
      <c r="R196" s="433" t="str">
        <f>IF('Pre-analyseverktøy'!R196=0,"",'Pre-analyseverktøy'!R196)</f>
        <v/>
      </c>
      <c r="S196" s="433" t="str">
        <f>IF('Pre-analyseverktøy'!S196=0,"",'Pre-analyseverktøy'!S196)</f>
        <v/>
      </c>
      <c r="T196" s="434" t="str">
        <f>IF('Pre-analyseverktøy'!T196=0,"",'Pre-analyseverktøy'!T196)</f>
        <v/>
      </c>
      <c r="U196" s="437"/>
      <c r="V196" s="436">
        <f>'Pre-analyseverktøy'!V196</f>
        <v>0</v>
      </c>
      <c r="W196" s="431">
        <f>'Pre-analyseverktøy'!W196</f>
        <v>0</v>
      </c>
      <c r="X196" s="430" t="str">
        <f>'Pre-analyseverktøy'!X196</f>
        <v>N/A</v>
      </c>
      <c r="Y196" s="433" t="str">
        <f>IF('Pre-analyseverktøy'!Y196=0,"",'Pre-analyseverktøy'!Y196)</f>
        <v/>
      </c>
      <c r="Z196" s="433" t="str">
        <f>IF('Pre-analyseverktøy'!Z196=0,"",'Pre-analyseverktøy'!Z196)</f>
        <v/>
      </c>
      <c r="AA196" s="433" t="str">
        <f>IF('Pre-analyseverktøy'!AA196=0,"",'Pre-analyseverktøy'!AA196)</f>
        <v/>
      </c>
    </row>
    <row r="197" spans="1:27">
      <c r="A197" s="620">
        <v>188</v>
      </c>
      <c r="B197" s="911" t="s">
        <v>538</v>
      </c>
      <c r="C197" s="911"/>
      <c r="D197" s="932" t="str">
        <f>'Pre-analyseverktøy'!C197</f>
        <v>POL 01</v>
      </c>
      <c r="E197" s="932">
        <f>'Pre-analyseverktøy'!E197</f>
        <v>2</v>
      </c>
      <c r="F197" s="932" t="str">
        <f>'Pre-analyseverktøy'!F197</f>
        <v>Forkrav - Belastning fra kuldemedier</v>
      </c>
      <c r="G197" s="430" t="str">
        <f>'Pre-analyseverktøy'!G197</f>
        <v>Yes/No</v>
      </c>
      <c r="H197" s="436">
        <f>'Pre-analyseverktøy'!H197</f>
        <v>0</v>
      </c>
      <c r="I197" s="902" t="str">
        <f>'Pre-analyseverktøy'!I197</f>
        <v>-</v>
      </c>
      <c r="J197" s="432" t="str">
        <f>'Pre-analyseverktøy'!J197</f>
        <v>N/A</v>
      </c>
      <c r="K197" s="433" t="str">
        <f>IF('Pre-analyseverktøy'!K197=0,"",'Pre-analyseverktøy'!K197)</f>
        <v/>
      </c>
      <c r="L197" s="433" t="str">
        <f>IF('Pre-analyseverktøy'!L197=0,"",'Pre-analyseverktøy'!L197)</f>
        <v/>
      </c>
      <c r="M197" s="434" t="str">
        <f>IF('Pre-analyseverktøy'!M197=0,"",'Pre-analyseverktøy'!M197)</f>
        <v/>
      </c>
      <c r="N197" s="435">
        <f>'Pre-analyseverktøy'!N197</f>
        <v>0</v>
      </c>
      <c r="O197" s="436">
        <f>'Pre-analyseverktøy'!O197</f>
        <v>0</v>
      </c>
      <c r="P197" s="431" t="str">
        <f>'Pre-analyseverktøy'!P197</f>
        <v>-</v>
      </c>
      <c r="Q197" s="430" t="str">
        <f>'Pre-analyseverktøy'!Q197</f>
        <v>N/A</v>
      </c>
      <c r="R197" s="433" t="str">
        <f>IF('Pre-analyseverktøy'!R197=0,"",'Pre-analyseverktøy'!R197)</f>
        <v/>
      </c>
      <c r="S197" s="433" t="str">
        <f>IF('Pre-analyseverktøy'!S197=0,"",'Pre-analyseverktøy'!S197)</f>
        <v/>
      </c>
      <c r="T197" s="434" t="str">
        <f>IF('Pre-analyseverktøy'!T197=0,"",'Pre-analyseverktøy'!T197)</f>
        <v/>
      </c>
      <c r="U197" s="437"/>
      <c r="V197" s="436">
        <f>'Pre-analyseverktøy'!V197</f>
        <v>0</v>
      </c>
      <c r="W197" s="431" t="str">
        <f>'Pre-analyseverktøy'!W197</f>
        <v>-</v>
      </c>
      <c r="X197" s="430" t="str">
        <f>'Pre-analyseverktøy'!X197</f>
        <v>N/A</v>
      </c>
      <c r="Y197" s="433" t="str">
        <f>IF('Pre-analyseverktøy'!Y197=0,"",'Pre-analyseverktøy'!Y197)</f>
        <v/>
      </c>
      <c r="Z197" s="433" t="str">
        <f>IF('Pre-analyseverktøy'!Z197=0,"",'Pre-analyseverktøy'!Z197)</f>
        <v/>
      </c>
      <c r="AA197" s="433" t="str">
        <f>IF('Pre-analyseverktøy'!AA197=0,"",'Pre-analyseverktøy'!AA197)</f>
        <v/>
      </c>
    </row>
    <row r="198" spans="1:27">
      <c r="A198" s="620">
        <v>189</v>
      </c>
      <c r="B198" s="911" t="s">
        <v>538</v>
      </c>
      <c r="C198" s="911"/>
      <c r="D198" s="932" t="str">
        <f>'Pre-analyseverktøy'!C198</f>
        <v>POL 01</v>
      </c>
      <c r="E198" s="932" t="str">
        <f>'Pre-analyseverktøy'!E198</f>
        <v>3 or 4 or 5</v>
      </c>
      <c r="F198" s="932" t="str">
        <f>'Pre-analyseverktøy'!F198</f>
        <v>Belastning fra kuldemedier</v>
      </c>
      <c r="G198" s="430">
        <f>'Pre-analyseverktøy'!G198</f>
        <v>2</v>
      </c>
      <c r="H198" s="436">
        <f>'Pre-analyseverktøy'!H198</f>
        <v>0</v>
      </c>
      <c r="I198" s="902">
        <f>'Pre-analyseverktøy'!I198</f>
        <v>0</v>
      </c>
      <c r="J198" s="432" t="str">
        <f>'Pre-analyseverktøy'!J198</f>
        <v>N/A</v>
      </c>
      <c r="K198" s="433" t="str">
        <f>IF('Pre-analyseverktøy'!K198=0,"",'Pre-analyseverktøy'!K198)</f>
        <v/>
      </c>
      <c r="L198" s="433" t="str">
        <f>IF('Pre-analyseverktøy'!L198=0,"",'Pre-analyseverktøy'!L198)</f>
        <v/>
      </c>
      <c r="M198" s="434" t="str">
        <f>IF('Pre-analyseverktøy'!M198=0,"",'Pre-analyseverktøy'!M198)</f>
        <v/>
      </c>
      <c r="N198" s="435">
        <f>'Pre-analyseverktøy'!N198</f>
        <v>0</v>
      </c>
      <c r="O198" s="436">
        <f>'Pre-analyseverktøy'!O198</f>
        <v>0</v>
      </c>
      <c r="P198" s="431">
        <f>'Pre-analyseverktøy'!P198</f>
        <v>0</v>
      </c>
      <c r="Q198" s="430" t="str">
        <f>'Pre-analyseverktøy'!Q198</f>
        <v>N/A</v>
      </c>
      <c r="R198" s="433" t="str">
        <f>IF('Pre-analyseverktøy'!R198=0,"",'Pre-analyseverktøy'!R198)</f>
        <v/>
      </c>
      <c r="S198" s="433" t="str">
        <f>IF('Pre-analyseverktøy'!S198=0,"",'Pre-analyseverktøy'!S198)</f>
        <v/>
      </c>
      <c r="T198" s="434" t="str">
        <f>IF('Pre-analyseverktøy'!T198=0,"",'Pre-analyseverktøy'!T198)</f>
        <v/>
      </c>
      <c r="U198" s="437"/>
      <c r="V198" s="436">
        <f>'Pre-analyseverktøy'!V198</f>
        <v>0</v>
      </c>
      <c r="W198" s="431">
        <f>'Pre-analyseverktøy'!W198</f>
        <v>0</v>
      </c>
      <c r="X198" s="430" t="str">
        <f>'Pre-analyseverktøy'!X198</f>
        <v>N/A</v>
      </c>
      <c r="Y198" s="433" t="str">
        <f>IF('Pre-analyseverktøy'!Y198=0,"",'Pre-analyseverktøy'!Y198)</f>
        <v/>
      </c>
      <c r="Z198" s="433" t="str">
        <f>IF('Pre-analyseverktøy'!Z198=0,"",'Pre-analyseverktøy'!Z198)</f>
        <v/>
      </c>
      <c r="AA198" s="433" t="str">
        <f>IF('Pre-analyseverktøy'!AA198=0,"",'Pre-analyseverktøy'!AA198)</f>
        <v/>
      </c>
    </row>
    <row r="199" spans="1:27">
      <c r="A199" s="620">
        <v>190</v>
      </c>
      <c r="B199" s="911" t="s">
        <v>538</v>
      </c>
      <c r="C199" s="911"/>
      <c r="D199" s="932" t="str">
        <f>'Pre-analyseverktøy'!C199</f>
        <v>POL 01</v>
      </c>
      <c r="E199" s="932" t="str">
        <f>'Pre-analyseverktøy'!E199</f>
        <v>6-7</v>
      </c>
      <c r="F199" s="932" t="str">
        <f>'Pre-analyseverktøy'!F199</f>
        <v>Lekkasjedeteksjon</v>
      </c>
      <c r="G199" s="430">
        <f>'Pre-analyseverktøy'!G199</f>
        <v>1</v>
      </c>
      <c r="H199" s="436">
        <f>'Pre-analyseverktøy'!H199</f>
        <v>0</v>
      </c>
      <c r="I199" s="902">
        <f>'Pre-analyseverktøy'!I199</f>
        <v>0</v>
      </c>
      <c r="J199" s="432" t="str">
        <f>'Pre-analyseverktøy'!J199</f>
        <v>N/A</v>
      </c>
      <c r="K199" s="433" t="str">
        <f>IF('Pre-analyseverktøy'!K199=0,"",'Pre-analyseverktøy'!K199)</f>
        <v/>
      </c>
      <c r="L199" s="433" t="str">
        <f>IF('Pre-analyseverktøy'!L199=0,"",'Pre-analyseverktøy'!L199)</f>
        <v/>
      </c>
      <c r="M199" s="434" t="str">
        <f>IF('Pre-analyseverktøy'!M199=0,"",'Pre-analyseverktøy'!M199)</f>
        <v/>
      </c>
      <c r="N199" s="435">
        <f>'Pre-analyseverktøy'!N199</f>
        <v>0</v>
      </c>
      <c r="O199" s="436">
        <f>'Pre-analyseverktøy'!O199</f>
        <v>0</v>
      </c>
      <c r="P199" s="431">
        <f>'Pre-analyseverktøy'!P199</f>
        <v>0</v>
      </c>
      <c r="Q199" s="430" t="str">
        <f>'Pre-analyseverktøy'!Q199</f>
        <v>N/A</v>
      </c>
      <c r="R199" s="433" t="str">
        <f>IF('Pre-analyseverktøy'!R199=0,"",'Pre-analyseverktøy'!R199)</f>
        <v/>
      </c>
      <c r="S199" s="433" t="str">
        <f>IF('Pre-analyseverktøy'!S199=0,"",'Pre-analyseverktøy'!S199)</f>
        <v/>
      </c>
      <c r="T199" s="434" t="str">
        <f>IF('Pre-analyseverktøy'!T199=0,"",'Pre-analyseverktøy'!T199)</f>
        <v/>
      </c>
      <c r="U199" s="437"/>
      <c r="V199" s="436">
        <f>'Pre-analyseverktøy'!V199</f>
        <v>0</v>
      </c>
      <c r="W199" s="431">
        <f>'Pre-analyseverktøy'!W199</f>
        <v>0</v>
      </c>
      <c r="X199" s="430" t="str">
        <f>'Pre-analyseverktøy'!X199</f>
        <v>N/A</v>
      </c>
      <c r="Y199" s="433" t="str">
        <f>IF('Pre-analyseverktøy'!Y199=0,"",'Pre-analyseverktøy'!Y199)</f>
        <v/>
      </c>
      <c r="Z199" s="433" t="str">
        <f>IF('Pre-analyseverktøy'!Z199=0,"",'Pre-analyseverktøy'!Z199)</f>
        <v/>
      </c>
      <c r="AA199" s="433" t="str">
        <f>IF('Pre-analyseverktøy'!AA199=0,"",'Pre-analyseverktøy'!AA199)</f>
        <v/>
      </c>
    </row>
    <row r="200" spans="1:27">
      <c r="A200" s="620">
        <v>191</v>
      </c>
      <c r="B200" s="911" t="s">
        <v>538</v>
      </c>
      <c r="C200" s="911"/>
      <c r="D200" s="931" t="str">
        <f>'Pre-analyseverktøy'!C200</f>
        <v>POL 02</v>
      </c>
      <c r="E200" s="932"/>
      <c r="F200" s="931" t="str">
        <f>'Pre-analyseverktøy'!F200</f>
        <v>POL 02 Lokal luftkvalitet</v>
      </c>
      <c r="G200" s="430">
        <f>'Pre-analyseverktøy'!G200</f>
        <v>2</v>
      </c>
      <c r="H200" s="436">
        <f>'Pre-analyseverktøy'!H200</f>
        <v>0</v>
      </c>
      <c r="I200" s="902" t="str">
        <f>'Pre-analyseverktøy'!I200</f>
        <v>0 c. 0 %</v>
      </c>
      <c r="J200" s="432" t="str">
        <f>'Pre-analyseverktøy'!J200</f>
        <v>N/A</v>
      </c>
      <c r="K200" s="433" t="str">
        <f>IF('Pre-analyseverktøy'!K200=0,"",'Pre-analyseverktøy'!K200)</f>
        <v/>
      </c>
      <c r="L200" s="433" t="str">
        <f>IF('Pre-analyseverktøy'!L200=0,"",'Pre-analyseverktøy'!L200)</f>
        <v/>
      </c>
      <c r="M200" s="434" t="str">
        <f>IF('Pre-analyseverktøy'!M200=0,"",'Pre-analyseverktøy'!M200)</f>
        <v/>
      </c>
      <c r="N200" s="435">
        <f>'Pre-analyseverktøy'!N200</f>
        <v>0</v>
      </c>
      <c r="O200" s="436">
        <f>'Pre-analyseverktøy'!O200</f>
        <v>0</v>
      </c>
      <c r="P200" s="431" t="str">
        <f>'Pre-analyseverktøy'!P200</f>
        <v>0 c. 0 %</v>
      </c>
      <c r="Q200" s="430" t="str">
        <f>'Pre-analyseverktøy'!Q200</f>
        <v>N/A</v>
      </c>
      <c r="R200" s="433" t="str">
        <f>IF('Pre-analyseverktøy'!R200=0,"",'Pre-analyseverktøy'!R200)</f>
        <v/>
      </c>
      <c r="S200" s="433" t="str">
        <f>IF('Pre-analyseverktøy'!S200=0,"",'Pre-analyseverktøy'!S200)</f>
        <v/>
      </c>
      <c r="T200" s="434" t="str">
        <f>IF('Pre-analyseverktøy'!T200=0,"",'Pre-analyseverktøy'!T200)</f>
        <v/>
      </c>
      <c r="U200" s="437"/>
      <c r="V200" s="436">
        <f>'Pre-analyseverktøy'!V200</f>
        <v>0</v>
      </c>
      <c r="W200" s="431" t="str">
        <f>'Pre-analyseverktøy'!W200</f>
        <v>0 c. 0 %</v>
      </c>
      <c r="X200" s="430" t="str">
        <f>'Pre-analyseverktøy'!X200</f>
        <v>N/A</v>
      </c>
      <c r="Y200" s="433" t="str">
        <f>IF('Pre-analyseverktøy'!Y200=0,"",'Pre-analyseverktøy'!Y200)</f>
        <v/>
      </c>
      <c r="Z200" s="433" t="str">
        <f>IF('Pre-analyseverktøy'!Z200=0,"",'Pre-analyseverktøy'!Z200)</f>
        <v/>
      </c>
      <c r="AA200" s="433" t="str">
        <f>IF('Pre-analyseverktøy'!AA200=0,"",'Pre-analyseverktøy'!AA200)</f>
        <v/>
      </c>
    </row>
    <row r="201" spans="1:27">
      <c r="A201" s="620">
        <v>192</v>
      </c>
      <c r="B201" s="911" t="s">
        <v>538</v>
      </c>
      <c r="C201" s="911"/>
      <c r="D201" s="932" t="str">
        <f>'Pre-analyseverktøy'!C201</f>
        <v>POL 02</v>
      </c>
      <c r="E201" s="932">
        <f>'Pre-analyseverktøy'!E201</f>
        <v>1</v>
      </c>
      <c r="F201" s="932" t="str">
        <f>'Pre-analyseverktøy'!F201</f>
        <v>Oppvarmings- og varmtvannssystemer uten forbrenning</v>
      </c>
      <c r="G201" s="430">
        <f>'Pre-analyseverktøy'!G201</f>
        <v>2</v>
      </c>
      <c r="H201" s="436">
        <f>'Pre-analyseverktøy'!H201</f>
        <v>0</v>
      </c>
      <c r="I201" s="902">
        <f>'Pre-analyseverktøy'!I201</f>
        <v>0</v>
      </c>
      <c r="J201" s="432" t="str">
        <f>'Pre-analyseverktøy'!J201</f>
        <v>N/A</v>
      </c>
      <c r="K201" s="433" t="str">
        <f>IF('Pre-analyseverktøy'!K201=0,"",'Pre-analyseverktøy'!K201)</f>
        <v/>
      </c>
      <c r="L201" s="433" t="str">
        <f>IF('Pre-analyseverktøy'!L201=0,"",'Pre-analyseverktøy'!L201)</f>
        <v/>
      </c>
      <c r="M201" s="434" t="str">
        <f>IF('Pre-analyseverktøy'!M201=0,"",'Pre-analyseverktøy'!M201)</f>
        <v/>
      </c>
      <c r="N201" s="435">
        <f>'Pre-analyseverktøy'!N201</f>
        <v>0</v>
      </c>
      <c r="O201" s="436">
        <f>'Pre-analyseverktøy'!O201</f>
        <v>0</v>
      </c>
      <c r="P201" s="431">
        <f>'Pre-analyseverktøy'!P201</f>
        <v>0</v>
      </c>
      <c r="Q201" s="430" t="str">
        <f>'Pre-analyseverktøy'!Q201</f>
        <v>N/A</v>
      </c>
      <c r="R201" s="433" t="str">
        <f>IF('Pre-analyseverktøy'!R201=0,"",'Pre-analyseverktøy'!R201)</f>
        <v/>
      </c>
      <c r="S201" s="433" t="str">
        <f>IF('Pre-analyseverktøy'!S201=0,"",'Pre-analyseverktøy'!S201)</f>
        <v/>
      </c>
      <c r="T201" s="434" t="str">
        <f>IF('Pre-analyseverktøy'!T201=0,"",'Pre-analyseverktøy'!T201)</f>
        <v/>
      </c>
      <c r="U201" s="437"/>
      <c r="V201" s="436">
        <f>'Pre-analyseverktøy'!V201</f>
        <v>0</v>
      </c>
      <c r="W201" s="431">
        <f>'Pre-analyseverktøy'!W201</f>
        <v>0</v>
      </c>
      <c r="X201" s="430" t="str">
        <f>'Pre-analyseverktøy'!X201</f>
        <v>N/A</v>
      </c>
      <c r="Y201" s="433" t="str">
        <f>IF('Pre-analyseverktøy'!Y201=0,"",'Pre-analyseverktøy'!Y201)</f>
        <v/>
      </c>
      <c r="Z201" s="433" t="str">
        <f>IF('Pre-analyseverktøy'!Z201=0,"",'Pre-analyseverktøy'!Z201)</f>
        <v/>
      </c>
      <c r="AA201" s="433" t="str">
        <f>IF('Pre-analyseverktøy'!AA201=0,"",'Pre-analyseverktøy'!AA201)</f>
        <v/>
      </c>
    </row>
    <row r="202" spans="1:27">
      <c r="A202" s="620">
        <v>193</v>
      </c>
      <c r="B202" s="911" t="s">
        <v>538</v>
      </c>
      <c r="C202" s="911"/>
      <c r="D202" s="932" t="str">
        <f>'Pre-analyseverktøy'!C202</f>
        <v>POL 02</v>
      </c>
      <c r="E202" s="932" t="str">
        <f>'Pre-analyseverktøy'!E202</f>
        <v>2-3</v>
      </c>
      <c r="F202" s="932" t="str">
        <f>'Pre-analyseverktøy'!F202</f>
        <v>Forbrenningsbasert oppvarmings- og varmtvannssystem</v>
      </c>
      <c r="G202" s="430">
        <f>'Pre-analyseverktøy'!G202</f>
        <v>0</v>
      </c>
      <c r="H202" s="436">
        <f>'Pre-analyseverktøy'!H202</f>
        <v>0</v>
      </c>
      <c r="I202" s="902">
        <f>'Pre-analyseverktøy'!I202</f>
        <v>0</v>
      </c>
      <c r="J202" s="432" t="str">
        <f>'Pre-analyseverktøy'!J202</f>
        <v>N/A</v>
      </c>
      <c r="K202" s="433" t="str">
        <f>IF('Pre-analyseverktøy'!K202=0,"",'Pre-analyseverktøy'!K202)</f>
        <v/>
      </c>
      <c r="L202" s="433" t="str">
        <f>IF('Pre-analyseverktøy'!L202=0,"",'Pre-analyseverktøy'!L202)</f>
        <v/>
      </c>
      <c r="M202" s="434" t="str">
        <f>IF('Pre-analyseverktøy'!M202=0,"",'Pre-analyseverktøy'!M202)</f>
        <v/>
      </c>
      <c r="N202" s="435">
        <f>'Pre-analyseverktøy'!N202</f>
        <v>0</v>
      </c>
      <c r="O202" s="436">
        <f>'Pre-analyseverktøy'!O202</f>
        <v>0</v>
      </c>
      <c r="P202" s="431">
        <f>'Pre-analyseverktøy'!P202</f>
        <v>0</v>
      </c>
      <c r="Q202" s="430" t="str">
        <f>'Pre-analyseverktøy'!Q202</f>
        <v>N/A</v>
      </c>
      <c r="R202" s="433" t="str">
        <f>IF('Pre-analyseverktøy'!R202=0,"",'Pre-analyseverktøy'!R202)</f>
        <v/>
      </c>
      <c r="S202" s="433" t="str">
        <f>IF('Pre-analyseverktøy'!S202=0,"",'Pre-analyseverktøy'!S202)</f>
        <v/>
      </c>
      <c r="T202" s="434" t="str">
        <f>IF('Pre-analyseverktøy'!T202=0,"",'Pre-analyseverktøy'!T202)</f>
        <v/>
      </c>
      <c r="U202" s="437"/>
      <c r="V202" s="436">
        <f>'Pre-analyseverktøy'!V202</f>
        <v>0</v>
      </c>
      <c r="W202" s="431">
        <f>'Pre-analyseverktøy'!W202</f>
        <v>0</v>
      </c>
      <c r="X202" s="430" t="str">
        <f>'Pre-analyseverktøy'!X202</f>
        <v>N/A</v>
      </c>
      <c r="Y202" s="433" t="str">
        <f>IF('Pre-analyseverktøy'!Y202=0,"",'Pre-analyseverktøy'!Y202)</f>
        <v/>
      </c>
      <c r="Z202" s="433" t="str">
        <f>IF('Pre-analyseverktøy'!Z202=0,"",'Pre-analyseverktøy'!Z202)</f>
        <v/>
      </c>
      <c r="AA202" s="433" t="str">
        <f>IF('Pre-analyseverktøy'!AA202=0,"",'Pre-analyseverktøy'!AA202)</f>
        <v/>
      </c>
    </row>
    <row r="203" spans="1:27">
      <c r="A203" s="620">
        <v>194</v>
      </c>
      <c r="B203" s="911" t="s">
        <v>538</v>
      </c>
      <c r="C203" s="911"/>
      <c r="D203" s="931" t="str">
        <f>'Pre-analyseverktøy'!C203</f>
        <v>POL 04</v>
      </c>
      <c r="E203" s="932"/>
      <c r="F203" s="931" t="str">
        <f>'Pre-analyseverktøy'!F203</f>
        <v>POL 04 Reduksjon av lysforurensing</v>
      </c>
      <c r="G203" s="430">
        <f>'Pre-analyseverktøy'!G203</f>
        <v>1</v>
      </c>
      <c r="H203" s="436">
        <f>'Pre-analyseverktøy'!H203</f>
        <v>0</v>
      </c>
      <c r="I203" s="902" t="str">
        <f>'Pre-analyseverktøy'!I203</f>
        <v>0 c. 0 %</v>
      </c>
      <c r="J203" s="432" t="str">
        <f>'Pre-analyseverktøy'!J203</f>
        <v>N/A</v>
      </c>
      <c r="K203" s="433" t="str">
        <f>IF('Pre-analyseverktøy'!K203=0,"",'Pre-analyseverktøy'!K203)</f>
        <v/>
      </c>
      <c r="L203" s="433" t="str">
        <f>IF('Pre-analyseverktøy'!L203=0,"",'Pre-analyseverktøy'!L203)</f>
        <v/>
      </c>
      <c r="M203" s="434" t="str">
        <f>IF('Pre-analyseverktøy'!M203=0,"",'Pre-analyseverktøy'!M203)</f>
        <v/>
      </c>
      <c r="N203" s="435">
        <f>'Pre-analyseverktøy'!N203</f>
        <v>0</v>
      </c>
      <c r="O203" s="436">
        <f>'Pre-analyseverktøy'!O203</f>
        <v>0</v>
      </c>
      <c r="P203" s="431" t="str">
        <f>'Pre-analyseverktøy'!P203</f>
        <v>0 c. 0 %</v>
      </c>
      <c r="Q203" s="430" t="str">
        <f>'Pre-analyseverktøy'!Q203</f>
        <v>N/A</v>
      </c>
      <c r="R203" s="433" t="str">
        <f>IF('Pre-analyseverktøy'!R203=0,"",'Pre-analyseverktøy'!R203)</f>
        <v/>
      </c>
      <c r="S203" s="433" t="str">
        <f>IF('Pre-analyseverktøy'!S203=0,"",'Pre-analyseverktøy'!S203)</f>
        <v/>
      </c>
      <c r="T203" s="434" t="str">
        <f>IF('Pre-analyseverktøy'!T203=0,"",'Pre-analyseverktøy'!T203)</f>
        <v/>
      </c>
      <c r="U203" s="437"/>
      <c r="V203" s="436">
        <f>'Pre-analyseverktøy'!V203</f>
        <v>0</v>
      </c>
      <c r="W203" s="431" t="str">
        <f>'Pre-analyseverktøy'!W203</f>
        <v>0 c. 0 %</v>
      </c>
      <c r="X203" s="430" t="str">
        <f>'Pre-analyseverktøy'!X203</f>
        <v>N/A</v>
      </c>
      <c r="Y203" s="433" t="str">
        <f>IF('Pre-analyseverktøy'!Y203=0,"",'Pre-analyseverktøy'!Y203)</f>
        <v/>
      </c>
      <c r="Z203" s="433" t="str">
        <f>IF('Pre-analyseverktøy'!Z203=0,"",'Pre-analyseverktøy'!Z203)</f>
        <v/>
      </c>
      <c r="AA203" s="433" t="str">
        <f>IF('Pre-analyseverktøy'!AA203=0,"",'Pre-analyseverktøy'!AA203)</f>
        <v/>
      </c>
    </row>
    <row r="204" spans="1:27">
      <c r="A204" s="620">
        <v>195</v>
      </c>
      <c r="B204" s="911" t="s">
        <v>538</v>
      </c>
      <c r="C204" s="911"/>
      <c r="D204" s="932" t="str">
        <f>'Pre-analyseverktøy'!C204</f>
        <v>POL 04</v>
      </c>
      <c r="E204" s="932">
        <f>'Pre-analyseverktøy'!E204</f>
        <v>1</v>
      </c>
      <c r="F204" s="932" t="str">
        <f>'Pre-analyseverktøy'!F204</f>
        <v>Ingen ekstern lysforurensning</v>
      </c>
      <c r="G204" s="430">
        <f>'Pre-analyseverktøy'!G204</f>
        <v>0</v>
      </c>
      <c r="H204" s="436">
        <f>'Pre-analyseverktøy'!H204</f>
        <v>0</v>
      </c>
      <c r="I204" s="902">
        <f>'Pre-analyseverktøy'!I204</f>
        <v>0</v>
      </c>
      <c r="J204" s="432" t="str">
        <f>'Pre-analyseverktøy'!J204</f>
        <v>N/A</v>
      </c>
      <c r="K204" s="433" t="str">
        <f>IF('Pre-analyseverktøy'!K204=0,"",'Pre-analyseverktøy'!K204)</f>
        <v/>
      </c>
      <c r="L204" s="433" t="str">
        <f>IF('Pre-analyseverktøy'!L204=0,"",'Pre-analyseverktøy'!L204)</f>
        <v/>
      </c>
      <c r="M204" s="434" t="str">
        <f>IF('Pre-analyseverktøy'!M204=0,"",'Pre-analyseverktøy'!M204)</f>
        <v/>
      </c>
      <c r="N204" s="435">
        <f>'Pre-analyseverktøy'!N204</f>
        <v>0</v>
      </c>
      <c r="O204" s="436">
        <f>'Pre-analyseverktøy'!O204</f>
        <v>0</v>
      </c>
      <c r="P204" s="431">
        <f>'Pre-analyseverktøy'!P204</f>
        <v>0</v>
      </c>
      <c r="Q204" s="430" t="str">
        <f>'Pre-analyseverktøy'!Q204</f>
        <v>N/A</v>
      </c>
      <c r="R204" s="433" t="str">
        <f>IF('Pre-analyseverktøy'!R204=0,"",'Pre-analyseverktøy'!R204)</f>
        <v/>
      </c>
      <c r="S204" s="433" t="str">
        <f>IF('Pre-analyseverktøy'!S204=0,"",'Pre-analyseverktøy'!S204)</f>
        <v/>
      </c>
      <c r="T204" s="434" t="str">
        <f>IF('Pre-analyseverktøy'!T204=0,"",'Pre-analyseverktøy'!T204)</f>
        <v/>
      </c>
      <c r="U204" s="437"/>
      <c r="V204" s="436">
        <f>'Pre-analyseverktøy'!V204</f>
        <v>0</v>
      </c>
      <c r="W204" s="431">
        <f>'Pre-analyseverktøy'!W204</f>
        <v>0</v>
      </c>
      <c r="X204" s="430" t="str">
        <f>'Pre-analyseverktøy'!X204</f>
        <v>N/A</v>
      </c>
      <c r="Y204" s="433" t="str">
        <f>IF('Pre-analyseverktøy'!Y204=0,"",'Pre-analyseverktøy'!Y204)</f>
        <v/>
      </c>
      <c r="Z204" s="433" t="str">
        <f>IF('Pre-analyseverktøy'!Z204=0,"",'Pre-analyseverktøy'!Z204)</f>
        <v/>
      </c>
      <c r="AA204" s="433" t="str">
        <f>IF('Pre-analyseverktøy'!AA204=0,"",'Pre-analyseverktøy'!AA204)</f>
        <v/>
      </c>
    </row>
    <row r="205" spans="1:27">
      <c r="A205" s="620">
        <v>196</v>
      </c>
      <c r="B205" s="911" t="s">
        <v>538</v>
      </c>
      <c r="C205" s="911"/>
      <c r="D205" s="932" t="str">
        <f>'Pre-analyseverktøy'!C205</f>
        <v>POL 04</v>
      </c>
      <c r="E205" s="932" t="str">
        <f>'Pre-analyseverktøy'!E205</f>
        <v>2-4</v>
      </c>
      <c r="F205" s="932" t="str">
        <f>'Pre-analyseverktøy'!F205</f>
        <v>Minimert ekstern lysforurensning</v>
      </c>
      <c r="G205" s="430">
        <f>'Pre-analyseverktøy'!G205</f>
        <v>1</v>
      </c>
      <c r="H205" s="436">
        <f>'Pre-analyseverktøy'!H205</f>
        <v>0</v>
      </c>
      <c r="I205" s="902">
        <f>'Pre-analyseverktøy'!I205</f>
        <v>0</v>
      </c>
      <c r="J205" s="432" t="str">
        <f>'Pre-analyseverktøy'!J205</f>
        <v>N/A</v>
      </c>
      <c r="K205" s="433" t="str">
        <f>IF('Pre-analyseverktøy'!K205=0,"",'Pre-analyseverktøy'!K205)</f>
        <v/>
      </c>
      <c r="L205" s="433" t="str">
        <f>IF('Pre-analyseverktøy'!L205=0,"",'Pre-analyseverktøy'!L205)</f>
        <v/>
      </c>
      <c r="M205" s="434" t="str">
        <f>IF('Pre-analyseverktøy'!M205=0,"",'Pre-analyseverktøy'!M205)</f>
        <v/>
      </c>
      <c r="N205" s="435">
        <f>'Pre-analyseverktøy'!N205</f>
        <v>0</v>
      </c>
      <c r="O205" s="436">
        <f>'Pre-analyseverktøy'!O205</f>
        <v>0</v>
      </c>
      <c r="P205" s="431">
        <f>'Pre-analyseverktøy'!P205</f>
        <v>0</v>
      </c>
      <c r="Q205" s="430" t="str">
        <f>'Pre-analyseverktøy'!Q205</f>
        <v>N/A</v>
      </c>
      <c r="R205" s="433" t="str">
        <f>IF('Pre-analyseverktøy'!R205=0,"",'Pre-analyseverktøy'!R205)</f>
        <v/>
      </c>
      <c r="S205" s="433" t="str">
        <f>IF('Pre-analyseverktøy'!S205=0,"",'Pre-analyseverktøy'!S205)</f>
        <v/>
      </c>
      <c r="T205" s="434" t="str">
        <f>IF('Pre-analyseverktøy'!T205=0,"",'Pre-analyseverktøy'!T205)</f>
        <v/>
      </c>
      <c r="U205" s="437"/>
      <c r="V205" s="436">
        <f>'Pre-analyseverktøy'!V205</f>
        <v>0</v>
      </c>
      <c r="W205" s="431">
        <f>'Pre-analyseverktøy'!W205</f>
        <v>0</v>
      </c>
      <c r="X205" s="430" t="str">
        <f>'Pre-analyseverktøy'!X205</f>
        <v>N/A</v>
      </c>
      <c r="Y205" s="433" t="str">
        <f>IF('Pre-analyseverktøy'!Y205=0,"",'Pre-analyseverktøy'!Y205)</f>
        <v/>
      </c>
      <c r="Z205" s="433" t="str">
        <f>IF('Pre-analyseverktøy'!Z205=0,"",'Pre-analyseverktøy'!Z205)</f>
        <v/>
      </c>
      <c r="AA205" s="433" t="str">
        <f>IF('Pre-analyseverktøy'!AA205=0,"",'Pre-analyseverktøy'!AA205)</f>
        <v/>
      </c>
    </row>
    <row r="206" spans="1:27">
      <c r="A206" s="620">
        <v>197</v>
      </c>
      <c r="B206" s="911" t="s">
        <v>538</v>
      </c>
      <c r="C206" s="911"/>
      <c r="D206" s="931" t="str">
        <f>'Pre-analyseverktøy'!C206</f>
        <v>POL 05</v>
      </c>
      <c r="E206" s="932"/>
      <c r="F206" s="931" t="str">
        <f>'Pre-analyseverktøy'!F206</f>
        <v>POL 05 Støydemping</v>
      </c>
      <c r="G206" s="430">
        <f>'Pre-analyseverktøy'!G206</f>
        <v>1</v>
      </c>
      <c r="H206" s="436">
        <f>'Pre-analyseverktøy'!H206</f>
        <v>0</v>
      </c>
      <c r="I206" s="902" t="str">
        <f>'Pre-analyseverktøy'!I206</f>
        <v>0 c. 0 %</v>
      </c>
      <c r="J206" s="432" t="str">
        <f>'Pre-analyseverktøy'!J206</f>
        <v>N/A</v>
      </c>
      <c r="K206" s="433" t="str">
        <f>IF('Pre-analyseverktøy'!K206=0,"",'Pre-analyseverktøy'!K206)</f>
        <v/>
      </c>
      <c r="L206" s="433" t="str">
        <f>IF('Pre-analyseverktøy'!L206=0,"",'Pre-analyseverktøy'!L206)</f>
        <v/>
      </c>
      <c r="M206" s="434" t="str">
        <f>IF('Pre-analyseverktøy'!M206=0,"",'Pre-analyseverktøy'!M206)</f>
        <v/>
      </c>
      <c r="N206" s="435">
        <f>'Pre-analyseverktøy'!N206</f>
        <v>0</v>
      </c>
      <c r="O206" s="436">
        <f>'Pre-analyseverktøy'!O206</f>
        <v>0</v>
      </c>
      <c r="P206" s="431" t="str">
        <f>'Pre-analyseverktøy'!P206</f>
        <v>0 c. 0 %</v>
      </c>
      <c r="Q206" s="430" t="str">
        <f>'Pre-analyseverktøy'!Q206</f>
        <v>N/A</v>
      </c>
      <c r="R206" s="433" t="str">
        <f>IF('Pre-analyseverktøy'!R206=0,"",'Pre-analyseverktøy'!R206)</f>
        <v/>
      </c>
      <c r="S206" s="433" t="str">
        <f>IF('Pre-analyseverktøy'!S206=0,"",'Pre-analyseverktøy'!S206)</f>
        <v/>
      </c>
      <c r="T206" s="434" t="str">
        <f>IF('Pre-analyseverktøy'!T206=0,"",'Pre-analyseverktøy'!T206)</f>
        <v/>
      </c>
      <c r="U206" s="437"/>
      <c r="V206" s="436">
        <f>'Pre-analyseverktøy'!V206</f>
        <v>0</v>
      </c>
      <c r="W206" s="431" t="str">
        <f>'Pre-analyseverktøy'!W206</f>
        <v>0 c. 0 %</v>
      </c>
      <c r="X206" s="430" t="str">
        <f>'Pre-analyseverktøy'!X206</f>
        <v>N/A</v>
      </c>
      <c r="Y206" s="433" t="str">
        <f>IF('Pre-analyseverktøy'!Y206=0,"",'Pre-analyseverktøy'!Y206)</f>
        <v/>
      </c>
      <c r="Z206" s="433" t="str">
        <f>IF('Pre-analyseverktøy'!Z206=0,"",'Pre-analyseverktøy'!Z206)</f>
        <v/>
      </c>
      <c r="AA206" s="433" t="str">
        <f>IF('Pre-analyseverktøy'!AA206=0,"",'Pre-analyseverktøy'!AA206)</f>
        <v/>
      </c>
    </row>
    <row r="207" spans="1:27">
      <c r="A207" s="620">
        <v>198</v>
      </c>
      <c r="B207" s="911" t="s">
        <v>538</v>
      </c>
      <c r="C207" s="911"/>
      <c r="D207" s="932" t="str">
        <f>'Pre-analyseverktøy'!C207</f>
        <v>POL 05</v>
      </c>
      <c r="E207" s="932">
        <f>'Pre-analyseverktøy'!E207</f>
        <v>1</v>
      </c>
      <c r="F207" s="932" t="str">
        <f>'Pre-analyseverktøy'!F207</f>
        <v>Ingen støysensitive områder</v>
      </c>
      <c r="G207" s="430">
        <f>'Pre-analyseverktøy'!G207</f>
        <v>0</v>
      </c>
      <c r="H207" s="436">
        <f>'Pre-analyseverktøy'!H207</f>
        <v>0</v>
      </c>
      <c r="I207" s="902">
        <f>'Pre-analyseverktøy'!I207</f>
        <v>0</v>
      </c>
      <c r="J207" s="432" t="str">
        <f>'Pre-analyseverktøy'!J207</f>
        <v>N/A</v>
      </c>
      <c r="K207" s="433" t="str">
        <f>IF('Pre-analyseverktøy'!K207=0,"",'Pre-analyseverktøy'!K207)</f>
        <v/>
      </c>
      <c r="L207" s="433" t="str">
        <f>IF('Pre-analyseverktøy'!L207=0,"",'Pre-analyseverktøy'!L207)</f>
        <v/>
      </c>
      <c r="M207" s="434" t="str">
        <f>IF('Pre-analyseverktøy'!M207=0,"",'Pre-analyseverktøy'!M207)</f>
        <v/>
      </c>
      <c r="N207" s="435">
        <f>'Pre-analyseverktøy'!N207</f>
        <v>0</v>
      </c>
      <c r="O207" s="436">
        <f>'Pre-analyseverktøy'!O207</f>
        <v>0</v>
      </c>
      <c r="P207" s="431">
        <f>'Pre-analyseverktøy'!P207</f>
        <v>0</v>
      </c>
      <c r="Q207" s="430" t="str">
        <f>'Pre-analyseverktøy'!Q207</f>
        <v>N/A</v>
      </c>
      <c r="R207" s="433" t="str">
        <f>IF('Pre-analyseverktøy'!R207=0,"",'Pre-analyseverktøy'!R207)</f>
        <v/>
      </c>
      <c r="S207" s="433" t="str">
        <f>IF('Pre-analyseverktøy'!S207=0,"",'Pre-analyseverktøy'!S207)</f>
        <v/>
      </c>
      <c r="T207" s="434" t="str">
        <f>IF('Pre-analyseverktøy'!T207=0,"",'Pre-analyseverktøy'!T207)</f>
        <v/>
      </c>
      <c r="U207" s="437"/>
      <c r="V207" s="436">
        <f>'Pre-analyseverktøy'!V207</f>
        <v>0</v>
      </c>
      <c r="W207" s="431">
        <f>'Pre-analyseverktøy'!W207</f>
        <v>0</v>
      </c>
      <c r="X207" s="430" t="str">
        <f>'Pre-analyseverktøy'!X207</f>
        <v>N/A</v>
      </c>
      <c r="Y207" s="433" t="str">
        <f>IF('Pre-analyseverktøy'!Y207=0,"",'Pre-analyseverktøy'!Y207)</f>
        <v/>
      </c>
      <c r="Z207" s="433" t="str">
        <f>IF('Pre-analyseverktøy'!Z207=0,"",'Pre-analyseverktøy'!Z207)</f>
        <v/>
      </c>
      <c r="AA207" s="433" t="str">
        <f>IF('Pre-analyseverktøy'!AA207=0,"",'Pre-analyseverktøy'!AA207)</f>
        <v/>
      </c>
    </row>
    <row r="208" spans="1:27">
      <c r="A208" s="620">
        <v>199</v>
      </c>
      <c r="B208" s="911" t="s">
        <v>1299</v>
      </c>
      <c r="C208" s="911"/>
      <c r="D208" s="932" t="str">
        <f>'Pre-analyseverktøy'!C208</f>
        <v>POL 05</v>
      </c>
      <c r="E208" s="932" t="str">
        <f>'Pre-analyseverktøy'!E208</f>
        <v>2-5</v>
      </c>
      <c r="F208" s="932" t="str">
        <f>'Pre-analyseverktøy'!F208</f>
        <v>Minimert støyforurensning for sensitive områder</v>
      </c>
      <c r="G208" s="430">
        <f>'Pre-analyseverktøy'!G208</f>
        <v>1</v>
      </c>
      <c r="H208" s="436">
        <f>'Pre-analyseverktøy'!H208</f>
        <v>0</v>
      </c>
      <c r="I208" s="902">
        <f>'Pre-analyseverktøy'!I208</f>
        <v>0</v>
      </c>
      <c r="J208" s="432" t="str">
        <f>'Pre-analyseverktøy'!J208</f>
        <v>N/A</v>
      </c>
      <c r="K208" s="433" t="str">
        <f>IF('Pre-analyseverktøy'!K208=0,"",'Pre-analyseverktøy'!K208)</f>
        <v/>
      </c>
      <c r="L208" s="433" t="str">
        <f>IF('Pre-analyseverktøy'!L208=0,"",'Pre-analyseverktøy'!L208)</f>
        <v/>
      </c>
      <c r="M208" s="434" t="str">
        <f>IF('Pre-analyseverktøy'!M208=0,"",'Pre-analyseverktøy'!M208)</f>
        <v/>
      </c>
      <c r="N208" s="435">
        <f>'Pre-analyseverktøy'!N208</f>
        <v>0</v>
      </c>
      <c r="O208" s="436">
        <f>'Pre-analyseverktøy'!O208</f>
        <v>0</v>
      </c>
      <c r="P208" s="431">
        <f>'Pre-analyseverktøy'!P208</f>
        <v>0</v>
      </c>
      <c r="Q208" s="430" t="str">
        <f>'Pre-analyseverktøy'!Q208</f>
        <v>N/A</v>
      </c>
      <c r="R208" s="433" t="str">
        <f>IF('Pre-analyseverktøy'!R208=0,"",'Pre-analyseverktøy'!R208)</f>
        <v/>
      </c>
      <c r="S208" s="433" t="str">
        <f>IF('Pre-analyseverktøy'!S208=0,"",'Pre-analyseverktøy'!S208)</f>
        <v/>
      </c>
      <c r="T208" s="434" t="str">
        <f>IF('Pre-analyseverktøy'!T208=0,"",'Pre-analyseverktøy'!T208)</f>
        <v/>
      </c>
      <c r="U208" s="437"/>
      <c r="V208" s="436">
        <f>'Pre-analyseverktøy'!V208</f>
        <v>0</v>
      </c>
      <c r="W208" s="431">
        <f>'Pre-analyseverktøy'!W208</f>
        <v>0</v>
      </c>
      <c r="X208" s="430" t="str">
        <f>'Pre-analyseverktøy'!X208</f>
        <v>N/A</v>
      </c>
      <c r="Y208" s="433" t="str">
        <f>IF('Pre-analyseverktøy'!Y208=0,"",'Pre-analyseverktøy'!Y208)</f>
        <v/>
      </c>
      <c r="Z208" s="433" t="str">
        <f>IF('Pre-analyseverktøy'!Z208=0,"",'Pre-analyseverktøy'!Z208)</f>
        <v/>
      </c>
      <c r="AA208" s="433" t="str">
        <f>IF('Pre-analyseverktøy'!AA208=0,"",'Pre-analyseverktøy'!AA208)</f>
        <v/>
      </c>
    </row>
    <row r="209" spans="1:27" ht="30" customHeight="1" thickBot="1">
      <c r="A209" s="620">
        <v>200</v>
      </c>
      <c r="B209" s="911" t="s">
        <v>1299</v>
      </c>
      <c r="C209" s="911"/>
      <c r="D209" s="934"/>
      <c r="E209" s="934"/>
      <c r="F209" s="934" t="str">
        <f>'Pre-analyseverktøy'!F209</f>
        <v>Totalsum Forurensing</v>
      </c>
      <c r="G209" s="438">
        <f>'Pre-analyseverktøy'!G209</f>
        <v>7</v>
      </c>
      <c r="H209" s="440">
        <f>'Pre-analyseverktøy'!H209</f>
        <v>0</v>
      </c>
      <c r="I209" s="439">
        <f>'Pre-analyseverktøy'!I209</f>
        <v>0</v>
      </c>
      <c r="J209" s="438" t="str">
        <f>'Pre-analyseverktøy'!J209</f>
        <v>Poeng oppnådd: 0</v>
      </c>
      <c r="K209" s="884" t="str">
        <f>IF('Pre-analyseverktøy'!K209=0,"",'Pre-analyseverktøy'!K209)</f>
        <v/>
      </c>
      <c r="L209" s="884" t="str">
        <f>IF('Pre-analyseverktøy'!L209=0,"",'Pre-analyseverktøy'!L209)</f>
        <v/>
      </c>
      <c r="M209" s="903" t="str">
        <f>IF('Pre-analyseverktøy'!M209=0,"",'Pre-analyseverktøy'!M209)</f>
        <v/>
      </c>
      <c r="N209" s="904">
        <f>'Pre-analyseverktøy'!N209</f>
        <v>0</v>
      </c>
      <c r="O209" s="440">
        <f>'Pre-analyseverktøy'!O209</f>
        <v>0</v>
      </c>
      <c r="P209" s="439">
        <f>'Pre-analyseverktøy'!P209</f>
        <v>0</v>
      </c>
      <c r="Q209" s="438" t="str">
        <f>'Pre-analyseverktøy'!Q209</f>
        <v>Poeng oppnådd: 0</v>
      </c>
      <c r="R209" s="884" t="str">
        <f>IF('Pre-analyseverktøy'!R209=0,"",'Pre-analyseverktøy'!R209)</f>
        <v/>
      </c>
      <c r="S209" s="884" t="str">
        <f>IF('Pre-analyseverktøy'!S209=0,"",'Pre-analyseverktøy'!S209)</f>
        <v/>
      </c>
      <c r="T209" s="903" t="str">
        <f>IF('Pre-analyseverktøy'!T209=0,"",'Pre-analyseverktøy'!T209)</f>
        <v/>
      </c>
      <c r="U209" s="905"/>
      <c r="V209" s="440">
        <f>'Pre-analyseverktøy'!V209</f>
        <v>0</v>
      </c>
      <c r="W209" s="439">
        <f>'Pre-analyseverktøy'!W209</f>
        <v>0</v>
      </c>
      <c r="X209" s="438" t="str">
        <f>'Pre-analyseverktøy'!X209</f>
        <v>Poeng oppnådd: 0</v>
      </c>
      <c r="Y209" s="884" t="str">
        <f>IF('Pre-analyseverktøy'!Y209=0,"",'Pre-analyseverktøy'!Y209)</f>
        <v/>
      </c>
      <c r="Z209" s="884" t="str">
        <f>IF('Pre-analyseverktøy'!Z209=0,"",'Pre-analyseverktøy'!Z209)</f>
        <v/>
      </c>
      <c r="AA209" s="884" t="str">
        <f>IF('Pre-analyseverktøy'!AA209=0,"",'Pre-analyseverktøy'!AA209)</f>
        <v/>
      </c>
    </row>
    <row r="210" spans="1:27">
      <c r="A210" s="620">
        <v>201</v>
      </c>
      <c r="B210" s="911" t="s">
        <v>1299</v>
      </c>
      <c r="C210" s="911"/>
      <c r="D210" s="441"/>
      <c r="E210" s="441"/>
      <c r="F210" s="441"/>
      <c r="G210" s="442"/>
      <c r="H210" s="442"/>
      <c r="I210" s="442"/>
      <c r="J210" s="442"/>
      <c r="K210" s="441" t="str">
        <f>IF('Pre-analyseverktøy'!K210=0,"",'Pre-analyseverktøy'!K210)</f>
        <v/>
      </c>
      <c r="L210" s="442" t="str">
        <f>IF('Pre-analyseverktøy'!L210=0,"",'Pre-analyseverktøy'!L210)</f>
        <v/>
      </c>
      <c r="M210" s="441" t="str">
        <f>IF('Pre-analyseverktøy'!M210=0,"",'Pre-analyseverktøy'!M210)</f>
        <v/>
      </c>
      <c r="N210" s="435"/>
      <c r="O210" s="442"/>
      <c r="P210" s="442"/>
      <c r="Q210" s="442"/>
      <c r="R210" s="441" t="str">
        <f>IF('Pre-analyseverktøy'!R210=0,"",'Pre-analyseverktøy'!R210)</f>
        <v/>
      </c>
      <c r="S210" s="442" t="str">
        <f>IF('Pre-analyseverktøy'!S210=0,"",'Pre-analyseverktøy'!S210)</f>
        <v/>
      </c>
      <c r="T210" s="441" t="str">
        <f>IF('Pre-analyseverktøy'!T210=0,"",'Pre-analyseverktøy'!T210)</f>
        <v/>
      </c>
      <c r="U210" s="437"/>
      <c r="V210" s="442"/>
      <c r="W210" s="442"/>
      <c r="X210" s="442"/>
      <c r="Y210" s="441" t="str">
        <f>IF('Pre-analyseverktøy'!Y210=0,"",'Pre-analyseverktøy'!Y210)</f>
        <v/>
      </c>
      <c r="Z210" s="442" t="str">
        <f>IF('Pre-analyseverktøy'!Z210=0,"",'Pre-analyseverktøy'!Z210)</f>
        <v/>
      </c>
      <c r="AA210" s="441" t="str">
        <f>IF('Pre-analyseverktøy'!AA210=0,"",'Pre-analyseverktøy'!AA210)</f>
        <v/>
      </c>
    </row>
    <row r="211" spans="1:27" ht="18.75">
      <c r="A211" s="620">
        <v>202</v>
      </c>
      <c r="B211" s="911" t="s">
        <v>1299</v>
      </c>
      <c r="C211" s="911"/>
      <c r="D211" s="443"/>
      <c r="E211" s="443"/>
      <c r="F211" s="443" t="s">
        <v>1300</v>
      </c>
      <c r="G211" s="426"/>
      <c r="H211" s="426"/>
      <c r="I211" s="426"/>
      <c r="J211" s="426"/>
      <c r="K211" s="427" t="str">
        <f>IF('Pre-analyseverktøy'!K211=0,"",'Pre-analyseverktøy'!K211)</f>
        <v/>
      </c>
      <c r="L211" s="426" t="str">
        <f>IF('Pre-analyseverktøy'!L211=0,"",'Pre-analyseverktøy'!L211)</f>
        <v/>
      </c>
      <c r="M211" s="427" t="str">
        <f>IF('Pre-analyseverktøy'!M211=0,"",'Pre-analyseverktøy'!M211)</f>
        <v/>
      </c>
      <c r="N211" s="435"/>
      <c r="O211" s="426"/>
      <c r="P211" s="426"/>
      <c r="Q211" s="426"/>
      <c r="R211" s="427" t="str">
        <f>IF('Pre-analyseverktøy'!R211=0,"",'Pre-analyseverktøy'!R211)</f>
        <v/>
      </c>
      <c r="S211" s="426" t="str">
        <f>IF('Pre-analyseverktøy'!S211=0,"",'Pre-analyseverktøy'!S211)</f>
        <v/>
      </c>
      <c r="T211" s="427" t="str">
        <f>IF('Pre-analyseverktøy'!T211=0,"",'Pre-analyseverktøy'!T211)</f>
        <v/>
      </c>
      <c r="U211" s="437"/>
      <c r="V211" s="426"/>
      <c r="W211" s="426"/>
      <c r="X211" s="426"/>
      <c r="Y211" s="427" t="str">
        <f>IF('Pre-analyseverktøy'!Y211=0,"",'Pre-analyseverktøy'!Y211)</f>
        <v/>
      </c>
      <c r="Z211" s="426" t="str">
        <f>IF('Pre-analyseverktøy'!Z211=0,"",'Pre-analyseverktøy'!Z211)</f>
        <v/>
      </c>
      <c r="AA211" s="514" t="str">
        <f>IF('Pre-analyseverktøy'!AA211=0,"",'Pre-analyseverktøy'!AA211)</f>
        <v/>
      </c>
    </row>
    <row r="212" spans="1:27" ht="30">
      <c r="A212" s="620">
        <v>203</v>
      </c>
      <c r="B212" s="911" t="s">
        <v>1299</v>
      </c>
      <c r="C212" s="911"/>
      <c r="D212" s="936" t="str">
        <f>'Pre-analyseverktøy'!C212</f>
        <v>Man 03</v>
      </c>
      <c r="E212" s="932">
        <f>'Pre-analyseverktøy'!E212</f>
        <v>14</v>
      </c>
      <c r="F212" s="932" t="str">
        <f>'Pre-analyseverktøy'!F212</f>
        <v>Inn 01 - Man 03: begrensning av direkte klimagassutslipp fra aktiviteter tilknyttet utbyggingsområdet</v>
      </c>
      <c r="G212" s="430">
        <f>'Pre-analyseverktøy'!G212</f>
        <v>1</v>
      </c>
      <c r="H212" s="436">
        <f>'Pre-analyseverktøy'!H212</f>
        <v>0</v>
      </c>
      <c r="I212" s="902">
        <f>'Pre-analyseverktøy'!I212</f>
        <v>0</v>
      </c>
      <c r="J212" s="432" t="str">
        <f>'Pre-analyseverktøy'!J212</f>
        <v>N/A</v>
      </c>
      <c r="K212" s="433" t="str">
        <f>IF('Pre-analyseverktøy'!K212=0,"",'Pre-analyseverktøy'!K212)</f>
        <v/>
      </c>
      <c r="L212" s="433" t="str">
        <f>IF('Pre-analyseverktøy'!L212=0,"",'Pre-analyseverktøy'!L212)</f>
        <v/>
      </c>
      <c r="M212" s="434" t="str">
        <f>IF('Pre-analyseverktøy'!M212=0,"",'Pre-analyseverktøy'!M212)</f>
        <v/>
      </c>
      <c r="N212" s="435">
        <f>'Pre-analyseverktøy'!N212</f>
        <v>0</v>
      </c>
      <c r="O212" s="436">
        <f>'Pre-analyseverktøy'!O212</f>
        <v>0</v>
      </c>
      <c r="P212" s="431">
        <f>'Pre-analyseverktøy'!P212</f>
        <v>0</v>
      </c>
      <c r="Q212" s="430" t="str">
        <f>'Pre-analyseverktøy'!Q212</f>
        <v>N/A</v>
      </c>
      <c r="R212" s="433" t="str">
        <f>IF('Pre-analyseverktøy'!R212=0,"",'Pre-analyseverktøy'!R212)</f>
        <v/>
      </c>
      <c r="S212" s="433" t="str">
        <f>IF('Pre-analyseverktøy'!S212=0,"",'Pre-analyseverktøy'!S212)</f>
        <v/>
      </c>
      <c r="T212" s="434" t="str">
        <f>IF('Pre-analyseverktøy'!T212=0,"",'Pre-analyseverktøy'!T212)</f>
        <v/>
      </c>
      <c r="U212" s="437"/>
      <c r="V212" s="436">
        <f>'Pre-analyseverktøy'!V212</f>
        <v>0</v>
      </c>
      <c r="W212" s="431">
        <f>'Pre-analyseverktøy'!W212</f>
        <v>0</v>
      </c>
      <c r="X212" s="430" t="str">
        <f>'Pre-analyseverktøy'!X212</f>
        <v>N/A</v>
      </c>
      <c r="Y212" s="433" t="str">
        <f>IF('Pre-analyseverktøy'!Y212=0,"",'Pre-analyseverktøy'!Y212)</f>
        <v/>
      </c>
      <c r="Z212" s="433" t="str">
        <f>IF('Pre-analyseverktøy'!Z212=0,"",'Pre-analyseverktøy'!Z212)</f>
        <v/>
      </c>
      <c r="AA212" s="433" t="str">
        <f>IF('Pre-analyseverktøy'!AA212=0,"",'Pre-analyseverktøy'!AA212)</f>
        <v/>
      </c>
    </row>
    <row r="213" spans="1:27">
      <c r="A213" s="620">
        <v>204</v>
      </c>
      <c r="B213" s="911" t="s">
        <v>1299</v>
      </c>
      <c r="C213" s="911"/>
      <c r="D213" s="936" t="str">
        <f>'Pre-analyseverktøy'!C213</f>
        <v>Hea 01</v>
      </c>
      <c r="E213" s="932" t="str">
        <f>'Pre-analyseverktøy'!E213</f>
        <v>21-22</v>
      </c>
      <c r="F213" s="932" t="str">
        <f>'Pre-analyseverktøy'!F213</f>
        <v xml:space="preserve">Inn 02 - Hea 01:  høyeste krav til utsyn </v>
      </c>
      <c r="G213" s="430">
        <f>'Pre-analyseverktøy'!G213</f>
        <v>1</v>
      </c>
      <c r="H213" s="436">
        <f>'Pre-analyseverktøy'!H213</f>
        <v>0</v>
      </c>
      <c r="I213" s="902">
        <f>'Pre-analyseverktøy'!I213</f>
        <v>0</v>
      </c>
      <c r="J213" s="432" t="str">
        <f>'Pre-analyseverktøy'!J213</f>
        <v>N/A</v>
      </c>
      <c r="K213" s="433" t="str">
        <f>IF('Pre-analyseverktøy'!K213=0,"",'Pre-analyseverktøy'!K213)</f>
        <v/>
      </c>
      <c r="L213" s="433" t="str">
        <f>IF('Pre-analyseverktøy'!L213=0,"",'Pre-analyseverktøy'!L213)</f>
        <v/>
      </c>
      <c r="M213" s="434" t="str">
        <f>IF('Pre-analyseverktøy'!M213=0,"",'Pre-analyseverktøy'!M213)</f>
        <v/>
      </c>
      <c r="N213" s="435">
        <f>'Pre-analyseverktøy'!N213</f>
        <v>0</v>
      </c>
      <c r="O213" s="436">
        <f>'Pre-analyseverktøy'!O213</f>
        <v>0</v>
      </c>
      <c r="P213" s="431">
        <f>'Pre-analyseverktøy'!P213</f>
        <v>0</v>
      </c>
      <c r="Q213" s="430" t="str">
        <f>'Pre-analyseverktøy'!Q213</f>
        <v>N/A</v>
      </c>
      <c r="R213" s="433" t="str">
        <f>IF('Pre-analyseverktøy'!R213=0,"",'Pre-analyseverktøy'!R213)</f>
        <v/>
      </c>
      <c r="S213" s="433" t="str">
        <f>IF('Pre-analyseverktøy'!S213=0,"",'Pre-analyseverktøy'!S213)</f>
        <v/>
      </c>
      <c r="T213" s="434" t="str">
        <f>IF('Pre-analyseverktøy'!T213=0,"",'Pre-analyseverktøy'!T213)</f>
        <v/>
      </c>
      <c r="U213" s="437"/>
      <c r="V213" s="436">
        <f>'Pre-analyseverktøy'!V213</f>
        <v>0</v>
      </c>
      <c r="W213" s="431">
        <f>'Pre-analyseverktøy'!W213</f>
        <v>0</v>
      </c>
      <c r="X213" s="430" t="str">
        <f>'Pre-analyseverktøy'!X213</f>
        <v>N/A</v>
      </c>
      <c r="Y213" s="433" t="str">
        <f>IF('Pre-analyseverktøy'!Y213=0,"",'Pre-analyseverktøy'!Y213)</f>
        <v/>
      </c>
      <c r="Z213" s="433" t="str">
        <f>IF('Pre-analyseverktøy'!Z213=0,"",'Pre-analyseverktøy'!Z213)</f>
        <v/>
      </c>
      <c r="AA213" s="433" t="str">
        <f>IF('Pre-analyseverktøy'!AA213=0,"",'Pre-analyseverktøy'!AA213)</f>
        <v/>
      </c>
    </row>
    <row r="214" spans="1:27">
      <c r="A214" s="620">
        <v>205</v>
      </c>
      <c r="B214" s="911" t="s">
        <v>1299</v>
      </c>
      <c r="C214" s="911"/>
      <c r="D214" s="936" t="str">
        <f>'Pre-analyseverktøy'!C214</f>
        <v>Hea 02</v>
      </c>
      <c r="E214" s="932">
        <f>'Pre-analyseverktøy'!E214</f>
        <v>12</v>
      </c>
      <c r="F214" s="932" t="str">
        <f>'Pre-analyseverktøy'!F214</f>
        <v>Inn 03 - Hea 02: emisjoner fra byggeprodukter</v>
      </c>
      <c r="G214" s="430">
        <f>'Pre-analyseverktøy'!G214</f>
        <v>1</v>
      </c>
      <c r="H214" s="436">
        <f>'Pre-analyseverktøy'!H214</f>
        <v>0</v>
      </c>
      <c r="I214" s="902">
        <f>'Pre-analyseverktøy'!I214</f>
        <v>0</v>
      </c>
      <c r="J214" s="432" t="str">
        <f>'Pre-analyseverktøy'!J214</f>
        <v>N/A</v>
      </c>
      <c r="K214" s="433" t="str">
        <f>IF('Pre-analyseverktøy'!K214=0,"",'Pre-analyseverktøy'!K214)</f>
        <v/>
      </c>
      <c r="L214" s="433" t="str">
        <f>IF('Pre-analyseverktøy'!L214=0,"",'Pre-analyseverktøy'!L214)</f>
        <v/>
      </c>
      <c r="M214" s="434" t="str">
        <f>IF('Pre-analyseverktøy'!M214=0,"",'Pre-analyseverktøy'!M214)</f>
        <v/>
      </c>
      <c r="N214" s="435">
        <f>'Pre-analyseverktøy'!N214</f>
        <v>0</v>
      </c>
      <c r="O214" s="436">
        <f>'Pre-analyseverktøy'!O214</f>
        <v>0</v>
      </c>
      <c r="P214" s="431">
        <f>'Pre-analyseverktøy'!P214</f>
        <v>0</v>
      </c>
      <c r="Q214" s="430" t="str">
        <f>'Pre-analyseverktøy'!Q214</f>
        <v>N/A</v>
      </c>
      <c r="R214" s="433" t="str">
        <f>IF('Pre-analyseverktøy'!R214=0,"",'Pre-analyseverktøy'!R214)</f>
        <v/>
      </c>
      <c r="S214" s="433" t="str">
        <f>IF('Pre-analyseverktøy'!S214=0,"",'Pre-analyseverktøy'!S214)</f>
        <v/>
      </c>
      <c r="T214" s="434" t="str">
        <f>IF('Pre-analyseverktøy'!T214=0,"",'Pre-analyseverktøy'!T214)</f>
        <v/>
      </c>
      <c r="U214" s="437"/>
      <c r="V214" s="436">
        <f>'Pre-analyseverktøy'!V214</f>
        <v>0</v>
      </c>
      <c r="W214" s="431">
        <f>'Pre-analyseverktøy'!W214</f>
        <v>0</v>
      </c>
      <c r="X214" s="430" t="str">
        <f>'Pre-analyseverktøy'!X214</f>
        <v>N/A</v>
      </c>
      <c r="Y214" s="433" t="str">
        <f>IF('Pre-analyseverktøy'!Y214=0,"",'Pre-analyseverktøy'!Y214)</f>
        <v/>
      </c>
      <c r="Z214" s="433" t="str">
        <f>IF('Pre-analyseverktøy'!Z214=0,"",'Pre-analyseverktøy'!Z214)</f>
        <v/>
      </c>
      <c r="AA214" s="433" t="str">
        <f>IF('Pre-analyseverktøy'!AA214=0,"",'Pre-analyseverktøy'!AA214)</f>
        <v/>
      </c>
    </row>
    <row r="215" spans="1:27">
      <c r="A215" s="620">
        <v>206</v>
      </c>
      <c r="B215" s="911" t="s">
        <v>1299</v>
      </c>
      <c r="C215" s="911"/>
      <c r="D215" s="936" t="str">
        <f>'Pre-analyseverktøy'!C215</f>
        <v>Hea 06</v>
      </c>
      <c r="E215" s="932" t="str">
        <f>'Pre-analyseverktøy'!E215</f>
        <v>8-9</v>
      </c>
      <c r="F215" s="932" t="str">
        <f>'Pre-analyseverktøy'!F215</f>
        <v xml:space="preserve">Inn 04 - Hea 06: Biofilisk design </v>
      </c>
      <c r="G215" s="430">
        <f>'Pre-analyseverktøy'!G215</f>
        <v>1</v>
      </c>
      <c r="H215" s="436">
        <f>'Pre-analyseverktøy'!H215</f>
        <v>0</v>
      </c>
      <c r="I215" s="902">
        <f>'Pre-analyseverktøy'!I215</f>
        <v>0</v>
      </c>
      <c r="J215" s="432" t="str">
        <f>'Pre-analyseverktøy'!J215</f>
        <v>N/A</v>
      </c>
      <c r="K215" s="433" t="str">
        <f>IF('Pre-analyseverktøy'!K215=0,"",'Pre-analyseverktøy'!K215)</f>
        <v/>
      </c>
      <c r="L215" s="433" t="str">
        <f>IF('Pre-analyseverktøy'!L215=0,"",'Pre-analyseverktøy'!L215)</f>
        <v/>
      </c>
      <c r="M215" s="434" t="str">
        <f>IF('Pre-analyseverktøy'!M215=0,"",'Pre-analyseverktøy'!M215)</f>
        <v/>
      </c>
      <c r="N215" s="435">
        <f>'Pre-analyseverktøy'!N215</f>
        <v>0</v>
      </c>
      <c r="O215" s="436">
        <f>'Pre-analyseverktøy'!O215</f>
        <v>0</v>
      </c>
      <c r="P215" s="431">
        <f>'Pre-analyseverktøy'!P215</f>
        <v>0</v>
      </c>
      <c r="Q215" s="430" t="str">
        <f>'Pre-analyseverktøy'!Q215</f>
        <v>N/A</v>
      </c>
      <c r="R215" s="433" t="str">
        <f>IF('Pre-analyseverktøy'!R215=0,"",'Pre-analyseverktøy'!R215)</f>
        <v/>
      </c>
      <c r="S215" s="433" t="str">
        <f>IF('Pre-analyseverktøy'!S215=0,"",'Pre-analyseverktøy'!S215)</f>
        <v/>
      </c>
      <c r="T215" s="434" t="str">
        <f>IF('Pre-analyseverktøy'!T215=0,"",'Pre-analyseverktøy'!T215)</f>
        <v/>
      </c>
      <c r="U215" s="437"/>
      <c r="V215" s="436">
        <f>'Pre-analyseverktøy'!V215</f>
        <v>0</v>
      </c>
      <c r="W215" s="431">
        <f>'Pre-analyseverktøy'!W215</f>
        <v>0</v>
      </c>
      <c r="X215" s="430" t="str">
        <f>'Pre-analyseverktøy'!X215</f>
        <v>N/A</v>
      </c>
      <c r="Y215" s="433" t="str">
        <f>IF('Pre-analyseverktøy'!Y215=0,"",'Pre-analyseverktøy'!Y215)</f>
        <v/>
      </c>
      <c r="Z215" s="433" t="str">
        <f>IF('Pre-analyseverktøy'!Z215=0,"",'Pre-analyseverktøy'!Z215)</f>
        <v/>
      </c>
      <c r="AA215" s="433" t="str">
        <f>IF('Pre-analyseverktøy'!AA215=0,"",'Pre-analyseverktøy'!AA215)</f>
        <v/>
      </c>
    </row>
    <row r="216" spans="1:27">
      <c r="A216" s="620">
        <v>207</v>
      </c>
      <c r="B216" s="911" t="s">
        <v>1299</v>
      </c>
      <c r="C216" s="911"/>
      <c r="D216" s="936" t="str">
        <f>'Pre-analyseverktøy'!C216</f>
        <v>Ene 01</v>
      </c>
      <c r="E216" s="932" t="str">
        <f>'Pre-analyseverktøy'!E216</f>
        <v>17-20</v>
      </c>
      <c r="F216" s="932" t="str">
        <f>'Pre-analyseverktøy'!F216</f>
        <v>Inn 05 - Ene 01:  energiledelse i driftsperiode</v>
      </c>
      <c r="G216" s="430">
        <f>'Pre-analyseverktøy'!G216</f>
        <v>2</v>
      </c>
      <c r="H216" s="436">
        <f>'Pre-analyseverktøy'!H216</f>
        <v>0</v>
      </c>
      <c r="I216" s="902">
        <f>'Pre-analyseverktøy'!I216</f>
        <v>0</v>
      </c>
      <c r="J216" s="432" t="str">
        <f>'Pre-analyseverktøy'!J216</f>
        <v>N/A</v>
      </c>
      <c r="K216" s="433" t="str">
        <f>IF('Pre-analyseverktøy'!K216=0,"",'Pre-analyseverktøy'!K216)</f>
        <v/>
      </c>
      <c r="L216" s="433" t="str">
        <f>IF('Pre-analyseverktøy'!L216=0,"",'Pre-analyseverktøy'!L216)</f>
        <v/>
      </c>
      <c r="M216" s="434" t="str">
        <f>IF('Pre-analyseverktøy'!M216=0,"",'Pre-analyseverktøy'!M216)</f>
        <v/>
      </c>
      <c r="N216" s="435">
        <f>'Pre-analyseverktøy'!N216</f>
        <v>0</v>
      </c>
      <c r="O216" s="436">
        <f>'Pre-analyseverktøy'!O216</f>
        <v>0</v>
      </c>
      <c r="P216" s="431">
        <f>'Pre-analyseverktøy'!P216</f>
        <v>0</v>
      </c>
      <c r="Q216" s="430" t="str">
        <f>'Pre-analyseverktøy'!Q216</f>
        <v>N/A</v>
      </c>
      <c r="R216" s="433" t="str">
        <f>IF('Pre-analyseverktøy'!R216=0,"",'Pre-analyseverktøy'!R216)</f>
        <v/>
      </c>
      <c r="S216" s="433" t="str">
        <f>IF('Pre-analyseverktøy'!S216=0,"",'Pre-analyseverktøy'!S216)</f>
        <v/>
      </c>
      <c r="T216" s="434" t="str">
        <f>IF('Pre-analyseverktøy'!T216=0,"",'Pre-analyseverktøy'!T216)</f>
        <v/>
      </c>
      <c r="U216" s="437"/>
      <c r="V216" s="436">
        <f>'Pre-analyseverktøy'!V216</f>
        <v>0</v>
      </c>
      <c r="W216" s="431">
        <f>'Pre-analyseverktøy'!W216</f>
        <v>0</v>
      </c>
      <c r="X216" s="430" t="str">
        <f>'Pre-analyseverktøy'!X216</f>
        <v>N/A</v>
      </c>
      <c r="Y216" s="433" t="str">
        <f>IF('Pre-analyseverktøy'!Y216=0,"",'Pre-analyseverktøy'!Y216)</f>
        <v/>
      </c>
      <c r="Z216" s="433" t="str">
        <f>IF('Pre-analyseverktøy'!Z216=0,"",'Pre-analyseverktøy'!Z216)</f>
        <v/>
      </c>
      <c r="AA216" s="433" t="str">
        <f>IF('Pre-analyseverktøy'!AA216=0,"",'Pre-analyseverktøy'!AA216)</f>
        <v/>
      </c>
    </row>
    <row r="217" spans="1:27">
      <c r="A217" s="620">
        <v>208</v>
      </c>
      <c r="B217" s="911" t="s">
        <v>1299</v>
      </c>
      <c r="C217" s="911"/>
      <c r="D217" s="936" t="str">
        <f>'Pre-analyseverktøy'!C217</f>
        <v>Ene 01</v>
      </c>
      <c r="E217" s="932">
        <f>'Pre-analyseverktøy'!E217</f>
        <v>21</v>
      </c>
      <c r="F217" s="932" t="str">
        <f>'Pre-analyseverktøy'!F217</f>
        <v>Inn 06 - Ene 01: plusshus</v>
      </c>
      <c r="G217" s="430">
        <f>'Pre-analyseverktøy'!G217</f>
        <v>1</v>
      </c>
      <c r="H217" s="436">
        <f>'Pre-analyseverktøy'!H217</f>
        <v>0</v>
      </c>
      <c r="I217" s="902">
        <f>'Pre-analyseverktøy'!I217</f>
        <v>0</v>
      </c>
      <c r="J217" s="432" t="str">
        <f>'Pre-analyseverktøy'!J217</f>
        <v>N/A</v>
      </c>
      <c r="K217" s="433" t="str">
        <f>IF('Pre-analyseverktøy'!K217=0,"",'Pre-analyseverktøy'!K217)</f>
        <v/>
      </c>
      <c r="L217" s="433" t="str">
        <f>IF('Pre-analyseverktøy'!L217=0,"",'Pre-analyseverktøy'!L217)</f>
        <v/>
      </c>
      <c r="M217" s="434" t="str">
        <f>IF('Pre-analyseverktøy'!M217=0,"",'Pre-analyseverktøy'!M217)</f>
        <v/>
      </c>
      <c r="N217" s="435">
        <f>'Pre-analyseverktøy'!N217</f>
        <v>0</v>
      </c>
      <c r="O217" s="436">
        <f>'Pre-analyseverktøy'!O217</f>
        <v>0</v>
      </c>
      <c r="P217" s="431">
        <f>'Pre-analyseverktøy'!P217</f>
        <v>0</v>
      </c>
      <c r="Q217" s="430" t="str">
        <f>'Pre-analyseverktøy'!Q217</f>
        <v>N/A</v>
      </c>
      <c r="R217" s="433" t="str">
        <f>IF('Pre-analyseverktøy'!R217=0,"",'Pre-analyseverktøy'!R217)</f>
        <v/>
      </c>
      <c r="S217" s="433" t="str">
        <f>IF('Pre-analyseverktøy'!S217=0,"",'Pre-analyseverktøy'!S217)</f>
        <v/>
      </c>
      <c r="T217" s="434" t="str">
        <f>IF('Pre-analyseverktøy'!T217=0,"",'Pre-analyseverktøy'!T217)</f>
        <v/>
      </c>
      <c r="U217" s="437"/>
      <c r="V217" s="436">
        <f>'Pre-analyseverktøy'!V217</f>
        <v>0</v>
      </c>
      <c r="W217" s="431">
        <f>'Pre-analyseverktøy'!W217</f>
        <v>0</v>
      </c>
      <c r="X217" s="430" t="str">
        <f>'Pre-analyseverktøy'!X217</f>
        <v>N/A</v>
      </c>
      <c r="Y217" s="433" t="str">
        <f>IF('Pre-analyseverktøy'!Y217=0,"",'Pre-analyseverktøy'!Y217)</f>
        <v/>
      </c>
      <c r="Z217" s="433" t="str">
        <f>IF('Pre-analyseverktøy'!Z217=0,"",'Pre-analyseverktøy'!Z217)</f>
        <v/>
      </c>
      <c r="AA217" s="433" t="str">
        <f>IF('Pre-analyseverktøy'!AA217=0,"",'Pre-analyseverktøy'!AA217)</f>
        <v/>
      </c>
    </row>
    <row r="218" spans="1:27">
      <c r="A218" s="620">
        <v>209</v>
      </c>
      <c r="B218" s="911" t="s">
        <v>1299</v>
      </c>
      <c r="C218" s="911"/>
      <c r="D218" s="936" t="str">
        <f>'Pre-analyseverktøy'!C218</f>
        <v>Wat 01</v>
      </c>
      <c r="E218" s="932">
        <f>'Pre-analyseverktøy'!E218</f>
        <v>8</v>
      </c>
      <c r="F218" s="932" t="str">
        <f>'Pre-analyseverktøy'!F218</f>
        <v>Inn 07 - Wat 01: svært vanneffektivt sanitærutstyr</v>
      </c>
      <c r="G218" s="430">
        <f>'Pre-analyseverktøy'!G218</f>
        <v>1</v>
      </c>
      <c r="H218" s="436">
        <f>'Pre-analyseverktøy'!H218</f>
        <v>0</v>
      </c>
      <c r="I218" s="902">
        <f>'Pre-analyseverktøy'!I218</f>
        <v>0</v>
      </c>
      <c r="J218" s="432" t="str">
        <f>'Pre-analyseverktøy'!J218</f>
        <v>N/A</v>
      </c>
      <c r="K218" s="433" t="str">
        <f>IF('Pre-analyseverktøy'!K218=0,"",'Pre-analyseverktøy'!K218)</f>
        <v/>
      </c>
      <c r="L218" s="433" t="str">
        <f>IF('Pre-analyseverktøy'!L218=0,"",'Pre-analyseverktøy'!L218)</f>
        <v/>
      </c>
      <c r="M218" s="434" t="str">
        <f>IF('Pre-analyseverktøy'!M218=0,"",'Pre-analyseverktøy'!M218)</f>
        <v/>
      </c>
      <c r="N218" s="435">
        <f>'Pre-analyseverktøy'!N218</f>
        <v>0</v>
      </c>
      <c r="O218" s="436">
        <f>'Pre-analyseverktøy'!O218</f>
        <v>0</v>
      </c>
      <c r="P218" s="431">
        <f>'Pre-analyseverktøy'!P218</f>
        <v>0</v>
      </c>
      <c r="Q218" s="430" t="str">
        <f>'Pre-analyseverktøy'!Q218</f>
        <v>N/A</v>
      </c>
      <c r="R218" s="433" t="str">
        <f>IF('Pre-analyseverktøy'!R218=0,"",'Pre-analyseverktøy'!R218)</f>
        <v/>
      </c>
      <c r="S218" s="433" t="str">
        <f>IF('Pre-analyseverktøy'!S218=0,"",'Pre-analyseverktøy'!S218)</f>
        <v/>
      </c>
      <c r="T218" s="434" t="str">
        <f>IF('Pre-analyseverktøy'!T218=0,"",'Pre-analyseverktøy'!T218)</f>
        <v/>
      </c>
      <c r="U218" s="437"/>
      <c r="V218" s="436">
        <f>'Pre-analyseverktøy'!V218</f>
        <v>0</v>
      </c>
      <c r="W218" s="431">
        <f>'Pre-analyseverktøy'!W218</f>
        <v>0</v>
      </c>
      <c r="X218" s="430" t="str">
        <f>'Pre-analyseverktøy'!X218</f>
        <v>N/A</v>
      </c>
      <c r="Y218" s="433" t="str">
        <f>IF('Pre-analyseverktøy'!Y218=0,"",'Pre-analyseverktøy'!Y218)</f>
        <v/>
      </c>
      <c r="Z218" s="433" t="str">
        <f>IF('Pre-analyseverktøy'!Z218=0,"",'Pre-analyseverktøy'!Z218)</f>
        <v/>
      </c>
      <c r="AA218" s="433" t="str">
        <f>IF('Pre-analyseverktøy'!AA218=0,"",'Pre-analyseverktøy'!AA218)</f>
        <v/>
      </c>
    </row>
    <row r="219" spans="1:27">
      <c r="A219" s="620">
        <v>210</v>
      </c>
      <c r="B219" s="911" t="s">
        <v>1299</v>
      </c>
      <c r="C219" s="911"/>
      <c r="D219" s="936" t="str">
        <f>'Pre-analyseverktøy'!C219</f>
        <v>Mat 01</v>
      </c>
      <c r="E219" s="932">
        <f>'Pre-analyseverktøy'!E219</f>
        <v>4</v>
      </c>
      <c r="F219" s="932" t="str">
        <f>'Pre-analyseverktøy'!F219</f>
        <v>Inn 08 - Mat 01: 60 % reduksjon av klimagassutslipp</v>
      </c>
      <c r="G219" s="430">
        <f>'Pre-analyseverktøy'!G219</f>
        <v>1</v>
      </c>
      <c r="H219" s="436">
        <f>'Pre-analyseverktøy'!H219</f>
        <v>0</v>
      </c>
      <c r="I219" s="902">
        <f>'Pre-analyseverktøy'!I219</f>
        <v>0</v>
      </c>
      <c r="J219" s="432" t="str">
        <f>'Pre-analyseverktøy'!J219</f>
        <v>N/A</v>
      </c>
      <c r="K219" s="433" t="str">
        <f>IF('Pre-analyseverktøy'!K219=0,"",'Pre-analyseverktøy'!K219)</f>
        <v/>
      </c>
      <c r="L219" s="433" t="str">
        <f>IF('Pre-analyseverktøy'!L219=0,"",'Pre-analyseverktøy'!L219)</f>
        <v/>
      </c>
      <c r="M219" s="434" t="str">
        <f>IF('Pre-analyseverktøy'!M219=0,"",'Pre-analyseverktøy'!M219)</f>
        <v/>
      </c>
      <c r="N219" s="435">
        <f>'Pre-analyseverktøy'!N219</f>
        <v>0</v>
      </c>
      <c r="O219" s="436">
        <f>'Pre-analyseverktøy'!O219</f>
        <v>0</v>
      </c>
      <c r="P219" s="431">
        <f>'Pre-analyseverktøy'!P219</f>
        <v>0</v>
      </c>
      <c r="Q219" s="430" t="str">
        <f>'Pre-analyseverktøy'!Q219</f>
        <v>N/A</v>
      </c>
      <c r="R219" s="433" t="str">
        <f>IF('Pre-analyseverktøy'!R219=0,"",'Pre-analyseverktøy'!R219)</f>
        <v/>
      </c>
      <c r="S219" s="433" t="str">
        <f>IF('Pre-analyseverktøy'!S219=0,"",'Pre-analyseverktøy'!S219)</f>
        <v/>
      </c>
      <c r="T219" s="434" t="str">
        <f>IF('Pre-analyseverktøy'!T219=0,"",'Pre-analyseverktøy'!T219)</f>
        <v/>
      </c>
      <c r="U219" s="437"/>
      <c r="V219" s="436">
        <f>'Pre-analyseverktøy'!V219</f>
        <v>0</v>
      </c>
      <c r="W219" s="431">
        <f>'Pre-analyseverktøy'!W219</f>
        <v>0</v>
      </c>
      <c r="X219" s="430" t="str">
        <f>'Pre-analyseverktøy'!X219</f>
        <v>N/A</v>
      </c>
      <c r="Y219" s="433" t="str">
        <f>IF('Pre-analyseverktøy'!Y219=0,"",'Pre-analyseverktøy'!Y219)</f>
        <v/>
      </c>
      <c r="Z219" s="433" t="str">
        <f>IF('Pre-analyseverktøy'!Z219=0,"",'Pre-analyseverktøy'!Z219)</f>
        <v/>
      </c>
      <c r="AA219" s="433" t="str">
        <f>IF('Pre-analyseverktøy'!AA219=0,"",'Pre-analyseverktøy'!AA219)</f>
        <v/>
      </c>
    </row>
    <row r="220" spans="1:27" ht="30">
      <c r="A220" s="620">
        <v>211</v>
      </c>
      <c r="B220" s="911" t="s">
        <v>1299</v>
      </c>
      <c r="C220" s="911"/>
      <c r="D220" s="936" t="str">
        <f>'Pre-analyseverktøy'!C220</f>
        <v>Mat 06</v>
      </c>
      <c r="E220" s="932">
        <f>'Pre-analyseverktøy'!E220</f>
        <v>6</v>
      </c>
      <c r="F220" s="932" t="str">
        <f>'Pre-analyseverktøy'!F220</f>
        <v>Inn 09 - Mat 06: FutureBuilt-kriterier under 2.3 Ombruk av bygningsdeler for sirkulære bygg</v>
      </c>
      <c r="G220" s="430">
        <f>'Pre-analyseverktøy'!G220</f>
        <v>1</v>
      </c>
      <c r="H220" s="436">
        <f>'Pre-analyseverktøy'!H220</f>
        <v>0</v>
      </c>
      <c r="I220" s="902">
        <f>'Pre-analyseverktøy'!I220</f>
        <v>0</v>
      </c>
      <c r="J220" s="432" t="str">
        <f>'Pre-analyseverktøy'!J220</f>
        <v>N/A</v>
      </c>
      <c r="K220" s="433" t="str">
        <f>IF('Pre-analyseverktøy'!K220=0,"",'Pre-analyseverktøy'!K220)</f>
        <v/>
      </c>
      <c r="L220" s="433" t="str">
        <f>IF('Pre-analyseverktøy'!L220=0,"",'Pre-analyseverktøy'!L220)</f>
        <v/>
      </c>
      <c r="M220" s="434" t="str">
        <f>IF('Pre-analyseverktøy'!M220=0,"",'Pre-analyseverktøy'!M220)</f>
        <v/>
      </c>
      <c r="N220" s="435">
        <f>'Pre-analyseverktøy'!N220</f>
        <v>0</v>
      </c>
      <c r="O220" s="436">
        <f>'Pre-analyseverktøy'!O220</f>
        <v>0</v>
      </c>
      <c r="P220" s="431">
        <f>'Pre-analyseverktøy'!P220</f>
        <v>0</v>
      </c>
      <c r="Q220" s="430" t="str">
        <f>'Pre-analyseverktøy'!Q220</f>
        <v>N/A</v>
      </c>
      <c r="R220" s="433" t="str">
        <f>IF('Pre-analyseverktøy'!R220=0,"",'Pre-analyseverktøy'!R220)</f>
        <v/>
      </c>
      <c r="S220" s="433" t="str">
        <f>IF('Pre-analyseverktøy'!S220=0,"",'Pre-analyseverktøy'!S220)</f>
        <v/>
      </c>
      <c r="T220" s="434" t="str">
        <f>IF('Pre-analyseverktøy'!T220=0,"",'Pre-analyseverktøy'!T220)</f>
        <v/>
      </c>
      <c r="U220" s="437"/>
      <c r="V220" s="436">
        <f>'Pre-analyseverktøy'!V220</f>
        <v>0</v>
      </c>
      <c r="W220" s="431">
        <f>'Pre-analyseverktøy'!W220</f>
        <v>0</v>
      </c>
      <c r="X220" s="430" t="str">
        <f>'Pre-analyseverktøy'!X220</f>
        <v>N/A</v>
      </c>
      <c r="Y220" s="433" t="str">
        <f>IF('Pre-analyseverktøy'!Y220=0,"",'Pre-analyseverktøy'!Y220)</f>
        <v/>
      </c>
      <c r="Z220" s="433" t="str">
        <f>IF('Pre-analyseverktøy'!Z220=0,"",'Pre-analyseverktøy'!Z220)</f>
        <v/>
      </c>
      <c r="AA220" s="433" t="str">
        <f>IF('Pre-analyseverktøy'!AA220=0,"",'Pre-analyseverktøy'!AA220)</f>
        <v/>
      </c>
    </row>
    <row r="221" spans="1:27">
      <c r="A221" s="620">
        <v>212</v>
      </c>
      <c r="B221" s="911" t="s">
        <v>1299</v>
      </c>
      <c r="C221" s="911"/>
      <c r="D221" s="936" t="str">
        <f>'Pre-analyseverktøy'!C221</f>
        <v>Wst 01</v>
      </c>
      <c r="E221" s="932">
        <f>'Pre-analyseverktøy'!E221</f>
        <v>5</v>
      </c>
      <c r="F221" s="932" t="str">
        <f>'Pre-analyseverktøy'!F221</f>
        <v>Inn 10 - Wst 01: svært lave avfallsmengder</v>
      </c>
      <c r="G221" s="430">
        <f>'Pre-analyseverktøy'!G221</f>
        <v>1</v>
      </c>
      <c r="H221" s="436">
        <f>'Pre-analyseverktøy'!H221</f>
        <v>0</v>
      </c>
      <c r="I221" s="902">
        <f>'Pre-analyseverktøy'!I221</f>
        <v>0</v>
      </c>
      <c r="J221" s="432" t="str">
        <f>'Pre-analyseverktøy'!J221</f>
        <v>N/A</v>
      </c>
      <c r="K221" s="433" t="str">
        <f>IF('Pre-analyseverktøy'!K221=0,"",'Pre-analyseverktøy'!K221)</f>
        <v/>
      </c>
      <c r="L221" s="433" t="str">
        <f>IF('Pre-analyseverktøy'!L221=0,"",'Pre-analyseverktøy'!L221)</f>
        <v/>
      </c>
      <c r="M221" s="434" t="str">
        <f>IF('Pre-analyseverktøy'!M221=0,"",'Pre-analyseverktøy'!M221)</f>
        <v/>
      </c>
      <c r="N221" s="435">
        <f>'Pre-analyseverktøy'!N221</f>
        <v>0</v>
      </c>
      <c r="O221" s="436">
        <f>'Pre-analyseverktøy'!O221</f>
        <v>0</v>
      </c>
      <c r="P221" s="431">
        <f>'Pre-analyseverktøy'!P221</f>
        <v>0</v>
      </c>
      <c r="Q221" s="430" t="str">
        <f>'Pre-analyseverktøy'!Q221</f>
        <v>N/A</v>
      </c>
      <c r="R221" s="433" t="str">
        <f>IF('Pre-analyseverktøy'!R221=0,"",'Pre-analyseverktøy'!R221)</f>
        <v/>
      </c>
      <c r="S221" s="433" t="str">
        <f>IF('Pre-analyseverktøy'!S221=0,"",'Pre-analyseverktøy'!S221)</f>
        <v/>
      </c>
      <c r="T221" s="434" t="str">
        <f>IF('Pre-analyseverktøy'!T221=0,"",'Pre-analyseverktøy'!T221)</f>
        <v/>
      </c>
      <c r="U221" s="437"/>
      <c r="V221" s="436">
        <f>'Pre-analyseverktøy'!V221</f>
        <v>0</v>
      </c>
      <c r="W221" s="431">
        <f>'Pre-analyseverktøy'!W221</f>
        <v>0</v>
      </c>
      <c r="X221" s="430" t="str">
        <f>'Pre-analyseverktøy'!X221</f>
        <v>N/A</v>
      </c>
      <c r="Y221" s="433" t="str">
        <f>IF('Pre-analyseverktøy'!Y221=0,"",'Pre-analyseverktøy'!Y221)</f>
        <v/>
      </c>
      <c r="Z221" s="433" t="str">
        <f>IF('Pre-analyseverktøy'!Z221=0,"",'Pre-analyseverktøy'!Z221)</f>
        <v/>
      </c>
      <c r="AA221" s="433" t="str">
        <f>IF('Pre-analyseverktøy'!AA221=0,"",'Pre-analyseverktøy'!AA221)</f>
        <v/>
      </c>
    </row>
    <row r="222" spans="1:27">
      <c r="A222" s="620">
        <v>213</v>
      </c>
      <c r="B222" s="911" t="s">
        <v>1299</v>
      </c>
      <c r="C222" s="911"/>
      <c r="D222" s="936" t="str">
        <f>'Pre-analyseverktøy'!C222</f>
        <v>LE 02</v>
      </c>
      <c r="E222" s="932" t="str">
        <f>'Pre-analyseverktøy'!E222</f>
        <v>7-9</v>
      </c>
      <c r="F222" s="932" t="str">
        <f>'Pre-analyseverktøy'!F222</f>
        <v>Inn 11 - LE 02:  helhetlig bærekraft for utbyggingsområdet</v>
      </c>
      <c r="G222" s="430">
        <f>'Pre-analyseverktøy'!G222</f>
        <v>1</v>
      </c>
      <c r="H222" s="436">
        <f>'Pre-analyseverktøy'!H222</f>
        <v>0</v>
      </c>
      <c r="I222" s="902">
        <f>'Pre-analyseverktøy'!I222</f>
        <v>0</v>
      </c>
      <c r="J222" s="432" t="str">
        <f>'Pre-analyseverktøy'!J222</f>
        <v>N/A</v>
      </c>
      <c r="K222" s="433" t="str">
        <f>IF('Pre-analyseverktøy'!K222=0,"",'Pre-analyseverktøy'!K222)</f>
        <v/>
      </c>
      <c r="L222" s="433" t="str">
        <f>IF('Pre-analyseverktøy'!L222=0,"",'Pre-analyseverktøy'!L222)</f>
        <v/>
      </c>
      <c r="M222" s="434" t="str">
        <f>IF('Pre-analyseverktøy'!M222=0,"",'Pre-analyseverktøy'!M222)</f>
        <v/>
      </c>
      <c r="N222" s="435">
        <f>'Pre-analyseverktøy'!N222</f>
        <v>0</v>
      </c>
      <c r="O222" s="436">
        <f>'Pre-analyseverktøy'!O222</f>
        <v>0</v>
      </c>
      <c r="P222" s="431">
        <f>'Pre-analyseverktøy'!P222</f>
        <v>0</v>
      </c>
      <c r="Q222" s="430" t="str">
        <f>'Pre-analyseverktøy'!Q222</f>
        <v>N/A</v>
      </c>
      <c r="R222" s="433" t="str">
        <f>IF('Pre-analyseverktøy'!R222=0,"",'Pre-analyseverktøy'!R222)</f>
        <v/>
      </c>
      <c r="S222" s="433" t="str">
        <f>IF('Pre-analyseverktøy'!S222=0,"",'Pre-analyseverktøy'!S222)</f>
        <v/>
      </c>
      <c r="T222" s="434" t="str">
        <f>IF('Pre-analyseverktøy'!T222=0,"",'Pre-analyseverktøy'!T222)</f>
        <v/>
      </c>
      <c r="U222" s="437"/>
      <c r="V222" s="436">
        <f>'Pre-analyseverktøy'!V222</f>
        <v>0</v>
      </c>
      <c r="W222" s="431">
        <f>'Pre-analyseverktøy'!W222</f>
        <v>0</v>
      </c>
      <c r="X222" s="430" t="str">
        <f>'Pre-analyseverktøy'!X222</f>
        <v>N/A</v>
      </c>
      <c r="Y222" s="433" t="str">
        <f>IF('Pre-analyseverktøy'!Y222=0,"",'Pre-analyseverktøy'!Y222)</f>
        <v/>
      </c>
      <c r="Z222" s="433" t="str">
        <f>IF('Pre-analyseverktøy'!Z222=0,"",'Pre-analyseverktøy'!Z222)</f>
        <v/>
      </c>
      <c r="AA222" s="433" t="str">
        <f>IF('Pre-analyseverktøy'!AA222=0,"",'Pre-analyseverktøy'!AA222)</f>
        <v/>
      </c>
    </row>
    <row r="223" spans="1:27">
      <c r="A223" s="620">
        <v>214</v>
      </c>
      <c r="B223" s="911" t="s">
        <v>1299</v>
      </c>
      <c r="C223" s="911"/>
      <c r="D223" s="936" t="str">
        <f>'Pre-analyseverktøy'!C223</f>
        <v>LE 04</v>
      </c>
      <c r="E223" s="932">
        <f>'Pre-analyseverktøy'!E223</f>
        <v>6</v>
      </c>
      <c r="F223" s="932" t="str">
        <f>'Pre-analyseverktøy'!F223</f>
        <v>Inn 12 - LE 04: betydelig netto forbedring av biodiversitet</v>
      </c>
      <c r="G223" s="430">
        <f>'Pre-analyseverktøy'!G223</f>
        <v>1</v>
      </c>
      <c r="H223" s="436">
        <f>'Pre-analyseverktøy'!H223</f>
        <v>0</v>
      </c>
      <c r="I223" s="902">
        <f>'Pre-analyseverktøy'!I223</f>
        <v>0</v>
      </c>
      <c r="J223" s="432" t="str">
        <f>'Pre-analyseverktøy'!J223</f>
        <v>N/A</v>
      </c>
      <c r="K223" s="433" t="str">
        <f>IF('Pre-analyseverktøy'!K223=0,"",'Pre-analyseverktøy'!K223)</f>
        <v/>
      </c>
      <c r="L223" s="433" t="str">
        <f>IF('Pre-analyseverktøy'!L223=0,"",'Pre-analyseverktøy'!L223)</f>
        <v/>
      </c>
      <c r="M223" s="434" t="str">
        <f>IF('Pre-analyseverktøy'!M223=0,"",'Pre-analyseverktøy'!M223)</f>
        <v/>
      </c>
      <c r="N223" s="435">
        <f>'Pre-analyseverktøy'!N223</f>
        <v>0</v>
      </c>
      <c r="O223" s="436">
        <f>'Pre-analyseverktøy'!O223</f>
        <v>0</v>
      </c>
      <c r="P223" s="431">
        <f>'Pre-analyseverktøy'!P223</f>
        <v>0</v>
      </c>
      <c r="Q223" s="430" t="str">
        <f>'Pre-analyseverktøy'!Q223</f>
        <v>N/A</v>
      </c>
      <c r="R223" s="433" t="str">
        <f>IF('Pre-analyseverktøy'!R223=0,"",'Pre-analyseverktøy'!R223)</f>
        <v/>
      </c>
      <c r="S223" s="433" t="str">
        <f>IF('Pre-analyseverktøy'!S223=0,"",'Pre-analyseverktøy'!S223)</f>
        <v/>
      </c>
      <c r="T223" s="434" t="str">
        <f>IF('Pre-analyseverktøy'!T223=0,"",'Pre-analyseverktøy'!T223)</f>
        <v/>
      </c>
      <c r="U223" s="437"/>
      <c r="V223" s="436">
        <f>'Pre-analyseverktøy'!V223</f>
        <v>0</v>
      </c>
      <c r="W223" s="431">
        <f>'Pre-analyseverktøy'!W223</f>
        <v>0</v>
      </c>
      <c r="X223" s="430" t="str">
        <f>'Pre-analyseverktøy'!X223</f>
        <v>N/A</v>
      </c>
      <c r="Y223" s="433" t="str">
        <f>IF('Pre-analyseverktøy'!Y223=0,"",'Pre-analyseverktøy'!Y223)</f>
        <v/>
      </c>
      <c r="Z223" s="433" t="str">
        <f>IF('Pre-analyseverktøy'!Z223=0,"",'Pre-analyseverktøy'!Z223)</f>
        <v/>
      </c>
      <c r="AA223" s="433" t="str">
        <f>IF('Pre-analyseverktøy'!AA223=0,"",'Pre-analyseverktøy'!AA223)</f>
        <v/>
      </c>
    </row>
    <row r="224" spans="1:27">
      <c r="A224" s="620">
        <v>215</v>
      </c>
      <c r="B224" s="911" t="s">
        <v>1299</v>
      </c>
      <c r="C224" s="911"/>
      <c r="D224" s="936" t="str">
        <f>'Pre-analyseverktøy'!C224</f>
        <v>LE 06</v>
      </c>
      <c r="E224" s="932">
        <f>'Pre-analyseverktøy'!E224</f>
        <v>7</v>
      </c>
      <c r="F224" s="932" t="str">
        <f>'Pre-analyseverktøy'!F224</f>
        <v>Inn 13 - LE 06: helhetlig respons på klimaendringer</v>
      </c>
      <c r="G224" s="430">
        <f>'Pre-analyseverktøy'!G224</f>
        <v>1</v>
      </c>
      <c r="H224" s="436">
        <f>'Pre-analyseverktøy'!H224</f>
        <v>0</v>
      </c>
      <c r="I224" s="902">
        <f>'Pre-analyseverktøy'!I224</f>
        <v>0</v>
      </c>
      <c r="J224" s="432" t="str">
        <f>'Pre-analyseverktøy'!J224</f>
        <v>N/A</v>
      </c>
      <c r="K224" s="433" t="str">
        <f>IF('Pre-analyseverktøy'!K224=0,"",'Pre-analyseverktøy'!K224)</f>
        <v/>
      </c>
      <c r="L224" s="433" t="str">
        <f>IF('Pre-analyseverktøy'!L224=0,"",'Pre-analyseverktøy'!L224)</f>
        <v/>
      </c>
      <c r="M224" s="434" t="str">
        <f>IF('Pre-analyseverktøy'!M224=0,"",'Pre-analyseverktøy'!M224)</f>
        <v/>
      </c>
      <c r="N224" s="435">
        <f>'Pre-analyseverktøy'!N224</f>
        <v>0</v>
      </c>
      <c r="O224" s="436">
        <f>'Pre-analyseverktøy'!O224</f>
        <v>0</v>
      </c>
      <c r="P224" s="431">
        <f>'Pre-analyseverktøy'!P224</f>
        <v>0</v>
      </c>
      <c r="Q224" s="430" t="str">
        <f>'Pre-analyseverktøy'!Q224</f>
        <v>N/A</v>
      </c>
      <c r="R224" s="433" t="str">
        <f>IF('Pre-analyseverktøy'!R224=0,"",'Pre-analyseverktøy'!R224)</f>
        <v/>
      </c>
      <c r="S224" s="433" t="str">
        <f>IF('Pre-analyseverktøy'!S224=0,"",'Pre-analyseverktøy'!S224)</f>
        <v/>
      </c>
      <c r="T224" s="434" t="str">
        <f>IF('Pre-analyseverktøy'!T224=0,"",'Pre-analyseverktøy'!T224)</f>
        <v/>
      </c>
      <c r="U224" s="437"/>
      <c r="V224" s="436">
        <f>'Pre-analyseverktøy'!V224</f>
        <v>0</v>
      </c>
      <c r="W224" s="431">
        <f>'Pre-analyseverktøy'!W224</f>
        <v>0</v>
      </c>
      <c r="X224" s="430" t="str">
        <f>'Pre-analyseverktøy'!X224</f>
        <v>N/A</v>
      </c>
      <c r="Y224" s="433" t="str">
        <f>IF('Pre-analyseverktøy'!Y224=0,"",'Pre-analyseverktøy'!Y224)</f>
        <v/>
      </c>
      <c r="Z224" s="433" t="str">
        <f>IF('Pre-analyseverktøy'!Z224=0,"",'Pre-analyseverktøy'!Z224)</f>
        <v/>
      </c>
      <c r="AA224" s="433" t="str">
        <f>IF('Pre-analyseverktøy'!AA224=0,"",'Pre-analyseverktøy'!AA224)</f>
        <v/>
      </c>
    </row>
    <row r="225" spans="1:36">
      <c r="A225" s="620">
        <v>216</v>
      </c>
      <c r="B225" s="911" t="s">
        <v>1299</v>
      </c>
      <c r="C225" s="622"/>
      <c r="D225" s="936" t="str">
        <f>'Pre-analyseverktøy'!C225</f>
        <v>LE 08</v>
      </c>
      <c r="E225" s="932" t="str">
        <f>'Pre-analyseverktøy'!E225</f>
        <v>10-12</v>
      </c>
      <c r="F225" s="932" t="str">
        <f>'Pre-analyseverktøy'!F225</f>
        <v>Inn 14 - LE 08: helhetlig til nærming til overvannshåndtering</v>
      </c>
      <c r="G225" s="430">
        <f>'Pre-analyseverktøy'!G225</f>
        <v>1</v>
      </c>
      <c r="H225" s="436">
        <f>'Pre-analyseverktøy'!H225</f>
        <v>0</v>
      </c>
      <c r="I225" s="902">
        <f>'Pre-analyseverktøy'!I225</f>
        <v>0</v>
      </c>
      <c r="J225" s="432" t="str">
        <f>'Pre-analyseverktøy'!J225</f>
        <v>N/A</v>
      </c>
      <c r="K225" s="433" t="str">
        <f>IF('Pre-analyseverktøy'!K225=0,"",'Pre-analyseverktøy'!K225)</f>
        <v/>
      </c>
      <c r="L225" s="433" t="str">
        <f>IF('Pre-analyseverktøy'!L225=0,"",'Pre-analyseverktøy'!L225)</f>
        <v/>
      </c>
      <c r="M225" s="434" t="str">
        <f>IF('Pre-analyseverktøy'!M225=0,"",'Pre-analyseverktøy'!M225)</f>
        <v/>
      </c>
      <c r="N225" s="435">
        <f>'Pre-analyseverktøy'!N225</f>
        <v>0</v>
      </c>
      <c r="O225" s="436">
        <f>'Pre-analyseverktøy'!O225</f>
        <v>0</v>
      </c>
      <c r="P225" s="431">
        <f>'Pre-analyseverktøy'!P225</f>
        <v>0</v>
      </c>
      <c r="Q225" s="430" t="str">
        <f>'Pre-analyseverktøy'!Q225</f>
        <v>N/A</v>
      </c>
      <c r="R225" s="433" t="str">
        <f>IF('Pre-analyseverktøy'!R225=0,"",'Pre-analyseverktøy'!R225)</f>
        <v/>
      </c>
      <c r="S225" s="433" t="str">
        <f>IF('Pre-analyseverktøy'!S225=0,"",'Pre-analyseverktøy'!S225)</f>
        <v/>
      </c>
      <c r="T225" s="434" t="str">
        <f>IF('Pre-analyseverktøy'!T225=0,"",'Pre-analyseverktøy'!T225)</f>
        <v/>
      </c>
      <c r="U225" s="437"/>
      <c r="V225" s="436">
        <f>'Pre-analyseverktøy'!V225</f>
        <v>0</v>
      </c>
      <c r="W225" s="431">
        <f>'Pre-analyseverktøy'!W225</f>
        <v>0</v>
      </c>
      <c r="X225" s="430" t="str">
        <f>'Pre-analyseverktøy'!X225</f>
        <v>N/A</v>
      </c>
      <c r="Y225" s="433" t="str">
        <f>IF('Pre-analyseverktøy'!Y225=0,"",'Pre-analyseverktøy'!Y225)</f>
        <v/>
      </c>
      <c r="Z225" s="433" t="str">
        <f>IF('Pre-analyseverktøy'!Z225=0,"",'Pre-analyseverktøy'!Z225)</f>
        <v/>
      </c>
      <c r="AA225" s="433" t="str">
        <f>IF('Pre-analyseverktøy'!AA225=0,"",'Pre-analyseverktøy'!AA225)</f>
        <v/>
      </c>
    </row>
    <row r="226" spans="1:36" ht="30" customHeight="1" thickBot="1">
      <c r="A226" s="620">
        <v>217</v>
      </c>
      <c r="B226" s="911" t="s">
        <v>1299</v>
      </c>
      <c r="C226" s="622"/>
      <c r="D226" s="934"/>
      <c r="E226" s="934"/>
      <c r="F226" s="934" t="str">
        <f>'Pre-analyseverktøy'!F226</f>
        <v>Totalsum innovasjon</v>
      </c>
      <c r="G226" s="438">
        <f>'Pre-analyseverktøy'!G226</f>
        <v>10</v>
      </c>
      <c r="H226" s="440">
        <f>'Pre-analyseverktøy'!H226</f>
        <v>0</v>
      </c>
      <c r="I226" s="439">
        <f>'Pre-analyseverktøy'!I226</f>
        <v>0</v>
      </c>
      <c r="J226" s="438" t="str">
        <f>'Pre-analyseverktøy'!J226</f>
        <v>Poeng oppnådd: 0</v>
      </c>
      <c r="K226" s="884" t="str">
        <f>IF('Pre-analyseverktøy'!K226=0,"",'Pre-analyseverktøy'!K226)</f>
        <v/>
      </c>
      <c r="L226" s="884" t="str">
        <f>IF('Pre-analyseverktøy'!L226=0,"",'Pre-analyseverktøy'!L226)</f>
        <v/>
      </c>
      <c r="M226" s="903" t="str">
        <f>IF('Pre-analyseverktøy'!M226=0,"",'Pre-analyseverktøy'!M226)</f>
        <v/>
      </c>
      <c r="N226" s="904">
        <f>'Pre-analyseverktøy'!N226</f>
        <v>0</v>
      </c>
      <c r="O226" s="440">
        <f>'Pre-analyseverktøy'!O226</f>
        <v>0</v>
      </c>
      <c r="P226" s="439">
        <f>'Pre-analyseverktøy'!P226</f>
        <v>0</v>
      </c>
      <c r="Q226" s="438" t="str">
        <f>'Pre-analyseverktøy'!Q226</f>
        <v>Poeng oppnådd: 0</v>
      </c>
      <c r="R226" s="884" t="str">
        <f>IF('Pre-analyseverktøy'!R226=0,"",'Pre-analyseverktøy'!R226)</f>
        <v/>
      </c>
      <c r="S226" s="884" t="str">
        <f>IF('Pre-analyseverktøy'!S226=0,"",'Pre-analyseverktøy'!S226)</f>
        <v/>
      </c>
      <c r="T226" s="903" t="str">
        <f>IF('Pre-analyseverktøy'!T226=0,"",'Pre-analyseverktøy'!T226)</f>
        <v/>
      </c>
      <c r="U226" s="905"/>
      <c r="V226" s="440">
        <f>'Pre-analyseverktøy'!V226</f>
        <v>0</v>
      </c>
      <c r="W226" s="439">
        <f>'Pre-analyseverktøy'!W226</f>
        <v>0</v>
      </c>
      <c r="X226" s="438" t="str">
        <f>'Pre-analyseverktøy'!X226</f>
        <v>Poeng oppnådd: 0</v>
      </c>
      <c r="Y226" s="884" t="str">
        <f>IF('Pre-analyseverktøy'!Y226=0,"",'Pre-analyseverktøy'!Y226)</f>
        <v/>
      </c>
      <c r="Z226" s="884" t="str">
        <f>IF('Pre-analyseverktøy'!Z226=0,"",'Pre-analyseverktøy'!Z226)</f>
        <v/>
      </c>
      <c r="AA226" s="884" t="str">
        <f>IF('Pre-analyseverktøy'!AA226=0,"",'Pre-analyseverktøy'!AA226)</f>
        <v/>
      </c>
    </row>
    <row r="227" spans="1:36">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row>
    <row r="228" spans="1:36">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row>
    <row r="229" spans="1:36">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330"/>
      <c r="AC229" s="330"/>
      <c r="AD229" s="330"/>
      <c r="AE229" s="330"/>
      <c r="AF229" s="330"/>
      <c r="AG229" s="330"/>
      <c r="AH229" s="330"/>
      <c r="AI229" s="330"/>
      <c r="AJ229" s="330"/>
    </row>
    <row r="230" spans="1:36">
      <c r="F230" s="1"/>
      <c r="N230" s="1"/>
      <c r="U230" s="1"/>
    </row>
    <row r="231" spans="1:36">
      <c r="F231" s="1"/>
      <c r="N231" s="1"/>
      <c r="U231" s="1"/>
    </row>
    <row r="232" spans="1:36">
      <c r="F232" s="1"/>
      <c r="N232" s="1"/>
      <c r="U232" s="1"/>
    </row>
    <row r="382" spans="6:27" s="13" customFormat="1" ht="15.75">
      <c r="F382" s="3"/>
      <c r="G382" s="332"/>
      <c r="H382" s="332"/>
      <c r="I382" s="332"/>
      <c r="J382" s="332"/>
      <c r="K382" s="332"/>
      <c r="L382" s="332"/>
      <c r="M382" s="1068"/>
      <c r="O382" s="332"/>
      <c r="P382" s="332"/>
      <c r="Q382" s="332"/>
      <c r="R382" s="332"/>
      <c r="S382" s="332"/>
      <c r="T382" s="332"/>
      <c r="V382" s="332"/>
      <c r="W382" s="332"/>
      <c r="X382" s="332"/>
      <c r="Y382" s="332"/>
      <c r="Z382" s="332"/>
      <c r="AA382" s="332"/>
    </row>
  </sheetData>
  <sheetProtection algorithmName="SHA-512" hashValue="s0LW8Ib5wQjBzHNO94eSlvybWgE0b6WkfQ/rVzrNJKtsa37EpPgCB056eIBtxB0z9wSwjtGmjKVD9iGfcsg1nQ==" saltValue="+GJDMhx4uoBmZUQdJTL40g==" spinCount="100000" sheet="1" formatRows="0" sort="0" autoFilter="0"/>
  <autoFilter ref="A9:AA226" xr:uid="{00000000-0001-0000-0600-000000000000}"/>
  <dataValidations count="2">
    <dataValidation type="decimal" operator="lessThanOrEqual" allowBlank="1" errorTitle="Invalid entry" error="Cannot award more credits than available" sqref="F210:F211 F36:F37 F64:F65 F93:F94 F102:F103 F116:F117 F146:F147 F161:F162 F193:F194 G11:AA226" xr:uid="{E4C877BA-24D1-4931-8BB9-4F6C4F4B33FD}">
      <formula1>$G11</formula1>
    </dataValidation>
    <dataValidation allowBlank="1" showInputMessage="1" showErrorMessage="1" promptTitle="Sorting" prompt="Sort from smallest to largest to get original sorting" sqref="A9" xr:uid="{B7EF206A-E28F-4F19-B8B5-E19EE68F2E6D}"/>
  </dataValidations>
  <pageMargins left="0.43307086614173229" right="0.19685039370078741" top="0.6692913385826772" bottom="0.59055118110236227" header="0.31496062992125984" footer="0.31496062992125984"/>
  <pageSetup paperSize="9" scale="39" fitToHeight="0" orientation="landscape" r:id="rId1"/>
  <headerFooter>
    <oddFooter xml:space="preserve">&amp;L&amp;F&amp;C&amp;D&amp;RPage &amp;P of &amp;N  </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P24"/>
  <sheetViews>
    <sheetView zoomScaleNormal="100" workbookViewId="0">
      <selection activeCell="B5" sqref="B5"/>
    </sheetView>
  </sheetViews>
  <sheetFormatPr baseColWidth="10" defaultColWidth="9.28515625" defaultRowHeight="15"/>
  <cols>
    <col min="1" max="1" width="2.7109375" style="1" customWidth="1"/>
    <col min="2" max="2" width="17" style="1" bestFit="1" customWidth="1"/>
    <col min="3" max="3" width="15.7109375" style="1" customWidth="1"/>
    <col min="4" max="16" width="9.28515625" style="1"/>
    <col min="17" max="17" width="3.28515625" style="1" customWidth="1"/>
    <col min="18" max="16384" width="9.28515625" style="1"/>
  </cols>
  <sheetData>
    <row r="1" spans="2:16" ht="15" customHeight="1" thickBot="1">
      <c r="B1" s="1182"/>
      <c r="C1" s="1183"/>
      <c r="D1" s="1183"/>
      <c r="E1" s="1183"/>
      <c r="F1" s="1183"/>
      <c r="G1" s="1183"/>
      <c r="H1" s="1183"/>
      <c r="I1" s="1183"/>
      <c r="J1" s="1183"/>
      <c r="K1" s="1183"/>
      <c r="L1" s="1183"/>
    </row>
    <row r="2" spans="2:16" ht="42" customHeight="1">
      <c r="B2" s="1188" t="s">
        <v>1301</v>
      </c>
      <c r="C2" s="1189"/>
      <c r="D2" s="1189"/>
      <c r="E2" s="1189"/>
      <c r="F2" s="1189"/>
      <c r="G2" s="1189"/>
      <c r="H2" s="1189"/>
      <c r="I2" s="1189"/>
      <c r="J2" s="1189"/>
      <c r="K2" s="1189"/>
      <c r="L2" s="1189"/>
      <c r="M2" s="444"/>
      <c r="N2" s="445"/>
      <c r="O2" s="445"/>
      <c r="P2" s="467" t="str">
        <f>IF('Manuell filtrering og justering'!I2='Manuell filtrering og justering'!J2,"Bespoke","")</f>
        <v/>
      </c>
    </row>
    <row r="3" spans="2:16" ht="15" customHeight="1">
      <c r="B3" s="446"/>
      <c r="C3" s="447"/>
      <c r="D3" s="447"/>
      <c r="E3" s="447"/>
      <c r="F3" s="447"/>
      <c r="G3" s="447"/>
      <c r="H3" s="447"/>
      <c r="I3" s="447"/>
      <c r="J3" s="447"/>
      <c r="K3" s="447"/>
      <c r="L3" s="447"/>
      <c r="P3" s="324"/>
    </row>
    <row r="4" spans="2:16" ht="15" customHeight="1">
      <c r="B4" s="448" t="s">
        <v>1302</v>
      </c>
      <c r="C4" s="448" t="s">
        <v>1303</v>
      </c>
      <c r="D4" s="1190" t="s">
        <v>1304</v>
      </c>
      <c r="E4" s="1191"/>
      <c r="F4" s="1191"/>
      <c r="G4" s="1191"/>
      <c r="H4" s="1191"/>
      <c r="I4" s="1191"/>
      <c r="J4" s="1191"/>
      <c r="K4" s="1191"/>
      <c r="L4" s="1191"/>
      <c r="M4" s="1191"/>
      <c r="N4" s="1191"/>
      <c r="O4" s="1191"/>
      <c r="P4" s="1192"/>
    </row>
    <row r="5" spans="2:16" ht="38.25" customHeight="1">
      <c r="B5" s="452" t="s">
        <v>1404</v>
      </c>
      <c r="C5" s="449">
        <v>45954</v>
      </c>
      <c r="D5" s="1186" t="s">
        <v>1403</v>
      </c>
      <c r="E5" s="1187"/>
      <c r="F5" s="1187"/>
      <c r="G5" s="1187"/>
      <c r="H5" s="1187"/>
      <c r="I5" s="1187"/>
      <c r="J5" s="1187"/>
      <c r="K5" s="1187"/>
      <c r="L5" s="1187"/>
      <c r="M5" s="1187"/>
      <c r="N5" s="1187"/>
      <c r="O5" s="1187"/>
      <c r="P5" s="1187"/>
    </row>
    <row r="6" spans="2:16">
      <c r="B6" s="1074"/>
      <c r="C6" s="1075"/>
      <c r="D6" s="1073"/>
      <c r="E6" s="1072"/>
      <c r="F6" s="1072"/>
      <c r="G6" s="1072"/>
      <c r="H6" s="1072"/>
      <c r="I6" s="1072"/>
      <c r="J6" s="1072"/>
      <c r="K6" s="1072"/>
      <c r="L6" s="1072"/>
      <c r="M6" s="1072"/>
      <c r="N6" s="1072"/>
      <c r="O6" s="1072"/>
      <c r="P6" s="1072"/>
    </row>
    <row r="7" spans="2:16">
      <c r="B7" s="448" t="s">
        <v>1396</v>
      </c>
      <c r="C7" s="448" t="s">
        <v>1303</v>
      </c>
      <c r="D7" s="1190" t="s">
        <v>1304</v>
      </c>
      <c r="E7" s="1191"/>
      <c r="F7" s="1191"/>
      <c r="G7" s="1191"/>
      <c r="H7" s="1191"/>
      <c r="I7" s="1191"/>
      <c r="J7" s="1191"/>
      <c r="K7" s="1191"/>
      <c r="L7" s="1191"/>
      <c r="M7" s="1191"/>
      <c r="N7" s="1191"/>
      <c r="O7" s="1191"/>
      <c r="P7" s="1192"/>
    </row>
    <row r="8" spans="2:16">
      <c r="B8" s="452" t="s">
        <v>1394</v>
      </c>
      <c r="C8" s="449">
        <v>45832</v>
      </c>
      <c r="D8" s="1186" t="s">
        <v>1395</v>
      </c>
      <c r="E8" s="1187"/>
      <c r="F8" s="1187"/>
      <c r="G8" s="1187"/>
      <c r="H8" s="1187"/>
      <c r="I8" s="1187"/>
      <c r="J8" s="1187"/>
      <c r="K8" s="1187"/>
      <c r="L8" s="1187"/>
      <c r="M8" s="1187"/>
      <c r="N8" s="1187"/>
      <c r="O8" s="1187"/>
      <c r="P8" s="1187"/>
    </row>
    <row r="9" spans="2:16">
      <c r="B9" s="452" t="s">
        <v>1391</v>
      </c>
      <c r="C9" s="449">
        <v>45777</v>
      </c>
      <c r="D9" s="1186" t="s">
        <v>1392</v>
      </c>
      <c r="E9" s="1187"/>
      <c r="F9" s="1187"/>
      <c r="G9" s="1187"/>
      <c r="H9" s="1187"/>
      <c r="I9" s="1187"/>
      <c r="J9" s="1187"/>
      <c r="K9" s="1187"/>
      <c r="L9" s="1187"/>
      <c r="M9" s="1187"/>
      <c r="N9" s="1187"/>
      <c r="O9" s="1187"/>
      <c r="P9" s="1187"/>
    </row>
    <row r="10" spans="2:16" ht="18.75" customHeight="1">
      <c r="B10" s="452" t="s">
        <v>1305</v>
      </c>
      <c r="C10" s="449">
        <v>45775</v>
      </c>
      <c r="D10" s="1186" t="s">
        <v>1306</v>
      </c>
      <c r="E10" s="1187"/>
      <c r="F10" s="1187"/>
      <c r="G10" s="1187"/>
      <c r="H10" s="1187"/>
      <c r="I10" s="1187"/>
      <c r="J10" s="1187"/>
      <c r="K10" s="1187"/>
      <c r="L10" s="1187"/>
      <c r="M10" s="1187"/>
      <c r="N10" s="1187"/>
      <c r="O10" s="1187"/>
      <c r="P10" s="1187"/>
    </row>
    <row r="13" spans="2:16" hidden="1">
      <c r="B13" s="452"/>
      <c r="C13" s="449"/>
      <c r="D13" s="1199"/>
      <c r="E13" s="1187"/>
      <c r="F13" s="1187"/>
      <c r="G13" s="1187"/>
      <c r="H13" s="1187"/>
      <c r="I13" s="1187"/>
      <c r="J13" s="1187"/>
      <c r="K13" s="1187"/>
      <c r="L13" s="1187"/>
      <c r="M13" s="1187"/>
      <c r="N13" s="1187"/>
      <c r="O13" s="1187"/>
      <c r="P13" s="1187"/>
    </row>
    <row r="14" spans="2:16" hidden="1">
      <c r="B14" s="452"/>
      <c r="C14" s="449"/>
      <c r="D14" s="1196"/>
      <c r="E14" s="1197"/>
      <c r="F14" s="1197"/>
      <c r="G14" s="1197"/>
      <c r="H14" s="1197"/>
      <c r="I14" s="1197"/>
      <c r="J14" s="1197"/>
      <c r="K14" s="1197"/>
      <c r="L14" s="1197"/>
      <c r="M14" s="1197"/>
      <c r="N14" s="1197"/>
      <c r="O14" s="1197"/>
      <c r="P14" s="1198"/>
    </row>
    <row r="15" spans="2:16" hidden="1">
      <c r="B15" s="452"/>
      <c r="C15" s="449"/>
      <c r="D15" s="1196"/>
      <c r="E15" s="1197"/>
      <c r="F15" s="1197"/>
      <c r="G15" s="1197"/>
      <c r="H15" s="1197"/>
      <c r="I15" s="1197"/>
      <c r="J15" s="1197"/>
      <c r="K15" s="1197"/>
      <c r="L15" s="1197"/>
      <c r="M15" s="1197"/>
      <c r="N15" s="1197"/>
      <c r="O15" s="1197"/>
      <c r="P15" s="1198"/>
    </row>
    <row r="16" spans="2:16" hidden="1">
      <c r="B16" s="452"/>
      <c r="C16" s="449"/>
      <c r="D16" s="1193"/>
      <c r="E16" s="1194"/>
      <c r="F16" s="1194"/>
      <c r="G16" s="1194"/>
      <c r="H16" s="1194"/>
      <c r="I16" s="1194"/>
      <c r="J16" s="1194"/>
      <c r="K16" s="1194"/>
      <c r="L16" s="1194"/>
      <c r="M16" s="1194"/>
      <c r="N16" s="1194"/>
      <c r="O16" s="1194"/>
      <c r="P16" s="1195"/>
    </row>
    <row r="17" spans="2:16" hidden="1">
      <c r="B17" s="452"/>
      <c r="C17" s="449"/>
      <c r="D17" s="1193"/>
      <c r="E17" s="1194"/>
      <c r="F17" s="1194"/>
      <c r="G17" s="1194"/>
      <c r="H17" s="1194"/>
      <c r="I17" s="1194"/>
      <c r="J17" s="1194"/>
      <c r="K17" s="1194"/>
      <c r="L17" s="1194"/>
      <c r="M17" s="1194"/>
      <c r="N17" s="1194"/>
      <c r="O17" s="1194"/>
      <c r="P17" s="1195"/>
    </row>
    <row r="18" spans="2:16" hidden="1">
      <c r="B18" s="452"/>
      <c r="C18" s="449"/>
      <c r="D18" s="1184"/>
      <c r="E18" s="1185"/>
      <c r="F18" s="1185"/>
      <c r="G18" s="1185"/>
      <c r="H18" s="1185"/>
      <c r="I18" s="1185"/>
      <c r="J18" s="1185"/>
      <c r="K18" s="1185"/>
      <c r="L18" s="1185"/>
      <c r="M18" s="1185"/>
      <c r="N18" s="1185"/>
      <c r="O18" s="1185"/>
      <c r="P18" s="1185"/>
    </row>
    <row r="19" spans="2:16" hidden="1">
      <c r="B19" s="450"/>
      <c r="C19" s="451"/>
      <c r="D19" s="1202"/>
      <c r="E19" s="1201"/>
      <c r="F19" s="1201"/>
      <c r="G19" s="1201"/>
      <c r="H19" s="1201"/>
      <c r="I19" s="1201"/>
      <c r="J19" s="1201"/>
      <c r="K19" s="1201"/>
      <c r="L19" s="1201"/>
      <c r="M19" s="1201"/>
      <c r="N19" s="1201"/>
      <c r="O19" s="1201"/>
      <c r="P19" s="1201"/>
    </row>
    <row r="20" spans="2:16" hidden="1">
      <c r="B20" s="450"/>
      <c r="C20" s="451"/>
      <c r="D20" s="1202"/>
      <c r="E20" s="1201"/>
      <c r="F20" s="1201"/>
      <c r="G20" s="1201"/>
      <c r="H20" s="1201"/>
      <c r="I20" s="1201"/>
      <c r="J20" s="1201"/>
      <c r="K20" s="1201"/>
      <c r="L20" s="1201"/>
      <c r="M20" s="1201"/>
      <c r="N20" s="1201"/>
      <c r="O20" s="1201"/>
      <c r="P20" s="1201"/>
    </row>
    <row r="21" spans="2:16" hidden="1">
      <c r="B21" s="450"/>
      <c r="C21" s="451"/>
      <c r="D21" s="1200"/>
      <c r="E21" s="1201"/>
      <c r="F21" s="1201"/>
      <c r="G21" s="1201"/>
      <c r="H21" s="1201"/>
      <c r="I21" s="1201"/>
      <c r="J21" s="1201"/>
      <c r="K21" s="1201"/>
      <c r="L21" s="1201"/>
      <c r="M21" s="1201"/>
      <c r="N21" s="1201"/>
      <c r="O21" s="1201"/>
      <c r="P21" s="1201"/>
    </row>
    <row r="22" spans="2:16" ht="13.5" hidden="1" customHeight="1">
      <c r="B22" s="450"/>
      <c r="C22" s="451"/>
      <c r="D22" s="1200"/>
      <c r="E22" s="1201"/>
      <c r="F22" s="1201"/>
      <c r="G22" s="1201"/>
      <c r="H22" s="1201"/>
      <c r="I22" s="1201"/>
      <c r="J22" s="1201"/>
      <c r="K22" s="1201"/>
      <c r="L22" s="1201"/>
      <c r="M22" s="1201"/>
      <c r="N22" s="1201"/>
      <c r="O22" s="1201"/>
      <c r="P22" s="1201"/>
    </row>
    <row r="23" spans="2:16" hidden="1">
      <c r="B23" s="450"/>
      <c r="C23" s="451"/>
      <c r="D23" s="1200"/>
      <c r="E23" s="1201"/>
      <c r="F23" s="1201"/>
      <c r="G23" s="1201"/>
      <c r="H23" s="1201"/>
      <c r="I23" s="1201"/>
      <c r="J23" s="1201"/>
      <c r="K23" s="1201"/>
      <c r="L23" s="1201"/>
      <c r="M23" s="1201"/>
      <c r="N23" s="1201"/>
      <c r="O23" s="1201"/>
      <c r="P23" s="1201"/>
    </row>
    <row r="24" spans="2:16" hidden="1"/>
  </sheetData>
  <sheetProtection algorithmName="SHA-512" hashValue="QgI0RelOJrFPt51eBAURmmt7Xw6tANtrXo+CGB/s+s1eC48l/tTvU8Gu0V03ON5/WCpACRKDRYNCasmKFXL51g==" saltValue="ArCMFAXMsxR27X0H3W1vGQ==" spinCount="100000" sheet="1" objects="1" scenarios="1"/>
  <mergeCells count="19">
    <mergeCell ref="D21:P21"/>
    <mergeCell ref="D22:P22"/>
    <mergeCell ref="D23:P23"/>
    <mergeCell ref="D17:P17"/>
    <mergeCell ref="D20:P20"/>
    <mergeCell ref="D19:P19"/>
    <mergeCell ref="B1:L1"/>
    <mergeCell ref="D18:P18"/>
    <mergeCell ref="D5:P5"/>
    <mergeCell ref="B2:L2"/>
    <mergeCell ref="D4:P4"/>
    <mergeCell ref="D16:P16"/>
    <mergeCell ref="D15:P15"/>
    <mergeCell ref="D14:P14"/>
    <mergeCell ref="D13:P13"/>
    <mergeCell ref="D10:P10"/>
    <mergeCell ref="D7:P7"/>
    <mergeCell ref="D8:P8"/>
    <mergeCell ref="D9:P9"/>
  </mergeCells>
  <phoneticPr fontId="19" type="noConversion"/>
  <pageMargins left="0.70866141732283472" right="0.70866141732283472" top="0.74803149606299213" bottom="0.74803149606299213" header="0.31496062992125984" footer="0.31496062992125984"/>
  <pageSetup paperSize="9"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6cefe9-9674-423a-9016-e8fb8618ae94">
      <Terms xmlns="http://schemas.microsoft.com/office/infopath/2007/PartnerControls"/>
    </lcf76f155ced4ddcb4097134ff3c332f>
    <TaxCatchAll xmlns="6a134960-c977-4733-ae75-fb0009659f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2A9759F849614DBE7DAB3DF45181D5" ma:contentTypeVersion="14" ma:contentTypeDescription="Opprett et nytt dokument." ma:contentTypeScope="" ma:versionID="b681e8d4432ed7649a39b9fc742cbabe">
  <xsd:schema xmlns:xsd="http://www.w3.org/2001/XMLSchema" xmlns:xs="http://www.w3.org/2001/XMLSchema" xmlns:p="http://schemas.microsoft.com/office/2006/metadata/properties" xmlns:ns2="936cefe9-9674-423a-9016-e8fb8618ae94" xmlns:ns3="6a134960-c977-4733-ae75-fb0009659f50" targetNamespace="http://schemas.microsoft.com/office/2006/metadata/properties" ma:root="true" ma:fieldsID="e4536e667648c212da126416922e4240" ns2:_="" ns3:_="">
    <xsd:import namespace="936cefe9-9674-423a-9016-e8fb8618ae94"/>
    <xsd:import namespace="6a134960-c977-4733-ae75-fb0009659f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cefe9-9674-423a-9016-e8fb8618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11f38259-2803-424e-b20f-60f96a9471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134960-c977-4733-ae75-fb0009659f50"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592801f5-999d-4a75-894a-8d1ddcff32cb}" ma:internalName="TaxCatchAll" ma:showField="CatchAllData" ma:web="6a134960-c977-4733-ae75-fb0009659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F68772-2ABF-4F37-8594-F905212249AD}">
  <ds:schemaRefs>
    <ds:schemaRef ds:uri="6a134960-c977-4733-ae75-fb0009659f50"/>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936cefe9-9674-423a-9016-e8fb8618ae9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9D2125B-24D9-472D-B56D-38274035C0C9}">
  <ds:schemaRefs>
    <ds:schemaRef ds:uri="http://schemas.microsoft.com/sharepoint/v3/contenttype/forms"/>
  </ds:schemaRefs>
</ds:datastoreItem>
</file>

<file path=customXml/itemProps3.xml><?xml version="1.0" encoding="utf-8"?>
<ds:datastoreItem xmlns:ds="http://schemas.openxmlformats.org/officeDocument/2006/customXml" ds:itemID="{DE0BD1BF-B2F1-4B97-8969-74ACDCDEA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cefe9-9674-423a-9016-e8fb8618ae94"/>
    <ds:schemaRef ds:uri="6a134960-c977-4733-ae75-fb0009659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761</vt:i4>
      </vt:variant>
    </vt:vector>
  </HeadingPairs>
  <TitlesOfParts>
    <vt:vector size="774" baseType="lpstr">
      <vt:lpstr>Instruksjoner</vt:lpstr>
      <vt:lpstr>Prosjektdetaljer</vt:lpstr>
      <vt:lpstr>Pre-analyseverktøy</vt:lpstr>
      <vt:lpstr>Credit list</vt:lpstr>
      <vt:lpstr>Manuell filtrering og justering</vt:lpstr>
      <vt:lpstr>Poeng</vt:lpstr>
      <vt:lpstr>Sammendrag av byggets ytelse</vt:lpstr>
      <vt:lpstr>PAE available for copy</vt:lpstr>
      <vt:lpstr>Versjonskontroll</vt:lpstr>
      <vt:lpstr>Sheet1</vt:lpstr>
      <vt:lpstr>Sheet2</vt:lpstr>
      <vt:lpstr>Sheet3</vt:lpstr>
      <vt:lpstr>Logg</vt:lpstr>
      <vt:lpstr>_PSc1</vt:lpstr>
      <vt:lpstr>Achieved_const</vt:lpstr>
      <vt:lpstr>Achieved_design</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AD_catlevel01</vt:lpstr>
      <vt:lpstr>AD_catlevel02</vt:lpstr>
      <vt:lpstr>AD_catlevel03</vt:lpstr>
      <vt:lpstr>AD_client</vt:lpstr>
      <vt:lpstr>AD_Contractor</vt:lpstr>
      <vt:lpstr>AD_Developer</vt:lpstr>
      <vt:lpstr>AD_Energyload</vt:lpstr>
      <vt:lpstr>AD_GIA</vt:lpstr>
      <vt:lpstr>AD_heat</vt:lpstr>
      <vt:lpstr>AD_labcat_list</vt:lpstr>
      <vt:lpstr>AD_Labsize</vt:lpstr>
      <vt:lpstr>AD_Labsize_list</vt:lpstr>
      <vt:lpstr>AD_Labsize01</vt:lpstr>
      <vt:lpstr>AD_Labsize02</vt:lpstr>
      <vt:lpstr>AD_Labsize03</vt:lpstr>
      <vt:lpstr>AD_labsize04</vt:lpstr>
      <vt:lpstr>AD_MultiRes_option01a</vt:lpstr>
      <vt:lpstr>AD_MultiRes_option01b</vt:lpstr>
      <vt:lpstr>AD_Multitenant</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AD_stage_list</vt:lpstr>
      <vt:lpstr>AD_Statement04</vt:lpstr>
      <vt:lpstr>AD_statement05</vt:lpstr>
      <vt:lpstr>AD_statement06</vt:lpstr>
      <vt:lpstr>AD_tra01type</vt:lpstr>
      <vt:lpstr>AD_Trans</vt:lpstr>
      <vt:lpstr>AD_type_list</vt:lpstr>
      <vt:lpstr>AD_version</vt:lpstr>
      <vt:lpstr>AD_Yes</vt:lpstr>
      <vt:lpstr>AD_YesNo</vt:lpstr>
      <vt:lpstr>AD_YesNo_list</vt:lpstr>
      <vt:lpstr>ADAS0</vt:lpstr>
      <vt:lpstr>ADAS01</vt:lpstr>
      <vt:lpstr>ADAS02</vt:lpstr>
      <vt:lpstr>ADBN</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ADBT13</vt:lpstr>
      <vt:lpstr>ADBT14</vt:lpstr>
      <vt:lpstr>ADBT15</vt:lpstr>
      <vt:lpstr>ADBT16</vt:lpstr>
      <vt:lpstr>ADBT17</vt:lpstr>
      <vt:lpstr>ADBT18</vt:lpstr>
      <vt:lpstr>ADBT19</vt:lpstr>
      <vt:lpstr>ADBT2</vt:lpstr>
      <vt:lpstr>ADBT20</vt:lpstr>
      <vt:lpstr>ADBT3</vt:lpstr>
      <vt:lpstr>ADBT8</vt:lpstr>
      <vt:lpstr>ADBT9</vt:lpstr>
      <vt:lpstr>ADFume_option01</vt:lpstr>
      <vt:lpstr>ADIND_option02</vt:lpstr>
      <vt:lpstr>ADIND_option02n</vt:lpstr>
      <vt:lpstr>ADIND_option03</vt:lpstr>
      <vt:lpstr>ADPT</vt:lpstr>
      <vt:lpstr>ADPT01</vt:lpstr>
      <vt:lpstr>ADPT02</vt:lpstr>
      <vt:lpstr>ADPT03</vt:lpstr>
      <vt:lpstr>ADPT04</vt:lpstr>
      <vt:lpstr>ais_ja</vt:lpstr>
      <vt:lpstr>AIS_NA</vt:lpstr>
      <vt:lpstr>ais_nei</vt:lpstr>
      <vt:lpstr>AIS_statement29</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BP_Trans_score</vt:lpstr>
      <vt:lpstr>BP_Waste_Score</vt:lpstr>
      <vt:lpstr>BP_Water_score</vt:lpstr>
      <vt:lpstr>'PAE available for copy'!BRK_Banner</vt:lpstr>
      <vt:lpstr>BRK_Banner</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Ene_Weight</vt:lpstr>
      <vt:lpstr>Ene01_27</vt:lpstr>
      <vt:lpstr>Ene01_28</vt:lpstr>
      <vt:lpstr>Ene01_41</vt:lpstr>
      <vt:lpstr>Ene01_42</vt:lpstr>
      <vt:lpstr>Ene01_credits</vt:lpstr>
      <vt:lpstr>Ene01_Crit1</vt:lpstr>
      <vt:lpstr>Ene01_Crit1_credits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Hea01_minstd</vt:lpstr>
      <vt:lpstr>Hea01_user</vt:lpstr>
      <vt:lpstr>Hea02_25</vt:lpstr>
      <vt:lpstr>Hea02_26</vt:lpstr>
      <vt:lpstr>Hea02_credits</vt:lpstr>
      <vt:lpstr>Hea02_Crit1</vt:lpstr>
      <vt:lpstr>Hea02_Crit1_cont</vt:lpstr>
      <vt:lpstr>Hea02_Crit1_credits</vt:lpstr>
      <vt:lpstr>Hea02_minst_crit</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'PAE available for copy'!HUG</vt:lpstr>
      <vt:lpstr>HUG</vt:lpstr>
      <vt:lpstr>HW_c_user</vt:lpstr>
      <vt:lpstr>HW_d_user</vt:lpstr>
      <vt:lpstr>HW_tot_user</vt:lpstr>
      <vt:lpstr>Inn_01</vt:lpstr>
      <vt:lpstr>Inn_02</vt:lpstr>
      <vt:lpstr>Inn_03</vt:lpstr>
      <vt:lpstr>Inn_04</vt:lpstr>
      <vt:lpstr>Inn_05</vt:lpstr>
      <vt:lpstr>Inn_06</vt:lpstr>
      <vt:lpstr>Inn_07</vt:lpstr>
      <vt:lpstr>Inn_08</vt:lpstr>
      <vt:lpstr>Inn_09</vt:lpstr>
      <vt:lpstr>Inn_10</vt:lpstr>
      <vt:lpstr>Inn_11</vt:lpstr>
      <vt:lpstr>Inn_12</vt:lpstr>
      <vt:lpstr>Inn_13</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Inn10_cont</vt:lpstr>
      <vt:lpstr>Inn10_credits</vt:lpstr>
      <vt:lpstr>Inn10_minstd</vt:lpstr>
      <vt:lpstr>Inn10_user</vt:lpstr>
      <vt:lpstr>Inn11_cont</vt:lpstr>
      <vt:lpstr>Inn11_credits</vt:lpstr>
      <vt:lpstr>Inn11_minstd</vt:lpstr>
      <vt:lpstr>Inn11_user</vt:lpstr>
      <vt:lpstr>Inn12_cont</vt:lpstr>
      <vt:lpstr>Inn12_credits</vt:lpstr>
      <vt:lpstr>Inn12_minstd</vt:lpstr>
      <vt:lpstr>Inn12_user</vt:lpstr>
      <vt:lpstr>Inn13_cont</vt:lpstr>
      <vt:lpstr>Inn13_credits</vt:lpstr>
      <vt:lpstr>Inn13_minstd</vt:lpstr>
      <vt:lpstr>Inn13_user</vt:lpstr>
      <vt:lpstr>janei</vt:lpstr>
      <vt:lpstr>LE_01</vt:lpstr>
      <vt:lpstr>LE_02</vt:lpstr>
      <vt:lpstr>LE_03</vt:lpstr>
      <vt:lpstr>LE_04</vt:lpstr>
      <vt:lpstr>LE_05</vt:lpstr>
      <vt:lpstr>LE_06</vt:lpstr>
      <vt:lpstr>LE_07</vt:lpstr>
      <vt:lpstr>LE_08</vt:lpstr>
      <vt:lpstr>LE_cont_tot</vt:lpstr>
      <vt:lpstr>LE_Credits</vt:lpstr>
      <vt:lpstr>LE_Weight</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LE03_07</vt:lpstr>
      <vt:lpstr>LE03_cont</vt:lpstr>
      <vt:lpstr>LE03_credits</vt:lpstr>
      <vt:lpstr>LE03_minstd</vt:lpstr>
      <vt:lpstr>LE03_user</vt:lpstr>
      <vt:lpstr>LE04_13</vt:lpstr>
      <vt:lpstr>LE04_14</vt:lpstr>
      <vt:lpstr>LE04_credits</vt:lpstr>
      <vt:lpstr>LE04_minstd</vt:lpstr>
      <vt:lpstr>LE04_tot</vt:lpstr>
      <vt:lpstr>LE04_user</vt:lpstr>
      <vt:lpstr>LE05_14</vt:lpstr>
      <vt:lpstr>LE05_15</vt:lpstr>
      <vt:lpstr>LE05_credits</vt:lpstr>
      <vt:lpstr>LE05_minstd</vt:lpstr>
      <vt:lpstr>LE05_minstdach</vt:lpstr>
      <vt:lpstr>LE05_tot</vt:lpstr>
      <vt:lpstr>LE05_user</vt:lpstr>
      <vt:lpstr>LE06_07</vt:lpstr>
      <vt:lpstr>LE06_contr</vt:lpstr>
      <vt:lpstr>LE06_credits</vt:lpstr>
      <vt:lpstr>LE06_minstd</vt:lpstr>
      <vt:lpstr>LE06_tot</vt:lpstr>
      <vt:lpstr>LE06_user</vt:lpstr>
      <vt:lpstr>LE07_07</vt:lpstr>
      <vt:lpstr>LE07_cont</vt:lpstr>
      <vt:lpstr>LE07_credits</vt:lpstr>
      <vt:lpstr>LE07_minstd</vt:lpstr>
      <vt:lpstr>LE07_user</vt:lpstr>
      <vt:lpstr>LE08_07</vt:lpstr>
      <vt:lpstr>LE08_cont</vt:lpstr>
      <vt:lpstr>LE08_credits</vt:lpstr>
      <vt:lpstr>LE08_minstd</vt:lpstr>
      <vt:lpstr>LE08_user</vt:lpstr>
      <vt:lpstr>Lue_c_user</vt:lpstr>
      <vt:lpstr>Lue_d_user</vt:lpstr>
      <vt:lpstr>Lue_tot_user</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Man_Weight</vt:lpstr>
      <vt:lpstr>Man01_37</vt:lpstr>
      <vt:lpstr>Man01_38</vt:lpstr>
      <vt:lpstr>Man01_39</vt:lpstr>
      <vt:lpstr>Man01_credits</vt:lpstr>
      <vt:lpstr>Man01_Crit1</vt:lpstr>
      <vt:lpstr>Man01_Crit1_cont</vt:lpstr>
      <vt:lpstr>Man01_Crit1_credits</vt:lpstr>
      <vt:lpstr>Man01_Exemp</vt:lpstr>
      <vt:lpstr>Man01_minstd</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Man03_Crit1</vt:lpstr>
      <vt:lpstr>Man03_Crit1_credits</vt:lpstr>
      <vt:lpstr>Man03_minstd</vt:lpstr>
      <vt:lpstr>Man03_minstd_cri</vt:lpstr>
      <vt:lpstr>Man03_Tot</vt:lpstr>
      <vt:lpstr>Man03_user</vt:lpstr>
      <vt:lpstr>Man04_17</vt:lpstr>
      <vt:lpstr>Man04_cont</vt:lpstr>
      <vt:lpstr>Man04_credits</vt:lpstr>
      <vt:lpstr>Man04_Crit1</vt:lpstr>
      <vt:lpstr>Man04_Crit1_credits</vt:lpstr>
      <vt:lpstr>Man04_minstd</vt:lpstr>
      <vt:lpstr>Man04_minstd_cri</vt:lpstr>
      <vt:lpstr>Man04_tot</vt:lpstr>
      <vt:lpstr>Man04_user</vt:lpstr>
      <vt:lpstr>Man05_10</vt:lpstr>
      <vt:lpstr>Man05_cont</vt:lpstr>
      <vt:lpstr>Man05_credits</vt:lpstr>
      <vt:lpstr>Man05_Crit1</vt:lpstr>
      <vt:lpstr>Man05_Crit1_credits</vt:lpstr>
      <vt:lpstr>Man05_minstd</vt:lpstr>
      <vt:lpstr>Man05_minstd_cri</vt:lpstr>
      <vt:lpstr>Man05_tot</vt:lpstr>
      <vt:lpstr>Man05_user</vt:lpstr>
      <vt:lpstr>Man06_cont</vt:lpstr>
      <vt:lpstr>Man06_credits</vt:lpstr>
      <vt:lpstr>Man06_minstd</vt:lpstr>
      <vt:lpstr>Man06_user</vt:lpstr>
      <vt:lpstr>Man07_cont</vt:lpstr>
      <vt:lpstr>Man07_credits</vt:lpstr>
      <vt:lpstr>Man07_minstd</vt:lpstr>
      <vt:lpstr>Man07_user</vt:lpstr>
      <vt:lpstr>Mat_01</vt:lpstr>
      <vt:lpstr>Mat_02</vt:lpstr>
      <vt:lpstr>Mat_03</vt:lpstr>
      <vt:lpstr>Mat_05</vt:lpstr>
      <vt:lpstr>Mat_06</vt:lpstr>
      <vt:lpstr>Mat_07</vt:lpstr>
      <vt:lpstr>Mat_c_user</vt:lpstr>
      <vt:lpstr>Mat_cont_tot</vt:lpstr>
      <vt:lpstr>Mat_Credits</vt:lpstr>
      <vt:lpstr>Mat_d_user</vt:lpstr>
      <vt:lpstr>Mat_tot_user</vt:lpstr>
      <vt:lpstr>Mat_Weight</vt:lpstr>
      <vt:lpstr>Mat01_08</vt:lpstr>
      <vt:lpstr>Mat01_27</vt:lpstr>
      <vt:lpstr>Mat01_28</vt:lpstr>
      <vt:lpstr>Mat01_credits</vt:lpstr>
      <vt:lpstr>Mat01_Crit1</vt:lpstr>
      <vt:lpstr>Mat01_Crit1_credits</vt:lpstr>
      <vt:lpstr>Mat01_minstd</vt:lpstr>
      <vt:lpstr>Mat01_minstd2</vt:lpstr>
      <vt:lpstr>Mat01_tot</vt:lpstr>
      <vt:lpstr>Mat01_user</vt:lpstr>
      <vt:lpstr>Mat02_37</vt:lpstr>
      <vt:lpstr>Mat02_cont</vt:lpstr>
      <vt:lpstr>Mat02_credits</vt:lpstr>
      <vt:lpstr>Mat02_Crit1</vt:lpstr>
      <vt:lpstr>Mat02_Crit1_cont</vt:lpstr>
      <vt:lpstr>Mat02_Crit1_credits</vt:lpstr>
      <vt:lpstr>Mat02_minstd</vt:lpstr>
      <vt:lpstr>Mat02_minstd2</vt:lpstr>
      <vt:lpstr>Mat02_user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Mat06_05</vt:lpstr>
      <vt:lpstr>Mat06_cont</vt:lpstr>
      <vt:lpstr>Mat06_credits</vt:lpstr>
      <vt:lpstr>Mat06_Crit1</vt:lpstr>
      <vt:lpstr>Mat06_Crit1_credits</vt:lpstr>
      <vt:lpstr>Mat06_minstd</vt:lpstr>
      <vt:lpstr>Mat06_minstd_cred</vt:lpstr>
      <vt:lpstr>Mat06_user</vt:lpstr>
      <vt:lpstr>Mat07_05</vt:lpstr>
      <vt:lpstr>Mat07_cont</vt:lpstr>
      <vt:lpstr>Mat07_credits</vt:lpstr>
      <vt:lpstr>Mat07_Crit1</vt:lpstr>
      <vt:lpstr>Mat07_Crit1_credits</vt:lpstr>
      <vt:lpstr>Mat07_minstd</vt:lpstr>
      <vt:lpstr>Mat07_minstd_cred</vt:lpstr>
      <vt:lpstr>Mat07_user</vt:lpstr>
      <vt:lpstr>Note_minstand</vt:lpstr>
      <vt:lpstr>Note_minstand_const</vt:lpstr>
      <vt:lpstr>Note_minstand_design</vt:lpstr>
      <vt:lpstr>Poeng_bort</vt:lpstr>
      <vt:lpstr>Poeng_tilgj</vt:lpstr>
      <vt:lpstr>Poeng_tot</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projecttype</vt:lpstr>
      <vt:lpstr>Score_const</vt:lpstr>
      <vt:lpstr>Score_design</vt:lpstr>
      <vt:lpstr>Score_Initial</vt:lpstr>
      <vt:lpstr>status</vt:lpstr>
      <vt:lpstr>Tra_01</vt:lpstr>
      <vt:lpstr>Tra_02</vt:lpstr>
      <vt:lpstr>Tra_03</vt:lpstr>
      <vt:lpstr>Tra_04</vt:lpstr>
      <vt:lpstr>Tra_05</vt:lpstr>
      <vt:lpstr>Tra_06</vt:lpstr>
      <vt:lpstr>Tra_c_user</vt:lpstr>
      <vt:lpstr>Tra_cont_tot</vt:lpstr>
      <vt:lpstr>Tra_Credits</vt:lpstr>
      <vt:lpstr>Tra_d_user</vt:lpstr>
      <vt:lpstr>Tra_tot_user</vt:lpstr>
      <vt:lpstr>Tra_Weight</vt:lpstr>
      <vt:lpstr>Tra01_07</vt:lpstr>
      <vt:lpstr>TRa01_08</vt:lpstr>
      <vt:lpstr>TRA01_BuildType</vt:lpstr>
      <vt:lpstr>Tra01_credits</vt:lpstr>
      <vt:lpstr>Tra01_Crit1</vt:lpstr>
      <vt:lpstr>Tra01_Crit1_credits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Tra03_02</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Tra06_minstd</vt:lpstr>
      <vt:lpstr>Tra06_user</vt:lpstr>
      <vt:lpstr>TVC_current_date</vt:lpstr>
      <vt:lpstr>TVC_current_version</vt:lpstr>
      <vt:lpstr>Instruksjoner!Utskriftsområde</vt:lpstr>
      <vt:lpstr>'PAE available for copy'!Utskriftsområde</vt:lpstr>
      <vt:lpstr>'Pre-analyseverktøy'!Utskriftsområde</vt:lpstr>
      <vt:lpstr>Prosjektdetaljer!Utskriftsområde</vt:lpstr>
      <vt:lpstr>'Sammendrag av byggets ytelse'!Utskriftsområde</vt:lpstr>
      <vt:lpstr>Versjonskontroll!Utskriftsområde</vt:lpstr>
      <vt:lpstr>'PAE available for copy'!Utskriftstitler</vt:lpstr>
      <vt:lpstr>'Pre-analyseverktøy'!Utskriftstitler</vt:lpstr>
      <vt:lpstr>Wat__Credits</vt:lpstr>
      <vt:lpstr>Wat_01</vt:lpstr>
      <vt:lpstr>Wat_02</vt:lpstr>
      <vt:lpstr>Wat_03</vt:lpstr>
      <vt:lpstr>Wat_04</vt:lpstr>
      <vt:lpstr>Wat_c_user</vt:lpstr>
      <vt:lpstr>Wat_cont_tot</vt:lpstr>
      <vt:lpstr>Wat_Credits</vt:lpstr>
      <vt:lpstr>Wat_d_user</vt:lpstr>
      <vt:lpstr>Wat_tot_user</vt:lpstr>
      <vt:lpstr>Wat_Weight</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Wst_01</vt:lpstr>
      <vt:lpstr>Wst_02</vt:lpstr>
      <vt:lpstr>Wst_03</vt:lpstr>
      <vt:lpstr>Wst_04</vt:lpstr>
      <vt:lpstr>Wst_c_user</vt:lpstr>
      <vt:lpstr>Wst_cont_tot</vt:lpstr>
      <vt:lpstr>Wst_Credits</vt:lpstr>
      <vt:lpstr>Wst_d_user</vt:lpstr>
      <vt:lpstr>Wst_tot_user</vt:lpstr>
      <vt:lpstr>Wst_Weight</vt:lpstr>
      <vt:lpstr>Wst01_17</vt:lpstr>
      <vt:lpstr>Wst01_18</vt:lpstr>
      <vt:lpstr>Wst01_27</vt:lpstr>
      <vt:lpstr>Wst01_28</vt:lpstr>
      <vt:lpstr>Wst01_credits</vt:lpstr>
      <vt:lpstr>Wst01_Crit1</vt:lpstr>
      <vt:lpstr>Wst01_Crit1_credits</vt:lpstr>
      <vt:lpstr>Wst01_minstd</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 Global Ltd</dc:creator>
  <cp:keywords/>
  <dc:description/>
  <cp:lastModifiedBy>Jenny Maria Hammarlund Ribe</cp:lastModifiedBy>
  <cp:revision/>
  <dcterms:created xsi:type="dcterms:W3CDTF">2011-03-28T14:05:06Z</dcterms:created>
  <dcterms:modified xsi:type="dcterms:W3CDTF">2025-10-24T13:57:20Z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1a1313e7-f814-4958-ad03-b536a5c5c290</vt:lpwstr>
  </property>
  <property fmtid="{D5CDD505-2E9C-101B-9397-08002B2CF9AE}" pid="3" name="ContentTypeId">
    <vt:lpwstr>0x010100202A9759F849614DBE7DAB3DF45181D5</vt:lpwstr>
  </property>
  <property fmtid="{D5CDD505-2E9C-101B-9397-08002B2CF9AE}" pid="4" name="MediaServiceImageTags">
    <vt:lpwstr/>
  </property>
</Properties>
</file>